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070" yWindow="630" windowWidth="15270" windowHeight="7860" tabRatio="879"/>
  </bookViews>
  <sheets>
    <sheet name="General Settings" sheetId="56" r:id="rId1"/>
    <sheet name="Libor" sheetId="6" r:id="rId2"/>
    <sheet name="Futures3M" sheetId="18" r:id="rId3"/>
    <sheet name="FuturesHWConvAdj" sheetId="20" r:id="rId4"/>
    <sheet name="Deposits" sheetId="15" r:id="rId5"/>
    <sheet name="FRA" sheetId="16" r:id="rId6"/>
    <sheet name="OIS" sheetId="22" r:id="rId7"/>
    <sheet name="Swap1M" sheetId="23" r:id="rId8"/>
    <sheet name="Swap3M" sheetId="25" r:id="rId9"/>
    <sheet name="SwapIMM" sheetId="24" r:id="rId10"/>
    <sheet name="BasisSwap1MxM" sheetId="11" r:id="rId11"/>
    <sheet name="BasisSwap3M6M" sheetId="12" r:id="rId12"/>
    <sheet name="BasisSwapxM12M" sheetId="13" r:id="rId13"/>
    <sheet name="LiborSwapForBasisCalc" sheetId="63" r:id="rId14"/>
    <sheet name="MxQuotes" sheetId="64" r:id="rId15"/>
    <sheet name="Swap3M_Mx" sheetId="65" r:id="rId16"/>
  </sheets>
  <definedNames>
    <definedName name="Area">'General Settings'!$I$5</definedName>
    <definedName name="AreaIndex">'General Settings'!$I$6</definedName>
    <definedName name="AreaTable">'General Settings'!$L$4:$O$12</definedName>
    <definedName name="Calendar">'General Settings'!$I$31</definedName>
    <definedName name="Contributor" localSheetId="12">BasisSwapxM12M!$S$2</definedName>
    <definedName name="Contributor" localSheetId="6">OIS!$O$2</definedName>
    <definedName name="Contributor">Swap3M!$S$2</definedName>
    <definedName name="ContributorFRA">FRA!$L$2</definedName>
    <definedName name="Contributors">'General Settings'!$C$16:$C$34</definedName>
    <definedName name="ContributorTable">'General Settings'!$C$16:$D$34</definedName>
    <definedName name="Conventions" localSheetId="10">BasisSwap1MxM!$AF$5:$AH$9</definedName>
    <definedName name="Conventions" localSheetId="11">BasisSwap3M6M!$AF$5:$AH$9</definedName>
    <definedName name="Conventions" localSheetId="12">BasisSwapxM12M!$AF$5:$AH$9</definedName>
    <definedName name="Conventions" localSheetId="8">Swap3M!$AF$5:$AH$9</definedName>
    <definedName name="Conventions" localSheetId="15">Swap3M_Mx!$V$3:$X$7</definedName>
    <definedName name="Currency">'General Settings'!$I$26</definedName>
    <definedName name="Discounting">'General Settings'!$I$27</definedName>
    <definedName name="EvaluationDate">'General Settings'!$D$6</definedName>
    <definedName name="FamilyName" localSheetId="1">Libor!$E$3</definedName>
    <definedName name="FamilyName">'General Settings'!$I$28</definedName>
    <definedName name="FamilyName2" localSheetId="13">LiborSwapForBasisCalc!$F$3</definedName>
    <definedName name="FileName" localSheetId="13">LiborSwapForBasisCalc!$E$8</definedName>
    <definedName name="FileOverwrite">'General Settings'!$I$17</definedName>
    <definedName name="FixingType" localSheetId="13">LiborSwapForBasisCalc!$F$4</definedName>
    <definedName name="FixingType">'General Settings'!$I$30</definedName>
    <definedName name="FuturesCodes" localSheetId="2">Futures3M!$M$6:$M$47</definedName>
    <definedName name="FuturesDates" localSheetId="2">Futures3M!$N$6:$N$47</definedName>
    <definedName name="HolidayCheck">'General Settings'!$I$35</definedName>
    <definedName name="IborIndex" localSheetId="2">Futures3M!$AM$4</definedName>
    <definedName name="Instruments" localSheetId="10">BasisSwap1MxM!$R$5:$R$42</definedName>
    <definedName name="Instruments" localSheetId="12">BasisSwapxM12M!$R$5:$R$42</definedName>
    <definedName name="Instruments" localSheetId="5">FRA!$K$5:$K$31</definedName>
    <definedName name="Instruments" localSheetId="6">OIS!$N$5:$N$58</definedName>
    <definedName name="Instruments" localSheetId="7">Swap1M!$N$5:$N$18</definedName>
    <definedName name="Instruments" localSheetId="8">Swap3M!$R$5:$R$42</definedName>
    <definedName name="Instruments" localSheetId="15">Swap3M_Mx!$K$3:$K$40</definedName>
    <definedName name="Instruments" localSheetId="9">SwapIMM!$L$5:$L$11</definedName>
    <definedName name="InterpolationType">'General Settings'!$I$19</definedName>
    <definedName name="LastFixingsTrigger">'General Settings'!$D$8</definedName>
    <definedName name="LastUpdate">'General Settings'!$I$8</definedName>
    <definedName name="LiffeCodes" localSheetId="2">Futures3M!$AC$6:$AD$10</definedName>
    <definedName name="LiveDataFeed">'General Settings'!$I$7</definedName>
    <definedName name="LocalCalendar">'General Settings'!$I$32</definedName>
    <definedName name="MeanReversion" localSheetId="2">Futures3M!$AM$3</definedName>
    <definedName name="MoneyMarketDayCounter">'General Settings'!$I$29</definedName>
    <definedName name="ObjectOverwrite">'General Settings'!$I$14</definedName>
    <definedName name="OverNightIndexCalendar">'General Settings'!$I$36</definedName>
    <definedName name="Permanent">'General Settings'!$I$13</definedName>
    <definedName name="PriceTickValue">'General Settings'!$I$21</definedName>
    <definedName name="Quote" localSheetId="10">BasisSwap1MxM!$AB$5:$AB$42</definedName>
    <definedName name="Quote" localSheetId="11">BasisSwap3M6M!$AB$5:$AB$42</definedName>
    <definedName name="Quote" localSheetId="12">BasisSwapxM12M!$AB$5:$AB$42</definedName>
    <definedName name="Quote" localSheetId="4">Deposits!$M$5:$M$13</definedName>
    <definedName name="Quote" localSheetId="5">FRA!$U$5:$U$31</definedName>
    <definedName name="Quote" localSheetId="2">Futures3M!$Y$6:$Y$47</definedName>
    <definedName name="Quote" localSheetId="3">FuturesHWConvAdj!$P$5:$P$6</definedName>
    <definedName name="Quote" localSheetId="14">MxQuotes!$Q$4:$Q$22</definedName>
    <definedName name="Quote" localSheetId="6">OIS!$X$5:$X$58</definedName>
    <definedName name="Quote" localSheetId="7">Swap1M!$X$5:$X$18</definedName>
    <definedName name="Quote" localSheetId="8">Swap3M!$AB$5:$AB$42</definedName>
    <definedName name="Quote" localSheetId="15">Swap3M_Mx!$R$3:$R$40</definedName>
    <definedName name="Quote">MxQuotes!$Q$4:$Q$21</definedName>
    <definedName name="QuoteLive" localSheetId="10">BasisSwap1MxM!$X$5:$X$42</definedName>
    <definedName name="QuoteLive" localSheetId="11">BasisSwap3M6M!$X$5:$X$42</definedName>
    <definedName name="QuoteLive" localSheetId="12">BasisSwapxM12M!$X$5:$X$42</definedName>
    <definedName name="QuoteLive" localSheetId="4">Deposits!$I$5:$I$13</definedName>
    <definedName name="QuoteLive" localSheetId="5">FRA!$Q$5:$Q$31</definedName>
    <definedName name="QuoteLive" localSheetId="2">Futures3M!$U$6:$U$47</definedName>
    <definedName name="QuoteLive" localSheetId="3">FuturesHWConvAdj!$L$5:$L$6</definedName>
    <definedName name="QuoteLive" localSheetId="14">MxQuotes!$M$4:$M$22</definedName>
    <definedName name="QuoteLive" localSheetId="6">OIS!$T$5:$T$58</definedName>
    <definedName name="QuoteLive" localSheetId="7">Swap1M!$T$5:$T$18</definedName>
    <definedName name="QuoteLive" localSheetId="8">Swap3M!$X$5:$X$42</definedName>
    <definedName name="QuoteLive" localSheetId="15">Swap3M_Mx!$N$3:$N$40</definedName>
    <definedName name="QuoteLive" localSheetId="9">SwapIMM!$R$5:$R$11</definedName>
    <definedName name="QuoteStatic" localSheetId="10">BasisSwap1MxM!$Z$5:$Z$42</definedName>
    <definedName name="QuoteStatic" localSheetId="11">BasisSwap3M6M!$Z$5:$Z$42</definedName>
    <definedName name="QuoteStatic" localSheetId="12">BasisSwapxM12M!$Z$5:$Z$42</definedName>
    <definedName name="QuoteStatic" localSheetId="4">Deposits!$K$5:$K$13</definedName>
    <definedName name="QuoteStatic" localSheetId="5">FRA!$S$5:$S$31</definedName>
    <definedName name="QuoteStatic" localSheetId="2">Futures3M!$W$6:$W$47</definedName>
    <definedName name="QuoteStatic" localSheetId="3">FuturesHWConvAdj!$N$5:$N$6</definedName>
    <definedName name="QuoteStatic" localSheetId="14">MxQuotes!$O$4:$O$22</definedName>
    <definedName name="QuoteStatic" localSheetId="6">OIS!$V$5:$V$58</definedName>
    <definedName name="QuoteStatic" localSheetId="7">Swap1M!$V$5:$V$18</definedName>
    <definedName name="QuoteStatic" localSheetId="8">Swap3M!$Z$5:$Z$42</definedName>
    <definedName name="QuoteStatic" localSheetId="15">Swap3M_Mx!$P$3:$P$40</definedName>
    <definedName name="QuoteStatic" localSheetId="9">SwapIMM!$T$5:$T$11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Settings'!$D$13</definedName>
    <definedName name="SerializationPath">'General Settings'!$I$16</definedName>
    <definedName name="Serialize">'General Settings'!$I$15</definedName>
    <definedName name="Swap3M4Y" localSheetId="15">Swap3M_Mx!$R$10</definedName>
    <definedName name="Swap3M4Y">Swap3M!$AB$12</definedName>
    <definedName name="SwapMainSetConventions">Swap3M!$J$6:$L$10</definedName>
    <definedName name="Trigger">'General Settings'!$D$5</definedName>
    <definedName name="TriggerCounter">'General Settings'!$D$7</definedName>
    <definedName name="Volatility" localSheetId="2">Futures3M!$AM$2</definedName>
  </definedNames>
  <calcPr calcId="145621"/>
</workbook>
</file>

<file path=xl/calcChain.xml><?xml version="1.0" encoding="utf-8"?>
<calcChain xmlns="http://schemas.openxmlformats.org/spreadsheetml/2006/main">
  <c r="R6" i="13" l="1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5" i="13"/>
  <c r="S2" i="13"/>
  <c r="S2" i="12"/>
  <c r="S2" i="11"/>
  <c r="M2" i="24"/>
  <c r="S2" i="25"/>
  <c r="O2" i="23"/>
  <c r="O2" i="22"/>
  <c r="H2" i="15"/>
  <c r="L2" i="16"/>
  <c r="I6" i="56"/>
  <c r="R3" i="65" l="1" a="1"/>
  <c r="Q4" i="64" a="1"/>
  <c r="AB5" i="13" a="1"/>
  <c r="AB9" i="13" s="1"/>
  <c r="AB5" i="13"/>
  <c r="AB6" i="13"/>
  <c r="AB7" i="13"/>
  <c r="AB8" i="13"/>
  <c r="AB12" i="13"/>
  <c r="AB13" i="13"/>
  <c r="AB14" i="13"/>
  <c r="AB15" i="13"/>
  <c r="AB16" i="13"/>
  <c r="AB20" i="13"/>
  <c r="AB21" i="13"/>
  <c r="AB22" i="13"/>
  <c r="AB23" i="13"/>
  <c r="AB24" i="13"/>
  <c r="AB28" i="13"/>
  <c r="AB29" i="13"/>
  <c r="AB30" i="13"/>
  <c r="AB31" i="13"/>
  <c r="AB32" i="13"/>
  <c r="AB36" i="13"/>
  <c r="AB37" i="13"/>
  <c r="AB38" i="13"/>
  <c r="AB39" i="13"/>
  <c r="AB40" i="13"/>
  <c r="AB5" i="12" a="1"/>
  <c r="AB5" i="11" a="1"/>
  <c r="AB5" i="25" a="1"/>
  <c r="X5" i="23" a="1"/>
  <c r="X5" i="22" a="1"/>
  <c r="Y6" i="18" a="1"/>
  <c r="U5" i="16" a="1"/>
  <c r="M5" i="15" a="1"/>
  <c r="M5" i="15" l="1"/>
  <c r="M6" i="15"/>
  <c r="M7" i="15"/>
  <c r="AB35" i="13"/>
  <c r="AB27" i="13"/>
  <c r="AB19" i="13"/>
  <c r="AB11" i="13"/>
  <c r="AB42" i="13"/>
  <c r="AB34" i="13"/>
  <c r="AB26" i="13"/>
  <c r="AB18" i="13"/>
  <c r="AB10" i="13"/>
  <c r="AB41" i="13"/>
  <c r="AB33" i="13"/>
  <c r="AB25" i="13"/>
  <c r="AB17" i="13"/>
  <c r="I9" i="15"/>
  <c r="M9" i="15" s="1"/>
  <c r="I10" i="15"/>
  <c r="M10" i="15" s="1"/>
  <c r="I11" i="15"/>
  <c r="M11" i="15" s="1"/>
  <c r="I12" i="15"/>
  <c r="M12" i="15" s="1"/>
  <c r="I13" i="15"/>
  <c r="M13" i="15" s="1"/>
  <c r="I8" i="15"/>
  <c r="M8" i="15" s="1"/>
  <c r="D16" i="56"/>
  <c r="D6" i="24" l="1"/>
  <c r="D7" i="24"/>
  <c r="D8" i="24"/>
  <c r="D9" i="24"/>
  <c r="D10" i="24"/>
  <c r="D11" i="24"/>
  <c r="D5" i="24"/>
  <c r="L6" i="24"/>
  <c r="L7" i="24"/>
  <c r="L8" i="24"/>
  <c r="L9" i="24"/>
  <c r="L10" i="24"/>
  <c r="L11" i="24"/>
  <c r="L5" i="24"/>
  <c r="R8" i="24"/>
  <c r="R5" i="24"/>
  <c r="R9" i="24"/>
  <c r="R6" i="24"/>
  <c r="R11" i="24"/>
  <c r="R10" i="24"/>
  <c r="R7" i="24"/>
  <c r="E6" i="24"/>
  <c r="E8" i="24"/>
  <c r="E9" i="24"/>
  <c r="E7" i="24"/>
  <c r="E10" i="24"/>
  <c r="E11" i="24"/>
  <c r="F19" i="6"/>
  <c r="E5" i="24"/>
  <c r="H5" i="20" l="1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5" i="13"/>
  <c r="C22" i="64" l="1"/>
  <c r="M19" i="64"/>
  <c r="Q19" i="64" s="1"/>
  <c r="M20" i="64"/>
  <c r="Q20" i="64" s="1"/>
  <c r="M21" i="64"/>
  <c r="Q21" i="64" s="1"/>
  <c r="M22" i="64"/>
  <c r="Q22" i="64" s="1"/>
  <c r="D22" i="64"/>
  <c r="R22" i="64"/>
  <c r="N4" i="65" l="1"/>
  <c r="R4" i="65" s="1"/>
  <c r="N5" i="65"/>
  <c r="R5" i="65" s="1"/>
  <c r="N6" i="65"/>
  <c r="R6" i="65" s="1"/>
  <c r="N7" i="65"/>
  <c r="R7" i="65" s="1"/>
  <c r="N8" i="65"/>
  <c r="R8" i="65" s="1"/>
  <c r="N9" i="65"/>
  <c r="R9" i="65" s="1"/>
  <c r="N10" i="65"/>
  <c r="R10" i="65" s="1"/>
  <c r="N11" i="65"/>
  <c r="R11" i="65" s="1"/>
  <c r="N12" i="65"/>
  <c r="R12" i="65" s="1"/>
  <c r="N13" i="65"/>
  <c r="R13" i="65" s="1"/>
  <c r="N14" i="65"/>
  <c r="R14" i="65" s="1"/>
  <c r="N15" i="65"/>
  <c r="R15" i="65" s="1"/>
  <c r="N16" i="65"/>
  <c r="R16" i="65" s="1"/>
  <c r="N17" i="65"/>
  <c r="R17" i="65" s="1"/>
  <c r="N18" i="65"/>
  <c r="R18" i="65" s="1"/>
  <c r="N19" i="65"/>
  <c r="R19" i="65" s="1"/>
  <c r="N20" i="65"/>
  <c r="R20" i="65" s="1"/>
  <c r="N21" i="65"/>
  <c r="R21" i="65" s="1"/>
  <c r="N22" i="65"/>
  <c r="R22" i="65" s="1"/>
  <c r="N23" i="65"/>
  <c r="R23" i="65" s="1"/>
  <c r="N24" i="65"/>
  <c r="R24" i="65" s="1"/>
  <c r="N25" i="65"/>
  <c r="R25" i="65" s="1"/>
  <c r="N26" i="65"/>
  <c r="R26" i="65" s="1"/>
  <c r="N27" i="65"/>
  <c r="R27" i="65" s="1"/>
  <c r="N28" i="65"/>
  <c r="R28" i="65" s="1"/>
  <c r="N29" i="65"/>
  <c r="R29" i="65" s="1"/>
  <c r="N30" i="65"/>
  <c r="R30" i="65" s="1"/>
  <c r="N31" i="65"/>
  <c r="R31" i="65" s="1"/>
  <c r="N32" i="65"/>
  <c r="R32" i="65" s="1"/>
  <c r="N33" i="65"/>
  <c r="R33" i="65" s="1"/>
  <c r="N34" i="65"/>
  <c r="R34" i="65" s="1"/>
  <c r="N35" i="65"/>
  <c r="R35" i="65" s="1"/>
  <c r="N36" i="65"/>
  <c r="R36" i="65" s="1"/>
  <c r="N37" i="65"/>
  <c r="R37" i="65" s="1"/>
  <c r="N38" i="65"/>
  <c r="R38" i="65" s="1"/>
  <c r="N39" i="65"/>
  <c r="R39" i="65" s="1"/>
  <c r="N40" i="65"/>
  <c r="R40" i="65" s="1"/>
  <c r="N3" i="65"/>
  <c r="R3" i="65" s="1"/>
  <c r="K4" i="65"/>
  <c r="K5" i="65"/>
  <c r="K6" i="65"/>
  <c r="K7" i="65"/>
  <c r="K8" i="65"/>
  <c r="K9" i="65"/>
  <c r="K10" i="65"/>
  <c r="K11" i="65"/>
  <c r="K12" i="65"/>
  <c r="K13" i="65"/>
  <c r="K14" i="65"/>
  <c r="K15" i="65"/>
  <c r="K16" i="65"/>
  <c r="K17" i="65"/>
  <c r="K18" i="65"/>
  <c r="K19" i="65"/>
  <c r="K20" i="65"/>
  <c r="K21" i="65"/>
  <c r="K22" i="65"/>
  <c r="K23" i="65"/>
  <c r="K24" i="65"/>
  <c r="K25" i="65"/>
  <c r="K26" i="65"/>
  <c r="K27" i="65"/>
  <c r="K28" i="65"/>
  <c r="K29" i="65"/>
  <c r="K30" i="65"/>
  <c r="K31" i="65"/>
  <c r="K32" i="65"/>
  <c r="K33" i="65"/>
  <c r="K34" i="65"/>
  <c r="K35" i="65"/>
  <c r="K36" i="65"/>
  <c r="K37" i="65"/>
  <c r="K38" i="65"/>
  <c r="K39" i="65"/>
  <c r="K40" i="65"/>
  <c r="K3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E3" i="65"/>
  <c r="D33" i="65"/>
  <c r="D18" i="65"/>
  <c r="D23" i="65"/>
  <c r="D13" i="65"/>
  <c r="D4" i="65"/>
  <c r="D21" i="65"/>
  <c r="D15" i="65"/>
  <c r="D6" i="65"/>
  <c r="D26" i="65"/>
  <c r="D14" i="65"/>
  <c r="D28" i="65"/>
  <c r="D24" i="65"/>
  <c r="D5" i="65"/>
  <c r="D25" i="65"/>
  <c r="D10" i="65"/>
  <c r="D17" i="65"/>
  <c r="D35" i="65"/>
  <c r="D31" i="65"/>
  <c r="D27" i="65"/>
  <c r="D39" i="65"/>
  <c r="D22" i="65"/>
  <c r="E22" i="64"/>
  <c r="D37" i="65"/>
  <c r="D16" i="65"/>
  <c r="D34" i="65"/>
  <c r="D11" i="65"/>
  <c r="D38" i="65"/>
  <c r="D36" i="65"/>
  <c r="D20" i="65"/>
  <c r="D7" i="65"/>
  <c r="D9" i="65"/>
  <c r="D19" i="65"/>
  <c r="D8" i="65"/>
  <c r="D40" i="65"/>
  <c r="E40" i="65" s="1"/>
  <c r="D30" i="65"/>
  <c r="D29" i="65"/>
  <c r="D12" i="65"/>
  <c r="D32" i="65"/>
  <c r="S20" i="65"/>
  <c r="S38" i="65"/>
  <c r="S8" i="65"/>
  <c r="S26" i="65"/>
  <c r="S15" i="65"/>
  <c r="S29" i="65"/>
  <c r="S40" i="65"/>
  <c r="S17" i="65"/>
  <c r="S31" i="65"/>
  <c r="S14" i="65"/>
  <c r="S3" i="65"/>
  <c r="S34" i="65"/>
  <c r="S32" i="65"/>
  <c r="S7" i="65"/>
  <c r="S30" i="65"/>
  <c r="S36" i="65"/>
  <c r="S35" i="65"/>
  <c r="S16" i="65"/>
  <c r="S9" i="65"/>
  <c r="S4" i="65"/>
  <c r="S25" i="65"/>
  <c r="S24" i="65"/>
  <c r="S33" i="65"/>
  <c r="S10" i="65"/>
  <c r="S11" i="65"/>
  <c r="S28" i="65"/>
  <c r="S19" i="65"/>
  <c r="S27" i="65"/>
  <c r="S39" i="65"/>
  <c r="S5" i="65"/>
  <c r="S6" i="65"/>
  <c r="S13" i="65"/>
  <c r="S21" i="65"/>
  <c r="S18" i="65"/>
  <c r="S22" i="65"/>
  <c r="S23" i="65"/>
  <c r="S12" i="65"/>
  <c r="S37" i="65"/>
  <c r="K2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35" i="65"/>
  <c r="E38" i="65"/>
  <c r="E18" i="65"/>
  <c r="E24" i="65"/>
  <c r="E23" i="65"/>
  <c r="E36" i="65"/>
  <c r="E33" i="65"/>
  <c r="E20" i="65"/>
  <c r="E17" i="65"/>
  <c r="E30" i="65"/>
  <c r="E34" i="65"/>
  <c r="E25" i="65"/>
  <c r="E29" i="65"/>
  <c r="E14" i="65"/>
  <c r="E32" i="65"/>
  <c r="E31" i="65"/>
  <c r="E15" i="65"/>
  <c r="E37" i="65"/>
  <c r="E8" i="65"/>
  <c r="E21" i="65"/>
  <c r="E6" i="65"/>
  <c r="E5" i="65"/>
  <c r="E22" i="65"/>
  <c r="E9" i="65"/>
  <c r="E13" i="65"/>
  <c r="E39" i="65"/>
  <c r="E7" i="65"/>
  <c r="E11" i="65"/>
  <c r="E27" i="65"/>
  <c r="E19" i="65"/>
  <c r="E16" i="65"/>
  <c r="E4" i="65"/>
  <c r="E28" i="65"/>
  <c r="E26" i="65"/>
  <c r="E10" i="65"/>
  <c r="E12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3" i="64"/>
  <c r="C3" i="64"/>
  <c r="D9" i="64"/>
  <c r="D20" i="64"/>
  <c r="D14" i="64"/>
  <c r="D6" i="64"/>
  <c r="D7" i="64"/>
  <c r="D18" i="64"/>
  <c r="D4" i="64"/>
  <c r="E7" i="64"/>
  <c r="D11" i="64"/>
  <c r="D12" i="64"/>
  <c r="D5" i="64"/>
  <c r="E3" i="64"/>
  <c r="D16" i="64"/>
  <c r="D13" i="64"/>
  <c r="D15" i="64"/>
  <c r="D10" i="64"/>
  <c r="D19" i="64"/>
  <c r="D17" i="64"/>
  <c r="D8" i="64"/>
  <c r="D21" i="64"/>
  <c r="R21" i="64"/>
  <c r="R5" i="64"/>
  <c r="R18" i="64"/>
  <c r="R17" i="64"/>
  <c r="R19" i="64"/>
  <c r="R13" i="64"/>
  <c r="R10" i="64"/>
  <c r="R16" i="64"/>
  <c r="R7" i="64"/>
  <c r="R9" i="64"/>
  <c r="R15" i="64"/>
  <c r="R8" i="64"/>
  <c r="R20" i="64"/>
  <c r="R14" i="64"/>
  <c r="R6" i="64"/>
  <c r="R12" i="64"/>
  <c r="R4" i="64"/>
  <c r="R11" i="64"/>
  <c r="I20" i="16" l="1"/>
  <c r="I21" i="16"/>
  <c r="I22" i="16"/>
  <c r="I23" i="16"/>
  <c r="H23" i="16" s="1"/>
  <c r="I24" i="16"/>
  <c r="H24" i="16" s="1"/>
  <c r="K24" i="16" s="1"/>
  <c r="I25" i="16"/>
  <c r="K25" i="16" s="1"/>
  <c r="I26" i="16"/>
  <c r="H26" i="16" s="1"/>
  <c r="I27" i="16"/>
  <c r="H27" i="16" s="1"/>
  <c r="I28" i="16"/>
  <c r="H28" i="16" s="1"/>
  <c r="I29" i="16"/>
  <c r="I30" i="16"/>
  <c r="H30" i="16" s="1"/>
  <c r="H21" i="16"/>
  <c r="H25" i="16"/>
  <c r="D27" i="16"/>
  <c r="C21" i="16"/>
  <c r="D21" i="16" s="1"/>
  <c r="C22" i="16"/>
  <c r="D22" i="16" s="1"/>
  <c r="C23" i="16"/>
  <c r="D23" i="16" s="1"/>
  <c r="C24" i="16"/>
  <c r="D24" i="16" s="1"/>
  <c r="C25" i="16"/>
  <c r="D25" i="16" s="1"/>
  <c r="C26" i="16"/>
  <c r="D26" i="16" s="1"/>
  <c r="C27" i="16"/>
  <c r="C28" i="16"/>
  <c r="D28" i="16" s="1"/>
  <c r="C29" i="16"/>
  <c r="D29" i="16" s="1"/>
  <c r="C30" i="16"/>
  <c r="D30" i="16" s="1"/>
  <c r="C31" i="16"/>
  <c r="C20" i="16"/>
  <c r="D20" i="16" s="1"/>
  <c r="Q26" i="16"/>
  <c r="Q28" i="16"/>
  <c r="Q23" i="16"/>
  <c r="Q29" i="16"/>
  <c r="Q22" i="16"/>
  <c r="Q20" i="16"/>
  <c r="Q30" i="16"/>
  <c r="Q24" i="16"/>
  <c r="Q27" i="16"/>
  <c r="Q21" i="16"/>
  <c r="Q25" i="16"/>
  <c r="E5" i="64"/>
  <c r="U28" i="18"/>
  <c r="E11" i="64"/>
  <c r="E21" i="64"/>
  <c r="U11" i="18"/>
  <c r="E26" i="16"/>
  <c r="E24" i="16"/>
  <c r="E23" i="16"/>
  <c r="U47" i="18"/>
  <c r="E17" i="64"/>
  <c r="E21" i="16"/>
  <c r="U18" i="18"/>
  <c r="E18" i="64"/>
  <c r="U34" i="18"/>
  <c r="U43" i="18"/>
  <c r="E20" i="64"/>
  <c r="U39" i="18"/>
  <c r="U13" i="18"/>
  <c r="E19" i="64"/>
  <c r="U6" i="18"/>
  <c r="E15" i="64"/>
  <c r="U33" i="18"/>
  <c r="U35" i="18"/>
  <c r="U45" i="18"/>
  <c r="E29" i="16"/>
  <c r="U20" i="18"/>
  <c r="E22" i="16"/>
  <c r="E25" i="16"/>
  <c r="U9" i="18"/>
  <c r="U31" i="18"/>
  <c r="U25" i="18"/>
  <c r="U42" i="18"/>
  <c r="E4" i="64"/>
  <c r="E28" i="16"/>
  <c r="U44" i="18"/>
  <c r="U40" i="18"/>
  <c r="U46" i="18"/>
  <c r="U24" i="18"/>
  <c r="U21" i="18"/>
  <c r="E27" i="16"/>
  <c r="U14" i="18"/>
  <c r="E6" i="64"/>
  <c r="U16" i="18"/>
  <c r="E20" i="16"/>
  <c r="E14" i="64"/>
  <c r="E30" i="16"/>
  <c r="U41" i="18"/>
  <c r="U22" i="18"/>
  <c r="E10" i="64"/>
  <c r="E9" i="64"/>
  <c r="U7" i="18"/>
  <c r="E16" i="64"/>
  <c r="U15" i="18"/>
  <c r="U27" i="18"/>
  <c r="U19" i="18"/>
  <c r="U29" i="18"/>
  <c r="U36" i="18"/>
  <c r="U32" i="18"/>
  <c r="U12" i="18"/>
  <c r="E13" i="64"/>
  <c r="U30" i="18"/>
  <c r="U17" i="18"/>
  <c r="U10" i="18"/>
  <c r="U38" i="18"/>
  <c r="U23" i="18"/>
  <c r="E8" i="64"/>
  <c r="U26" i="18"/>
  <c r="U37" i="18"/>
  <c r="I35" i="56"/>
  <c r="E12" i="64"/>
  <c r="U8" i="18"/>
  <c r="U25" i="16" l="1"/>
  <c r="U21" i="16"/>
  <c r="U27" i="16"/>
  <c r="U24" i="16"/>
  <c r="U30" i="16"/>
  <c r="U20" i="16"/>
  <c r="U22" i="16"/>
  <c r="U29" i="16"/>
  <c r="U23" i="16"/>
  <c r="U28" i="16"/>
  <c r="U26" i="16"/>
  <c r="Y8" i="18"/>
  <c r="Y37" i="18"/>
  <c r="Y26" i="18"/>
  <c r="Y23" i="18"/>
  <c r="Y38" i="18"/>
  <c r="Y10" i="18"/>
  <c r="Y17" i="18"/>
  <c r="Y30" i="18"/>
  <c r="Y12" i="18"/>
  <c r="Y32" i="18"/>
  <c r="Y36" i="18"/>
  <c r="Y29" i="18"/>
  <c r="Y19" i="18"/>
  <c r="Y27" i="18"/>
  <c r="Y15" i="18"/>
  <c r="Y7" i="18"/>
  <c r="Y22" i="18"/>
  <c r="Y41" i="18"/>
  <c r="Y16" i="18"/>
  <c r="Y14" i="18"/>
  <c r="Y21" i="18"/>
  <c r="Y24" i="18"/>
  <c r="Y46" i="18"/>
  <c r="Y40" i="18"/>
  <c r="Y44" i="18"/>
  <c r="Y42" i="18"/>
  <c r="Y25" i="18"/>
  <c r="Y31" i="18"/>
  <c r="Y9" i="18"/>
  <c r="Y20" i="18"/>
  <c r="Y45" i="18"/>
  <c r="Y35" i="18"/>
  <c r="Y33" i="18"/>
  <c r="Y6" i="18"/>
  <c r="Y13" i="18"/>
  <c r="Y39" i="18"/>
  <c r="Y43" i="18"/>
  <c r="Y34" i="18"/>
  <c r="Y18" i="18"/>
  <c r="Y47" i="18"/>
  <c r="Y11" i="18"/>
  <c r="Y28" i="18"/>
  <c r="K21" i="16"/>
  <c r="K27" i="16"/>
  <c r="H29" i="16"/>
  <c r="K29" i="16" s="1"/>
  <c r="K26" i="16"/>
  <c r="H20" i="16"/>
  <c r="K20" i="16" s="1"/>
  <c r="H22" i="16"/>
  <c r="K22" i="16" s="1"/>
  <c r="K28" i="16"/>
  <c r="K23" i="16"/>
  <c r="K30" i="16"/>
  <c r="F6" i="63"/>
  <c r="I31" i="16"/>
  <c r="H31" i="16" s="1"/>
  <c r="I19" i="16"/>
  <c r="H19" i="16" s="1"/>
  <c r="I18" i="16"/>
  <c r="H18" i="16" s="1"/>
  <c r="I17" i="16"/>
  <c r="I16" i="16"/>
  <c r="H16" i="16" s="1"/>
  <c r="I15" i="16"/>
  <c r="H15" i="16" s="1"/>
  <c r="I14" i="16"/>
  <c r="H14" i="16" s="1"/>
  <c r="I13" i="16"/>
  <c r="H13" i="16" s="1"/>
  <c r="I12" i="16"/>
  <c r="H12" i="16" s="1"/>
  <c r="I10" i="16"/>
  <c r="H10" i="16" s="1"/>
  <c r="I9" i="16"/>
  <c r="H9" i="16" s="1"/>
  <c r="I8" i="16"/>
  <c r="H8" i="16" s="1"/>
  <c r="I7" i="16"/>
  <c r="H7" i="16" s="1"/>
  <c r="I6" i="16"/>
  <c r="H6" i="16" s="1"/>
  <c r="I5" i="16"/>
  <c r="H5" i="16" s="1"/>
  <c r="I11" i="16"/>
  <c r="H11" i="16" s="1"/>
  <c r="C17" i="16"/>
  <c r="D17" i="16" s="1"/>
  <c r="Q15" i="16"/>
  <c r="Q18" i="16"/>
  <c r="Q16" i="16"/>
  <c r="Q17" i="16"/>
  <c r="Q14" i="16"/>
  <c r="F27" i="16"/>
  <c r="F24" i="16"/>
  <c r="F20" i="16"/>
  <c r="E17" i="16"/>
  <c r="F23" i="16"/>
  <c r="F30" i="16"/>
  <c r="F28" i="16"/>
  <c r="F29" i="16"/>
  <c r="F26" i="16"/>
  <c r="F22" i="16"/>
  <c r="F25" i="16"/>
  <c r="F21" i="16"/>
  <c r="U14" i="16" l="1"/>
  <c r="U17" i="16"/>
  <c r="U16" i="16"/>
  <c r="U18" i="16"/>
  <c r="U15" i="16"/>
  <c r="H17" i="16"/>
  <c r="K17" i="16" s="1"/>
  <c r="F5" i="63"/>
  <c r="F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H8" i="15" s="1"/>
  <c r="K8" i="6"/>
  <c r="H9" i="15" s="1"/>
  <c r="K9" i="6"/>
  <c r="H10" i="15" s="1"/>
  <c r="K10" i="6"/>
  <c r="H11" i="15" s="1"/>
  <c r="K11" i="6"/>
  <c r="H12" i="15" s="1"/>
  <c r="K12" i="6"/>
  <c r="H13" i="15" s="1"/>
  <c r="K6" i="6"/>
  <c r="E4" i="6"/>
  <c r="I13" i="6"/>
  <c r="G7" i="6"/>
  <c r="H13" i="6"/>
  <c r="G9" i="6"/>
  <c r="D11" i="6"/>
  <c r="D6" i="6"/>
  <c r="E7" i="6"/>
  <c r="D12" i="6"/>
  <c r="E9" i="6"/>
  <c r="D10" i="6"/>
  <c r="D13" i="6"/>
  <c r="D8" i="6"/>
  <c r="K17" i="6"/>
  <c r="K22" i="6"/>
  <c r="N22" i="6"/>
  <c r="N17" i="6"/>
  <c r="I27" i="56" l="1"/>
  <c r="G6" i="6"/>
  <c r="H9" i="6"/>
  <c r="E11" i="6"/>
  <c r="F9" i="6"/>
  <c r="G11" i="6"/>
  <c r="F11" i="6"/>
  <c r="G12" i="6"/>
  <c r="G13" i="6"/>
  <c r="E6" i="6"/>
  <c r="H6" i="6" s="1"/>
  <c r="F6" i="6"/>
  <c r="E10" i="6"/>
  <c r="F30" i="63"/>
  <c r="F7" i="6"/>
  <c r="F58" i="63"/>
  <c r="F17" i="63"/>
  <c r="O17" i="6"/>
  <c r="G8" i="6"/>
  <c r="E12" i="6"/>
  <c r="H12" i="6" s="1"/>
  <c r="F47" i="63"/>
  <c r="F32" i="63"/>
  <c r="G32" i="63" s="1"/>
  <c r="F20" i="63"/>
  <c r="F43" i="63"/>
  <c r="F12" i="63"/>
  <c r="G12" i="63"/>
  <c r="G20" i="63"/>
  <c r="G10" i="6"/>
  <c r="F46" i="63"/>
  <c r="F60" i="63"/>
  <c r="G60" i="63" s="1"/>
  <c r="G30" i="63"/>
  <c r="F36" i="63"/>
  <c r="G36" i="63" s="1"/>
  <c r="F25" i="63"/>
  <c r="G25" i="63" s="1"/>
  <c r="F50" i="63"/>
  <c r="F24" i="63"/>
  <c r="F44" i="63"/>
  <c r="F12" i="6"/>
  <c r="F62" i="63"/>
  <c r="F31" i="63"/>
  <c r="G31" i="63" s="1"/>
  <c r="E8" i="6"/>
  <c r="H7" i="6"/>
  <c r="O22" i="6"/>
  <c r="F52" i="63"/>
  <c r="G52" i="63" s="1"/>
  <c r="F23" i="63"/>
  <c r="G23" i="63" s="1"/>
  <c r="F68" i="63"/>
  <c r="G68" i="63" s="1"/>
  <c r="F39" i="63"/>
  <c r="G39" i="63" s="1"/>
  <c r="F38" i="63"/>
  <c r="G38" i="63" s="1"/>
  <c r="F42" i="63"/>
  <c r="F54" i="63"/>
  <c r="G44" i="63"/>
  <c r="F63" i="63"/>
  <c r="G24" i="63"/>
  <c r="G17" i="63"/>
  <c r="F49" i="63"/>
  <c r="F15" i="63"/>
  <c r="G15" i="63" s="1"/>
  <c r="F9" i="63"/>
  <c r="G9" i="63" s="1"/>
  <c r="H11" i="6"/>
  <c r="F66" i="63"/>
  <c r="F57" i="63"/>
  <c r="F26" i="63"/>
  <c r="G26" i="63" s="1"/>
  <c r="F51" i="63"/>
  <c r="L22" i="6"/>
  <c r="F45" i="63"/>
  <c r="F19" i="63"/>
  <c r="G19" i="63" s="1"/>
  <c r="F41" i="63"/>
  <c r="F14" i="63"/>
  <c r="G14" i="63" s="1"/>
  <c r="F65" i="63"/>
  <c r="F59" i="63"/>
  <c r="F67" i="63"/>
  <c r="F33" i="63"/>
  <c r="F21" i="63"/>
  <c r="G21" i="63" s="1"/>
  <c r="F53" i="63"/>
  <c r="F11" i="63"/>
  <c r="G11" i="63" s="1"/>
  <c r="F10" i="63"/>
  <c r="G10" i="63" s="1"/>
  <c r="F64" i="63"/>
  <c r="G64" i="63" s="1"/>
  <c r="F22" i="63"/>
  <c r="G22" i="63" s="1"/>
  <c r="F35" i="63"/>
  <c r="G35" i="63" s="1"/>
  <c r="F37" i="63"/>
  <c r="F61" i="63"/>
  <c r="F40" i="63"/>
  <c r="G40" i="63" s="1"/>
  <c r="F56" i="63"/>
  <c r="G56" i="63" s="1"/>
  <c r="F34" i="63"/>
  <c r="G34" i="63" s="1"/>
  <c r="F18" i="63"/>
  <c r="G18" i="63" s="1"/>
  <c r="F55" i="63"/>
  <c r="F29" i="63"/>
  <c r="G29" i="63" s="1"/>
  <c r="F13" i="63"/>
  <c r="G13" i="63" s="1"/>
  <c r="F16" i="63"/>
  <c r="G16" i="63" s="1"/>
  <c r="F27" i="63"/>
  <c r="G27" i="63" s="1"/>
  <c r="F28" i="63"/>
  <c r="G28" i="63" s="1"/>
  <c r="F48" i="63"/>
  <c r="G48" i="63" s="1"/>
  <c r="H8" i="6"/>
  <c r="L17" i="6"/>
  <c r="F8" i="6"/>
  <c r="AL5" i="18" l="1"/>
  <c r="G43" i="63"/>
  <c r="G33" i="63"/>
  <c r="AK6" i="18" a="1"/>
  <c r="G42" i="63"/>
  <c r="AK6" i="18" l="1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 s="1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58" i="63"/>
  <c r="G49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7" i="63"/>
  <c r="G57" i="63"/>
  <c r="G66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P5" i="25" l="1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 s="1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4" i="20"/>
  <c r="N6" i="18" a="1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K5" i="16" l="1"/>
  <c r="K6" i="16"/>
  <c r="Q5" i="16"/>
  <c r="Q6" i="16"/>
  <c r="U6" i="16" l="1"/>
  <c r="U5" i="16"/>
  <c r="K7" i="16"/>
  <c r="Q7" i="16"/>
  <c r="U7" i="16" l="1"/>
  <c r="K8" i="16"/>
  <c r="Q8" i="16"/>
  <c r="U8" i="16" l="1"/>
  <c r="K9" i="16"/>
  <c r="Q9" i="16"/>
  <c r="U9" i="16" l="1"/>
  <c r="K10" i="16"/>
  <c r="Q10" i="16"/>
  <c r="U10" i="16" l="1"/>
  <c r="K11" i="16"/>
  <c r="Q11" i="16"/>
  <c r="U11" i="16" l="1"/>
  <c r="K12" i="16"/>
  <c r="Q12" i="16"/>
  <c r="U12" i="16" l="1"/>
  <c r="K13" i="16"/>
  <c r="Q13" i="16"/>
  <c r="U13" i="16" l="1"/>
  <c r="K14" i="16"/>
  <c r="K15" i="16" l="1"/>
  <c r="K16" i="16" l="1"/>
  <c r="K18" i="16" l="1"/>
  <c r="K19" i="16" l="1"/>
  <c r="Q19" i="16"/>
  <c r="U19" i="16" l="1"/>
  <c r="K31" i="16"/>
  <c r="L5" i="16" s="1" a="1"/>
  <c r="Q31" i="16"/>
  <c r="U31" i="16" l="1"/>
  <c r="L5" i="16"/>
  <c r="L19" i="16"/>
  <c r="L23" i="16"/>
  <c r="L16" i="16"/>
  <c r="L7" i="16"/>
  <c r="L22" i="16"/>
  <c r="L30" i="16"/>
  <c r="L14" i="16"/>
  <c r="L13" i="16"/>
  <c r="L27" i="16"/>
  <c r="L26" i="16"/>
  <c r="L10" i="16"/>
  <c r="L9" i="16"/>
  <c r="L24" i="16"/>
  <c r="L11" i="16"/>
  <c r="L8" i="16"/>
  <c r="L15" i="16"/>
  <c r="L6" i="16"/>
  <c r="L21" i="16"/>
  <c r="L29" i="16"/>
  <c r="L28" i="16"/>
  <c r="L12" i="16"/>
  <c r="L20" i="16"/>
  <c r="L18" i="16"/>
  <c r="L25" i="16"/>
  <c r="L17" i="16"/>
  <c r="L31" i="16"/>
  <c r="N5" i="23" l="1"/>
  <c r="N6" i="23"/>
  <c r="T6" i="23"/>
  <c r="T5" i="23"/>
  <c r="V23" i="16"/>
  <c r="V17" i="16"/>
  <c r="V25" i="16"/>
  <c r="V29" i="16"/>
  <c r="V28" i="16"/>
  <c r="V26" i="16"/>
  <c r="V21" i="16"/>
  <c r="V20" i="16"/>
  <c r="V24" i="16"/>
  <c r="V30" i="16"/>
  <c r="V27" i="16"/>
  <c r="V22" i="16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T18" i="23"/>
  <c r="Y17" i="23"/>
  <c r="X18" i="23" l="1"/>
  <c r="O12" i="23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M5" i="24" a="1"/>
  <c r="Y18" i="23"/>
  <c r="M11" i="24" l="1"/>
  <c r="M9" i="24"/>
  <c r="M5" i="24"/>
  <c r="M10" i="24"/>
  <c r="M6" i="24"/>
  <c r="M7" i="24"/>
  <c r="M8" i="24"/>
  <c r="V5" i="24" a="1"/>
  <c r="V11" i="24" s="1"/>
  <c r="V5" i="24" l="1"/>
  <c r="V6" i="24"/>
  <c r="V7" i="24"/>
  <c r="V8" i="24"/>
  <c r="V9" i="24"/>
  <c r="V10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W42" i="11"/>
  <c r="P5" i="12" a="1"/>
  <c r="P5" i="12" s="1"/>
  <c r="Q5" i="12" a="1"/>
  <c r="Q5" i="12" s="1"/>
  <c r="V5" i="12"/>
  <c r="S5" i="11" l="1"/>
  <c r="S12" i="11"/>
  <c r="S20" i="11"/>
  <c r="S28" i="11"/>
  <c r="S36" i="11"/>
  <c r="S11" i="11"/>
  <c r="S25" i="11"/>
  <c r="S39" i="11"/>
  <c r="S14" i="11"/>
  <c r="S26" i="11"/>
  <c r="S29" i="11"/>
  <c r="S32" i="11"/>
  <c r="S35" i="11"/>
  <c r="S38" i="11"/>
  <c r="S41" i="11"/>
  <c r="S42" i="11"/>
  <c r="S17" i="11"/>
  <c r="S31" i="11"/>
  <c r="S6" i="11"/>
  <c r="S15" i="11"/>
  <c r="S18" i="11"/>
  <c r="S21" i="11"/>
  <c r="S10" i="11"/>
  <c r="S13" i="11"/>
  <c r="S27" i="11"/>
  <c r="S30" i="11"/>
  <c r="S19" i="11"/>
  <c r="S8" i="11"/>
  <c r="S34" i="11"/>
  <c r="S9" i="11"/>
  <c r="S23" i="11"/>
  <c r="S37" i="11"/>
  <c r="S40" i="11"/>
  <c r="S7" i="11"/>
  <c r="S24" i="11"/>
  <c r="S16" i="11"/>
  <c r="S22" i="11"/>
  <c r="S33" i="11"/>
  <c r="R5" i="12"/>
  <c r="W5" i="12"/>
  <c r="AI5" i="12"/>
  <c r="P6" i="12"/>
  <c r="Q6" i="12"/>
  <c r="V6" i="12"/>
  <c r="R6" i="12" l="1"/>
  <c r="W6" i="12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V39" i="12"/>
  <c r="R39" i="12" l="1"/>
  <c r="W39" i="12"/>
  <c r="AI39" i="12"/>
  <c r="P40" i="12"/>
  <c r="Q40" i="12"/>
  <c r="R40" i="12"/>
  <c r="V40" i="12"/>
  <c r="W40" i="12" l="1"/>
  <c r="AI40" i="12"/>
  <c r="P41" i="12"/>
  <c r="Q41" i="12"/>
  <c r="V41" i="12"/>
  <c r="S5" i="12" l="1" a="1"/>
  <c r="R41" i="12"/>
  <c r="W41" i="12"/>
  <c r="AI41" i="12"/>
  <c r="P42" i="12"/>
  <c r="Q42" i="12"/>
  <c r="V42" i="12"/>
  <c r="S29" i="12" l="1"/>
  <c r="S36" i="12"/>
  <c r="S28" i="12"/>
  <c r="S34" i="12"/>
  <c r="S15" i="12"/>
  <c r="S30" i="12"/>
  <c r="S25" i="12"/>
  <c r="S22" i="12"/>
  <c r="S33" i="12"/>
  <c r="S41" i="12"/>
  <c r="S10" i="12"/>
  <c r="S35" i="12"/>
  <c r="S20" i="12"/>
  <c r="S17" i="12"/>
  <c r="S7" i="12"/>
  <c r="S21" i="12"/>
  <c r="S27" i="12"/>
  <c r="S5" i="12"/>
  <c r="S19" i="12"/>
  <c r="S8" i="12"/>
  <c r="S26" i="12"/>
  <c r="S18" i="12"/>
  <c r="S12" i="12"/>
  <c r="S42" i="12"/>
  <c r="S40" i="12"/>
  <c r="S13" i="12"/>
  <c r="S24" i="12"/>
  <c r="S9" i="12"/>
  <c r="S37" i="12"/>
  <c r="S11" i="12"/>
  <c r="S14" i="12"/>
  <c r="S23" i="12"/>
  <c r="S6" i="12"/>
  <c r="S39" i="12"/>
  <c r="S31" i="12"/>
  <c r="S16" i="12"/>
  <c r="S38" i="12"/>
  <c r="S32" i="12"/>
  <c r="R42" i="12"/>
  <c r="W42" i="12"/>
  <c r="AI42" i="12"/>
  <c r="P5" i="13" a="1"/>
  <c r="P5" i="13" s="1"/>
  <c r="Q5" i="13" a="1"/>
  <c r="Q5" i="13" s="1"/>
  <c r="V5" i="13"/>
  <c r="W5" i="13" l="1"/>
  <c r="P6" i="13"/>
  <c r="Q6" i="13"/>
  <c r="V6" i="13"/>
  <c r="W6" i="13" l="1"/>
  <c r="P7" i="13"/>
  <c r="Q7" i="13"/>
  <c r="V7" i="13"/>
  <c r="W7" i="13" l="1"/>
  <c r="P8" i="13"/>
  <c r="Q8" i="13"/>
  <c r="V8" i="13"/>
  <c r="W8" i="13" l="1"/>
  <c r="P9" i="13"/>
  <c r="Q9" i="13"/>
  <c r="V9" i="13"/>
  <c r="W9" i="13" l="1"/>
  <c r="P10" i="13"/>
  <c r="Q10" i="13"/>
  <c r="V10" i="13"/>
  <c r="W10" i="13" l="1"/>
  <c r="P11" i="13"/>
  <c r="Q11" i="13"/>
  <c r="V11" i="13"/>
  <c r="W11" i="13" l="1"/>
  <c r="P12" i="13"/>
  <c r="Q12" i="13"/>
  <c r="V12" i="13"/>
  <c r="W12" i="13" l="1"/>
  <c r="P13" i="13"/>
  <c r="Q13" i="13"/>
  <c r="V13" i="13"/>
  <c r="W13" i="13" l="1"/>
  <c r="P14" i="13"/>
  <c r="Q14" i="13"/>
  <c r="V14" i="13"/>
  <c r="W14" i="13" l="1"/>
  <c r="P15" i="13"/>
  <c r="Q15" i="13"/>
  <c r="V15" i="13"/>
  <c r="W15" i="13" l="1"/>
  <c r="P16" i="13"/>
  <c r="Q16" i="13"/>
  <c r="V16" i="13"/>
  <c r="W16" i="13" l="1"/>
  <c r="P17" i="13"/>
  <c r="Q17" i="13"/>
  <c r="V17" i="13"/>
  <c r="W17" i="13" l="1"/>
  <c r="P18" i="13"/>
  <c r="Q18" i="13"/>
  <c r="V18" i="13"/>
  <c r="W18" i="13" l="1"/>
  <c r="P19" i="13"/>
  <c r="Q19" i="13"/>
  <c r="V19" i="13"/>
  <c r="W19" i="13" l="1"/>
  <c r="P20" i="13"/>
  <c r="Q20" i="13"/>
  <c r="V20" i="13"/>
  <c r="W20" i="13" l="1"/>
  <c r="P21" i="13"/>
  <c r="Q21" i="13"/>
  <c r="V21" i="13"/>
  <c r="W21" i="13" l="1"/>
  <c r="P22" i="13"/>
  <c r="Q22" i="13"/>
  <c r="V22" i="13"/>
  <c r="W22" i="13" l="1"/>
  <c r="P23" i="13"/>
  <c r="Q23" i="13"/>
  <c r="V23" i="13"/>
  <c r="W23" i="13" l="1"/>
  <c r="P24" i="13"/>
  <c r="Q24" i="13"/>
  <c r="V24" i="13"/>
  <c r="W24" i="13" l="1"/>
  <c r="P25" i="13"/>
  <c r="Q25" i="13"/>
  <c r="V25" i="13"/>
  <c r="W25" i="13" l="1"/>
  <c r="P26" i="13"/>
  <c r="Q26" i="13"/>
  <c r="V26" i="13"/>
  <c r="W26" i="13" l="1"/>
  <c r="P27" i="13"/>
  <c r="Q27" i="13"/>
  <c r="V27" i="13"/>
  <c r="W27" i="13" l="1"/>
  <c r="P28" i="13"/>
  <c r="Q28" i="13"/>
  <c r="V28" i="13"/>
  <c r="W28" i="13" l="1"/>
  <c r="P29" i="13"/>
  <c r="Q29" i="13"/>
  <c r="V29" i="13"/>
  <c r="W29" i="13" l="1"/>
  <c r="P30" i="13"/>
  <c r="Q30" i="13"/>
  <c r="V30" i="13"/>
  <c r="W30" i="13" l="1"/>
  <c r="P31" i="13"/>
  <c r="Q31" i="13"/>
  <c r="V31" i="13"/>
  <c r="W31" i="13" l="1"/>
  <c r="P32" i="13"/>
  <c r="Q32" i="13"/>
  <c r="V32" i="13"/>
  <c r="W32" i="13" l="1"/>
  <c r="P33" i="13"/>
  <c r="Q33" i="13"/>
  <c r="V33" i="13"/>
  <c r="W33" i="13" l="1"/>
  <c r="P34" i="13"/>
  <c r="Q34" i="13"/>
  <c r="V34" i="13"/>
  <c r="W34" i="13" l="1"/>
  <c r="P35" i="13"/>
  <c r="Q35" i="13"/>
  <c r="V35" i="13"/>
  <c r="W35" i="13" l="1"/>
  <c r="P36" i="13"/>
  <c r="Q36" i="13"/>
  <c r="V36" i="13"/>
  <c r="W36" i="13" l="1"/>
  <c r="P37" i="13"/>
  <c r="Q37" i="13"/>
  <c r="V37" i="13"/>
  <c r="W37" i="13" l="1"/>
  <c r="P38" i="13"/>
  <c r="Q38" i="13"/>
  <c r="V38" i="13"/>
  <c r="W38" i="13" l="1"/>
  <c r="P39" i="13"/>
  <c r="Q39" i="13"/>
  <c r="V39" i="13"/>
  <c r="W39" i="13" l="1"/>
  <c r="P40" i="13"/>
  <c r="Q40" i="13"/>
  <c r="V40" i="13"/>
  <c r="W40" i="13" l="1"/>
  <c r="P41" i="13"/>
  <c r="Q41" i="13"/>
  <c r="V41" i="13"/>
  <c r="W41" i="13" l="1"/>
  <c r="P42" i="13"/>
  <c r="Q42" i="13"/>
  <c r="V42" i="13"/>
  <c r="S5" i="13" l="1" a="1"/>
  <c r="S5" i="13" s="1"/>
  <c r="W42" i="13"/>
  <c r="N5" i="22"/>
  <c r="N6" i="22"/>
  <c r="T6" i="22"/>
  <c r="T5" i="22"/>
  <c r="X5" i="22" l="1"/>
  <c r="X6" i="22"/>
  <c r="S6" i="13"/>
  <c r="S29" i="13"/>
  <c r="S18" i="13"/>
  <c r="S16" i="13"/>
  <c r="S21" i="13"/>
  <c r="S24" i="13"/>
  <c r="S32" i="13"/>
  <c r="S40" i="13"/>
  <c r="S28" i="13"/>
  <c r="S39" i="13"/>
  <c r="S20" i="13"/>
  <c r="S8" i="13"/>
  <c r="S31" i="13"/>
  <c r="S12" i="13"/>
  <c r="S23" i="13"/>
  <c r="S41" i="13"/>
  <c r="S36" i="13"/>
  <c r="S15" i="13"/>
  <c r="S27" i="13"/>
  <c r="S37" i="13"/>
  <c r="S33" i="13"/>
  <c r="S7" i="13"/>
  <c r="S38" i="13"/>
  <c r="S11" i="13"/>
  <c r="S25" i="13"/>
  <c r="S35" i="13"/>
  <c r="S30" i="13"/>
  <c r="S42" i="13"/>
  <c r="S17" i="13"/>
  <c r="S19" i="13"/>
  <c r="S22" i="13"/>
  <c r="S26" i="13"/>
  <c r="S13" i="13"/>
  <c r="S9" i="13"/>
  <c r="S34" i="13"/>
  <c r="S14" i="13"/>
  <c r="S10" i="13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R6" i="6"/>
  <c r="Q8" i="6"/>
  <c r="Q12" i="6"/>
  <c r="Q11" i="6"/>
  <c r="O7" i="6"/>
  <c r="Q9" i="6"/>
  <c r="K5" i="6"/>
  <c r="S6" i="6" l="1"/>
  <c r="U6" i="6" s="1"/>
  <c r="O11" i="6"/>
  <c r="R7" i="6"/>
  <c r="O12" i="6"/>
  <c r="D6" i="56"/>
  <c r="O8" i="6"/>
  <c r="O9" i="6"/>
  <c r="T6" i="6"/>
  <c r="S7" i="6" l="1"/>
  <c r="R8" i="6"/>
  <c r="R12" i="6"/>
  <c r="R11" i="6"/>
  <c r="R9" i="6"/>
  <c r="T7" i="6"/>
  <c r="S8" i="6" l="1"/>
  <c r="S12" i="6"/>
  <c r="S11" i="6"/>
  <c r="S9" i="6"/>
  <c r="B1" i="56"/>
  <c r="T8" i="6"/>
  <c r="T9" i="6"/>
  <c r="T11" i="6"/>
  <c r="T12" i="6"/>
  <c r="C6" i="25" l="1" a="1"/>
  <c r="C12" i="25" s="1"/>
  <c r="D6" i="25" a="1"/>
  <c r="D7" i="25" s="1"/>
  <c r="D4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0" i="22"/>
  <c r="F11" i="22"/>
  <c r="F20" i="22"/>
  <c r="F12" i="23"/>
  <c r="F14" i="22"/>
  <c r="F9" i="22"/>
  <c r="F6" i="22"/>
  <c r="F7" i="23"/>
  <c r="F14" i="23"/>
  <c r="F47" i="22"/>
  <c r="F17" i="22"/>
  <c r="F51" i="22"/>
  <c r="F49" i="22"/>
  <c r="F22" i="22"/>
  <c r="F43" i="22"/>
  <c r="F54" i="22"/>
  <c r="F32" i="22"/>
  <c r="F42" i="22"/>
  <c r="F36" i="22"/>
  <c r="F45" i="22"/>
  <c r="F52" i="22"/>
  <c r="D60" i="22"/>
  <c r="F10" i="23"/>
  <c r="F15" i="23"/>
  <c r="F13" i="22"/>
  <c r="F8" i="22"/>
  <c r="F56" i="22"/>
  <c r="F27" i="22"/>
  <c r="F39" i="22"/>
  <c r="F58" i="22"/>
  <c r="F40" i="22"/>
  <c r="F13" i="23"/>
  <c r="F8" i="23"/>
  <c r="F9" i="23"/>
  <c r="F41" i="22"/>
  <c r="F16" i="22"/>
  <c r="F6" i="23"/>
  <c r="F12" i="22"/>
  <c r="F44" i="22"/>
  <c r="F50" i="22"/>
  <c r="F46" i="22"/>
  <c r="F57" i="22"/>
  <c r="F35" i="22"/>
  <c r="F55" i="22"/>
  <c r="F25" i="22"/>
  <c r="F18" i="22"/>
  <c r="F30" i="22"/>
  <c r="F38" i="22"/>
  <c r="F19" i="22"/>
  <c r="F53" i="22"/>
  <c r="F7" i="22"/>
  <c r="F26" i="22"/>
  <c r="F48" i="22"/>
  <c r="F29" i="22"/>
  <c r="F34" i="22"/>
  <c r="F21" i="22"/>
  <c r="F11" i="23"/>
  <c r="F37" i="22"/>
  <c r="F28" i="22"/>
  <c r="F33" i="22"/>
  <c r="F15" i="22"/>
  <c r="F23" i="22"/>
  <c r="F5" i="22"/>
  <c r="F31" i="22"/>
  <c r="F24" i="22"/>
  <c r="F5" i="23"/>
  <c r="Y8" i="22"/>
  <c r="Y6" i="22"/>
  <c r="Y7" i="22"/>
  <c r="Y5" i="22"/>
  <c r="D19" i="25" l="1"/>
  <c r="C24" i="25"/>
  <c r="C16" i="25"/>
  <c r="C13" i="25"/>
  <c r="C11" i="25"/>
  <c r="C29" i="25"/>
  <c r="D8" i="25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5" i="22"/>
  <c r="G58" i="22"/>
  <c r="F19" i="25"/>
  <c r="W7" i="24"/>
  <c r="G13" i="23"/>
  <c r="G36" i="22"/>
  <c r="G54" i="22"/>
  <c r="W6" i="24"/>
  <c r="F9" i="24"/>
  <c r="G17" i="22"/>
  <c r="G7" i="23"/>
  <c r="F29" i="25"/>
  <c r="F8" i="24"/>
  <c r="G31" i="22"/>
  <c r="G35" i="22"/>
  <c r="F12" i="25"/>
  <c r="G37" i="22"/>
  <c r="G8" i="23"/>
  <c r="F37" i="25"/>
  <c r="G16" i="22"/>
  <c r="G52" i="22"/>
  <c r="G24" i="22"/>
  <c r="F7" i="24"/>
  <c r="W8" i="24"/>
  <c r="F10" i="24"/>
  <c r="D61" i="22"/>
  <c r="G42" i="22"/>
  <c r="G19" i="22"/>
  <c r="G20" i="22"/>
  <c r="G55" i="22"/>
  <c r="W9" i="24"/>
  <c r="F16" i="25"/>
  <c r="G50" i="22"/>
  <c r="G49" i="22"/>
  <c r="G33" i="22"/>
  <c r="F24" i="25"/>
  <c r="G14" i="22"/>
  <c r="G11" i="23"/>
  <c r="G15" i="23"/>
  <c r="G6" i="22"/>
  <c r="G44" i="22"/>
  <c r="G6" i="23"/>
  <c r="F5" i="24"/>
  <c r="F8" i="25"/>
  <c r="G45" i="22"/>
  <c r="G23" i="22"/>
  <c r="G12" i="22"/>
  <c r="W10" i="24"/>
  <c r="F21" i="25"/>
  <c r="F60" i="22"/>
  <c r="G57" i="22"/>
  <c r="G9" i="23"/>
  <c r="G46" i="22"/>
  <c r="G43" i="22"/>
  <c r="G53" i="22"/>
  <c r="G21" i="22"/>
  <c r="G51" i="22"/>
  <c r="G39" i="22"/>
  <c r="G29" i="22"/>
  <c r="G38" i="22"/>
  <c r="G22" i="22"/>
  <c r="G26" i="22"/>
  <c r="G56" i="22"/>
  <c r="F13" i="25"/>
  <c r="G27" i="22"/>
  <c r="G7" i="22"/>
  <c r="G28" i="22"/>
  <c r="G5" i="23"/>
  <c r="G13" i="22"/>
  <c r="G11" i="22"/>
  <c r="G34" i="22"/>
  <c r="G10" i="23"/>
  <c r="G48" i="22"/>
  <c r="G18" i="22"/>
  <c r="G15" i="22"/>
  <c r="G32" i="22"/>
  <c r="W5" i="24"/>
  <c r="G9" i="22"/>
  <c r="G8" i="22"/>
  <c r="F6" i="24"/>
  <c r="F11" i="25"/>
  <c r="G30" i="22"/>
  <c r="G47" i="22"/>
  <c r="G14" i="23"/>
  <c r="F11" i="24"/>
  <c r="G40" i="22"/>
  <c r="G10" i="22"/>
  <c r="G41" i="22"/>
  <c r="G25" i="22"/>
  <c r="G12" i="23"/>
  <c r="W11" i="24"/>
  <c r="Y12" i="23"/>
  <c r="Y38" i="22"/>
  <c r="Y26" i="22"/>
  <c r="Y33" i="22"/>
  <c r="Y14" i="23"/>
  <c r="Y21" i="22"/>
  <c r="Y50" i="22"/>
  <c r="Y51" i="22"/>
  <c r="Y5" i="23"/>
  <c r="Y23" i="22"/>
  <c r="Y8" i="23"/>
  <c r="Y31" i="22"/>
  <c r="Y43" i="22"/>
  <c r="Y58" i="22"/>
  <c r="Y34" i="22"/>
  <c r="Y20" i="22"/>
  <c r="Y9" i="22"/>
  <c r="Y41" i="22"/>
  <c r="Y54" i="22"/>
  <c r="Y35" i="22"/>
  <c r="Y17" i="22"/>
  <c r="Y57" i="22"/>
  <c r="Y49" i="22"/>
  <c r="Y11" i="22"/>
  <c r="Y19" i="22"/>
  <c r="Y25" i="22"/>
  <c r="Y39" i="22"/>
  <c r="Y32" i="22"/>
  <c r="Y45" i="22"/>
  <c r="Y37" i="22"/>
  <c r="Y24" i="22"/>
  <c r="Y9" i="23"/>
  <c r="Y27" i="22"/>
  <c r="Y10" i="22"/>
  <c r="Y12" i="22"/>
  <c r="Y11" i="23"/>
  <c r="Y13" i="23"/>
  <c r="Y30" i="22"/>
  <c r="Y16" i="22"/>
  <c r="Y6" i="23"/>
  <c r="Y29" i="22"/>
  <c r="Y7" i="23"/>
  <c r="Y53" i="22"/>
  <c r="Y56" i="22"/>
  <c r="Y22" i="22"/>
  <c r="Y13" i="22"/>
  <c r="Y40" i="22"/>
  <c r="Y14" i="22"/>
  <c r="Y15" i="23"/>
  <c r="Y10" i="23"/>
  <c r="Y47" i="22"/>
  <c r="Y55" i="22"/>
  <c r="Y48" i="22"/>
  <c r="Y36" i="22"/>
  <c r="Y15" i="22"/>
  <c r="Y44" i="22"/>
  <c r="Y52" i="22"/>
  <c r="Y28" i="22"/>
  <c r="Y18" i="22"/>
  <c r="Y42" i="22"/>
  <c r="Y46" i="22"/>
  <c r="E61" i="22" l="1"/>
  <c r="E29" i="25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9" i="25"/>
  <c r="F6" i="25"/>
  <c r="F17" i="25"/>
  <c r="G8" i="25"/>
  <c r="F61" i="22"/>
  <c r="G13" i="25"/>
  <c r="F26" i="25"/>
  <c r="G37" i="25"/>
  <c r="G19" i="25"/>
  <c r="F18" i="25"/>
  <c r="F32" i="25"/>
  <c r="F30" i="25"/>
  <c r="G21" i="25"/>
  <c r="F40" i="25"/>
  <c r="F25" i="25"/>
  <c r="F7" i="25"/>
  <c r="F14" i="25"/>
  <c r="F33" i="25"/>
  <c r="F15" i="25"/>
  <c r="G24" i="25"/>
  <c r="F20" i="25"/>
  <c r="F31" i="25"/>
  <c r="F36" i="25"/>
  <c r="F28" i="25"/>
  <c r="F22" i="25"/>
  <c r="F27" i="25"/>
  <c r="G16" i="25"/>
  <c r="F42" i="25"/>
  <c r="G12" i="25"/>
  <c r="F9" i="25"/>
  <c r="F10" i="25"/>
  <c r="F34" i="25"/>
  <c r="G60" i="22"/>
  <c r="F41" i="25"/>
  <c r="F35" i="25"/>
  <c r="D62" i="22"/>
  <c r="F23" i="25"/>
  <c r="G29" i="25"/>
  <c r="G11" i="25"/>
  <c r="F38" i="25"/>
  <c r="AC11" i="25"/>
  <c r="AC12" i="25"/>
  <c r="AC24" i="25"/>
  <c r="AC29" i="25"/>
  <c r="AC13" i="25"/>
  <c r="AC19" i="25"/>
  <c r="AC16" i="25"/>
  <c r="AC21" i="25"/>
  <c r="AC8" i="25"/>
  <c r="AC37" i="25"/>
  <c r="E62" i="22" l="1"/>
  <c r="G14" i="25"/>
  <c r="G30" i="25"/>
  <c r="G34" i="25"/>
  <c r="F62" i="22"/>
  <c r="G32" i="25"/>
  <c r="G36" i="25"/>
  <c r="G27" i="25"/>
  <c r="G10" i="25"/>
  <c r="G31" i="25"/>
  <c r="G7" i="25"/>
  <c r="G33" i="25"/>
  <c r="G41" i="25"/>
  <c r="G42" i="25"/>
  <c r="G20" i="25"/>
  <c r="G22" i="25"/>
  <c r="G18" i="25"/>
  <c r="G23" i="25"/>
  <c r="G26" i="25"/>
  <c r="G40" i="25"/>
  <c r="G38" i="25"/>
  <c r="G25" i="25"/>
  <c r="G61" i="22"/>
  <c r="G6" i="25"/>
  <c r="G35" i="25"/>
  <c r="G28" i="25"/>
  <c r="G9" i="25"/>
  <c r="G17" i="25"/>
  <c r="G15" i="25"/>
  <c r="D63" i="22"/>
  <c r="G39" i="25"/>
  <c r="AC33" i="25"/>
  <c r="AC39" i="25"/>
  <c r="AC6" i="25"/>
  <c r="AC31" i="25"/>
  <c r="AC15" i="25"/>
  <c r="AC17" i="25"/>
  <c r="AC36" i="25"/>
  <c r="AC20" i="25"/>
  <c r="AC22" i="25"/>
  <c r="AC32" i="25"/>
  <c r="AC18" i="25"/>
  <c r="AC14" i="25"/>
  <c r="AC30" i="25"/>
  <c r="AC23" i="25"/>
  <c r="AC34" i="25"/>
  <c r="AC40" i="25"/>
  <c r="AC7" i="25"/>
  <c r="AC41" i="25"/>
  <c r="AC9" i="25"/>
  <c r="AC26" i="25"/>
  <c r="AC25" i="25"/>
  <c r="AC10" i="25"/>
  <c r="AC38" i="25"/>
  <c r="AC35" i="25"/>
  <c r="AC42" i="25"/>
  <c r="AC27" i="25"/>
  <c r="AC28" i="25"/>
  <c r="E63" i="22" l="1"/>
  <c r="G62" i="22"/>
  <c r="F63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G66" i="22"/>
  <c r="F67" i="22"/>
  <c r="E68" i="22" l="1"/>
  <c r="F68" i="22"/>
  <c r="D69" i="22"/>
  <c r="G67" i="22"/>
  <c r="E69" i="22" l="1"/>
  <c r="D70" i="22"/>
  <c r="F69" i="22"/>
  <c r="G68" i="22"/>
  <c r="G69" i="22"/>
  <c r="E70" i="22" l="1"/>
  <c r="D71" i="22"/>
  <c r="F70" i="22"/>
  <c r="E71" i="22" l="1"/>
  <c r="G70" i="22"/>
  <c r="D72" i="22"/>
  <c r="F71" i="22"/>
  <c r="E72" i="22" l="1"/>
  <c r="G71" i="22"/>
  <c r="D73" i="22"/>
  <c r="F72" i="22"/>
  <c r="E73" i="22" l="1"/>
  <c r="G72" i="22"/>
  <c r="D74" i="22"/>
  <c r="F73" i="22"/>
  <c r="E74" i="22" l="1"/>
  <c r="G73" i="22"/>
  <c r="D75" i="22"/>
  <c r="F74" i="22"/>
  <c r="E75" i="22" l="1"/>
  <c r="G74" i="22"/>
  <c r="D76" i="22"/>
  <c r="F75" i="22"/>
  <c r="D77" i="22"/>
  <c r="G75" i="22"/>
  <c r="E76" i="22" l="1"/>
  <c r="E77" i="22"/>
  <c r="D78" i="22"/>
  <c r="F76" i="22"/>
  <c r="F77" i="22"/>
  <c r="G76" i="22"/>
  <c r="G77" i="22"/>
  <c r="E78" i="22" l="1"/>
  <c r="D79" i="22"/>
  <c r="F78" i="22"/>
  <c r="G78" i="22"/>
  <c r="E79" i="22" l="1"/>
  <c r="F4" i="23"/>
  <c r="E4" i="24"/>
  <c r="F5" i="25"/>
  <c r="F79" i="22"/>
  <c r="D80" i="22"/>
  <c r="G79" i="22"/>
  <c r="E80" i="22" l="1"/>
  <c r="B4" i="20"/>
  <c r="B5" i="20"/>
  <c r="B6" i="20"/>
  <c r="E5" i="18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D31" i="16"/>
  <c r="C5" i="15"/>
  <c r="C6" i="15"/>
  <c r="C7" i="15"/>
  <c r="C8" i="15"/>
  <c r="C9" i="15"/>
  <c r="C10" i="15"/>
  <c r="C11" i="15"/>
  <c r="C12" i="15"/>
  <c r="C13" i="15"/>
  <c r="E18" i="16"/>
  <c r="D8" i="15"/>
  <c r="D5" i="15"/>
  <c r="D9" i="15"/>
  <c r="D6" i="15"/>
  <c r="E31" i="16"/>
  <c r="E11" i="16"/>
  <c r="D7" i="15"/>
  <c r="E5" i="16"/>
  <c r="E12" i="16"/>
  <c r="E7" i="16"/>
  <c r="C5" i="20"/>
  <c r="E6" i="16"/>
  <c r="C6" i="20"/>
  <c r="E16" i="16"/>
  <c r="E15" i="16"/>
  <c r="E8" i="16"/>
  <c r="G4" i="23"/>
  <c r="E13" i="16"/>
  <c r="G5" i="25"/>
  <c r="E14" i="16"/>
  <c r="F80" i="22"/>
  <c r="D81" i="22"/>
  <c r="F4" i="24"/>
  <c r="D13" i="15"/>
  <c r="E9" i="16"/>
  <c r="D10" i="15"/>
  <c r="D11" i="15"/>
  <c r="E10" i="16"/>
  <c r="D12" i="15"/>
  <c r="E19" i="16"/>
  <c r="AC5" i="25"/>
  <c r="V16" i="16"/>
  <c r="E81" i="22" l="1"/>
  <c r="AM2" i="18"/>
  <c r="AM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F5" i="18"/>
  <c r="C4" i="20"/>
  <c r="F9" i="18"/>
  <c r="F18" i="18"/>
  <c r="F44" i="18"/>
  <c r="G80" i="22"/>
  <c r="F16" i="16"/>
  <c r="D82" i="22"/>
  <c r="F45" i="18"/>
  <c r="E5" i="15"/>
  <c r="F12" i="16"/>
  <c r="E6" i="15"/>
  <c r="F18" i="16"/>
  <c r="F81" i="22"/>
  <c r="F31" i="18"/>
  <c r="E8" i="15"/>
  <c r="F19" i="18"/>
  <c r="F6" i="18"/>
  <c r="F21" i="18"/>
  <c r="F40" i="18"/>
  <c r="F17" i="18"/>
  <c r="E12" i="15"/>
  <c r="F19" i="16"/>
  <c r="F25" i="18"/>
  <c r="F14" i="16"/>
  <c r="F11" i="16"/>
  <c r="F24" i="18"/>
  <c r="F37" i="18"/>
  <c r="F15" i="16"/>
  <c r="F15" i="18"/>
  <c r="F20" i="18"/>
  <c r="F12" i="18"/>
  <c r="F11" i="18"/>
  <c r="E11" i="15"/>
  <c r="F14" i="18"/>
  <c r="F43" i="18"/>
  <c r="F9" i="16"/>
  <c r="F41" i="18"/>
  <c r="F29" i="18"/>
  <c r="F30" i="18"/>
  <c r="E9" i="15"/>
  <c r="F39" i="18"/>
  <c r="F7" i="18"/>
  <c r="F23" i="18"/>
  <c r="F7" i="16"/>
  <c r="F34" i="18"/>
  <c r="F10" i="18"/>
  <c r="E10" i="15"/>
  <c r="F36" i="18"/>
  <c r="F46" i="18"/>
  <c r="D6" i="20"/>
  <c r="F31" i="16"/>
  <c r="F8" i="18"/>
  <c r="F38" i="18"/>
  <c r="E7" i="15"/>
  <c r="F16" i="18"/>
  <c r="D5" i="20"/>
  <c r="F8" i="16"/>
  <c r="F28" i="18"/>
  <c r="F27" i="18"/>
  <c r="F10" i="16"/>
  <c r="F13" i="16"/>
  <c r="F47" i="18"/>
  <c r="F22" i="18"/>
  <c r="F26" i="18"/>
  <c r="F35" i="18"/>
  <c r="F42" i="18"/>
  <c r="F32" i="18"/>
  <c r="F13" i="18"/>
  <c r="F33" i="18"/>
  <c r="E13" i="15"/>
  <c r="F6" i="16"/>
  <c r="F5" i="16"/>
  <c r="N8" i="15"/>
  <c r="V9" i="16"/>
  <c r="N10" i="15"/>
  <c r="N12" i="15"/>
  <c r="N6" i="15"/>
  <c r="V19" i="16"/>
  <c r="Q5" i="20"/>
  <c r="V15" i="16"/>
  <c r="V12" i="16"/>
  <c r="V6" i="16"/>
  <c r="V5" i="16"/>
  <c r="V13" i="16"/>
  <c r="V18" i="16"/>
  <c r="N11" i="15"/>
  <c r="N9" i="15"/>
  <c r="N7" i="15"/>
  <c r="N5" i="15"/>
  <c r="V31" i="16"/>
  <c r="Q6" i="20"/>
  <c r="V8" i="16"/>
  <c r="V11" i="16"/>
  <c r="V14" i="16"/>
  <c r="V7" i="16"/>
  <c r="V10" i="16"/>
  <c r="N13" i="15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6" i="18"/>
  <c r="G45" i="18"/>
  <c r="G41" i="18"/>
  <c r="G10" i="18"/>
  <c r="G30" i="18"/>
  <c r="D83" i="22"/>
  <c r="G29" i="18"/>
  <c r="G32" i="18"/>
  <c r="G5" i="18"/>
  <c r="G25" i="18"/>
  <c r="G27" i="18"/>
  <c r="G18" i="18"/>
  <c r="G43" i="18"/>
  <c r="G47" i="18"/>
  <c r="G8" i="18"/>
  <c r="G15" i="18"/>
  <c r="G13" i="18"/>
  <c r="G46" i="18"/>
  <c r="G34" i="18"/>
  <c r="G23" i="18"/>
  <c r="G26" i="18"/>
  <c r="G6" i="18"/>
  <c r="G22" i="18"/>
  <c r="G21" i="18"/>
  <c r="G9" i="18"/>
  <c r="F82" i="22"/>
  <c r="G44" i="18"/>
  <c r="G36" i="18"/>
  <c r="G19" i="18"/>
  <c r="G7" i="18"/>
  <c r="G14" i="18"/>
  <c r="G11" i="18"/>
  <c r="G33" i="18"/>
  <c r="G39" i="18"/>
  <c r="G40" i="18"/>
  <c r="G20" i="18"/>
  <c r="G35" i="18"/>
  <c r="G28" i="18"/>
  <c r="G24" i="18"/>
  <c r="G31" i="18"/>
  <c r="G42" i="18"/>
  <c r="G38" i="18"/>
  <c r="D4" i="20"/>
  <c r="G17" i="18"/>
  <c r="G37" i="18"/>
  <c r="G12" i="18"/>
  <c r="Z29" i="18"/>
  <c r="Q3" i="20"/>
  <c r="Z24" i="18"/>
  <c r="Z38" i="18"/>
  <c r="Z16" i="18"/>
  <c r="Z21" i="18"/>
  <c r="Z18" i="18"/>
  <c r="Z14" i="18"/>
  <c r="Z39" i="18"/>
  <c r="Z25" i="18"/>
  <c r="Z44" i="18"/>
  <c r="Z37" i="18"/>
  <c r="Z46" i="18"/>
  <c r="Z15" i="18"/>
  <c r="Z8" i="18"/>
  <c r="Z26" i="18"/>
  <c r="Z17" i="18"/>
  <c r="Z28" i="18"/>
  <c r="Z19" i="18"/>
  <c r="Z41" i="18"/>
  <c r="Z30" i="18"/>
  <c r="Z34" i="18"/>
  <c r="Z43" i="18"/>
  <c r="Z7" i="18"/>
  <c r="Z35" i="18"/>
  <c r="Z20" i="18"/>
  <c r="Z23" i="18"/>
  <c r="Z22" i="18"/>
  <c r="Z13" i="18"/>
  <c r="Z32" i="18"/>
  <c r="Z45" i="18"/>
  <c r="Z12" i="18"/>
  <c r="Z42" i="18"/>
  <c r="Z10" i="18"/>
  <c r="Z47" i="18"/>
  <c r="Z33" i="18"/>
  <c r="Z31" i="18"/>
  <c r="Z36" i="18"/>
  <c r="Z6" i="18"/>
  <c r="Z40" i="18"/>
  <c r="Z27" i="18"/>
  <c r="Z9" i="18"/>
  <c r="Z11" i="18"/>
  <c r="G81" i="22"/>
  <c r="E83" i="22" l="1"/>
  <c r="E5" i="13"/>
  <c r="E5" i="11"/>
  <c r="E5" i="12"/>
  <c r="C6" i="13"/>
  <c r="C6" i="12"/>
  <c r="C6" i="11"/>
  <c r="F83" i="22"/>
  <c r="F5" i="11"/>
  <c r="F5" i="13"/>
  <c r="D84" i="22"/>
  <c r="F5" i="12"/>
  <c r="G82" i="22"/>
  <c r="G83" i="22"/>
  <c r="E84" i="22" l="1"/>
  <c r="C7" i="13"/>
  <c r="E6" i="13"/>
  <c r="E4" i="12"/>
  <c r="C7" i="12"/>
  <c r="E6" i="12"/>
  <c r="E4" i="11"/>
  <c r="C7" i="11"/>
  <c r="E6" i="11"/>
  <c r="G5" i="11"/>
  <c r="F84" i="22"/>
  <c r="F6" i="12"/>
  <c r="F6" i="11"/>
  <c r="G5" i="12"/>
  <c r="D85" i="22"/>
  <c r="G5" i="13"/>
  <c r="F6" i="13"/>
  <c r="G84" i="22"/>
  <c r="E85" i="22" l="1"/>
  <c r="C8" i="13"/>
  <c r="E7" i="13"/>
  <c r="E7" i="12"/>
  <c r="C8" i="12"/>
  <c r="E7" i="11"/>
  <c r="C8" i="11"/>
  <c r="G6" i="12"/>
  <c r="D86" i="22"/>
  <c r="F85" i="22"/>
  <c r="F7" i="11"/>
  <c r="F7" i="13"/>
  <c r="G6" i="13"/>
  <c r="F7" i="12"/>
  <c r="G6" i="11"/>
  <c r="G85" i="22"/>
  <c r="E86" i="22" l="1"/>
  <c r="E8" i="13"/>
  <c r="C9" i="13"/>
  <c r="C9" i="12"/>
  <c r="E8" i="12"/>
  <c r="E8" i="11"/>
  <c r="C9" i="11"/>
  <c r="G7" i="13"/>
  <c r="F8" i="13"/>
  <c r="F86" i="22"/>
  <c r="D87" i="22"/>
  <c r="G7" i="12"/>
  <c r="G7" i="11"/>
  <c r="F8" i="11"/>
  <c r="F8" i="12"/>
  <c r="G86" i="22"/>
  <c r="E87" i="22" l="1"/>
  <c r="E4" i="13"/>
  <c r="C10" i="13"/>
  <c r="E9" i="13"/>
  <c r="E9" i="12"/>
  <c r="C10" i="12"/>
  <c r="C10" i="11"/>
  <c r="E9" i="11"/>
  <c r="D88" i="22"/>
  <c r="G8" i="12"/>
  <c r="F9" i="12"/>
  <c r="G8" i="13"/>
  <c r="F9" i="11"/>
  <c r="F87" i="22"/>
  <c r="G8" i="11"/>
  <c r="F9" i="13"/>
  <c r="G87" i="22"/>
  <c r="E88" i="22" l="1"/>
  <c r="E10" i="13"/>
  <c r="C11" i="13"/>
  <c r="E10" i="12"/>
  <c r="C11" i="12"/>
  <c r="E10" i="11"/>
  <c r="C11" i="11"/>
  <c r="F10" i="12"/>
  <c r="F10" i="11"/>
  <c r="D89" i="22"/>
  <c r="F10" i="13"/>
  <c r="F88" i="22"/>
  <c r="G9" i="12"/>
  <c r="G9" i="13"/>
  <c r="G9" i="11"/>
  <c r="G88" i="22"/>
  <c r="E89" i="22" l="1"/>
  <c r="E11" i="13"/>
  <c r="C12" i="13"/>
  <c r="E11" i="12"/>
  <c r="C12" i="12"/>
  <c r="C12" i="11"/>
  <c r="E11" i="11"/>
  <c r="F89" i="22"/>
  <c r="F11" i="11"/>
  <c r="D90" i="22"/>
  <c r="G10" i="13"/>
  <c r="G10" i="12"/>
  <c r="F11" i="13"/>
  <c r="G10" i="11"/>
  <c r="F11" i="12"/>
  <c r="G89" i="22"/>
  <c r="E90" i="22" l="1"/>
  <c r="E12" i="13"/>
  <c r="C13" i="13"/>
  <c r="E12" i="12"/>
  <c r="C13" i="12"/>
  <c r="E12" i="11"/>
  <c r="C13" i="11"/>
  <c r="F12" i="12"/>
  <c r="F90" i="22"/>
  <c r="G11" i="11"/>
  <c r="F12" i="11"/>
  <c r="G11" i="13"/>
  <c r="G11" i="12"/>
  <c r="D91" i="22"/>
  <c r="F12" i="13"/>
  <c r="G90" i="22"/>
  <c r="E91" i="22" l="1"/>
  <c r="E13" i="13"/>
  <c r="C14" i="13"/>
  <c r="E13" i="12"/>
  <c r="C14" i="12"/>
  <c r="E13" i="11"/>
  <c r="C14" i="11"/>
  <c r="F4" i="22"/>
  <c r="D92" i="22"/>
  <c r="G12" i="12"/>
  <c r="F13" i="12"/>
  <c r="G12" i="11"/>
  <c r="F13" i="13"/>
  <c r="F91" i="22"/>
  <c r="D93" i="22"/>
  <c r="G12" i="13"/>
  <c r="F13" i="11"/>
  <c r="G91" i="22"/>
  <c r="E92" i="22" l="1"/>
  <c r="E93" i="22"/>
  <c r="C15" i="13"/>
  <c r="E14" i="13"/>
  <c r="C15" i="12"/>
  <c r="E14" i="12"/>
  <c r="C15" i="11"/>
  <c r="E14" i="11"/>
  <c r="F93" i="22"/>
  <c r="D94" i="22"/>
  <c r="G13" i="12"/>
  <c r="F14" i="11"/>
  <c r="F92" i="22"/>
  <c r="G13" i="11"/>
  <c r="F14" i="12"/>
  <c r="F14" i="13"/>
  <c r="G13" i="13"/>
  <c r="G4" i="22"/>
  <c r="G93" i="22"/>
  <c r="G92" i="22"/>
  <c r="E94" i="22" l="1"/>
  <c r="C16" i="13"/>
  <c r="E15" i="13"/>
  <c r="E15" i="12"/>
  <c r="C16" i="12"/>
  <c r="E15" i="11"/>
  <c r="C16" i="11"/>
  <c r="F15" i="12"/>
  <c r="G14" i="12"/>
  <c r="F15" i="11"/>
  <c r="F94" i="22"/>
  <c r="F15" i="13"/>
  <c r="D95" i="22"/>
  <c r="G14" i="13"/>
  <c r="G14" i="11"/>
  <c r="G94" i="22"/>
  <c r="E95" i="22" l="1"/>
  <c r="E16" i="13"/>
  <c r="C17" i="13"/>
  <c r="C17" i="12"/>
  <c r="E16" i="12"/>
  <c r="E16" i="11"/>
  <c r="C17" i="11"/>
  <c r="F16" i="13"/>
  <c r="F16" i="11"/>
  <c r="G15" i="11"/>
  <c r="F16" i="12"/>
  <c r="G15" i="13"/>
  <c r="F95" i="22"/>
  <c r="G15" i="12"/>
  <c r="G95" i="22"/>
  <c r="E17" i="13" l="1"/>
  <c r="C18" i="13"/>
  <c r="C18" i="12"/>
  <c r="E17" i="12"/>
  <c r="C18" i="11"/>
  <c r="E17" i="11"/>
  <c r="G16" i="12"/>
  <c r="G16" i="11"/>
  <c r="G16" i="13"/>
  <c r="F17" i="12"/>
  <c r="F17" i="11"/>
  <c r="F17" i="13"/>
  <c r="C19" i="13" l="1"/>
  <c r="E18" i="13"/>
  <c r="E18" i="12"/>
  <c r="C19" i="12"/>
  <c r="E18" i="11"/>
  <c r="C19" i="11"/>
  <c r="F18" i="11"/>
  <c r="F18" i="12"/>
  <c r="G17" i="11"/>
  <c r="G17" i="13"/>
  <c r="F18" i="13"/>
  <c r="G17" i="12"/>
  <c r="E19" i="13" l="1"/>
  <c r="C20" i="13"/>
  <c r="C20" i="12"/>
  <c r="E19" i="12"/>
  <c r="C20" i="11"/>
  <c r="E19" i="11"/>
  <c r="G18" i="12"/>
  <c r="G18" i="13"/>
  <c r="F19" i="12"/>
  <c r="F19" i="11"/>
  <c r="F19" i="13"/>
  <c r="G18" i="11"/>
  <c r="E20" i="13" l="1"/>
  <c r="C21" i="13"/>
  <c r="C21" i="12"/>
  <c r="E20" i="12"/>
  <c r="E20" i="11"/>
  <c r="C21" i="11"/>
  <c r="F20" i="13"/>
  <c r="G19" i="13"/>
  <c r="F20" i="11"/>
  <c r="G19" i="12"/>
  <c r="G19" i="11"/>
  <c r="F20" i="12"/>
  <c r="E21" i="13" l="1"/>
  <c r="C22" i="13"/>
  <c r="E21" i="12"/>
  <c r="C22" i="12"/>
  <c r="E21" i="11"/>
  <c r="C22" i="11"/>
  <c r="G20" i="11"/>
  <c r="F21" i="11"/>
  <c r="G20" i="12"/>
  <c r="G20" i="13"/>
  <c r="F21" i="12"/>
  <c r="F21" i="13"/>
  <c r="C23" i="13" l="1"/>
  <c r="E22" i="13"/>
  <c r="C23" i="12"/>
  <c r="E22" i="12"/>
  <c r="C23" i="11"/>
  <c r="E22" i="11"/>
  <c r="F22" i="11"/>
  <c r="G21" i="13"/>
  <c r="G21" i="12"/>
  <c r="G21" i="11"/>
  <c r="F22" i="12"/>
  <c r="F22" i="13"/>
  <c r="C24" i="13" l="1"/>
  <c r="E23" i="13"/>
  <c r="E23" i="12"/>
  <c r="C24" i="12"/>
  <c r="E23" i="11"/>
  <c r="C24" i="11"/>
  <c r="F23" i="12"/>
  <c r="F23" i="13"/>
  <c r="F23" i="11"/>
  <c r="G22" i="11"/>
  <c r="G22" i="12"/>
  <c r="G22" i="13"/>
  <c r="E24" i="13" l="1"/>
  <c r="C25" i="13"/>
  <c r="E24" i="12"/>
  <c r="C25" i="12"/>
  <c r="E24" i="11"/>
  <c r="C25" i="11"/>
  <c r="G23" i="13"/>
  <c r="G23" i="12"/>
  <c r="F24" i="11"/>
  <c r="F24" i="12"/>
  <c r="F24" i="13"/>
  <c r="G23" i="11"/>
  <c r="E25" i="13" l="1"/>
  <c r="C26" i="13"/>
  <c r="C26" i="12"/>
  <c r="E25" i="12"/>
  <c r="C26" i="11"/>
  <c r="E25" i="11"/>
  <c r="F25" i="12"/>
  <c r="F25" i="13"/>
  <c r="F25" i="11"/>
  <c r="G24" i="11"/>
  <c r="G24" i="12"/>
  <c r="G24" i="13"/>
  <c r="C27" i="13" l="1"/>
  <c r="E26" i="13"/>
  <c r="E26" i="12"/>
  <c r="C27" i="12"/>
  <c r="E26" i="11"/>
  <c r="C27" i="11"/>
  <c r="F26" i="13"/>
  <c r="G25" i="11"/>
  <c r="G25" i="13"/>
  <c r="F26" i="12"/>
  <c r="F26" i="11"/>
  <c r="G25" i="12"/>
  <c r="E27" i="13" l="1"/>
  <c r="C28" i="13"/>
  <c r="C28" i="12"/>
  <c r="E27" i="12"/>
  <c r="C28" i="11"/>
  <c r="E27" i="11"/>
  <c r="G26" i="11"/>
  <c r="G26" i="13"/>
  <c r="F27" i="13"/>
  <c r="G26" i="12"/>
  <c r="F27" i="12"/>
  <c r="F27" i="11"/>
  <c r="C29" i="13" l="1"/>
  <c r="E28" i="13"/>
  <c r="E28" i="12"/>
  <c r="C29" i="12"/>
  <c r="C29" i="11"/>
  <c r="E28" i="11"/>
  <c r="G27" i="13"/>
  <c r="F28" i="13"/>
  <c r="G27" i="11"/>
  <c r="F28" i="11"/>
  <c r="F28" i="12"/>
  <c r="G27" i="12"/>
  <c r="E29" i="13" l="1"/>
  <c r="C30" i="13"/>
  <c r="E29" i="12"/>
  <c r="C30" i="12"/>
  <c r="E29" i="11"/>
  <c r="C30" i="11"/>
  <c r="G28" i="11"/>
  <c r="F29" i="11"/>
  <c r="G28" i="13"/>
  <c r="G28" i="12"/>
  <c r="F29" i="13"/>
  <c r="F29" i="12"/>
  <c r="C31" i="13" l="1"/>
  <c r="E30" i="13"/>
  <c r="C31" i="12"/>
  <c r="E30" i="12"/>
  <c r="C31" i="11"/>
  <c r="E30" i="11"/>
  <c r="F30" i="13"/>
  <c r="G29" i="13"/>
  <c r="F30" i="12"/>
  <c r="G29" i="12"/>
  <c r="G29" i="11"/>
  <c r="F30" i="11"/>
  <c r="C32" i="13" l="1"/>
  <c r="E31" i="13"/>
  <c r="E31" i="12"/>
  <c r="C32" i="12"/>
  <c r="E31" i="11"/>
  <c r="C32" i="11"/>
  <c r="G30" i="13"/>
  <c r="F31" i="12"/>
  <c r="G30" i="12"/>
  <c r="G30" i="11"/>
  <c r="F31" i="11"/>
  <c r="F31" i="13"/>
  <c r="E32" i="13" l="1"/>
  <c r="C33" i="13"/>
  <c r="E32" i="12"/>
  <c r="C33" i="12"/>
  <c r="E32" i="11"/>
  <c r="C33" i="11"/>
  <c r="F32" i="13"/>
  <c r="G31" i="12"/>
  <c r="F32" i="12"/>
  <c r="F32" i="11"/>
  <c r="G31" i="13"/>
  <c r="G31" i="11"/>
  <c r="E33" i="13" l="1"/>
  <c r="C34" i="13"/>
  <c r="C34" i="12"/>
  <c r="E33" i="12"/>
  <c r="C34" i="11"/>
  <c r="E33" i="11"/>
  <c r="G32" i="12"/>
  <c r="G32" i="11"/>
  <c r="F33" i="12"/>
  <c r="F33" i="13"/>
  <c r="G32" i="13"/>
  <c r="F33" i="11"/>
  <c r="C35" i="13" l="1"/>
  <c r="E34" i="13"/>
  <c r="E34" i="12"/>
  <c r="C35" i="12"/>
  <c r="E34" i="11"/>
  <c r="C35" i="11"/>
  <c r="F34" i="11"/>
  <c r="F34" i="12"/>
  <c r="G33" i="12"/>
  <c r="F34" i="13"/>
  <c r="G33" i="11"/>
  <c r="G33" i="13"/>
  <c r="E35" i="13" l="1"/>
  <c r="C36" i="13"/>
  <c r="C36" i="12"/>
  <c r="E35" i="12"/>
  <c r="C36" i="11"/>
  <c r="E35" i="11"/>
  <c r="F35" i="13"/>
  <c r="G34" i="12"/>
  <c r="G34" i="13"/>
  <c r="G34" i="11"/>
  <c r="F35" i="11"/>
  <c r="F35" i="12"/>
  <c r="E36" i="13" l="1"/>
  <c r="C37" i="13"/>
  <c r="E36" i="12"/>
  <c r="C37" i="12"/>
  <c r="E36" i="11"/>
  <c r="C37" i="11"/>
  <c r="G35" i="13"/>
  <c r="F36" i="12"/>
  <c r="F36" i="11"/>
  <c r="G35" i="12"/>
  <c r="G35" i="11"/>
  <c r="F36" i="13"/>
  <c r="E37" i="13" l="1"/>
  <c r="C38" i="13"/>
  <c r="E37" i="12"/>
  <c r="C38" i="12"/>
  <c r="E37" i="11"/>
  <c r="C38" i="11"/>
  <c r="G36" i="13"/>
  <c r="F37" i="11"/>
  <c r="G36" i="12"/>
  <c r="G36" i="11"/>
  <c r="F37" i="13"/>
  <c r="F37" i="12"/>
  <c r="C39" i="13" l="1"/>
  <c r="E38" i="13"/>
  <c r="C39" i="12"/>
  <c r="E38" i="12"/>
  <c r="C39" i="11"/>
  <c r="E38" i="11"/>
  <c r="G37" i="12"/>
  <c r="F38" i="13"/>
  <c r="G37" i="13"/>
  <c r="F38" i="12"/>
  <c r="F38" i="11"/>
  <c r="G37" i="11"/>
  <c r="C40" i="13" l="1"/>
  <c r="E39" i="13"/>
  <c r="C40" i="12"/>
  <c r="E39" i="12"/>
  <c r="E39" i="11"/>
  <c r="C40" i="11"/>
  <c r="F39" i="13"/>
  <c r="F39" i="11"/>
  <c r="G38" i="13"/>
  <c r="G38" i="12"/>
  <c r="F39" i="12"/>
  <c r="G38" i="11"/>
  <c r="E40" i="13" l="1"/>
  <c r="C41" i="13"/>
  <c r="E40" i="12"/>
  <c r="C41" i="12"/>
  <c r="E40" i="11"/>
  <c r="C41" i="11"/>
  <c r="G39" i="13"/>
  <c r="G39" i="12"/>
  <c r="F40" i="13"/>
  <c r="F40" i="12"/>
  <c r="F40" i="11"/>
  <c r="G39" i="11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S3" i="13"/>
  <c r="S3" i="12"/>
  <c r="F41" i="12"/>
  <c r="G4" i="12"/>
  <c r="I9" i="6"/>
  <c r="F41" i="11"/>
  <c r="F42" i="11"/>
  <c r="I12" i="6"/>
  <c r="F41" i="13"/>
  <c r="G41" i="13" s="1"/>
  <c r="G4" i="13"/>
  <c r="G41" i="11"/>
  <c r="I6" i="6"/>
  <c r="G40" i="11"/>
  <c r="F42" i="12"/>
  <c r="G4" i="11"/>
  <c r="G40" i="13"/>
  <c r="G42" i="12"/>
  <c r="I11" i="6"/>
  <c r="G40" i="12"/>
  <c r="G41" i="12"/>
  <c r="I8" i="6"/>
  <c r="F42" i="13"/>
  <c r="G42" i="13" s="1"/>
  <c r="G42" i="11"/>
  <c r="I7" i="6"/>
  <c r="Y3" i="22"/>
  <c r="U8" i="6" l="1"/>
  <c r="U7" i="6"/>
  <c r="U9" i="6"/>
  <c r="U11" i="6"/>
  <c r="U12" i="6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39" i="12" l="1"/>
  <c r="AB39" i="12" s="1"/>
  <c r="S3" i="11"/>
  <c r="X40" i="12" l="1"/>
  <c r="AB40" i="12" s="1"/>
  <c r="X5" i="11" a="1"/>
  <c r="X41" i="12" l="1"/>
  <c r="AB41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2" l="1"/>
  <c r="AB42" i="12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W3" i="24"/>
  <c r="Y3" i="23"/>
  <c r="AC42" i="12"/>
  <c r="AJ15" i="12" l="1"/>
  <c r="AJ17" i="12"/>
  <c r="AJ32" i="12"/>
  <c r="AJ28" i="12"/>
  <c r="AJ21" i="12"/>
  <c r="AJ27" i="12"/>
  <c r="AJ36" i="12"/>
  <c r="AJ9" i="12"/>
  <c r="AJ11" i="12"/>
  <c r="AJ26" i="12"/>
  <c r="AJ40" i="12"/>
  <c r="AJ41" i="12"/>
  <c r="AJ30" i="12"/>
  <c r="AJ38" i="12"/>
  <c r="AJ34" i="12"/>
  <c r="AJ14" i="12"/>
  <c r="AJ24" i="12"/>
  <c r="AJ5" i="12"/>
  <c r="AJ25" i="12"/>
  <c r="AJ42" i="12"/>
  <c r="AJ8" i="12"/>
  <c r="AJ10" i="12"/>
  <c r="AJ19" i="12"/>
  <c r="AJ20" i="12"/>
  <c r="AJ29" i="12"/>
  <c r="X39" i="11"/>
  <c r="AB39" i="11" s="1"/>
  <c r="AC11" i="13"/>
  <c r="AC40" i="13"/>
  <c r="AC29" i="12"/>
  <c r="AC13" i="13"/>
  <c r="AC9" i="12"/>
  <c r="AC25" i="13"/>
  <c r="AC11" i="12"/>
  <c r="AC35" i="12"/>
  <c r="AC18" i="13"/>
  <c r="AC21" i="12"/>
  <c r="AC16" i="13"/>
  <c r="AC35" i="13"/>
  <c r="AC41" i="13"/>
  <c r="AC19" i="12"/>
  <c r="AC6" i="12"/>
  <c r="AC12" i="12"/>
  <c r="AC21" i="13"/>
  <c r="AC14" i="12"/>
  <c r="AC30" i="13"/>
  <c r="AC33" i="12"/>
  <c r="AC41" i="12"/>
  <c r="AC26" i="13"/>
  <c r="AC10" i="13"/>
  <c r="AC38" i="12"/>
  <c r="AC30" i="12"/>
  <c r="AC31" i="13"/>
  <c r="AC12" i="13"/>
  <c r="AC15" i="13"/>
  <c r="AC8" i="12"/>
  <c r="AC5" i="13"/>
  <c r="AC29" i="13"/>
  <c r="AC39" i="13"/>
  <c r="AC42" i="13"/>
  <c r="AC37" i="12"/>
  <c r="AC26" i="12"/>
  <c r="AC38" i="13"/>
  <c r="AC36" i="12"/>
  <c r="AC24" i="13"/>
  <c r="AC13" i="12"/>
  <c r="AC17" i="13"/>
  <c r="AC40" i="12"/>
  <c r="AC36" i="13"/>
  <c r="AC8" i="13"/>
  <c r="AC7" i="12"/>
  <c r="AC16" i="12"/>
  <c r="AC34" i="13"/>
  <c r="AC20" i="13"/>
  <c r="AC6" i="13"/>
  <c r="AC15" i="12"/>
  <c r="AC22" i="12"/>
  <c r="AC24" i="12"/>
  <c r="AC23" i="12"/>
  <c r="AC31" i="12"/>
  <c r="AC34" i="12"/>
  <c r="AC32" i="13"/>
  <c r="AC25" i="12"/>
  <c r="AC23" i="13"/>
  <c r="AC28" i="12"/>
  <c r="AC19" i="13"/>
  <c r="AC27" i="12"/>
  <c r="AC18" i="12"/>
  <c r="AC17" i="12"/>
  <c r="AC33" i="13"/>
  <c r="AC27" i="13"/>
  <c r="AC7" i="13"/>
  <c r="AC28" i="13"/>
  <c r="AC10" i="12"/>
  <c r="AC20" i="12"/>
  <c r="AC5" i="12"/>
  <c r="AC14" i="13"/>
  <c r="AC32" i="12"/>
  <c r="AC37" i="13"/>
  <c r="AC39" i="12"/>
  <c r="AC22" i="13"/>
  <c r="AC9" i="13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X41" i="11" l="1"/>
  <c r="AB41" i="11" s="1"/>
  <c r="X42" i="11" l="1"/>
  <c r="AB42" i="11" s="1"/>
  <c r="M6" i="18" a="1"/>
  <c r="AC42" i="11"/>
  <c r="AC34" i="11"/>
  <c r="AC33" i="11"/>
  <c r="AC11" i="11"/>
  <c r="AC14" i="11"/>
  <c r="AC38" i="11"/>
  <c r="AC15" i="11"/>
  <c r="AC26" i="11"/>
  <c r="AC28" i="11"/>
  <c r="AC17" i="11"/>
  <c r="AC21" i="11"/>
  <c r="AC37" i="11"/>
  <c r="AC19" i="11"/>
  <c r="AC23" i="11"/>
  <c r="AC5" i="11"/>
  <c r="AC24" i="11"/>
  <c r="AC32" i="11"/>
  <c r="AC35" i="11"/>
  <c r="AC27" i="11"/>
  <c r="AC8" i="11"/>
  <c r="AC22" i="11"/>
  <c r="AC13" i="11"/>
  <c r="AC12" i="11"/>
  <c r="AC18" i="11"/>
  <c r="AC36" i="11"/>
  <c r="AC7" i="11"/>
  <c r="AC29" i="11"/>
  <c r="AC9" i="11"/>
  <c r="AC39" i="11"/>
  <c r="AC6" i="11"/>
  <c r="AC40" i="11"/>
  <c r="AC31" i="11"/>
  <c r="AC20" i="11"/>
  <c r="AC30" i="11"/>
  <c r="AC10" i="11"/>
  <c r="AC16" i="11"/>
  <c r="AC25" i="11"/>
  <c r="AC41" i="11"/>
  <c r="AC3" i="11" s="1"/>
  <c r="M7" i="18" l="1"/>
  <c r="M6" i="18"/>
  <c r="M8" i="18"/>
  <c r="M9" i="18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5"/>
  <c r="AC3" i="13"/>
  <c r="AC3" i="12"/>
  <c r="Z4" i="18"/>
  <c r="AN5" i="18"/>
  <c r="O4" i="22"/>
  <c r="S4" i="12"/>
  <c r="M4" i="24"/>
  <c r="O4" i="23"/>
  <c r="S4" i="13"/>
  <c r="O5" i="18"/>
  <c r="S4" i="25"/>
  <c r="S4" i="11"/>
  <c r="AM4" i="18" l="1"/>
  <c r="Q10" i="6"/>
  <c r="H10" i="6"/>
  <c r="F10" i="6"/>
  <c r="AM43" i="18"/>
  <c r="AM38" i="18"/>
  <c r="AM18" i="18"/>
  <c r="AM44" i="18"/>
  <c r="AM36" i="18"/>
  <c r="AM25" i="18"/>
  <c r="AN36" i="18"/>
  <c r="AM34" i="18"/>
  <c r="AM9" i="18"/>
  <c r="AM23" i="18"/>
  <c r="AM39" i="18"/>
  <c r="AM45" i="18"/>
  <c r="AN38" i="18"/>
  <c r="AM16" i="18"/>
  <c r="AM20" i="18"/>
  <c r="AM47" i="18"/>
  <c r="AM12" i="18"/>
  <c r="AN16" i="18"/>
  <c r="AM41" i="18"/>
  <c r="AN41" i="18" s="1"/>
  <c r="AM17" i="18"/>
  <c r="AM37" i="18"/>
  <c r="AN37" i="18" s="1"/>
  <c r="AM7" i="18"/>
  <c r="AM33" i="18"/>
  <c r="AM13" i="18"/>
  <c r="AM35" i="18"/>
  <c r="AM26" i="18"/>
  <c r="AN26" i="18" s="1"/>
  <c r="AN47" i="18"/>
  <c r="AM22" i="18"/>
  <c r="AN9" i="18"/>
  <c r="AM28" i="18"/>
  <c r="R2" i="64"/>
  <c r="AN22" i="18"/>
  <c r="AM6" i="18"/>
  <c r="AN20" i="18"/>
  <c r="AM40" i="18"/>
  <c r="AM46" i="18"/>
  <c r="AN44" i="18"/>
  <c r="S1" i="65"/>
  <c r="AM14" i="18"/>
  <c r="AN14" i="18" s="1"/>
  <c r="AN35" i="18"/>
  <c r="AM8" i="18"/>
  <c r="AN8" i="18" s="1"/>
  <c r="AN18" i="18"/>
  <c r="AN33" i="18"/>
  <c r="AM19" i="18"/>
  <c r="AN43" i="18"/>
  <c r="AM24" i="18"/>
  <c r="AM27" i="18"/>
  <c r="AN27" i="18" s="1"/>
  <c r="AN24" i="18"/>
  <c r="AN34" i="18"/>
  <c r="AM15" i="18"/>
  <c r="AN15" i="18" s="1"/>
  <c r="AM29" i="18"/>
  <c r="AM10" i="18"/>
  <c r="AN10" i="18"/>
  <c r="AM42" i="18"/>
  <c r="AN42" i="18" s="1"/>
  <c r="AM21" i="18"/>
  <c r="AN21" i="18" s="1"/>
  <c r="AM31" i="18"/>
  <c r="AM11" i="18"/>
  <c r="AN11" i="18" s="1"/>
  <c r="AN45" i="18"/>
  <c r="AN17" i="18"/>
  <c r="AN19" i="18"/>
  <c r="AM30" i="18"/>
  <c r="AN30" i="18" s="1"/>
  <c r="AM32" i="18"/>
  <c r="AN32" i="18" s="1"/>
  <c r="I10" i="6"/>
  <c r="O10" i="6"/>
  <c r="AN29" i="18"/>
  <c r="AN39" i="18"/>
  <c r="AN46" i="18"/>
  <c r="AN23" i="18"/>
  <c r="AN40" i="18"/>
  <c r="AN25" i="18"/>
  <c r="AN6" i="18"/>
  <c r="AN28" i="18"/>
  <c r="AN13" i="18"/>
  <c r="AN7" i="18"/>
  <c r="AN31" i="18"/>
  <c r="AN12" i="18"/>
  <c r="N2" i="15"/>
  <c r="V2" i="16"/>
  <c r="D7" i="56"/>
  <c r="L4" i="16"/>
  <c r="D8" i="56"/>
  <c r="R10" i="6"/>
  <c r="T10" i="6"/>
  <c r="S10" i="6" l="1"/>
  <c r="U10" i="6" s="1"/>
  <c r="H6" i="15" l="1"/>
  <c r="H7" i="15"/>
  <c r="H5" i="15"/>
  <c r="H4" i="15"/>
</calcChain>
</file>

<file path=xl/sharedStrings.xml><?xml version="1.0" encoding="utf-8"?>
<sst xmlns="http://schemas.openxmlformats.org/spreadsheetml/2006/main" count="1715" uniqueCount="324">
  <si>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</si>
  <si>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</si>
  <si>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</si>
  <si>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</si>
  <si>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</si>
  <si>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</si>
  <si>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</si>
  <si>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</si>
  <si>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</si>
  <si>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</si>
  <si>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</si>
  <si>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</si>
  <si>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</si>
  <si>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</si>
  <si>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</si>
  <si>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</si>
  <si>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</si>
  <si>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</si>
  <si>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</si>
  <si>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</si>
  <si>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</si>
  <si>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</si>
  <si>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</si>
  <si>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</si>
  <si>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</si>
  <si>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</si>
  <si>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</si>
  <si>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</si>
  <si>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</si>
  <si>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</si>
  <si>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</si>
  <si>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</si>
  <si>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</si>
  <si>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</si>
  <si>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</si>
  <si>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</si>
  <si>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</si>
  <si>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</si>
  <si>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</si>
  <si>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</si>
  <si>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</si>
  <si>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</si>
  <si>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</si>
  <si>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</si>
  <si>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</si>
  <si>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</si>
  <si>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</si>
  <si>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</si>
  <si>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</si>
  <si>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</si>
  <si>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</si>
  <si>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</si>
  <si>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</si>
  <si>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</si>
  <si>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</si>
  <si>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</si>
  <si>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</si>
  <si>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</si>
  <si>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</si>
  <si>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</si>
  <si>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</si>
  <si>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</si>
  <si>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</si>
  <si>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</si>
  <si>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</si>
  <si>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</si>
  <si>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</si>
  <si>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</si>
  <si>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</si>
  <si>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</si>
  <si>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</si>
  <si>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</si>
  <si>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</si>
  <si>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</si>
  <si>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</si>
  <si>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</si>
  <si>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</si>
  <si>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</si>
  <si>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</si>
  <si>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</si>
  <si>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</si>
  <si>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</si>
  <si>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</si>
  <si>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</si>
  <si>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</si>
  <si>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</si>
  <si>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</si>
  <si>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</si>
  <si>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</si>
  <si>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</si>
  <si>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</si>
  <si>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</si>
  <si>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</si>
  <si>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</si>
  <si>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</si>
  <si>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</si>
  <si>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</si>
  <si>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</si>
  <si>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</si>
  <si>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</si>
  <si>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</si>
  <si>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</si>
  <si>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</si>
  <si>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</si>
  <si>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</si>
  <si>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</si>
  <si>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</si>
  <si>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</si>
  <si>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</si>
  <si>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</si>
  <si>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</si>
  <si>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</si>
  <si>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</si>
  <si>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</si>
  <si>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</si>
  <si>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</si>
  <si>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</si>
  <si>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</si>
  <si>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</si>
  <si>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</si>
  <si>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</si>
  <si>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</si>
  <si>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</si>
  <si>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</si>
  <si>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</si>
  <si>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</si>
  <si>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</si>
  <si>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</si>
  <si>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</si>
  <si>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</si>
  <si>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</si>
  <si>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</si>
  <si>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</si>
  <si>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</si>
  <si>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</si>
  <si>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</si>
  <si>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</si>
  <si>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</si>
  <si>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</si>
  <si>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</si>
  <si>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</si>
  <si>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</si>
  <si>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</si>
  <si>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</si>
  <si>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</si>
  <si>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</si>
  <si>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</si>
  <si>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</si>
  <si>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</si>
  <si>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</si>
  <si>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</si>
  <si>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</si>
  <si>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</si>
  <si>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</si>
  <si>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</si>
  <si>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</si>
  <si>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</si>
  <si>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</si>
  <si>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</si>
  <si>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</si>
  <si>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</si>
  <si>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</si>
  <si>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</si>
  <si>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</si>
  <si>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</si>
  <si>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</si>
  <si>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</si>
  <si>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</si>
  <si>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</si>
  <si>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</si>
  <si>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</si>
  <si>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</si>
  <si>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</si>
  <si>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USD_010_SwapQuotes</t>
  </si>
  <si>
    <t>ON</t>
  </si>
  <si>
    <t>Meanreversion</t>
  </si>
  <si>
    <t>Volatility</t>
  </si>
  <si>
    <t>USD_020_FuturesConvAdjQuotes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</si>
  <si>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</si>
  <si>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</si>
  <si>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</si>
  <si>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</si>
  <si>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</si>
  <si>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</si>
  <si>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</si>
  <si>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</si>
  <si>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</si>
  <si>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</si>
  <si>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</si>
  <si>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</si>
  <si>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</si>
  <si>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</si>
  <si>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Contributors</t>
  </si>
  <si>
    <t>Change</t>
  </si>
  <si>
    <t>Effective</t>
  </si>
  <si>
    <t>Static</t>
  </si>
  <si>
    <t>X</t>
  </si>
  <si>
    <t>ASK-BID</t>
  </si>
  <si>
    <t>Mid Safe</t>
  </si>
  <si>
    <t>HST_CLOSE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</si>
  <si>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</si>
  <si>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</si>
  <si>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</si>
  <si>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</si>
  <si>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</si>
  <si>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</si>
  <si>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</si>
  <si>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</si>
  <si>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</si>
  <si>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</si>
  <si>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</si>
  <si>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</si>
  <si>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</si>
  <si>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</si>
  <si>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</si>
  <si>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</si>
  <si>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</si>
  <si>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</si>
  <si>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</si>
  <si>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</si>
  <si>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</si>
  <si>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</si>
  <si>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</si>
  <si>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</si>
  <si>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</si>
  <si>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</si>
  <si>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</si>
  <si>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</si>
  <si>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</si>
  <si>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</si>
  <si>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</si>
  <si>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</si>
  <si>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</si>
  <si>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USD_InterestRateQuotesFeed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</si>
  <si>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</si>
  <si>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</si>
  <si>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</si>
  <si>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</si>
  <si>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</si>
  <si>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</si>
  <si>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</si>
  <si>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</si>
  <si>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</si>
  <si>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</si>
  <si>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</si>
  <si>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</si>
  <si>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</si>
  <si>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</si>
  <si>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</si>
  <si>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</si>
  <si>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</si>
  <si>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</si>
  <si>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</si>
  <si>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</si>
  <si>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</si>
  <si>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</si>
  <si>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</si>
  <si>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</si>
  <si>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</si>
  <si>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</si>
  <si>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</si>
  <si>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</si>
  <si>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</si>
  <si>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</si>
  <si>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</si>
  <si>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</si>
  <si>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</si>
  <si>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</si>
  <si>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</si>
  <si>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</si>
  <si>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</si>
  <si>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</si>
  <si>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</si>
  <si>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</si>
  <si>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</si>
  <si>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</si>
  <si>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</si>
  <si>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</si>
  <si>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</si>
  <si>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</si>
  <si>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Contribution Settings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</si>
  <si>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</si>
  <si>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</si>
  <si>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</si>
  <si>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</si>
  <si>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</si>
  <si>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</si>
  <si>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</si>
  <si>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</si>
  <si>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</si>
  <si>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</si>
  <si>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</si>
  <si>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</si>
  <si>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</si>
  <si>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</si>
  <si>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</si>
  <si>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</si>
  <si>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</si>
  <si>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</si>
  <si>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</si>
  <si>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</si>
  <si>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</si>
  <si>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</si>
  <si>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</si>
  <si>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</si>
  <si>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Timestamp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</si>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</sst>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0">
    <xf numFmtId="0" fontId="0" fillId="0" borderId="0"/>
    <xf numFmtId="0" fontId="1" fillId="0" borderId="0"/>
    <xf numFmtId="0" fontId="4" fillId="0" borderId="0"/>
    <xf numFmtId="165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6" fontId="10" fillId="0" borderId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495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1" fillId="0" borderId="0" xfId="1" applyFont="1"/>
    <xf numFmtId="0" fontId="4" fillId="3" borderId="20" xfId="1" applyFont="1" applyFill="1" applyBorder="1" applyAlignment="1">
      <alignment horizontal="center"/>
    </xf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22" xfId="1" applyFont="1" applyFill="1" applyBorder="1"/>
    <xf numFmtId="0" fontId="11" fillId="3" borderId="23" xfId="1" applyFont="1" applyFill="1" applyBorder="1"/>
    <xf numFmtId="0" fontId="11" fillId="3" borderId="24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7" xfId="1" applyFont="1" applyFill="1" applyBorder="1" applyAlignment="1">
      <alignment horizontal="center"/>
    </xf>
    <xf numFmtId="0" fontId="7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0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4" xfId="1" applyNumberFormat="1" applyFont="1" applyFill="1" applyBorder="1" applyAlignment="1" applyProtection="1">
      <alignment horizontal="left"/>
    </xf>
    <xf numFmtId="170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lId="3" borderId="8" xfId="1" applyFont="1" applyFill="1" applyBorder="1"/>
    <xf numFmtId="0" fontId="11" fillId="0" borderId="9" xfId="1" applyFont="1" applyBorder="1"/>
    <xf numFmtId="0" fontId="11" fillId="0" borderId="9" xfId="1" applyFont="1" applyBorder="1" applyAlignment="1">
      <alignment horizontal="center"/>
    </xf>
    <xf numFmtId="0" fontId="14" fillId="3" borderId="9" xfId="1" applyFont="1" applyFill="1" applyBorder="1"/>
    <xf numFmtId="0" fontId="11" fillId="3" borderId="10" xfId="1" applyFont="1" applyFill="1" applyBorder="1"/>
    <xf numFmtId="0" fontId="11" fillId="3" borderId="15" xfId="1" applyFont="1" applyFill="1" applyBorder="1"/>
    <xf numFmtId="0" fontId="11" fillId="3" borderId="18" xfId="1" applyFont="1" applyFill="1" applyBorder="1"/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5" xfId="1" applyFont="1" applyFill="1" applyBorder="1"/>
    <xf numFmtId="0" fontId="11" fillId="3" borderId="21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69" fontId="4" fillId="0" borderId="5" xfId="10" applyNumberFormat="1" applyFont="1" applyFill="1" applyBorder="1" applyAlignment="1">
      <alignment horizontal="center"/>
    </xf>
    <xf numFmtId="169" fontId="4" fillId="0" borderId="14" xfId="10" applyNumberFormat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7" fillId="3" borderId="16" xfId="1" applyFont="1" applyFill="1" applyBorder="1" applyAlignment="1">
      <alignment horizontal="center" vertical="center" wrapText="1"/>
    </xf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0" fontId="4" fillId="3" borderId="14" xfId="10" applyNumberFormat="1" applyFont="1" applyFill="1" applyBorder="1" applyAlignment="1">
      <alignment horizontal="center"/>
    </xf>
    <xf numFmtId="170" fontId="4" fillId="3" borderId="14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7" xfId="1" applyFont="1" applyBorder="1" applyAlignment="1">
      <alignment horizontal="center" vertical="center" wrapText="1"/>
    </xf>
    <xf numFmtId="0" fontId="4" fillId="3" borderId="28" xfId="1" applyFont="1" applyFill="1" applyBorder="1"/>
    <xf numFmtId="169" fontId="4" fillId="0" borderId="20" xfId="4" applyNumberFormat="1" applyFont="1" applyFill="1" applyBorder="1" applyAlignment="1">
      <alignment horizontal="center"/>
    </xf>
    <xf numFmtId="168" fontId="4" fillId="0" borderId="0" xfId="4" applyNumberFormat="1" applyFont="1" applyFill="1" applyBorder="1" applyAlignment="1">
      <alignment horizontal="center"/>
    </xf>
    <xf numFmtId="169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8" fontId="4" fillId="0" borderId="26" xfId="4" applyNumberFormat="1" applyFont="1" applyBorder="1"/>
    <xf numFmtId="168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8" xfId="1" applyFont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8" fontId="4" fillId="0" borderId="18" xfId="4" applyNumberFormat="1" applyFont="1" applyFill="1" applyBorder="1" applyAlignment="1">
      <alignment horizontal="center"/>
    </xf>
    <xf numFmtId="168" fontId="4" fillId="0" borderId="14" xfId="4" applyNumberFormat="1" applyFont="1" applyBorder="1"/>
    <xf numFmtId="168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168" fontId="4" fillId="0" borderId="23" xfId="4" applyNumberFormat="1" applyFont="1" applyFill="1" applyBorder="1" applyAlignment="1">
      <alignment horizontal="center"/>
    </xf>
    <xf numFmtId="168" fontId="4" fillId="0" borderId="25" xfId="4" applyNumberFormat="1" applyFont="1" applyBorder="1"/>
    <xf numFmtId="168" fontId="4" fillId="0" borderId="22" xfId="4" applyNumberFormat="1" applyFont="1" applyFill="1" applyBorder="1" applyAlignment="1">
      <alignment horizontal="center"/>
    </xf>
    <xf numFmtId="0" fontId="4" fillId="0" borderId="24" xfId="4" applyNumberFormat="1" applyFont="1" applyFill="1" applyBorder="1" applyAlignment="1">
      <alignment horizontal="center"/>
    </xf>
    <xf numFmtId="169" fontId="7" fillId="0" borderId="6" xfId="4" applyNumberFormat="1" applyFont="1" applyFill="1" applyBorder="1" applyAlignment="1">
      <alignment horizontal="center" vertical="center" wrapText="1"/>
    </xf>
    <xf numFmtId="169" fontId="7" fillId="0" borderId="16" xfId="4" applyNumberFormat="1" applyFont="1" applyFill="1" applyBorder="1" applyAlignment="1">
      <alignment horizontal="center" vertical="center" wrapText="1"/>
    </xf>
    <xf numFmtId="168" fontId="7" fillId="0" borderId="5" xfId="4" applyNumberFormat="1" applyFont="1" applyFill="1" applyBorder="1" applyAlignment="1">
      <alignment horizontal="center" vertical="center" wrapText="1"/>
    </xf>
    <xf numFmtId="168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8" fontId="7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5" fillId="3" borderId="3" xfId="1" applyFont="1" applyFill="1" applyBorder="1"/>
    <xf numFmtId="168" fontId="4" fillId="0" borderId="19" xfId="4" applyNumberFormat="1" applyFont="1" applyFill="1" applyBorder="1" applyAlignment="1">
      <alignment horizontal="center"/>
    </xf>
    <xf numFmtId="168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1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5" fillId="3" borderId="7" xfId="1" applyFont="1" applyFill="1" applyBorder="1"/>
    <xf numFmtId="168" fontId="4" fillId="0" borderId="21" xfId="4" applyNumberFormat="1" applyFont="1" applyFill="1" applyBorder="1" applyAlignment="1">
      <alignment horizontal="center"/>
    </xf>
    <xf numFmtId="168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1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8" fontId="4" fillId="0" borderId="26" xfId="1" applyNumberFormat="1" applyFont="1" applyFill="1" applyBorder="1"/>
    <xf numFmtId="168" fontId="4" fillId="0" borderId="24" xfId="4" applyNumberFormat="1" applyFont="1" applyFill="1" applyBorder="1" applyAlignment="1">
      <alignment horizontal="center"/>
    </xf>
    <xf numFmtId="168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1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8" fontId="7" fillId="0" borderId="16" xfId="4" applyNumberFormat="1" applyFont="1" applyFill="1" applyBorder="1" applyAlignment="1">
      <alignment horizontal="center" vertical="center" wrapText="1"/>
    </xf>
    <xf numFmtId="0" fontId="15" fillId="3" borderId="4" xfId="1" applyFont="1" applyFill="1" applyBorder="1"/>
    <xf numFmtId="0" fontId="15" fillId="3" borderId="8" xfId="1" applyFont="1" applyFill="1" applyBorder="1"/>
    <xf numFmtId="0" fontId="4" fillId="3" borderId="9" xfId="1" applyFont="1" applyFill="1" applyBorder="1" applyAlignment="1">
      <alignment horizontal="center"/>
    </xf>
    <xf numFmtId="168" fontId="7" fillId="0" borderId="22" xfId="4" applyNumberFormat="1" applyFont="1" applyFill="1" applyBorder="1" applyAlignment="1">
      <alignment horizontal="center" vertical="center" wrapText="1"/>
    </xf>
    <xf numFmtId="168" fontId="7" fillId="0" borderId="23" xfId="4" applyNumberFormat="1" applyFont="1" applyFill="1" applyBorder="1" applyAlignment="1">
      <alignment horizontal="center" vertical="center" wrapText="1"/>
    </xf>
    <xf numFmtId="168" fontId="7" fillId="0" borderId="25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68" fontId="7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2" fontId="4" fillId="0" borderId="15" xfId="4" applyNumberFormat="1" applyFont="1" applyFill="1" applyBorder="1" applyAlignment="1"/>
    <xf numFmtId="168" fontId="4" fillId="0" borderId="19" xfId="4" applyNumberFormat="1" applyFont="1" applyFill="1" applyBorder="1" applyAlignment="1"/>
    <xf numFmtId="168" fontId="4" fillId="3" borderId="0" xfId="4" applyNumberFormat="1" applyFont="1" applyFill="1" applyBorder="1" applyAlignment="1">
      <alignment horizontal="center"/>
    </xf>
    <xf numFmtId="172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1" fontId="4" fillId="0" borderId="19" xfId="4" applyNumberFormat="1" applyFont="1" applyFill="1" applyBorder="1" applyAlignment="1"/>
    <xf numFmtId="171" fontId="4" fillId="0" borderId="15" xfId="4" applyNumberFormat="1" applyFont="1" applyFill="1" applyBorder="1" applyAlignment="1"/>
    <xf numFmtId="0" fontId="4" fillId="0" borderId="8" xfId="1" applyFont="1" applyBorder="1"/>
    <xf numFmtId="173" fontId="4" fillId="0" borderId="22" xfId="4" applyNumberFormat="1" applyFont="1" applyFill="1" applyBorder="1" applyAlignment="1"/>
    <xf numFmtId="173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8" fontId="4" fillId="0" borderId="21" xfId="4" applyNumberFormat="1" applyFont="1" applyFill="1" applyBorder="1" applyAlignment="1"/>
    <xf numFmtId="171" fontId="7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169" fontId="4" fillId="0" borderId="0" xfId="4" applyNumberFormat="1" applyFont="1"/>
    <xf numFmtId="2" fontId="4" fillId="0" borderId="14" xfId="4" applyNumberFormat="1" applyFont="1" applyBorder="1"/>
    <xf numFmtId="2" fontId="4" fillId="6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6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69" fontId="4" fillId="8" borderId="20" xfId="4" applyNumberFormat="1" applyFont="1" applyFill="1" applyBorder="1" applyAlignment="1">
      <alignment horizontal="center"/>
    </xf>
    <xf numFmtId="0" fontId="11" fillId="0" borderId="0" xfId="1" quotePrefix="1" applyFont="1"/>
    <xf numFmtId="168" fontId="7" fillId="0" borderId="16" xfId="4" applyNumberFormat="1" applyFont="1" applyFill="1" applyBorder="1" applyAlignment="1">
      <alignment horizontal="center" vertical="center" wrapText="1"/>
    </xf>
    <xf numFmtId="173" fontId="4" fillId="0" borderId="24" xfId="4" applyNumberFormat="1" applyFont="1" applyFill="1" applyBorder="1" applyAlignment="1"/>
    <xf numFmtId="172" fontId="4" fillId="0" borderId="19" xfId="4" applyNumberFormat="1" applyFont="1" applyFill="1" applyBorder="1" applyAlignment="1"/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69" fontId="4" fillId="0" borderId="5" xfId="10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center"/>
    </xf>
    <xf numFmtId="169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right"/>
    </xf>
    <xf numFmtId="0" fontId="4" fillId="0" borderId="9" xfId="1" applyFont="1" applyBorder="1" applyAlignment="1">
      <alignment horizontal="left"/>
    </xf>
    <xf numFmtId="0" fontId="16" fillId="2" borderId="0" xfId="2" applyFont="1" applyFill="1"/>
    <xf numFmtId="0" fontId="16" fillId="3" borderId="10" xfId="1" applyFont="1" applyFill="1" applyBorder="1"/>
    <xf numFmtId="0" fontId="16" fillId="3" borderId="9" xfId="1" applyFont="1" applyFill="1" applyBorder="1"/>
    <xf numFmtId="0" fontId="16" fillId="3" borderId="9" xfId="2" applyFont="1" applyFill="1" applyBorder="1"/>
    <xf numFmtId="0" fontId="16" fillId="3" borderId="8" xfId="2" applyFont="1" applyFill="1" applyBorder="1"/>
    <xf numFmtId="0" fontId="16" fillId="3" borderId="7" xfId="1" applyFont="1" applyFill="1" applyBorder="1"/>
    <xf numFmtId="0" fontId="16" fillId="3" borderId="0" xfId="1" applyFont="1" applyFill="1" applyBorder="1"/>
    <xf numFmtId="0" fontId="16" fillId="2" borderId="5" xfId="1" applyNumberFormat="1" applyFont="1" applyFill="1" applyBorder="1" applyAlignment="1">
      <alignment horizontal="center" vertical="center"/>
    </xf>
    <xf numFmtId="0" fontId="16" fillId="4" borderId="6" xfId="1" applyNumberFormat="1" applyFont="1" applyFill="1" applyBorder="1" applyAlignment="1" applyProtection="1">
      <alignment horizontal="center" vertical="center"/>
    </xf>
    <xf numFmtId="0" fontId="16" fillId="3" borderId="0" xfId="2" applyFont="1" applyFill="1" applyBorder="1"/>
    <xf numFmtId="0" fontId="16" fillId="3" borderId="4" xfId="2" applyFont="1" applyFill="1" applyBorder="1"/>
    <xf numFmtId="0" fontId="16" fillId="4" borderId="5" xfId="1" applyNumberFormat="1" applyFont="1" applyFill="1" applyBorder="1" applyAlignment="1" applyProtection="1">
      <alignment horizontal="center"/>
    </xf>
    <xf numFmtId="164" fontId="16" fillId="4" borderId="5" xfId="1" applyNumberFormat="1" applyFont="1" applyFill="1" applyBorder="1" applyAlignment="1" applyProtection="1">
      <alignment horizontal="left"/>
    </xf>
    <xf numFmtId="0" fontId="16" fillId="4" borderId="6" xfId="1" applyNumberFormat="1" applyFont="1" applyFill="1" applyBorder="1" applyAlignment="1" applyProtection="1"/>
    <xf numFmtId="169" fontId="18" fillId="0" borderId="16" xfId="12" applyNumberFormat="1" applyFont="1" applyFill="1" applyBorder="1" applyAlignment="1">
      <alignment horizontal="center" vertical="center" wrapText="1"/>
    </xf>
    <xf numFmtId="169" fontId="18" fillId="0" borderId="17" xfId="12" applyNumberFormat="1" applyFont="1" applyFill="1" applyBorder="1" applyAlignment="1">
      <alignment horizontal="center" vertical="center" wrapText="1"/>
    </xf>
    <xf numFmtId="169" fontId="18" fillId="0" borderId="6" xfId="12" applyNumberFormat="1" applyFont="1" applyFill="1" applyBorder="1" applyAlignment="1">
      <alignment horizontal="center" vertical="center" wrapText="1"/>
    </xf>
    <xf numFmtId="0" fontId="16" fillId="2" borderId="5" xfId="1" applyNumberFormat="1" applyFont="1" applyFill="1" applyBorder="1" applyAlignment="1"/>
    <xf numFmtId="0" fontId="16" fillId="4" borderId="14" xfId="1" applyNumberFormat="1" applyFont="1" applyFill="1" applyBorder="1" applyAlignment="1" applyProtection="1"/>
    <xf numFmtId="169" fontId="16" fillId="0" borderId="25" xfId="12" applyNumberFormat="1" applyFont="1" applyFill="1" applyBorder="1" applyAlignment="1">
      <alignment horizontal="center"/>
    </xf>
    <xf numFmtId="169" fontId="16" fillId="0" borderId="0" xfId="12" applyNumberFormat="1" applyFont="1" applyFill="1" applyBorder="1" applyAlignment="1"/>
    <xf numFmtId="176" fontId="16" fillId="0" borderId="0" xfId="12" applyNumberFormat="1" applyFont="1" applyFill="1" applyBorder="1" applyAlignment="1"/>
    <xf numFmtId="168" fontId="16" fillId="0" borderId="0" xfId="12" applyNumberFormat="1" applyFont="1" applyFill="1" applyBorder="1" applyAlignment="1"/>
    <xf numFmtId="169" fontId="16" fillId="0" borderId="21" xfId="12" applyNumberFormat="1" applyFont="1" applyFill="1" applyBorder="1" applyAlignment="1"/>
    <xf numFmtId="169" fontId="16" fillId="0" borderId="20" xfId="12" applyNumberFormat="1" applyFont="1" applyFill="1" applyBorder="1" applyAlignment="1"/>
    <xf numFmtId="169" fontId="16" fillId="0" borderId="26" xfId="12" applyNumberFormat="1" applyFont="1" applyFill="1" applyBorder="1" applyAlignment="1">
      <alignment horizontal="center"/>
    </xf>
    <xf numFmtId="0" fontId="16" fillId="3" borderId="3" xfId="1" applyFont="1" applyFill="1" applyBorder="1"/>
    <xf numFmtId="0" fontId="16" fillId="3" borderId="2" xfId="1" applyFont="1" applyFill="1" applyBorder="1"/>
    <xf numFmtId="0" fontId="16" fillId="3" borderId="1" xfId="1" applyFont="1" applyFill="1" applyBorder="1"/>
    <xf numFmtId="0" fontId="16" fillId="2" borderId="0" xfId="1" applyFont="1" applyFill="1"/>
    <xf numFmtId="0" fontId="19" fillId="3" borderId="0" xfId="2" applyFont="1" applyFill="1" applyBorder="1" applyAlignment="1">
      <alignment horizontal="center"/>
    </xf>
    <xf numFmtId="0" fontId="16" fillId="9" borderId="14" xfId="1" applyNumberFormat="1" applyFont="1" applyFill="1" applyBorder="1" applyAlignment="1" applyProtection="1"/>
    <xf numFmtId="169" fontId="18" fillId="0" borderId="25" xfId="12" applyNumberFormat="1" applyFont="1" applyFill="1" applyBorder="1" applyAlignment="1">
      <alignment horizontal="center" vertical="center" wrapText="1"/>
    </xf>
    <xf numFmtId="0" fontId="16" fillId="3" borderId="23" xfId="2" applyFont="1" applyFill="1" applyBorder="1"/>
    <xf numFmtId="0" fontId="17" fillId="3" borderId="5" xfId="1" applyNumberFormat="1" applyFont="1" applyFill="1" applyBorder="1" applyAlignment="1">
      <alignment horizontal="center" vertical="center" wrapText="1"/>
    </xf>
    <xf numFmtId="0" fontId="16" fillId="3" borderId="0" xfId="2" applyFont="1" applyFill="1" applyBorder="1" applyAlignment="1">
      <alignment horizontal="center" vertical="center" wrapText="1"/>
    </xf>
    <xf numFmtId="0" fontId="16" fillId="0" borderId="0" xfId="11" applyFont="1" applyBorder="1" applyAlignment="1"/>
    <xf numFmtId="0" fontId="16" fillId="3" borderId="26" xfId="2" applyFont="1" applyFill="1" applyBorder="1"/>
    <xf numFmtId="0" fontId="16" fillId="3" borderId="26" xfId="1" applyFont="1" applyFill="1" applyBorder="1"/>
    <xf numFmtId="0" fontId="16" fillId="3" borderId="10" xfId="2" applyFont="1" applyFill="1" applyBorder="1"/>
    <xf numFmtId="0" fontId="18" fillId="3" borderId="9" xfId="2" applyFont="1" applyFill="1" applyBorder="1"/>
    <xf numFmtId="0" fontId="16" fillId="3" borderId="7" xfId="2" applyFont="1" applyFill="1" applyBorder="1"/>
    <xf numFmtId="0" fontId="16" fillId="2" borderId="5" xfId="13" applyNumberFormat="1" applyFont="1" applyFill="1" applyBorder="1"/>
    <xf numFmtId="0" fontId="16" fillId="4" borderId="6" xfId="13" applyNumberFormat="1" applyFont="1" applyFill="1" applyBorder="1" applyAlignment="1" applyProtection="1">
      <alignment horizontal="center"/>
    </xf>
    <xf numFmtId="0" fontId="16" fillId="4" borderId="5" xfId="13" applyNumberFormat="1" applyFont="1" applyFill="1" applyBorder="1" applyAlignment="1" applyProtection="1">
      <alignment horizontal="center"/>
    </xf>
    <xf numFmtId="0" fontId="16" fillId="3" borderId="5" xfId="2" applyFont="1" applyFill="1" applyBorder="1"/>
    <xf numFmtId="0" fontId="17" fillId="3" borderId="5" xfId="13" applyFont="1" applyFill="1" applyBorder="1" applyAlignment="1">
      <alignment horizontal="center"/>
    </xf>
    <xf numFmtId="0" fontId="16" fillId="4" borderId="5" xfId="13" applyNumberFormat="1" applyFont="1" applyFill="1" applyBorder="1" applyAlignment="1" applyProtection="1"/>
    <xf numFmtId="0" fontId="16" fillId="2" borderId="5" xfId="13" applyFont="1" applyFill="1" applyBorder="1" applyAlignment="1">
      <alignment horizontal="center"/>
    </xf>
    <xf numFmtId="0" fontId="16" fillId="2" borderId="5" xfId="2" applyFont="1" applyFill="1" applyBorder="1"/>
    <xf numFmtId="0" fontId="16" fillId="4" borderId="6" xfId="13" applyNumberFormat="1" applyFont="1" applyFill="1" applyBorder="1" applyAlignment="1" applyProtection="1"/>
    <xf numFmtId="0" fontId="16" fillId="3" borderId="4" xfId="13" applyFont="1" applyFill="1" applyBorder="1"/>
    <xf numFmtId="0" fontId="16" fillId="3" borderId="3" xfId="13" applyFont="1" applyFill="1" applyBorder="1"/>
    <xf numFmtId="0" fontId="16" fillId="3" borderId="2" xfId="13" applyFont="1" applyFill="1" applyBorder="1"/>
    <xf numFmtId="0" fontId="16" fillId="3" borderId="1" xfId="13" applyFont="1" applyFill="1" applyBorder="1"/>
    <xf numFmtId="0" fontId="16" fillId="2" borderId="0" xfId="13" applyFont="1" applyFill="1"/>
    <xf numFmtId="0" fontId="4" fillId="0" borderId="16" xfId="4" applyNumberFormat="1" applyFont="1" applyFill="1" applyBorder="1" applyAlignment="1">
      <alignment horizontal="center"/>
    </xf>
    <xf numFmtId="169" fontId="4" fillId="0" borderId="17" xfId="4" applyNumberFormat="1" applyFont="1" applyFill="1" applyBorder="1" applyAlignment="1"/>
    <xf numFmtId="168" fontId="4" fillId="0" borderId="5" xfId="4" applyNumberFormat="1" applyFont="1" applyBorder="1"/>
    <xf numFmtId="0" fontId="7" fillId="3" borderId="16" xfId="1" applyFont="1" applyFill="1" applyBorder="1" applyAlignment="1"/>
    <xf numFmtId="2" fontId="4" fillId="10" borderId="20" xfId="4" applyNumberFormat="1" applyFont="1" applyFill="1" applyBorder="1" applyAlignment="1">
      <alignment horizontal="center"/>
    </xf>
    <xf numFmtId="2" fontId="4" fillId="10" borderId="15" xfId="4" applyNumberFormat="1" applyFont="1" applyFill="1" applyBorder="1" applyAlignment="1">
      <alignment horizontal="center"/>
    </xf>
    <xf numFmtId="0" fontId="16" fillId="7" borderId="10" xfId="1" applyFont="1" applyFill="1" applyBorder="1"/>
    <xf numFmtId="0" fontId="16" fillId="7" borderId="9" xfId="1" applyFont="1" applyFill="1" applyBorder="1"/>
    <xf numFmtId="0" fontId="16" fillId="7" borderId="8" xfId="1" applyFont="1" applyFill="1" applyBorder="1"/>
    <xf numFmtId="0" fontId="16" fillId="7" borderId="7" xfId="2" applyFont="1" applyFill="1" applyBorder="1"/>
    <xf numFmtId="0" fontId="16" fillId="7" borderId="0" xfId="2" applyFont="1" applyFill="1" applyBorder="1"/>
    <xf numFmtId="0" fontId="16" fillId="7" borderId="9" xfId="2" applyFont="1" applyFill="1" applyBorder="1"/>
    <xf numFmtId="0" fontId="16" fillId="7" borderId="0" xfId="1" applyFont="1" applyFill="1" applyBorder="1"/>
    <xf numFmtId="176" fontId="16" fillId="7" borderId="10" xfId="12" applyNumberFormat="1" applyFont="1" applyFill="1" applyBorder="1" applyAlignment="1"/>
    <xf numFmtId="0" fontId="16" fillId="7" borderId="11" xfId="1" applyFont="1" applyFill="1" applyBorder="1"/>
    <xf numFmtId="0" fontId="16" fillId="7" borderId="0" xfId="1" applyFont="1" applyFill="1"/>
    <xf numFmtId="0" fontId="16" fillId="7" borderId="4" xfId="1" applyFont="1" applyFill="1" applyBorder="1"/>
    <xf numFmtId="0" fontId="16" fillId="7" borderId="32" xfId="1" applyFont="1" applyFill="1" applyBorder="1"/>
    <xf numFmtId="168" fontId="16" fillId="7" borderId="33" xfId="12" applyNumberFormat="1" applyFont="1" applyFill="1" applyBorder="1" applyAlignment="1"/>
    <xf numFmtId="0" fontId="16" fillId="7" borderId="7" xfId="1" applyFont="1" applyFill="1" applyBorder="1"/>
    <xf numFmtId="0" fontId="16" fillId="4" borderId="5" xfId="1" applyNumberFormat="1" applyFont="1" applyFill="1" applyBorder="1" applyAlignment="1" applyProtection="1"/>
    <xf numFmtId="176" fontId="16" fillId="7" borderId="34" xfId="12" applyNumberFormat="1" applyFont="1" applyFill="1" applyBorder="1" applyAlignment="1">
      <alignment horizontal="center" vertical="center" wrapText="1"/>
    </xf>
    <xf numFmtId="168" fontId="16" fillId="7" borderId="27" xfId="12" applyNumberFormat="1" applyFont="1" applyFill="1" applyBorder="1" applyAlignment="1">
      <alignment horizontal="center" vertical="center" wrapText="1"/>
    </xf>
    <xf numFmtId="176" fontId="16" fillId="7" borderId="35" xfId="12" applyNumberFormat="1" applyFont="1" applyFill="1" applyBorder="1" applyAlignment="1">
      <alignment horizontal="center" vertical="center"/>
    </xf>
    <xf numFmtId="168" fontId="16" fillId="7" borderId="36" xfId="12" applyNumberFormat="1" applyFont="1" applyFill="1" applyBorder="1" applyAlignment="1">
      <alignment vertical="center"/>
    </xf>
    <xf numFmtId="0" fontId="16" fillId="7" borderId="3" xfId="2" applyFont="1" applyFill="1" applyBorder="1"/>
    <xf numFmtId="0" fontId="16" fillId="7" borderId="2" xfId="2" applyFont="1" applyFill="1" applyBorder="1"/>
    <xf numFmtId="0" fontId="16" fillId="7" borderId="2" xfId="1" applyFont="1" applyFill="1" applyBorder="1"/>
    <xf numFmtId="0" fontId="16" fillId="7" borderId="1" xfId="1" applyFont="1" applyFill="1" applyBorder="1"/>
    <xf numFmtId="0" fontId="7" fillId="7" borderId="16" xfId="1" applyFont="1" applyFill="1" applyBorder="1" applyAlignment="1">
      <alignment horizontal="center" vertical="center" wrapText="1"/>
    </xf>
    <xf numFmtId="0" fontId="4" fillId="7" borderId="0" xfId="1" applyFont="1" applyFill="1" applyBorder="1" applyAlignment="1">
      <alignment horizontal="center"/>
    </xf>
    <xf numFmtId="168" fontId="7" fillId="7" borderId="5" xfId="4" applyNumberFormat="1" applyFont="1" applyFill="1" applyBorder="1" applyAlignment="1">
      <alignment horizontal="center" vertical="center" wrapText="1"/>
    </xf>
    <xf numFmtId="0" fontId="7" fillId="7" borderId="6" xfId="1" applyFont="1" applyFill="1" applyBorder="1" applyAlignment="1">
      <alignment horizontal="center" vertical="center" wrapText="1"/>
    </xf>
    <xf numFmtId="168" fontId="4" fillId="7" borderId="26" xfId="4" applyNumberFormat="1" applyFont="1" applyFill="1" applyBorder="1"/>
    <xf numFmtId="168" fontId="4" fillId="7" borderId="21" xfId="4" applyNumberFormat="1" applyFont="1" applyFill="1" applyBorder="1" applyAlignment="1">
      <alignment horizontal="center"/>
    </xf>
    <xf numFmtId="169" fontId="4" fillId="7" borderId="20" xfId="4" applyNumberFormat="1" applyFont="1" applyFill="1" applyBorder="1" applyAlignment="1">
      <alignment horizontal="center"/>
    </xf>
    <xf numFmtId="168" fontId="4" fillId="7" borderId="14" xfId="4" applyNumberFormat="1" applyFont="1" applyFill="1" applyBorder="1"/>
    <xf numFmtId="168" fontId="4" fillId="7" borderId="19" xfId="4" applyNumberFormat="1" applyFont="1" applyFill="1" applyBorder="1" applyAlignment="1">
      <alignment horizontal="center"/>
    </xf>
    <xf numFmtId="169" fontId="4" fillId="7" borderId="15" xfId="4" applyNumberFormat="1" applyFont="1" applyFill="1" applyBorder="1" applyAlignment="1">
      <alignment horizontal="center"/>
    </xf>
    <xf numFmtId="0" fontId="7" fillId="7" borderId="5" xfId="1" applyFont="1" applyFill="1" applyBorder="1" applyAlignment="1">
      <alignment horizontal="center" vertical="center" wrapText="1"/>
    </xf>
    <xf numFmtId="169" fontId="7" fillId="7" borderId="5" xfId="4" applyNumberFormat="1" applyFont="1" applyFill="1" applyBorder="1" applyAlignment="1">
      <alignment horizontal="center" vertical="center" wrapText="1"/>
    </xf>
    <xf numFmtId="0" fontId="4" fillId="7" borderId="26" xfId="4" applyNumberFormat="1" applyFont="1" applyFill="1" applyBorder="1" applyAlignment="1">
      <alignment horizontal="center"/>
    </xf>
    <xf numFmtId="169" fontId="4" fillId="7" borderId="26" xfId="4" applyNumberFormat="1" applyFont="1" applyFill="1" applyBorder="1" applyAlignment="1"/>
    <xf numFmtId="168" fontId="4" fillId="7" borderId="26" xfId="4" applyNumberFormat="1" applyFont="1" applyFill="1" applyBorder="1" applyAlignment="1">
      <alignment horizontal="center"/>
    </xf>
    <xf numFmtId="0" fontId="4" fillId="7" borderId="14" xfId="4" applyNumberFormat="1" applyFont="1" applyFill="1" applyBorder="1" applyAlignment="1">
      <alignment horizontal="center"/>
    </xf>
    <xf numFmtId="169" fontId="4" fillId="7" borderId="14" xfId="4" applyNumberFormat="1" applyFont="1" applyFill="1" applyBorder="1" applyAlignment="1"/>
    <xf numFmtId="168" fontId="4" fillId="7" borderId="14" xfId="4" applyNumberFormat="1" applyFont="1" applyFill="1" applyBorder="1" applyAlignment="1">
      <alignment horizontal="center"/>
    </xf>
    <xf numFmtId="0" fontId="16" fillId="3" borderId="25" xfId="1" applyFont="1" applyFill="1" applyBorder="1" applyAlignment="1">
      <alignment horizontal="center"/>
    </xf>
    <xf numFmtId="0" fontId="16" fillId="3" borderId="4" xfId="1" applyFont="1" applyFill="1" applyBorder="1"/>
    <xf numFmtId="0" fontId="16" fillId="3" borderId="26" xfId="1" applyFont="1" applyFill="1" applyBorder="1" applyAlignment="1">
      <alignment horizontal="center"/>
    </xf>
    <xf numFmtId="0" fontId="16" fillId="3" borderId="14" xfId="1" applyFont="1" applyFill="1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16" fillId="3" borderId="0" xfId="1" applyFont="1" applyFill="1" applyBorder="1" applyAlignment="1">
      <alignment horizontal="center"/>
    </xf>
    <xf numFmtId="0" fontId="16" fillId="12" borderId="25" xfId="1" applyFont="1" applyFill="1" applyBorder="1" applyAlignment="1"/>
    <xf numFmtId="0" fontId="16" fillId="12" borderId="5" xfId="1" applyFont="1" applyFill="1" applyBorder="1" applyAlignment="1"/>
    <xf numFmtId="0" fontId="16" fillId="12" borderId="26" xfId="1" applyFont="1" applyFill="1" applyBorder="1" applyAlignment="1"/>
    <xf numFmtId="0" fontId="16" fillId="12" borderId="14" xfId="1" applyFont="1" applyFill="1" applyBorder="1" applyAlignment="1"/>
    <xf numFmtId="0" fontId="16" fillId="3" borderId="8" xfId="1" applyFont="1" applyFill="1" applyBorder="1"/>
    <xf numFmtId="0" fontId="18" fillId="11" borderId="16" xfId="1" applyFont="1" applyFill="1" applyBorder="1" applyAlignment="1">
      <alignment horizontal="centerContinuous" vertical="center"/>
    </xf>
    <xf numFmtId="0" fontId="18" fillId="11" borderId="6" xfId="1" applyFont="1" applyFill="1" applyBorder="1" applyAlignment="1">
      <alignment horizontal="centerContinuous" vertical="center"/>
    </xf>
    <xf numFmtId="15" fontId="16" fillId="3" borderId="4" xfId="1" applyNumberFormat="1" applyFont="1" applyFill="1" applyBorder="1"/>
    <xf numFmtId="0" fontId="20" fillId="3" borderId="0" xfId="1" applyFont="1" applyFill="1" applyBorder="1" applyAlignment="1">
      <alignment horizontal="right"/>
    </xf>
    <xf numFmtId="0" fontId="21" fillId="3" borderId="0" xfId="1" quotePrefix="1" applyFont="1" applyFill="1" applyBorder="1" applyAlignment="1">
      <alignment horizontal="center"/>
    </xf>
    <xf numFmtId="0" fontId="16" fillId="3" borderId="7" xfId="11" applyFont="1" applyFill="1" applyBorder="1"/>
    <xf numFmtId="0" fontId="16" fillId="3" borderId="4" xfId="11" applyFont="1" applyFill="1" applyBorder="1"/>
    <xf numFmtId="0" fontId="22" fillId="11" borderId="29" xfId="1" applyFont="1" applyFill="1" applyBorder="1" applyAlignment="1">
      <alignment horizontal="centerContinuous" vertical="center"/>
    </xf>
    <xf numFmtId="0" fontId="18" fillId="11" borderId="30" xfId="1" applyFont="1" applyFill="1" applyBorder="1" applyAlignment="1">
      <alignment horizontal="centerContinuous" vertical="center"/>
    </xf>
    <xf numFmtId="0" fontId="18" fillId="11" borderId="31" xfId="1" applyFont="1" applyFill="1" applyBorder="1" applyAlignment="1">
      <alignment horizontal="centerContinuous" vertical="center"/>
    </xf>
    <xf numFmtId="175" fontId="16" fillId="3" borderId="25" xfId="1" applyNumberFormat="1" applyFont="1" applyFill="1" applyBorder="1" applyAlignment="1">
      <alignment horizontal="center"/>
    </xf>
    <xf numFmtId="171" fontId="16" fillId="3" borderId="14" xfId="1" applyNumberFormat="1" applyFont="1" applyFill="1" applyBorder="1" applyAlignment="1">
      <alignment horizontal="center"/>
    </xf>
    <xf numFmtId="0" fontId="16" fillId="12" borderId="21" xfId="1" applyFont="1" applyFill="1" applyBorder="1" applyAlignment="1"/>
    <xf numFmtId="0" fontId="16" fillId="12" borderId="19" xfId="1" applyFont="1" applyFill="1" applyBorder="1" applyAlignment="1"/>
    <xf numFmtId="0" fontId="16" fillId="0" borderId="0" xfId="1" applyFont="1"/>
    <xf numFmtId="0" fontId="16" fillId="3" borderId="7" xfId="1" applyFont="1" applyFill="1" applyBorder="1" applyAlignment="1">
      <alignment horizontal="left"/>
    </xf>
    <xf numFmtId="0" fontId="16" fillId="3" borderId="23" xfId="1" applyFont="1" applyFill="1" applyBorder="1"/>
    <xf numFmtId="0" fontId="16" fillId="3" borderId="7" xfId="1" applyFont="1" applyFill="1" applyBorder="1" applyAlignment="1">
      <alignment horizontal="center"/>
    </xf>
    <xf numFmtId="0" fontId="16" fillId="3" borderId="0" xfId="1" applyFont="1" applyFill="1"/>
    <xf numFmtId="0" fontId="16" fillId="3" borderId="21" xfId="1" applyFont="1" applyFill="1" applyBorder="1" applyAlignment="1">
      <alignment horizontal="center"/>
    </xf>
    <xf numFmtId="0" fontId="16" fillId="3" borderId="20" xfId="1" applyFont="1" applyFill="1" applyBorder="1" applyAlignment="1">
      <alignment horizontal="center"/>
    </xf>
    <xf numFmtId="0" fontId="16" fillId="0" borderId="24" xfId="4" applyNumberFormat="1" applyFont="1" applyFill="1" applyBorder="1" applyAlignment="1">
      <alignment horizontal="center"/>
    </xf>
    <xf numFmtId="0" fontId="16" fillId="0" borderId="21" xfId="4" applyNumberFormat="1" applyFont="1" applyFill="1" applyBorder="1" applyAlignment="1">
      <alignment horizontal="center"/>
    </xf>
    <xf numFmtId="0" fontId="16" fillId="0" borderId="19" xfId="4" applyNumberFormat="1" applyFont="1" applyFill="1" applyBorder="1" applyAlignment="1">
      <alignment horizontal="center"/>
    </xf>
    <xf numFmtId="169" fontId="16" fillId="0" borderId="22" xfId="4" applyNumberFormat="1" applyFont="1" applyFill="1" applyBorder="1" applyAlignment="1"/>
    <xf numFmtId="169" fontId="16" fillId="0" borderId="20" xfId="4" applyNumberFormat="1" applyFont="1" applyFill="1" applyBorder="1" applyAlignment="1"/>
    <xf numFmtId="169" fontId="16" fillId="0" borderId="15" xfId="4" applyNumberFormat="1" applyFont="1" applyFill="1" applyBorder="1" applyAlignment="1"/>
    <xf numFmtId="169" fontId="16" fillId="0" borderId="25" xfId="4" applyNumberFormat="1" applyFont="1" applyFill="1" applyBorder="1" applyAlignment="1"/>
    <xf numFmtId="169" fontId="16" fillId="0" borderId="26" xfId="4" applyNumberFormat="1" applyFont="1" applyFill="1" applyBorder="1" applyAlignment="1"/>
    <xf numFmtId="169" fontId="16" fillId="0" borderId="14" xfId="4" applyNumberFormat="1" applyFont="1" applyFill="1" applyBorder="1" applyAlignment="1"/>
    <xf numFmtId="168" fontId="16" fillId="0" borderId="25" xfId="4" applyNumberFormat="1" applyFont="1" applyFill="1" applyBorder="1" applyAlignment="1"/>
    <xf numFmtId="168" fontId="16" fillId="0" borderId="26" xfId="4" applyNumberFormat="1" applyFont="1" applyFill="1" applyBorder="1" applyAlignment="1"/>
    <xf numFmtId="168" fontId="16" fillId="0" borderId="14" xfId="4" applyNumberFormat="1" applyFont="1" applyFill="1" applyBorder="1" applyAlignment="1"/>
    <xf numFmtId="0" fontId="16" fillId="11" borderId="5" xfId="1" applyFont="1" applyFill="1" applyBorder="1" applyAlignment="1">
      <alignment vertical="center"/>
    </xf>
    <xf numFmtId="0" fontId="16" fillId="11" borderId="5" xfId="1" applyNumberFormat="1" applyFont="1" applyFill="1" applyBorder="1" applyAlignment="1" applyProtection="1">
      <alignment horizontal="center" vertical="center"/>
    </xf>
    <xf numFmtId="0" fontId="21" fillId="11" borderId="5" xfId="1" applyNumberFormat="1" applyFont="1" applyFill="1" applyBorder="1" applyAlignment="1" applyProtection="1">
      <alignment vertical="center"/>
    </xf>
    <xf numFmtId="0" fontId="18" fillId="10" borderId="5" xfId="1" applyFont="1" applyFill="1" applyBorder="1" applyAlignment="1">
      <alignment horizontal="center" vertical="center" wrapText="1"/>
    </xf>
    <xf numFmtId="0" fontId="16" fillId="11" borderId="5" xfId="1" applyFont="1" applyFill="1" applyBorder="1" applyAlignment="1">
      <alignment horizontal="center"/>
    </xf>
    <xf numFmtId="0" fontId="16" fillId="11" borderId="16" xfId="1" applyFont="1" applyFill="1" applyBorder="1" applyAlignment="1">
      <alignment horizontal="center"/>
    </xf>
    <xf numFmtId="168" fontId="18" fillId="11" borderId="5" xfId="4" applyNumberFormat="1" applyFont="1" applyFill="1" applyBorder="1" applyAlignment="1">
      <alignment horizontal="center" vertical="center" wrapText="1"/>
    </xf>
    <xf numFmtId="169" fontId="18" fillId="11" borderId="5" xfId="4" applyNumberFormat="1" applyFont="1" applyFill="1" applyBorder="1" applyAlignment="1">
      <alignment horizontal="center" vertical="center" wrapText="1"/>
    </xf>
    <xf numFmtId="169" fontId="18" fillId="11" borderId="6" xfId="4" applyNumberFormat="1" applyFont="1" applyFill="1" applyBorder="1" applyAlignment="1">
      <alignment horizontal="center" vertical="center" wrapText="1"/>
    </xf>
    <xf numFmtId="0" fontId="16" fillId="13" borderId="25" xfId="1" applyFont="1" applyFill="1" applyBorder="1" applyAlignment="1"/>
    <xf numFmtId="0" fontId="16" fillId="13" borderId="25" xfId="1" applyNumberFormat="1" applyFont="1" applyFill="1" applyBorder="1" applyAlignment="1"/>
    <xf numFmtId="164" fontId="21" fillId="13" borderId="25" xfId="1" applyNumberFormat="1" applyFont="1" applyFill="1" applyBorder="1" applyAlignment="1" applyProtection="1">
      <alignment horizontal="left"/>
    </xf>
    <xf numFmtId="0" fontId="16" fillId="13" borderId="26" xfId="1" applyFont="1" applyFill="1" applyBorder="1" applyAlignment="1"/>
    <xf numFmtId="0" fontId="16" fillId="13" borderId="26" xfId="1" applyNumberFormat="1" applyFont="1" applyFill="1" applyBorder="1" applyAlignment="1"/>
    <xf numFmtId="164" fontId="21" fillId="13" borderId="26" xfId="1" applyNumberFormat="1" applyFont="1" applyFill="1" applyBorder="1" applyAlignment="1" applyProtection="1">
      <alignment horizontal="left"/>
    </xf>
    <xf numFmtId="0" fontId="16" fillId="13" borderId="14" xfId="1" applyFont="1" applyFill="1" applyBorder="1" applyAlignment="1"/>
    <xf numFmtId="0" fontId="16" fillId="13" borderId="14" xfId="1" applyNumberFormat="1" applyFont="1" applyFill="1" applyBorder="1" applyAlignment="1"/>
    <xf numFmtId="164" fontId="21" fillId="13" borderId="14" xfId="1" applyNumberFormat="1" applyFont="1" applyFill="1" applyBorder="1" applyAlignment="1" applyProtection="1">
      <alignment horizontal="left"/>
    </xf>
    <xf numFmtId="0" fontId="16" fillId="0" borderId="0" xfId="1" applyFont="1" applyAlignment="1">
      <alignment horizontal="center" vertical="center"/>
    </xf>
    <xf numFmtId="10" fontId="16" fillId="0" borderId="0" xfId="4" applyNumberFormat="1" applyFont="1"/>
    <xf numFmtId="0" fontId="16" fillId="11" borderId="16" xfId="1" applyFont="1" applyFill="1" applyBorder="1" applyAlignment="1">
      <alignment vertical="center"/>
    </xf>
    <xf numFmtId="0" fontId="16" fillId="11" borderId="6" xfId="1" applyFont="1" applyFill="1" applyBorder="1" applyAlignment="1">
      <alignment vertical="center"/>
    </xf>
    <xf numFmtId="0" fontId="16" fillId="3" borderId="7" xfId="1" applyFont="1" applyFill="1" applyBorder="1"/>
    <xf numFmtId="0" fontId="16" fillId="3" borderId="3" xfId="1" applyFont="1" applyFill="1" applyBorder="1"/>
    <xf numFmtId="0" fontId="16" fillId="3" borderId="2" xfId="1" applyFont="1" applyFill="1" applyBorder="1"/>
    <xf numFmtId="0" fontId="16" fillId="3" borderId="1" xfId="1" applyFont="1" applyFill="1" applyBorder="1"/>
    <xf numFmtId="15" fontId="16" fillId="3" borderId="4" xfId="1" applyNumberFormat="1" applyFont="1" applyFill="1" applyBorder="1"/>
    <xf numFmtId="0" fontId="16" fillId="11" borderId="5" xfId="1" applyFont="1" applyFill="1" applyBorder="1"/>
    <xf numFmtId="0" fontId="16" fillId="11" borderId="5" xfId="1" applyFont="1" applyFill="1" applyBorder="1" applyAlignment="1">
      <alignment vertical="center"/>
    </xf>
    <xf numFmtId="0" fontId="16" fillId="11" borderId="5" xfId="1" applyNumberFormat="1" applyFont="1" applyFill="1" applyBorder="1" applyAlignment="1" applyProtection="1">
      <alignment horizontal="center" vertical="center"/>
    </xf>
    <xf numFmtId="0" fontId="21" fillId="11" borderId="5" xfId="1" applyNumberFormat="1" applyFont="1" applyFill="1" applyBorder="1" applyAlignment="1" applyProtection="1">
      <alignment vertical="center"/>
    </xf>
    <xf numFmtId="0" fontId="18" fillId="11" borderId="5" xfId="1" applyFont="1" applyFill="1" applyBorder="1" applyAlignment="1">
      <alignment horizontal="center" vertical="center" wrapText="1"/>
    </xf>
    <xf numFmtId="0" fontId="16" fillId="7" borderId="7" xfId="1" applyFont="1" applyFill="1" applyBorder="1"/>
    <xf numFmtId="0" fontId="16" fillId="0" borderId="5" xfId="1" applyFont="1" applyFill="1" applyBorder="1" applyAlignment="1">
      <alignment horizontal="center"/>
    </xf>
    <xf numFmtId="0" fontId="18" fillId="10" borderId="5" xfId="1" applyFont="1" applyFill="1" applyBorder="1" applyAlignment="1">
      <alignment horizontal="center" vertical="center" wrapText="1"/>
    </xf>
    <xf numFmtId="0" fontId="18" fillId="11" borderId="17" xfId="1" applyFont="1" applyFill="1" applyBorder="1" applyAlignment="1">
      <alignment horizontal="center" vertical="center" wrapText="1"/>
    </xf>
    <xf numFmtId="0" fontId="18" fillId="11" borderId="6" xfId="1" applyFont="1" applyFill="1" applyBorder="1" applyAlignment="1">
      <alignment horizontal="center" vertical="center" wrapText="1"/>
    </xf>
    <xf numFmtId="168" fontId="18" fillId="11" borderId="16" xfId="4" applyNumberFormat="1" applyFont="1" applyFill="1" applyBorder="1" applyAlignment="1">
      <alignment horizontal="center" vertical="center" wrapText="1"/>
    </xf>
    <xf numFmtId="168" fontId="18" fillId="11" borderId="17" xfId="4" applyNumberFormat="1" applyFont="1" applyFill="1" applyBorder="1" applyAlignment="1">
      <alignment horizontal="center" vertical="center" wrapText="1"/>
    </xf>
    <xf numFmtId="168" fontId="18" fillId="11" borderId="6" xfId="4" applyNumberFormat="1" applyFont="1" applyFill="1" applyBorder="1" applyAlignment="1">
      <alignment horizontal="center" vertical="center" wrapText="1"/>
    </xf>
    <xf numFmtId="0" fontId="16" fillId="0" borderId="0" xfId="1" applyFont="1" applyAlignment="1">
      <alignment horizontal="left"/>
    </xf>
    <xf numFmtId="0" fontId="16" fillId="0" borderId="0" xfId="1" applyFont="1" applyFill="1"/>
    <xf numFmtId="0" fontId="16" fillId="0" borderId="0" xfId="1" applyFont="1" applyFill="1" applyBorder="1" applyAlignment="1">
      <alignment horizontal="center"/>
    </xf>
    <xf numFmtId="168" fontId="16" fillId="0" borderId="25" xfId="4" applyNumberFormat="1" applyFont="1" applyFill="1" applyBorder="1"/>
    <xf numFmtId="168" fontId="16" fillId="0" borderId="26" xfId="4" applyNumberFormat="1" applyFont="1" applyFill="1" applyBorder="1"/>
    <xf numFmtId="168" fontId="16" fillId="0" borderId="14" xfId="4" applyNumberFormat="1" applyFont="1" applyFill="1" applyBorder="1"/>
    <xf numFmtId="0" fontId="16" fillId="0" borderId="5" xfId="1" applyFont="1" applyFill="1" applyBorder="1"/>
    <xf numFmtId="0" fontId="16" fillId="13" borderId="24" xfId="1" applyNumberFormat="1" applyFont="1" applyFill="1" applyBorder="1" applyAlignment="1"/>
    <xf numFmtId="0" fontId="16" fillId="13" borderId="23" xfId="1" applyNumberFormat="1" applyFont="1" applyFill="1" applyBorder="1" applyAlignment="1"/>
    <xf numFmtId="0" fontId="21" fillId="13" borderId="25" xfId="1" applyNumberFormat="1" applyFont="1" applyFill="1" applyBorder="1" applyAlignment="1" applyProtection="1"/>
    <xf numFmtId="0" fontId="16" fillId="13" borderId="21" xfId="1" applyNumberFormat="1" applyFont="1" applyFill="1" applyBorder="1" applyAlignment="1"/>
    <xf numFmtId="0" fontId="16" fillId="13" borderId="0" xfId="1" applyNumberFormat="1" applyFont="1" applyFill="1" applyBorder="1" applyAlignment="1"/>
    <xf numFmtId="0" fontId="21" fillId="13" borderId="26" xfId="1" applyNumberFormat="1" applyFont="1" applyFill="1" applyBorder="1" applyAlignment="1" applyProtection="1"/>
    <xf numFmtId="0" fontId="16" fillId="13" borderId="19" xfId="1" applyNumberFormat="1" applyFont="1" applyFill="1" applyBorder="1" applyAlignment="1"/>
    <xf numFmtId="0" fontId="16" fillId="13" borderId="18" xfId="1" applyNumberFormat="1" applyFont="1" applyFill="1" applyBorder="1" applyAlignment="1"/>
    <xf numFmtId="0" fontId="21" fillId="13" borderId="14" xfId="1" applyNumberFormat="1" applyFont="1" applyFill="1" applyBorder="1" applyAlignment="1" applyProtection="1"/>
    <xf numFmtId="0" fontId="16" fillId="13" borderId="22" xfId="1" applyNumberFormat="1" applyFont="1" applyFill="1" applyBorder="1" applyAlignment="1"/>
    <xf numFmtId="0" fontId="16" fillId="13" borderId="20" xfId="1" applyNumberFormat="1" applyFont="1" applyFill="1" applyBorder="1" applyAlignment="1"/>
    <xf numFmtId="0" fontId="16" fillId="13" borderId="15" xfId="1" applyNumberFormat="1" applyFont="1" applyFill="1" applyBorder="1" applyAlignment="1"/>
    <xf numFmtId="0" fontId="16" fillId="7" borderId="21" xfId="4" applyNumberFormat="1" applyFont="1" applyFill="1" applyBorder="1" applyAlignment="1">
      <alignment horizontal="center"/>
    </xf>
    <xf numFmtId="0" fontId="16" fillId="7" borderId="0" xfId="4" applyNumberFormat="1" applyFont="1" applyFill="1" applyBorder="1" applyAlignment="1">
      <alignment horizontal="center"/>
    </xf>
    <xf numFmtId="0" fontId="16" fillId="7" borderId="20" xfId="4" applyNumberFormat="1" applyFont="1" applyFill="1" applyBorder="1" applyAlignment="1">
      <alignment horizontal="center"/>
    </xf>
    <xf numFmtId="0" fontId="16" fillId="7" borderId="26" xfId="4" applyNumberFormat="1" applyFont="1" applyFill="1" applyBorder="1" applyAlignment="1"/>
    <xf numFmtId="168" fontId="16" fillId="7" borderId="21" xfId="4" applyNumberFormat="1" applyFont="1" applyFill="1" applyBorder="1" applyAlignment="1"/>
    <xf numFmtId="168" fontId="16" fillId="7" borderId="0" xfId="4" applyNumberFormat="1" applyFont="1" applyFill="1" applyBorder="1" applyAlignment="1"/>
    <xf numFmtId="168" fontId="16" fillId="7" borderId="20" xfId="4" applyNumberFormat="1" applyFont="1" applyFill="1" applyBorder="1" applyAlignment="1"/>
    <xf numFmtId="168" fontId="16" fillId="7" borderId="20" xfId="4" applyNumberFormat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168" fontId="16" fillId="7" borderId="25" xfId="4" applyNumberFormat="1" applyFont="1" applyFill="1" applyBorder="1" applyAlignment="1">
      <alignment horizontal="center"/>
    </xf>
    <xf numFmtId="169" fontId="16" fillId="7" borderId="22" xfId="4" applyNumberFormat="1" applyFont="1" applyFill="1" applyBorder="1" applyAlignment="1">
      <alignment horizontal="center"/>
    </xf>
    <xf numFmtId="10" fontId="16" fillId="7" borderId="0" xfId="4" applyNumberFormat="1" applyFont="1" applyFill="1"/>
    <xf numFmtId="168" fontId="16" fillId="7" borderId="26" xfId="4" applyNumberFormat="1" applyFont="1" applyFill="1" applyBorder="1" applyAlignment="1">
      <alignment horizontal="center"/>
    </xf>
    <xf numFmtId="169" fontId="16" fillId="7" borderId="20" xfId="4" applyNumberFormat="1" applyFont="1" applyFill="1" applyBorder="1" applyAlignment="1">
      <alignment horizontal="center"/>
    </xf>
    <xf numFmtId="0" fontId="16" fillId="7" borderId="19" xfId="4" applyNumberFormat="1" applyFont="1" applyFill="1" applyBorder="1" applyAlignment="1">
      <alignment horizontal="center"/>
    </xf>
    <xf numFmtId="0" fontId="16" fillId="7" borderId="18" xfId="4" applyNumberFormat="1" applyFont="1" applyFill="1" applyBorder="1" applyAlignment="1">
      <alignment horizontal="center"/>
    </xf>
    <xf numFmtId="0" fontId="16" fillId="7" borderId="15" xfId="4" applyNumberFormat="1" applyFont="1" applyFill="1" applyBorder="1" applyAlignment="1">
      <alignment horizontal="center"/>
    </xf>
    <xf numFmtId="0" fontId="16" fillId="7" borderId="14" xfId="4" applyNumberFormat="1" applyFont="1" applyFill="1" applyBorder="1" applyAlignment="1"/>
    <xf numFmtId="168" fontId="16" fillId="7" borderId="15" xfId="4" applyNumberFormat="1" applyFont="1" applyFill="1" applyBorder="1" applyAlignment="1">
      <alignment horizontal="center"/>
    </xf>
    <xf numFmtId="168" fontId="16" fillId="7" borderId="14" xfId="4" applyNumberFormat="1" applyFont="1" applyFill="1" applyBorder="1" applyAlignment="1">
      <alignment horizontal="center"/>
    </xf>
    <xf numFmtId="169" fontId="16" fillId="7" borderId="15" xfId="4" applyNumberFormat="1" applyFont="1" applyFill="1" applyBorder="1" applyAlignment="1">
      <alignment horizontal="center"/>
    </xf>
    <xf numFmtId="0" fontId="16" fillId="7" borderId="24" xfId="4" applyNumberFormat="1" applyFont="1" applyFill="1" applyBorder="1" applyAlignment="1">
      <alignment horizontal="center"/>
    </xf>
    <xf numFmtId="0" fontId="16" fillId="7" borderId="23" xfId="4" applyNumberFormat="1" applyFont="1" applyFill="1" applyBorder="1" applyAlignment="1">
      <alignment horizontal="center"/>
    </xf>
    <xf numFmtId="0" fontId="16" fillId="7" borderId="22" xfId="4" applyNumberFormat="1" applyFont="1" applyFill="1" applyBorder="1" applyAlignment="1">
      <alignment horizontal="center"/>
    </xf>
    <xf numFmtId="0" fontId="16" fillId="7" borderId="25" xfId="4" applyNumberFormat="1" applyFont="1" applyFill="1" applyBorder="1" applyAlignment="1"/>
    <xf numFmtId="168" fontId="16" fillId="7" borderId="24" xfId="4" applyNumberFormat="1" applyFont="1" applyFill="1" applyBorder="1" applyAlignment="1"/>
    <xf numFmtId="168" fontId="16" fillId="7" borderId="23" xfId="4" applyNumberFormat="1" applyFont="1" applyFill="1" applyBorder="1" applyAlignment="1"/>
    <xf numFmtId="168" fontId="16" fillId="7" borderId="22" xfId="4" applyNumberFormat="1" applyFont="1" applyFill="1" applyBorder="1" applyAlignment="1"/>
    <xf numFmtId="168" fontId="16" fillId="7" borderId="22" xfId="4" applyNumberFormat="1" applyFont="1" applyFill="1" applyBorder="1" applyAlignment="1">
      <alignment horizontal="center"/>
    </xf>
    <xf numFmtId="168" fontId="16" fillId="7" borderId="19" xfId="4" applyNumberFormat="1" applyFont="1" applyFill="1" applyBorder="1" applyAlignment="1"/>
    <xf numFmtId="168" fontId="16" fillId="7" borderId="18" xfId="4" applyNumberFormat="1" applyFont="1" applyFill="1" applyBorder="1" applyAlignment="1"/>
    <xf numFmtId="168" fontId="16" fillId="7" borderId="15" xfId="4" applyNumberFormat="1" applyFont="1" applyFill="1" applyBorder="1" applyAlignment="1"/>
    <xf numFmtId="0" fontId="16" fillId="0" borderId="9" xfId="1" applyFont="1" applyFill="1" applyBorder="1"/>
    <xf numFmtId="168" fontId="7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3" fillId="12" borderId="26" xfId="0" applyFont="1" applyFill="1" applyBorder="1"/>
    <xf numFmtId="0" fontId="23" fillId="12" borderId="14" xfId="0" applyFont="1" applyFill="1" applyBorder="1"/>
    <xf numFmtId="0" fontId="16" fillId="10" borderId="5" xfId="1" applyFont="1" applyFill="1" applyBorder="1" applyAlignment="1">
      <alignment horizontal="center"/>
    </xf>
    <xf numFmtId="0" fontId="16" fillId="12" borderId="26" xfId="1" applyFont="1" applyFill="1" applyBorder="1"/>
    <xf numFmtId="174" fontId="21" fillId="3" borderId="14" xfId="1" applyNumberFormat="1" applyFont="1" applyFill="1" applyBorder="1" applyAlignment="1">
      <alignment horizontal="center"/>
    </xf>
    <xf numFmtId="0" fontId="21" fillId="3" borderId="26" xfId="1" quotePrefix="1" applyFont="1" applyFill="1" applyBorder="1" applyAlignment="1">
      <alignment horizontal="center"/>
    </xf>
    <xf numFmtId="0" fontId="16" fillId="0" borderId="26" xfId="1" applyFont="1" applyFill="1" applyBorder="1" applyAlignment="1">
      <alignment horizontal="center"/>
    </xf>
    <xf numFmtId="0" fontId="19" fillId="11" borderId="5" xfId="0" applyFont="1" applyFill="1" applyBorder="1" applyAlignment="1">
      <alignment horizontal="center" vertical="center"/>
    </xf>
    <xf numFmtId="0" fontId="19" fillId="11" borderId="17" xfId="0" applyFont="1" applyFill="1" applyBorder="1" applyAlignment="1">
      <alignment horizontal="center" vertical="center"/>
    </xf>
    <xf numFmtId="0" fontId="19" fillId="11" borderId="6" xfId="0" applyFont="1" applyFill="1" applyBorder="1" applyAlignment="1">
      <alignment horizontal="center" vertical="center"/>
    </xf>
    <xf numFmtId="0" fontId="23" fillId="12" borderId="25" xfId="0" applyFont="1" applyFill="1" applyBorder="1"/>
    <xf numFmtId="0" fontId="16" fillId="0" borderId="25" xfId="1" applyFont="1" applyFill="1" applyBorder="1" applyAlignment="1">
      <alignment horizontal="center"/>
    </xf>
    <xf numFmtId="0" fontId="16" fillId="10" borderId="26" xfId="1" applyFont="1" applyFill="1" applyBorder="1" applyAlignment="1">
      <alignment horizontal="center"/>
    </xf>
    <xf numFmtId="0" fontId="16" fillId="0" borderId="14" xfId="1" applyFont="1" applyFill="1" applyBorder="1" applyAlignment="1">
      <alignment horizontal="center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16:44:29</v>
        <stp/>
        <stp>{E7C8FBD0-AC6C-48DF-A702-D7B3D173144C}_x0000_</stp>
        <tr r="N22" s="6"/>
      </tp>
      <tp t="s">
        <v>Updated at 16:44:29</v>
        <stp/>
        <stp>{73B0863F-D10A-49DE-9CB7-F3E4D1CDDED1}_x0000_</stp>
        <tr r="N17" s="6"/>
      </tp>
    </main>
    <main first="pldatasource.rdatartdserver">
      <tp t="s">
        <v>Updated at 17:01:28</v>
        <stp/>
        <stp>{40B448B9-96FB-4F6C-9CBC-ADD29D5B9E03}</stp>
        <tr r="M4" s="24"/>
      </tp>
      <tp t="s">
        <v>Updated at 17:01:59</v>
        <stp/>
        <stp>{42EED989-F97E-461A-A414-72020511AFD5}</stp>
        <tr r="S4" s="25"/>
      </tp>
      <tp t="s">
        <v>Updated at 16:44:29</v>
        <stp/>
        <stp>{32581F55-A34A-4DF3-8291-0D7C230FC86F}</stp>
        <tr r="J3" s="64"/>
      </tp>
      <tp t="s">
        <v>Updated at 16:44:27</v>
        <stp/>
        <stp>{9CEB100F-5808-4482-A060-FF0830861FF2}</stp>
        <tr r="K5" s="6"/>
      </tp>
      <tp t="s">
        <v>Updated at 17:01:31</v>
        <stp/>
        <stp>{040C1619-CBDB-4537-953E-502E49D26DC5}</stp>
        <tr r="S4" s="11"/>
      </tp>
      <tp t="s">
        <v>Updated at 17:02:05</v>
        <stp/>
        <stp>{05867DEA-9541-4250-8B54-E3CE1FF265F4}</stp>
        <tr r="O4" s="22"/>
      </tp>
      <tp t="s">
        <v>Paused at 16:20:41</v>
        <stp/>
        <stp>{4CBEF84B-00FB-4435-BAA9-EEBF8811514B}</stp>
        <tr r="S4" s="12"/>
      </tp>
      <tp t="s">
        <v>Updated at 17:02:01</v>
        <stp/>
        <stp>{43358DBB-5313-4433-ACE8-393040DF3956}</stp>
        <tr r="O5" s="18"/>
      </tp>
      <tp t="s">
        <v>Updated at 16:59:42</v>
        <stp/>
        <stp>{45770CBD-2449-4BD7-AC80-D10C9CAA0E96}</stp>
        <tr r="S4" s="13"/>
      </tp>
      <tp t="s">
        <v>Updated at 17:01:23</v>
        <stp/>
        <stp>{AD39C0FA-6D52-4FC7-9E46-3FD918701764}</stp>
        <tr r="L4" s="16"/>
      </tp>
      <tp t="s">
        <v>Updated at 17:02:05</v>
        <stp/>
        <stp>{1B4577CF-DB81-43D0-A76B-E02CDA16C560}</stp>
        <tr r="K2" s="65"/>
      </tp>
      <tp t="s">
        <v>Updated at 17:01:22</v>
        <stp/>
        <stp>{A2F7F4FA-7EC3-4D95-895A-7B217B43CDA5}</stp>
        <tr r="O4" s="23"/>
      </tp>
      <tp t="s">
        <v>Updated at 16:52:51</v>
        <stp/>
        <stp>{A8669DE4-907F-4DBE-985D-3F997EA6564F}</stp>
        <tr r="H4" s="15"/>
      </tp>
    </main>
    <main first="pldatasource.rhistoryrtdserver">
      <tp t="s">
        <v>Updated at 16:44:29</v>
        <stp/>
        <stp>{145DFDDC-CF1C-41AF-B3E0-18437DB4F2A3}_x0000_</stp>
        <tr r="K22" s="6"/>
      </tp>
      <tp t="s">
        <v>Updated at 16:44:29</v>
        <stp/>
        <stp>{04754E7E-BC24-4349-881E-FE13021372D0}_x0000_</stp>
        <tr r="K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37"/>
  <sheetViews>
    <sheetView showGridLines="0" tabSelected="1" workbookViewId="0">
      <selection activeCell="D5" sqref="D5"/>
    </sheetView>
  </sheetViews>
  <sheetFormatPr defaultRowHeight="11.25" outlineLevelCol="1" x14ac:dyDescent="0.2"/>
  <cols>
    <col min="1" max="2" width="2.7109375" style="428" customWidth="1"/>
    <col min="3" max="3" width="21.42578125" style="428" bestFit="1" customWidth="1"/>
    <col min="4" max="4" width="27.5703125" style="428" bestFit="1" customWidth="1"/>
    <col min="5" max="7" width="2.7109375" style="428" customWidth="1"/>
    <col min="8" max="8" width="23.42578125" style="428" bestFit="1" customWidth="1"/>
    <col min="9" max="9" width="28.5703125" style="428" bestFit="1" customWidth="1"/>
    <col min="10" max="11" width="2.7109375" style="428" customWidth="1"/>
    <col min="12" max="12" width="15.140625" style="428" hidden="1" customWidth="1" outlineLevel="1"/>
    <col min="13" max="15" width="20.7109375" style="428" hidden="1" customWidth="1" outlineLevel="1"/>
    <col min="16" max="16" width="9.140625" style="428" collapsed="1"/>
    <col min="17" max="16384" width="9.140625" style="428"/>
  </cols>
  <sheetData>
    <row r="1" spans="2:15" x14ac:dyDescent="0.2">
      <c r="B1" s="428" t="str">
        <f>_xll.qlxlVersion(TRUE,Trigger)</f>
        <v>QuantLibXL 1.5.0 - MS VC++ 9.0 - Multithreaded Dynamic Runtime library - Release Configuration - Dec 24 2014 09:17:06</v>
      </c>
    </row>
    <row r="2" spans="2:15" ht="12" thickBot="1" x14ac:dyDescent="0.25"/>
    <row r="3" spans="2:15" ht="17.25" thickBot="1" x14ac:dyDescent="0.25">
      <c r="B3" s="361" t="s">
        <v>302</v>
      </c>
      <c r="C3" s="362"/>
      <c r="D3" s="362"/>
      <c r="E3" s="363"/>
      <c r="G3" s="361" t="s">
        <v>323</v>
      </c>
      <c r="H3" s="362"/>
      <c r="I3" s="362"/>
      <c r="J3" s="363"/>
      <c r="L3" s="488" t="s">
        <v>321</v>
      </c>
      <c r="M3" s="489" t="s">
        <v>309</v>
      </c>
      <c r="N3" s="488" t="s">
        <v>310</v>
      </c>
      <c r="O3" s="490" t="s">
        <v>312</v>
      </c>
    </row>
    <row r="4" spans="2:15" x14ac:dyDescent="0.2">
      <c r="B4" s="244"/>
      <c r="C4" s="245"/>
      <c r="D4" s="245"/>
      <c r="E4" s="343"/>
      <c r="G4" s="240"/>
      <c r="H4" s="241"/>
      <c r="I4" s="241"/>
      <c r="J4" s="353"/>
      <c r="L4" s="491" t="s">
        <v>314</v>
      </c>
      <c r="M4" s="492" t="s">
        <v>180</v>
      </c>
      <c r="N4" s="492" t="s">
        <v>180</v>
      </c>
      <c r="O4" s="492" t="s">
        <v>180</v>
      </c>
    </row>
    <row r="5" spans="2:15" x14ac:dyDescent="0.2">
      <c r="B5" s="244"/>
      <c r="C5" s="349" t="s">
        <v>6</v>
      </c>
      <c r="D5" s="364">
        <v>42058.66783564815</v>
      </c>
      <c r="E5" s="356"/>
      <c r="G5" s="419"/>
      <c r="H5" s="350" t="s">
        <v>308</v>
      </c>
      <c r="I5" s="483" t="s">
        <v>311</v>
      </c>
      <c r="J5" s="311"/>
      <c r="L5" s="481" t="s">
        <v>313</v>
      </c>
      <c r="M5" s="487" t="s">
        <v>226</v>
      </c>
      <c r="N5" s="493" t="s">
        <v>263</v>
      </c>
      <c r="O5" s="493" t="s">
        <v>226</v>
      </c>
    </row>
    <row r="6" spans="2:15" x14ac:dyDescent="0.2">
      <c r="B6" s="359"/>
      <c r="C6" s="352" t="s">
        <v>241</v>
      </c>
      <c r="D6" s="365">
        <f>_xll.qlSettingsEvaluationDate(Trigger)</f>
        <v>42058</v>
      </c>
      <c r="E6" s="360"/>
      <c r="G6" s="419"/>
      <c r="H6" s="484" t="s">
        <v>322</v>
      </c>
      <c r="I6" s="487">
        <f>INDEX(MATCH(Area,L3:O3,0),0)</f>
        <v>2</v>
      </c>
      <c r="J6" s="311"/>
      <c r="L6" s="481" t="s">
        <v>143</v>
      </c>
      <c r="M6" s="487" t="s">
        <v>279</v>
      </c>
      <c r="N6" s="493" t="s">
        <v>299</v>
      </c>
      <c r="O6" s="487" t="s">
        <v>279</v>
      </c>
    </row>
    <row r="7" spans="2:15" x14ac:dyDescent="0.2">
      <c r="B7" s="244"/>
      <c r="C7" s="349" t="s">
        <v>230</v>
      </c>
      <c r="D7" s="342">
        <f>_xll.ohTrigger(Deposits!N2,FRA!V2,Futures3M!Z4,FuturesHWConvAdj!Q3,Swap1M!Y3,Swap3M!AC3,SwapIMM!W3,BasisSwap1MxM!AC3,BasisSwap3M6M!AC3,BasisSwapxM12M!AC3,OIS!Y3)</f>
        <v>942</v>
      </c>
      <c r="E7" s="343"/>
      <c r="G7" s="409"/>
      <c r="H7" s="351" t="s">
        <v>223</v>
      </c>
      <c r="I7" s="486" t="b">
        <v>1</v>
      </c>
      <c r="J7" s="413"/>
      <c r="L7" s="481" t="s">
        <v>315</v>
      </c>
      <c r="M7" s="487" t="s">
        <v>299</v>
      </c>
      <c r="N7" s="493" t="s">
        <v>277</v>
      </c>
      <c r="O7" s="487" t="s">
        <v>299</v>
      </c>
    </row>
    <row r="8" spans="2:15" x14ac:dyDescent="0.2">
      <c r="B8" s="244"/>
      <c r="C8" s="352" t="s">
        <v>245</v>
      </c>
      <c r="D8" s="345">
        <f>_xll.ohTrigger(Libor!O6:O12)</f>
        <v>9</v>
      </c>
      <c r="E8" s="343"/>
      <c r="G8" s="409"/>
      <c r="H8" s="352" t="s">
        <v>224</v>
      </c>
      <c r="I8" s="485">
        <v>41922.497581018521</v>
      </c>
      <c r="J8" s="413"/>
      <c r="L8" s="481" t="s">
        <v>316</v>
      </c>
      <c r="M8" s="487" t="s">
        <v>299</v>
      </c>
      <c r="N8" s="493" t="s">
        <v>263</v>
      </c>
      <c r="O8" s="493" t="s">
        <v>226</v>
      </c>
    </row>
    <row r="9" spans="2:15" ht="12" thickBot="1" x14ac:dyDescent="0.25">
      <c r="B9" s="265"/>
      <c r="C9" s="346"/>
      <c r="D9" s="346"/>
      <c r="E9" s="267"/>
      <c r="G9" s="410"/>
      <c r="H9" s="411"/>
      <c r="I9" s="411"/>
      <c r="J9" s="412"/>
      <c r="L9" s="481" t="s">
        <v>317</v>
      </c>
      <c r="M9" s="487" t="s">
        <v>299</v>
      </c>
      <c r="N9" s="487" t="s">
        <v>299</v>
      </c>
      <c r="O9" s="487" t="s">
        <v>299</v>
      </c>
    </row>
    <row r="10" spans="2:15" ht="12" thickBot="1" x14ac:dyDescent="0.25">
      <c r="L10" s="481" t="s">
        <v>318</v>
      </c>
      <c r="M10" s="487" t="s">
        <v>299</v>
      </c>
      <c r="N10" s="493" t="s">
        <v>300</v>
      </c>
      <c r="O10" s="487" t="s">
        <v>299</v>
      </c>
    </row>
    <row r="11" spans="2:15" ht="17.25" thickBot="1" x14ac:dyDescent="0.25">
      <c r="B11" s="361" t="s">
        <v>280</v>
      </c>
      <c r="C11" s="362"/>
      <c r="D11" s="362"/>
      <c r="E11" s="363"/>
      <c r="G11" s="361" t="s">
        <v>7</v>
      </c>
      <c r="H11" s="362"/>
      <c r="I11" s="362"/>
      <c r="J11" s="363"/>
      <c r="L11" s="481" t="s">
        <v>319</v>
      </c>
      <c r="M11" s="487" t="s">
        <v>299</v>
      </c>
      <c r="N11" s="493" t="s">
        <v>300</v>
      </c>
      <c r="O11" s="493" t="s">
        <v>226</v>
      </c>
    </row>
    <row r="12" spans="2:15" x14ac:dyDescent="0.2">
      <c r="B12" s="244"/>
      <c r="C12" s="357"/>
      <c r="D12" s="358"/>
      <c r="E12" s="343"/>
      <c r="G12" s="244"/>
      <c r="H12" s="245"/>
      <c r="I12" s="245"/>
      <c r="J12" s="343"/>
      <c r="L12" s="482" t="s">
        <v>320</v>
      </c>
      <c r="M12" s="494" t="s">
        <v>300</v>
      </c>
      <c r="N12" s="494" t="s">
        <v>300</v>
      </c>
      <c r="O12" s="494" t="s">
        <v>300</v>
      </c>
    </row>
    <row r="13" spans="2:15" x14ac:dyDescent="0.2">
      <c r="B13" s="244"/>
      <c r="C13" s="350" t="s">
        <v>232</v>
      </c>
      <c r="D13" s="347" t="s">
        <v>231</v>
      </c>
      <c r="E13" s="343"/>
      <c r="G13" s="244"/>
      <c r="H13" s="349" t="s">
        <v>5</v>
      </c>
      <c r="I13" s="342" t="b">
        <v>1</v>
      </c>
      <c r="J13" s="356"/>
    </row>
    <row r="14" spans="2:15" x14ac:dyDescent="0.2">
      <c r="B14" s="244"/>
      <c r="C14" s="357"/>
      <c r="D14" s="358"/>
      <c r="E14" s="343"/>
      <c r="G14" s="244"/>
      <c r="H14" s="351" t="s">
        <v>4</v>
      </c>
      <c r="I14" s="344" t="b">
        <v>0</v>
      </c>
      <c r="J14" s="356"/>
    </row>
    <row r="15" spans="2:15" x14ac:dyDescent="0.2">
      <c r="B15" s="244"/>
      <c r="C15" s="354" t="s">
        <v>192</v>
      </c>
      <c r="D15" s="355"/>
      <c r="E15" s="343"/>
      <c r="G15" s="244"/>
      <c r="H15" s="351" t="s">
        <v>3</v>
      </c>
      <c r="I15" s="344" t="b">
        <v>0</v>
      </c>
      <c r="J15" s="356"/>
    </row>
    <row r="16" spans="2:15" x14ac:dyDescent="0.2">
      <c r="B16" s="244"/>
      <c r="C16" s="349" t="s">
        <v>187</v>
      </c>
      <c r="D16" s="342" t="str">
        <f>""</f>
        <v/>
      </c>
      <c r="E16" s="343"/>
      <c r="G16" s="244"/>
      <c r="H16" s="351" t="s">
        <v>2</v>
      </c>
      <c r="I16" s="344"/>
      <c r="J16" s="356"/>
    </row>
    <row r="17" spans="2:10" x14ac:dyDescent="0.2">
      <c r="B17" s="244"/>
      <c r="C17" s="349" t="s">
        <v>283</v>
      </c>
      <c r="D17" s="342" t="s">
        <v>284</v>
      </c>
      <c r="E17" s="343"/>
      <c r="G17" s="244"/>
      <c r="H17" s="351" t="s">
        <v>1</v>
      </c>
      <c r="I17" s="344" t="b">
        <v>1</v>
      </c>
      <c r="J17" s="356"/>
    </row>
    <row r="18" spans="2:10" x14ac:dyDescent="0.2">
      <c r="B18" s="244"/>
      <c r="C18" s="350" t="s">
        <v>180</v>
      </c>
      <c r="D18" s="347" t="s">
        <v>186</v>
      </c>
      <c r="E18" s="343"/>
      <c r="G18" s="244"/>
      <c r="H18" s="351" t="s">
        <v>112</v>
      </c>
      <c r="I18" s="344" t="s">
        <v>111</v>
      </c>
      <c r="J18" s="356"/>
    </row>
    <row r="19" spans="2:10" x14ac:dyDescent="0.2">
      <c r="B19" s="244"/>
      <c r="C19" s="349" t="s">
        <v>299</v>
      </c>
      <c r="D19" s="342" t="s">
        <v>185</v>
      </c>
      <c r="E19" s="343"/>
      <c r="G19" s="244"/>
      <c r="H19" s="351" t="s">
        <v>229</v>
      </c>
      <c r="I19" s="344" t="s">
        <v>228</v>
      </c>
      <c r="J19" s="343"/>
    </row>
    <row r="20" spans="2:10" x14ac:dyDescent="0.2">
      <c r="B20" s="244"/>
      <c r="C20" s="351" t="s">
        <v>294</v>
      </c>
      <c r="D20" s="344" t="s">
        <v>287</v>
      </c>
      <c r="E20" s="343"/>
      <c r="G20" s="244"/>
      <c r="H20" s="366" t="s">
        <v>110</v>
      </c>
      <c r="I20" s="344">
        <v>1E-4</v>
      </c>
      <c r="J20" s="356"/>
    </row>
    <row r="21" spans="2:10" x14ac:dyDescent="0.2">
      <c r="B21" s="244"/>
      <c r="C21" s="351" t="s">
        <v>285</v>
      </c>
      <c r="D21" s="344" t="s">
        <v>286</v>
      </c>
      <c r="E21" s="343"/>
      <c r="G21" s="244"/>
      <c r="H21" s="367" t="s">
        <v>109</v>
      </c>
      <c r="I21" s="345">
        <v>-0.01</v>
      </c>
      <c r="J21" s="356"/>
    </row>
    <row r="22" spans="2:10" ht="12" thickBot="1" x14ac:dyDescent="0.25">
      <c r="B22" s="244"/>
      <c r="C22" s="351" t="s">
        <v>263</v>
      </c>
      <c r="D22" s="344" t="s">
        <v>264</v>
      </c>
      <c r="E22" s="343"/>
      <c r="G22" s="265"/>
      <c r="H22" s="266"/>
      <c r="I22" s="266"/>
      <c r="J22" s="267"/>
    </row>
    <row r="23" spans="2:10" ht="12" thickBot="1" x14ac:dyDescent="0.25">
      <c r="B23" s="244"/>
      <c r="C23" s="351" t="s">
        <v>226</v>
      </c>
      <c r="D23" s="344" t="s">
        <v>225</v>
      </c>
      <c r="E23" s="343"/>
    </row>
    <row r="24" spans="2:10" ht="17.25" thickBot="1" x14ac:dyDescent="0.25">
      <c r="B24" s="244"/>
      <c r="C24" s="351" t="s">
        <v>277</v>
      </c>
      <c r="D24" s="344" t="s">
        <v>278</v>
      </c>
      <c r="E24" s="343"/>
      <c r="G24" s="361" t="s">
        <v>304</v>
      </c>
      <c r="H24" s="362"/>
      <c r="I24" s="362"/>
      <c r="J24" s="363"/>
    </row>
    <row r="25" spans="2:10" x14ac:dyDescent="0.2">
      <c r="B25" s="244"/>
      <c r="C25" s="352" t="s">
        <v>288</v>
      </c>
      <c r="D25" s="345" t="s">
        <v>289</v>
      </c>
      <c r="E25" s="343"/>
      <c r="G25" s="244"/>
      <c r="H25" s="245"/>
      <c r="I25" s="245"/>
      <c r="J25" s="343"/>
    </row>
    <row r="26" spans="2:10" x14ac:dyDescent="0.2">
      <c r="B26" s="244"/>
      <c r="C26" s="349" t="s">
        <v>279</v>
      </c>
      <c r="D26" s="342" t="s">
        <v>183</v>
      </c>
      <c r="E26" s="343"/>
      <c r="G26" s="244"/>
      <c r="H26" s="349" t="s">
        <v>0</v>
      </c>
      <c r="I26" s="342" t="s">
        <v>91</v>
      </c>
      <c r="J26" s="356"/>
    </row>
    <row r="27" spans="2:10" x14ac:dyDescent="0.2">
      <c r="B27" s="244"/>
      <c r="C27" s="351" t="s">
        <v>301</v>
      </c>
      <c r="D27" s="344" t="s">
        <v>257</v>
      </c>
      <c r="E27" s="343"/>
      <c r="G27" s="244"/>
      <c r="H27" s="351" t="s">
        <v>90</v>
      </c>
      <c r="I27" s="344" t="str">
        <f>Currency&amp;"ON"</f>
        <v>USDON</v>
      </c>
      <c r="J27" s="356"/>
    </row>
    <row r="28" spans="2:10" x14ac:dyDescent="0.2">
      <c r="B28" s="244"/>
      <c r="C28" s="351" t="s">
        <v>300</v>
      </c>
      <c r="D28" s="344" t="s">
        <v>227</v>
      </c>
      <c r="E28" s="343"/>
      <c r="G28" s="244"/>
      <c r="H28" s="351" t="s">
        <v>25</v>
      </c>
      <c r="I28" s="344" t="s">
        <v>24</v>
      </c>
      <c r="J28" s="356"/>
    </row>
    <row r="29" spans="2:10" x14ac:dyDescent="0.2">
      <c r="B29" s="244"/>
      <c r="C29" s="351" t="s">
        <v>295</v>
      </c>
      <c r="D29" s="344" t="s">
        <v>290</v>
      </c>
      <c r="E29" s="343"/>
      <c r="G29" s="244"/>
      <c r="H29" s="351" t="s">
        <v>255</v>
      </c>
      <c r="I29" s="344" t="s">
        <v>256</v>
      </c>
      <c r="J29" s="356"/>
    </row>
    <row r="30" spans="2:10" x14ac:dyDescent="0.2">
      <c r="B30" s="244"/>
      <c r="C30" s="352" t="s">
        <v>298</v>
      </c>
      <c r="D30" s="345" t="s">
        <v>291</v>
      </c>
      <c r="E30" s="343"/>
      <c r="G30" s="244"/>
      <c r="H30" s="351" t="s">
        <v>86</v>
      </c>
      <c r="I30" s="344" t="s">
        <v>89</v>
      </c>
      <c r="J30" s="356"/>
    </row>
    <row r="31" spans="2:10" x14ac:dyDescent="0.2">
      <c r="B31" s="244"/>
      <c r="C31" s="351" t="s">
        <v>182</v>
      </c>
      <c r="D31" s="344" t="s">
        <v>181</v>
      </c>
      <c r="E31" s="343"/>
      <c r="G31" s="244"/>
      <c r="H31" s="351" t="s">
        <v>249</v>
      </c>
      <c r="I31" s="344" t="s">
        <v>260</v>
      </c>
      <c r="J31" s="356"/>
    </row>
    <row r="32" spans="2:10" x14ac:dyDescent="0.2">
      <c r="B32" s="244"/>
      <c r="C32" s="351" t="s">
        <v>281</v>
      </c>
      <c r="D32" s="344" t="s">
        <v>282</v>
      </c>
      <c r="E32" s="343"/>
      <c r="G32" s="244"/>
      <c r="H32" s="351" t="s">
        <v>250</v>
      </c>
      <c r="I32" s="344" t="s">
        <v>247</v>
      </c>
      <c r="J32" s="356"/>
    </row>
    <row r="33" spans="2:10" x14ac:dyDescent="0.2">
      <c r="B33" s="244"/>
      <c r="C33" s="351" t="s">
        <v>296</v>
      </c>
      <c r="D33" s="344" t="s">
        <v>297</v>
      </c>
      <c r="E33" s="343"/>
      <c r="G33" s="244"/>
      <c r="H33" s="351" t="s">
        <v>248</v>
      </c>
      <c r="I33" s="344" t="s">
        <v>246</v>
      </c>
      <c r="J33" s="356"/>
    </row>
    <row r="34" spans="2:10" x14ac:dyDescent="0.2">
      <c r="B34" s="244"/>
      <c r="C34" s="352" t="s">
        <v>292</v>
      </c>
      <c r="D34" s="345" t="s">
        <v>293</v>
      </c>
      <c r="E34" s="343"/>
      <c r="G34" s="244"/>
      <c r="H34" s="351" t="s">
        <v>303</v>
      </c>
      <c r="I34" s="344"/>
      <c r="J34" s="356"/>
    </row>
    <row r="35" spans="2:10" ht="12" thickBot="1" x14ac:dyDescent="0.25">
      <c r="B35" s="265"/>
      <c r="C35" s="346"/>
      <c r="D35" s="346"/>
      <c r="E35" s="267"/>
      <c r="G35" s="244"/>
      <c r="H35" s="351" t="s">
        <v>258</v>
      </c>
      <c r="I35" s="344" t="b">
        <f>_xll.qlCalendarIsHoliday(I32,_xll.qlCalendarAdvance(Calendar,_xll.qlSettingsEvaluationDate(Trigger),2&amp;"D","f",FALSE,Trigger))</f>
        <v>0</v>
      </c>
      <c r="J35" s="356"/>
    </row>
    <row r="36" spans="2:10" x14ac:dyDescent="0.2">
      <c r="G36" s="244"/>
      <c r="H36" s="352" t="s">
        <v>251</v>
      </c>
      <c r="I36" s="345" t="s">
        <v>247</v>
      </c>
      <c r="J36" s="356"/>
    </row>
    <row r="37" spans="2:10" ht="12" thickBot="1" x14ac:dyDescent="0.25">
      <c r="G37" s="265"/>
      <c r="H37" s="266"/>
      <c r="I37" s="266"/>
      <c r="J37" s="267"/>
    </row>
  </sheetData>
  <conditionalFormatting sqref="I7">
    <cfRule type="cellIs" dxfId="28" priority="3" stopIfTrue="1" operator="equal">
      <formula>TRUE</formula>
    </cfRule>
  </conditionalFormatting>
  <conditionalFormatting sqref="D14">
    <cfRule type="cellIs" dxfId="27" priority="2" stopIfTrue="1" operator="equal">
      <formula>TRUE</formula>
    </cfRule>
  </conditionalFormatting>
  <conditionalFormatting sqref="D12">
    <cfRule type="cellIs" dxfId="26" priority="1" stopIfTrue="1" operator="equal">
      <formula>TRUE</formula>
    </cfRule>
  </conditionalFormatting>
  <dataValidations count="9">
    <dataValidation type="list" allowBlank="1" showInputMessage="1" showErrorMessage="1" sqref="I26">
      <formula1>"EUR,USD,GBP,JPY,CHF"</formula1>
    </dataValidation>
    <dataValidation type="list" allowBlank="1" showInputMessage="1" showErrorMessage="1" sqref="I28">
      <formula1>"ibor,Libor"</formula1>
    </dataValidation>
    <dataValidation type="list" allowBlank="1" showInputMessage="1" showErrorMessage="1" sqref="I33:I34">
      <formula1>"JoinBusinessDays,JoinHolidays"</formula1>
    </dataValidation>
    <dataValidation type="list" allowBlank="1" showInputMessage="1" showErrorMessage="1" sqref="I31:I3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6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5">
      <formula1>"Europe, Asia, North America"</formula1>
    </dataValidation>
    <dataValidation type="list" showInputMessage="1" showErrorMessage="1" sqref="M4:O1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workbookViewId="0">
      <selection activeCell="K5" sqref="K5"/>
    </sheetView>
  </sheetViews>
  <sheetFormatPr defaultRowHeight="11.25" outlineLevelCol="1" x14ac:dyDescent="0.2"/>
  <cols>
    <col min="1" max="2" width="2.140625" style="268" customWidth="1"/>
    <col min="3" max="3" width="6.5703125" style="268" bestFit="1" customWidth="1"/>
    <col min="4" max="4" width="12" style="268" bestFit="1" customWidth="1"/>
    <col min="5" max="5" width="17.28515625" style="268" bestFit="1" customWidth="1"/>
    <col min="6" max="6" width="34.85546875" style="268" bestFit="1" customWidth="1"/>
    <col min="7" max="9" width="17.85546875" style="268" hidden="1" customWidth="1" outlineLevel="1"/>
    <col min="10" max="10" width="2.140625" style="268" customWidth="1" collapsed="1"/>
    <col min="11" max="11" width="16.140625" style="268" customWidth="1"/>
    <col min="12" max="12" width="15.140625" style="268" bestFit="1" customWidth="1"/>
    <col min="13" max="13" width="7" style="268" bestFit="1" customWidth="1"/>
    <col min="14" max="14" width="16.140625" style="268" customWidth="1"/>
    <col min="15" max="15" width="15.140625" style="268" customWidth="1"/>
    <col min="16" max="16" width="2.140625" style="268" customWidth="1"/>
    <col min="17" max="17" width="11" style="268" bestFit="1" customWidth="1"/>
    <col min="18" max="18" width="9" style="268" bestFit="1" customWidth="1"/>
    <col min="19" max="19" width="8" style="268" bestFit="1" customWidth="1"/>
    <col min="20" max="20" width="8.140625" style="268" customWidth="1"/>
    <col min="21" max="21" width="8" style="268" bestFit="1" customWidth="1"/>
    <col min="22" max="22" width="2.140625" style="268" customWidth="1"/>
    <col min="23" max="24" width="10.28515625" style="268" bestFit="1" customWidth="1"/>
    <col min="25" max="26" width="2.7109375" style="268" customWidth="1"/>
    <col min="27" max="16384" width="9.140625" style="268"/>
  </cols>
  <sheetData>
    <row r="1" spans="2:26" s="239" customFormat="1" ht="12" thickBot="1" x14ac:dyDescent="0.25"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8"/>
    </row>
    <row r="2" spans="2:26" s="239" customFormat="1" x14ac:dyDescent="0.2">
      <c r="B2" s="240"/>
      <c r="C2" s="241"/>
      <c r="D2" s="241"/>
      <c r="E2" s="242"/>
      <c r="F2" s="242"/>
      <c r="G2" s="241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3"/>
    </row>
    <row r="3" spans="2:26" s="239" customFormat="1" x14ac:dyDescent="0.2">
      <c r="B3" s="244"/>
      <c r="C3" s="245"/>
      <c r="D3" s="246" t="s">
        <v>25</v>
      </c>
      <c r="E3" s="247" t="s">
        <v>24</v>
      </c>
      <c r="F3" s="248"/>
      <c r="G3" s="245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9"/>
    </row>
    <row r="4" spans="2:26" s="239" customFormat="1" x14ac:dyDescent="0.2">
      <c r="B4" s="244"/>
      <c r="C4" s="245"/>
      <c r="D4" s="245"/>
      <c r="E4" s="250" t="str">
        <f>IF(Serialize,_xll.ohObjectSave(D6:F12,SerializationPath&amp;#REF!,FileOverwrite,,Serialize),"---")</f>
        <v>---</v>
      </c>
      <c r="F4" s="248"/>
      <c r="G4" s="245"/>
      <c r="H4" s="248"/>
      <c r="I4" s="248"/>
      <c r="J4" s="248"/>
      <c r="K4" s="269" t="s">
        <v>190</v>
      </c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9"/>
    </row>
    <row r="5" spans="2:26" s="239" customFormat="1" ht="36" x14ac:dyDescent="0.2">
      <c r="B5" s="244"/>
      <c r="C5" s="273" t="s">
        <v>23</v>
      </c>
      <c r="D5" s="273" t="s">
        <v>253</v>
      </c>
      <c r="E5" s="273" t="s">
        <v>252</v>
      </c>
      <c r="F5" s="273" t="s">
        <v>254</v>
      </c>
      <c r="G5" s="273" t="str">
        <f>"Error Message "&amp;D5</f>
        <v>Error Message Relinkable Handle</v>
      </c>
      <c r="H5" s="273" t="str">
        <f t="shared" ref="H5:I5" si="0">"Error Message "&amp;E5</f>
        <v>Error Message Index</v>
      </c>
      <c r="I5" s="273" t="str">
        <f t="shared" si="0"/>
        <v>Error Message LastFixing_Quote</v>
      </c>
      <c r="J5" s="274"/>
      <c r="K5" s="253" t="str">
        <f>_xll.RData(K6:K12,L5:M5,"RTFEED:IDN",,,L6)</f>
        <v>Updated at 16:44:27</v>
      </c>
      <c r="L5" s="254" t="s">
        <v>240</v>
      </c>
      <c r="M5" s="254" t="s">
        <v>189</v>
      </c>
      <c r="N5" s="254" t="s">
        <v>239</v>
      </c>
      <c r="O5" s="255" t="s">
        <v>238</v>
      </c>
      <c r="P5" s="276"/>
      <c r="Q5" s="254" t="s">
        <v>237</v>
      </c>
      <c r="R5" s="254" t="s">
        <v>236</v>
      </c>
      <c r="S5" s="254" t="s">
        <v>235</v>
      </c>
      <c r="T5" s="255" t="s">
        <v>234</v>
      </c>
      <c r="U5" s="271"/>
      <c r="V5" s="249"/>
    </row>
    <row r="6" spans="2:26" s="239" customFormat="1" x14ac:dyDescent="0.2">
      <c r="B6" s="244"/>
      <c r="C6" s="256" t="s">
        <v>174</v>
      </c>
      <c r="D6" s="252" t="str">
        <f>_xll.qlRelinkableHandleYieldTermStructure(UPPER(Currency)&amp;C6,,Permanent,Trigger,ObjectOverwrite)</f>
        <v>USDON#0012</v>
      </c>
      <c r="E6" s="270" t="str">
        <f>_xll.qlOvernightIndex(PROPER(Currency)&amp;"FedFunds","FedFunds",0,"USD",OverNightIndexCalendar,"act/360",D6,Permanent,Trigger,ObjectOverwrite)</f>
        <v>UsdFedFunds#0012</v>
      </c>
      <c r="F6" s="257" t="str">
        <f>_xll.qlLastFixingQuote(PROPER(Currency)&amp;"FedFunds"&amp;$F$5,E6,Permanent,Trigger,ObjectOverwrite)</f>
        <v>UsdFedFundsLastFixing_Quote#0012</v>
      </c>
      <c r="G6" s="251" t="str">
        <f>_xll.ohRangeRetrieveError(D6)</f>
        <v/>
      </c>
      <c r="H6" s="251" t="str">
        <f>_xll.ohRangeRetrieveError(E6)</f>
        <v/>
      </c>
      <c r="I6" s="251" t="str">
        <f>_xll.ohRangeRetrieveError(F6)</f>
        <v/>
      </c>
      <c r="J6" s="248"/>
      <c r="K6" s="262" t="str">
        <f t="shared" ref="K6:K12" si="1">Currency&amp;C6&amp;$K$4&amp;"="</f>
        <v>USDONFSR=</v>
      </c>
      <c r="L6" s="260">
        <v>42058</v>
      </c>
      <c r="M6" s="261">
        <v>0.11900000000000001</v>
      </c>
      <c r="N6" s="261" t="b">
        <f t="shared" ref="N6:N12" si="2">IF(AND(ISNUMBER($M6),$M6&lt;&gt;0%),TRUE,FALSE)</f>
        <v>1</v>
      </c>
      <c r="O6" s="275" t="b">
        <f>IF($N6,_xll.qlIndexAddFixings($E6,$L6,$M6/100,TRUE,ISERROR($Q6)),NA())</f>
        <v>1</v>
      </c>
      <c r="P6" s="276"/>
      <c r="Q6" s="259" t="e">
        <f>_xll.qlIndexFixing($E6,$L6,TRUE,$N6)</f>
        <v>#NUM!</v>
      </c>
      <c r="R6" s="259">
        <f>IF($O6,_xll.qlIndexFixing($E6,$L6,FALSE,$N6),"-")</f>
        <v>1.1900000000000001E-3</v>
      </c>
      <c r="S6" s="259" t="e">
        <f t="shared" ref="S6" si="3">Q6-R6</f>
        <v>#NUM!</v>
      </c>
      <c r="T6" s="263" t="e">
        <f>_xll.qlIndexFixing($E6,$L6,TRUE,$R6)</f>
        <v>#NUM!</v>
      </c>
      <c r="U6" s="258">
        <f>IF(ISERROR(S6),0,ABS(S6))</f>
        <v>0</v>
      </c>
      <c r="V6" s="249"/>
    </row>
    <row r="7" spans="2:26" s="239" customFormat="1" x14ac:dyDescent="0.2">
      <c r="B7" s="244"/>
      <c r="C7" s="256" t="s">
        <v>22</v>
      </c>
      <c r="D7" s="252"/>
      <c r="E7" s="257" t="str">
        <f>_xll.qlLibor(PROPER(Currency)&amp;FamilyName&amp;C7,Currency,C7,D7,Permanent,Trigger,ObjectOverwrite)</f>
        <v>UsdLiborSW#0012</v>
      </c>
      <c r="F7" s="257" t="str">
        <f>_xll.qlLastFixingQuote(PROPER(Currency)&amp;FamilyName&amp;C7&amp;$F$5,E7,Permanent,Trigger,ObjectOverwrite)</f>
        <v>UsdLiborSWLastFixing_Quote#0009</v>
      </c>
      <c r="G7" s="251" t="str">
        <f>_xll.ohRangeRetrieveError(D7)</f>
        <v/>
      </c>
      <c r="H7" s="251" t="str">
        <f>_xll.ohRangeRetrieveError(E7)</f>
        <v/>
      </c>
      <c r="I7" s="251" t="str">
        <f>_xll.ohRangeRetrieveError(F7)</f>
        <v/>
      </c>
      <c r="J7" s="248"/>
      <c r="K7" s="262" t="str">
        <f t="shared" si="1"/>
        <v>USDSWFSR=</v>
      </c>
      <c r="L7" s="260">
        <v>42058</v>
      </c>
      <c r="M7" s="261">
        <v>0.1406</v>
      </c>
      <c r="N7" s="261" t="b">
        <f t="shared" si="2"/>
        <v>1</v>
      </c>
      <c r="O7" s="275" t="b">
        <f>IF($N7,_xll.qlIndexAddFixings($E7,$L7,$M7/100,TRUE,ISERROR($Q7)),NA())</f>
        <v>1</v>
      </c>
      <c r="P7" s="276"/>
      <c r="Q7" s="259" t="e">
        <f>_xll.qlIndexFixing($E7,$L7,TRUE,$N7)</f>
        <v>#NUM!</v>
      </c>
      <c r="R7" s="259">
        <f>IF($O7,_xll.qlIndexFixing($E7,$L7,FALSE,$N7),"-")</f>
        <v>1.4060000000000001E-3</v>
      </c>
      <c r="S7" s="259" t="e">
        <f t="shared" ref="S7:S12" si="4">Q7-R7</f>
        <v>#NUM!</v>
      </c>
      <c r="T7" s="263" t="e">
        <f>_xll.qlIndexFixing($E7,$L7,TRUE,$R7)</f>
        <v>#NUM!</v>
      </c>
      <c r="U7" s="264">
        <f t="shared" ref="U7:U12" si="5">IF(ISERROR(S7),0,ABS(S7))</f>
        <v>0</v>
      </c>
      <c r="V7" s="249"/>
    </row>
    <row r="8" spans="2:26" s="239" customFormat="1" x14ac:dyDescent="0.2">
      <c r="B8" s="244"/>
      <c r="C8" s="256" t="s">
        <v>19</v>
      </c>
      <c r="D8" s="252" t="str">
        <f>_xll.qlRelinkableHandleYieldTermStructure(UPPER(Currency)&amp;C8,,Permanent,Trigger,ObjectOverwrite)</f>
        <v>USD1M#0012</v>
      </c>
      <c r="E8" s="257" t="str">
        <f>_xll.qlLibor(PROPER(Currency)&amp;FamilyName&amp;C8,Currency,C8,D8,Permanent,Trigger,ObjectOverwrite)</f>
        <v>UsdLibor1M#0009</v>
      </c>
      <c r="F8" s="257" t="str">
        <f>_xll.qlLastFixingQuote(PROPER(Currency)&amp;FamilyName&amp;C8&amp;$F$5,E8,Permanent,Trigger,ObjectOverwrite)</f>
        <v>UsdLibor1MLastFixing_Quote#0009</v>
      </c>
      <c r="G8" s="251" t="str">
        <f>_xll.ohRangeRetrieveError(D8)</f>
        <v/>
      </c>
      <c r="H8" s="251" t="str">
        <f>_xll.ohRangeRetrieveError(E8)</f>
        <v/>
      </c>
      <c r="I8" s="251" t="str">
        <f>_xll.ohRangeRetrieveError(F8)</f>
        <v/>
      </c>
      <c r="J8" s="248"/>
      <c r="K8" s="262" t="str">
        <f t="shared" si="1"/>
        <v>USD1MFSR=</v>
      </c>
      <c r="L8" s="260">
        <v>42058</v>
      </c>
      <c r="M8" s="261">
        <v>0.17100000000000001</v>
      </c>
      <c r="N8" s="261" t="b">
        <f t="shared" si="2"/>
        <v>1</v>
      </c>
      <c r="O8" s="275" t="b">
        <f>IF($N8,_xll.qlIndexAddFixings($E8,$L8,$M8/100,TRUE,ISERROR($Q8)),NA())</f>
        <v>1</v>
      </c>
      <c r="P8" s="276"/>
      <c r="Q8" s="259" t="e">
        <f>_xll.qlIndexFixing($E8,$L8,TRUE,$N8)</f>
        <v>#NUM!</v>
      </c>
      <c r="R8" s="259">
        <f>IF($O8,_xll.qlIndexFixing($E8,$L8,FALSE,$N8),"-")</f>
        <v>1.7100000000000001E-3</v>
      </c>
      <c r="S8" s="259" t="e">
        <f t="shared" si="4"/>
        <v>#NUM!</v>
      </c>
      <c r="T8" s="263" t="e">
        <f>_xll.qlIndexFixing($E8,$L8,TRUE,$R8)</f>
        <v>#NUM!</v>
      </c>
      <c r="U8" s="264">
        <f t="shared" si="5"/>
        <v>0</v>
      </c>
      <c r="V8" s="249"/>
    </row>
    <row r="9" spans="2:26" s="239" customFormat="1" x14ac:dyDescent="0.2">
      <c r="B9" s="244"/>
      <c r="C9" s="256" t="s">
        <v>18</v>
      </c>
      <c r="D9" s="252"/>
      <c r="E9" s="257" t="str">
        <f>_xll.qlLibor(PROPER(Currency)&amp;FamilyName&amp;C9,Currency,C9,D9,Permanent,Trigger,ObjectOverwrite)</f>
        <v>UsdLibor2M#0012</v>
      </c>
      <c r="F9" s="257" t="str">
        <f>_xll.qlLastFixingQuote(PROPER(Currency)&amp;FamilyName&amp;C9&amp;$F$5,E9,Permanent,Trigger,ObjectOverwrite)</f>
        <v>UsdLibor2MLastFixing_Quote#0012</v>
      </c>
      <c r="G9" s="251" t="str">
        <f>_xll.ohRangeRetrieveError(D9)</f>
        <v/>
      </c>
      <c r="H9" s="251" t="str">
        <f>_xll.ohRangeRetrieveError(E9)</f>
        <v/>
      </c>
      <c r="I9" s="251" t="str">
        <f>_xll.ohRangeRetrieveError(F9)</f>
        <v/>
      </c>
      <c r="J9" s="248"/>
      <c r="K9" s="262" t="str">
        <f t="shared" si="1"/>
        <v>USD2MFSR=</v>
      </c>
      <c r="L9" s="260">
        <v>42058</v>
      </c>
      <c r="M9" s="261">
        <v>0.21300000000000002</v>
      </c>
      <c r="N9" s="261" t="b">
        <f t="shared" si="2"/>
        <v>1</v>
      </c>
      <c r="O9" s="275" t="b">
        <f>IF($N9,_xll.qlIndexAddFixings($E9,$L9,$M9/100,TRUE,ISERROR($Q9)),NA())</f>
        <v>1</v>
      </c>
      <c r="P9" s="276"/>
      <c r="Q9" s="259" t="e">
        <f>_xll.qlIndexFixing($E9,$L9,TRUE,$N9)</f>
        <v>#NUM!</v>
      </c>
      <c r="R9" s="259">
        <f>IF($O9,_xll.qlIndexFixing($E9,$L9,FALSE,$N9),"-")</f>
        <v>2.1300000000000004E-3</v>
      </c>
      <c r="S9" s="259" t="e">
        <f t="shared" si="4"/>
        <v>#NUM!</v>
      </c>
      <c r="T9" s="263" t="e">
        <f>_xll.qlIndexFixing($E9,$L9,TRUE,$R9)</f>
        <v>#NUM!</v>
      </c>
      <c r="U9" s="264">
        <f t="shared" si="5"/>
        <v>0</v>
      </c>
      <c r="V9" s="249"/>
    </row>
    <row r="10" spans="2:26" s="239" customFormat="1" x14ac:dyDescent="0.2">
      <c r="B10" s="244"/>
      <c r="C10" s="256" t="s">
        <v>17</v>
      </c>
      <c r="D10" s="252" t="str">
        <f>_xll.qlRelinkableHandleYieldTermStructure(UPPER(Currency)&amp;C10,,Permanent,Trigger,ObjectOverwrite)</f>
        <v>USD3M#0012</v>
      </c>
      <c r="E10" s="257" t="str">
        <f>_xll.qlLibor(PROPER(Currency)&amp;FamilyName&amp;C10,Currency,C10,D10,Permanent,Trigger,ObjectOverwrite)</f>
        <v>UsdLibor3M#0009</v>
      </c>
      <c r="F10" s="257" t="str">
        <f>_xll.qlLastFixingQuote(PROPER(Currency)&amp;FamilyName&amp;C10&amp;$F$5,E10,Permanent,Trigger,ObjectOverwrite)</f>
        <v>UsdLibor3MLastFixing_Quote#0007</v>
      </c>
      <c r="G10" s="251" t="str">
        <f>_xll.ohRangeRetrieveError(D10)</f>
        <v/>
      </c>
      <c r="H10" s="251" t="str">
        <f>_xll.ohRangeRetrieveError(E10)</f>
        <v/>
      </c>
      <c r="I10" s="251" t="str">
        <f>_xll.ohRangeRetrieveError(F10)</f>
        <v/>
      </c>
      <c r="J10" s="248"/>
      <c r="K10" s="262" t="str">
        <f t="shared" si="1"/>
        <v>USD3MFSR=</v>
      </c>
      <c r="L10" s="260">
        <v>42058</v>
      </c>
      <c r="M10" s="261">
        <v>0.2616</v>
      </c>
      <c r="N10" s="261" t="b">
        <f t="shared" si="2"/>
        <v>1</v>
      </c>
      <c r="O10" s="275" t="b">
        <f>IF($N10,_xll.qlIndexAddFixings($E10,$L10,$M10/100,TRUE,ISERROR($Q10)),NA())</f>
        <v>1</v>
      </c>
      <c r="P10" s="276"/>
      <c r="Q10" s="259" t="e">
        <f>_xll.qlIndexFixing($E10,$L10,TRUE,$N10)</f>
        <v>#NUM!</v>
      </c>
      <c r="R10" s="259">
        <f>IF($O10,_xll.qlIndexFixing($E10,$L10,FALSE,$N10),"-")</f>
        <v>2.6159999999999998E-3</v>
      </c>
      <c r="S10" s="259" t="e">
        <f t="shared" si="4"/>
        <v>#NUM!</v>
      </c>
      <c r="T10" s="263" t="e">
        <f>_xll.qlIndexFixing($E10,$L10,TRUE,$R10)</f>
        <v>#NUM!</v>
      </c>
      <c r="U10" s="264">
        <f t="shared" si="5"/>
        <v>0</v>
      </c>
      <c r="V10" s="249"/>
    </row>
    <row r="11" spans="2:26" s="239" customFormat="1" x14ac:dyDescent="0.2">
      <c r="B11" s="244"/>
      <c r="C11" s="256" t="s">
        <v>14</v>
      </c>
      <c r="D11" s="252" t="str">
        <f>_xll.qlRelinkableHandleYieldTermStructure(UPPER(Currency)&amp;C11,,Permanent,Trigger,ObjectOverwrite)</f>
        <v>USD6M#0012</v>
      </c>
      <c r="E11" s="257" t="str">
        <f>_xll.qlLibor(PROPER(Currency)&amp;FamilyName&amp;C11,Currency,C11,D11,Permanent,Trigger,ObjectOverwrite)</f>
        <v>UsdLibor6M#0012</v>
      </c>
      <c r="F11" s="257" t="str">
        <f>_xll.qlLastFixingQuote(PROPER(Currency)&amp;FamilyName&amp;C11&amp;$F$5,E11,Permanent,Trigger,ObjectOverwrite)</f>
        <v>UsdLibor6MLastFixing_Quote#0012</v>
      </c>
      <c r="G11" s="251" t="str">
        <f>_xll.ohRangeRetrieveError(D11)</f>
        <v/>
      </c>
      <c r="H11" s="251" t="str">
        <f>_xll.ohRangeRetrieveError(E11)</f>
        <v/>
      </c>
      <c r="I11" s="251" t="str">
        <f>_xll.ohRangeRetrieveError(F11)</f>
        <v/>
      </c>
      <c r="J11" s="248"/>
      <c r="K11" s="262" t="str">
        <f t="shared" si="1"/>
        <v>USD6MFSR=</v>
      </c>
      <c r="L11" s="260">
        <v>42058</v>
      </c>
      <c r="M11" s="261">
        <v>0.38470000000000004</v>
      </c>
      <c r="N11" s="261" t="b">
        <f t="shared" si="2"/>
        <v>1</v>
      </c>
      <c r="O11" s="275" t="b">
        <f>IF($N11,_xll.qlIndexAddFixings($E11,$L11,$M11/100,TRUE,ISERROR($Q11)),NA())</f>
        <v>1</v>
      </c>
      <c r="P11" s="276"/>
      <c r="Q11" s="259" t="e">
        <f>_xll.qlIndexFixing($E11,$L11,TRUE,$N11)</f>
        <v>#NUM!</v>
      </c>
      <c r="R11" s="259">
        <f>IF($O11,_xll.qlIndexFixing($E11,$L11,FALSE,$N11),"-")</f>
        <v>3.8470000000000006E-3</v>
      </c>
      <c r="S11" s="259" t="e">
        <f t="shared" si="4"/>
        <v>#NUM!</v>
      </c>
      <c r="T11" s="263" t="e">
        <f>_xll.qlIndexFixing($E11,$L11,TRUE,$R11)</f>
        <v>#NUM!</v>
      </c>
      <c r="U11" s="264">
        <f t="shared" si="5"/>
        <v>0</v>
      </c>
      <c r="V11" s="249"/>
    </row>
    <row r="12" spans="2:26" s="239" customFormat="1" x14ac:dyDescent="0.2">
      <c r="B12" s="244"/>
      <c r="C12" s="256" t="s">
        <v>8</v>
      </c>
      <c r="D12" s="252" t="str">
        <f>_xll.qlRelinkableHandleYieldTermStructure(UPPER(Currency)&amp;C12,,Permanent,Trigger,ObjectOverwrite)</f>
        <v>USD1Y#0012</v>
      </c>
      <c r="E12" s="257" t="str">
        <f>_xll.qlLibor(PROPER(Currency)&amp;FamilyName&amp;C12,Currency,C12,D12,Permanent,Trigger,ObjectOverwrite)</f>
        <v>UsdLibor1Y#0009</v>
      </c>
      <c r="F12" s="257" t="str">
        <f>_xll.qlLastFixingQuote(PROPER(Currency)&amp;FamilyName&amp;C12&amp;$F$5,E12,Permanent,Trigger,ObjectOverwrite)</f>
        <v>UsdLibor1YLastFixing_Quote#0009</v>
      </c>
      <c r="G12" s="251" t="str">
        <f>_xll.ohRangeRetrieveError(D12)</f>
        <v/>
      </c>
      <c r="H12" s="251" t="str">
        <f>_xll.ohRangeRetrieveError(E12)</f>
        <v/>
      </c>
      <c r="I12" s="251" t="str">
        <f>_xll.ohRangeRetrieveError(F12)</f>
        <v/>
      </c>
      <c r="J12" s="248"/>
      <c r="K12" s="262" t="str">
        <f t="shared" si="1"/>
        <v>USD1YFSR=</v>
      </c>
      <c r="L12" s="260">
        <v>42058</v>
      </c>
      <c r="M12" s="261">
        <v>0.6784</v>
      </c>
      <c r="N12" s="261" t="b">
        <f t="shared" si="2"/>
        <v>1</v>
      </c>
      <c r="O12" s="275" t="b">
        <f>IF($N12,_xll.qlIndexAddFixings($E12,$L12,$M12/100,TRUE,ISERROR($Q12)),NA())</f>
        <v>1</v>
      </c>
      <c r="P12" s="277"/>
      <c r="Q12" s="259" t="e">
        <f>_xll.qlIndexFixing($E12,$L12,TRUE,$N12)</f>
        <v>#NUM!</v>
      </c>
      <c r="R12" s="259">
        <f>IF($O12,_xll.qlIndexFixing($E12,$L12,FALSE,$N12),"-")</f>
        <v>6.7840000000000001E-3</v>
      </c>
      <c r="S12" s="259" t="e">
        <f t="shared" si="4"/>
        <v>#NUM!</v>
      </c>
      <c r="T12" s="263" t="e">
        <f>_xll.qlIndexFixing($E12,$L12,TRUE,$R12)</f>
        <v>#NUM!</v>
      </c>
      <c r="U12" s="264">
        <f t="shared" si="5"/>
        <v>0</v>
      </c>
      <c r="V12" s="249"/>
    </row>
    <row r="13" spans="2:26" s="239" customFormat="1" x14ac:dyDescent="0.2">
      <c r="B13" s="244"/>
      <c r="C13" s="256" t="s">
        <v>244</v>
      </c>
      <c r="D13" s="252" t="str">
        <f>_xll.qlRelinkableHandleYieldTermStructure(UPPER(Currency)&amp;C13,,Permanent,Trigger,ObjectOverwrite)</f>
        <v>USDSTD#0012</v>
      </c>
      <c r="E13" s="257"/>
      <c r="F13" s="251"/>
      <c r="G13" s="251" t="str">
        <f>_xll.ohRangeRetrieveError(D13)</f>
        <v/>
      </c>
      <c r="H13" s="251" t="str">
        <f>_xll.ohRangeRetrieveError(E13)</f>
        <v/>
      </c>
      <c r="I13" s="251" t="str">
        <f>_xll.ohRangeRetrieveError(F13)</f>
        <v/>
      </c>
      <c r="J13" s="248"/>
      <c r="K13" s="272"/>
      <c r="L13" s="272"/>
      <c r="M13" s="272"/>
      <c r="N13" s="272"/>
      <c r="O13" s="272"/>
      <c r="P13" s="248"/>
      <c r="Q13" s="272"/>
      <c r="R13" s="272"/>
      <c r="S13" s="272"/>
      <c r="T13" s="272"/>
      <c r="U13" s="272"/>
      <c r="V13" s="249"/>
    </row>
    <row r="14" spans="2:26" s="239" customFormat="1" ht="12" thickBot="1" x14ac:dyDescent="0.25">
      <c r="B14" s="265"/>
      <c r="C14" s="266"/>
      <c r="D14" s="266"/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67"/>
    </row>
    <row r="15" spans="2:26" s="239" customFormat="1" ht="12" thickBot="1" x14ac:dyDescent="0.25">
      <c r="E15" s="268"/>
      <c r="F15" s="268"/>
      <c r="H15" s="268"/>
      <c r="I15" s="268"/>
      <c r="J15" s="268"/>
      <c r="M15" s="268"/>
    </row>
    <row r="16" spans="2:26" ht="12" thickBot="1" x14ac:dyDescent="0.25">
      <c r="D16" s="301"/>
      <c r="E16" s="302"/>
      <c r="F16" s="302"/>
      <c r="G16" s="302"/>
      <c r="H16" s="302"/>
      <c r="I16" s="302"/>
      <c r="J16" s="302"/>
      <c r="K16" s="302"/>
      <c r="L16" s="302"/>
      <c r="M16" s="302"/>
      <c r="N16" s="302"/>
      <c r="O16" s="302"/>
      <c r="P16" s="303"/>
    </row>
    <row r="17" spans="4:16" x14ac:dyDescent="0.2">
      <c r="D17" s="304"/>
      <c r="E17" s="305"/>
      <c r="F17" s="305"/>
      <c r="G17" s="306"/>
      <c r="H17" s="306"/>
      <c r="I17" s="307"/>
      <c r="J17" s="307"/>
      <c r="K17" s="308" t="str">
        <f>_xll.RHistory(K8,F21:F22,F19,,"CH:In;Fd TSREPEAT:N SORT:"&amp;F20,K18)</f>
        <v>Updated at 16:44:29</v>
      </c>
      <c r="L17" s="309" t="b">
        <f>_xll.qlIndexAddFixings(E8,K20,L20/100,TRUE,Trigger)</f>
        <v>1</v>
      </c>
      <c r="M17" s="310"/>
      <c r="N17" s="308" t="str">
        <f>_xll.RHistory(K11,F21:F22,F19,,"CH:In;Fd TSREPEAT:N SORT:"&amp;F20,N18)</f>
        <v>Updated at 16:44:29</v>
      </c>
      <c r="O17" s="309" t="b">
        <f>_xll.qlIndexAddFixings(E11,N20,O20/100,TRUE,Trigger)</f>
        <v>1</v>
      </c>
      <c r="P17" s="311"/>
    </row>
    <row r="18" spans="4:16" x14ac:dyDescent="0.2">
      <c r="D18" s="304"/>
      <c r="E18" s="305"/>
      <c r="F18" s="307"/>
      <c r="G18" s="307"/>
      <c r="H18" s="307"/>
      <c r="I18" s="307"/>
      <c r="J18" s="307"/>
      <c r="K18" s="312" t="s">
        <v>275</v>
      </c>
      <c r="L18" s="313" t="s">
        <v>275</v>
      </c>
      <c r="M18" s="310"/>
      <c r="N18" s="312" t="s">
        <v>272</v>
      </c>
      <c r="O18" s="313" t="s">
        <v>272</v>
      </c>
      <c r="P18" s="311"/>
    </row>
    <row r="19" spans="4:16" ht="22.5" x14ac:dyDescent="0.2">
      <c r="D19" s="314"/>
      <c r="E19" s="256" t="s">
        <v>265</v>
      </c>
      <c r="F19" s="315" t="str">
        <f>"START:"&amp;_xll.qlSettingsEvaluationDate(Trigger)&amp; " END:"&amp;_xll.qlSettingsEvaluationDate(Trigger)&amp;" INTERVAL:1D"</f>
        <v>START:42058 END:42058 INTERVAL:1D</v>
      </c>
      <c r="G19" s="307"/>
      <c r="H19" s="307"/>
      <c r="I19" s="307"/>
      <c r="J19" s="307"/>
      <c r="K19" s="316" t="s">
        <v>305</v>
      </c>
      <c r="L19" s="317" t="s">
        <v>266</v>
      </c>
      <c r="M19" s="310"/>
      <c r="N19" s="316" t="s">
        <v>305</v>
      </c>
      <c r="O19" s="317" t="s">
        <v>266</v>
      </c>
      <c r="P19" s="311"/>
    </row>
    <row r="20" spans="4:16" ht="12" thickBot="1" x14ac:dyDescent="0.25">
      <c r="D20" s="314"/>
      <c r="E20" s="256" t="s">
        <v>267</v>
      </c>
      <c r="F20" s="257" t="s">
        <v>268</v>
      </c>
      <c r="G20" s="307"/>
      <c r="H20" s="307"/>
      <c r="I20" s="307"/>
      <c r="J20" s="307"/>
      <c r="K20" s="318">
        <v>42058</v>
      </c>
      <c r="L20" s="319">
        <v>0.17100000000000001</v>
      </c>
      <c r="M20" s="310"/>
      <c r="N20" s="318">
        <v>42058</v>
      </c>
      <c r="O20" s="319">
        <v>0.38469999999999999</v>
      </c>
      <c r="P20" s="311"/>
    </row>
    <row r="21" spans="4:16" ht="12" thickBot="1" x14ac:dyDescent="0.25">
      <c r="D21" s="314"/>
      <c r="E21" s="256" t="s">
        <v>269</v>
      </c>
      <c r="F21" s="257" t="s">
        <v>270</v>
      </c>
      <c r="G21" s="307"/>
      <c r="H21" s="307"/>
      <c r="I21" s="307"/>
      <c r="J21" s="307"/>
      <c r="K21" s="305"/>
      <c r="L21" s="305"/>
      <c r="M21" s="310"/>
      <c r="N21" s="307"/>
      <c r="O21" s="307"/>
      <c r="P21" s="311"/>
    </row>
    <row r="22" spans="4:16" x14ac:dyDescent="0.2">
      <c r="D22" s="314"/>
      <c r="E22" s="256"/>
      <c r="F22" s="257" t="s">
        <v>271</v>
      </c>
      <c r="G22" s="307"/>
      <c r="H22" s="307"/>
      <c r="I22" s="307"/>
      <c r="J22" s="307"/>
      <c r="K22" s="308" t="str">
        <f>_xll.RHistory(K10,F21:F22,F19,,"CH:In;Fd TSREPEAT:N SORT:"&amp;F20,K23)</f>
        <v>Updated at 16:44:29</v>
      </c>
      <c r="L22" s="309" t="b">
        <f>_xll.qlIndexAddFixings(E10,K25,L25/100,TRUE,Trigger)</f>
        <v>1</v>
      </c>
      <c r="M22" s="310"/>
      <c r="N22" s="308" t="str">
        <f>_xll.RHistory(K12,F21:F22,F19,,"CH:In;Fd TSREPEAT:N SORT:"&amp;F20,N23)</f>
        <v>Updated at 16:44:29</v>
      </c>
      <c r="O22" s="309" t="b">
        <f>_xll.qlIndexAddFixings(E12,N25,O25/100,TRUE,Trigger)</f>
        <v>1</v>
      </c>
      <c r="P22" s="311"/>
    </row>
    <row r="23" spans="4:16" x14ac:dyDescent="0.2">
      <c r="D23" s="304"/>
      <c r="E23" s="305"/>
      <c r="F23" s="307"/>
      <c r="G23" s="307"/>
      <c r="H23" s="307"/>
      <c r="I23" s="307"/>
      <c r="J23" s="307"/>
      <c r="K23" s="312" t="s">
        <v>274</v>
      </c>
      <c r="L23" s="313" t="s">
        <v>274</v>
      </c>
      <c r="M23" s="310"/>
      <c r="N23" s="312" t="s">
        <v>273</v>
      </c>
      <c r="O23" s="313" t="s">
        <v>273</v>
      </c>
      <c r="P23" s="311"/>
    </row>
    <row r="24" spans="4:16" ht="22.5" x14ac:dyDescent="0.2">
      <c r="D24" s="304"/>
      <c r="E24" s="305"/>
      <c r="F24" s="307"/>
      <c r="G24" s="307"/>
      <c r="H24" s="307"/>
      <c r="I24" s="307"/>
      <c r="J24" s="307"/>
      <c r="K24" s="316" t="s">
        <v>305</v>
      </c>
      <c r="L24" s="317" t="s">
        <v>266</v>
      </c>
      <c r="M24" s="310"/>
      <c r="N24" s="316" t="s">
        <v>305</v>
      </c>
      <c r="O24" s="317" t="s">
        <v>266</v>
      </c>
      <c r="P24" s="311"/>
    </row>
    <row r="25" spans="4:16" ht="12" thickBot="1" x14ac:dyDescent="0.25">
      <c r="D25" s="304"/>
      <c r="E25" s="305"/>
      <c r="F25" s="307"/>
      <c r="G25" s="307"/>
      <c r="H25" s="307"/>
      <c r="I25" s="307"/>
      <c r="J25" s="307"/>
      <c r="K25" s="318">
        <v>42058</v>
      </c>
      <c r="L25" s="319">
        <v>0.2616</v>
      </c>
      <c r="M25" s="310"/>
      <c r="N25" s="318">
        <v>42058</v>
      </c>
      <c r="O25" s="319">
        <v>0.6784</v>
      </c>
      <c r="P25" s="311"/>
    </row>
    <row r="26" spans="4:16" ht="12" thickBot="1" x14ac:dyDescent="0.25">
      <c r="D26" s="320"/>
      <c r="E26" s="321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3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K1" workbookViewId="0">
      <selection activeCell="O6" sqref="O6:O47"/>
    </sheetView>
  </sheetViews>
  <sheetFormatPr defaultRowHeight="11.25" x14ac:dyDescent="0.2"/>
  <cols>
    <col min="1" max="1" width="2.7109375" style="44" customWidth="1"/>
    <col min="2" max="2" width="3.5703125" style="44" bestFit="1" customWidth="1"/>
    <col min="3" max="3" width="5.7109375" style="44" bestFit="1" customWidth="1"/>
    <col min="4" max="4" width="6.140625" style="44" bestFit="1" customWidth="1"/>
    <col min="5" max="5" width="19.140625" style="44" bestFit="1" customWidth="1"/>
    <col min="6" max="6" width="20.140625" style="44" bestFit="1" customWidth="1"/>
    <col min="7" max="7" width="23.85546875" style="44" customWidth="1"/>
    <col min="8" max="10" width="2.7109375" style="44" customWidth="1"/>
    <col min="11" max="13" width="9.140625" style="44"/>
    <col min="14" max="14" width="14.28515625" style="44" bestFit="1" customWidth="1"/>
    <col min="15" max="19" width="9.140625" style="44"/>
    <col min="20" max="20" width="10.140625" style="44" customWidth="1"/>
    <col min="21" max="21" width="9.140625" style="44"/>
    <col min="22" max="22" width="2.7109375" style="44" customWidth="1"/>
    <col min="23" max="23" width="9.140625" style="44"/>
    <col min="24" max="24" width="2.7109375" style="44" customWidth="1"/>
    <col min="25" max="26" width="9.140625" style="44"/>
    <col min="27" max="28" width="2.7109375" style="44" customWidth="1"/>
    <col min="29" max="33" width="9.140625" style="44"/>
    <col min="34" max="34" width="2.7109375" style="44" customWidth="1"/>
    <col min="35" max="35" width="2.7109375" style="44" bestFit="1" customWidth="1"/>
    <col min="36" max="36" width="8.42578125" style="44" bestFit="1" customWidth="1"/>
    <col min="37" max="37" width="5.42578125" style="44" bestFit="1" customWidth="1"/>
    <col min="38" max="39" width="27.85546875" style="44" bestFit="1" customWidth="1"/>
    <col min="40" max="40" width="22.140625" style="44" customWidth="1"/>
    <col min="41" max="41" width="2.7109375" style="44" customWidth="1"/>
    <col min="42" max="16384" width="9.140625" style="44"/>
  </cols>
  <sheetData>
    <row r="1" spans="1:41" x14ac:dyDescent="0.2">
      <c r="J1" s="147" t="s">
        <v>233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84"/>
      <c r="W1" s="184"/>
      <c r="X1" s="99"/>
      <c r="Y1" s="99"/>
      <c r="Z1" s="99"/>
      <c r="AA1" s="183"/>
      <c r="AB1" s="3"/>
      <c r="AC1" s="3"/>
      <c r="AD1" s="3"/>
      <c r="AE1" s="3"/>
      <c r="AF1" s="3"/>
      <c r="AH1" s="76" t="s">
        <v>177</v>
      </c>
      <c r="AO1" s="9"/>
    </row>
    <row r="2" spans="1:41" x14ac:dyDescent="0.2">
      <c r="J2" s="146"/>
      <c r="K2" s="60"/>
      <c r="L2" s="145"/>
      <c r="M2" s="145"/>
      <c r="N2" s="60"/>
      <c r="O2" s="60"/>
      <c r="P2" s="60"/>
      <c r="Q2" s="60"/>
      <c r="R2" s="60"/>
      <c r="S2" s="60"/>
      <c r="T2" s="60"/>
      <c r="U2" s="60"/>
      <c r="V2" s="122"/>
      <c r="W2" s="122"/>
      <c r="X2" s="60"/>
      <c r="Y2" s="122"/>
      <c r="Z2" s="60"/>
      <c r="AA2" s="182"/>
      <c r="AB2" s="3"/>
      <c r="AC2" s="3"/>
      <c r="AD2" s="3"/>
      <c r="AE2" s="3"/>
      <c r="AF2" s="3"/>
      <c r="AH2" s="76"/>
      <c r="AL2" s="116" t="s">
        <v>176</v>
      </c>
      <c r="AM2" s="115" t="str">
        <f>FuturesHWConvAdj!C5</f>
        <v>USDHW_Volatility_Quote#0009</v>
      </c>
      <c r="AO2" s="9"/>
    </row>
    <row r="3" spans="1:41" ht="12" thickBot="1" x14ac:dyDescent="0.25">
      <c r="J3" s="146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122"/>
      <c r="W3" s="122"/>
      <c r="X3" s="60"/>
      <c r="Y3" s="60"/>
      <c r="Z3" s="60"/>
      <c r="AA3" s="182"/>
      <c r="AB3" s="3"/>
      <c r="AC3" s="3"/>
      <c r="AD3" s="3"/>
      <c r="AE3" s="3"/>
      <c r="AF3" s="3"/>
      <c r="AH3" s="76"/>
      <c r="AL3" s="116" t="s">
        <v>175</v>
      </c>
      <c r="AM3" s="115" t="str">
        <f>FuturesHWConvAdj!C6</f>
        <v>USDHW_MeanReversion_Quote#0009</v>
      </c>
      <c r="AO3" s="9"/>
    </row>
    <row r="4" spans="1:41" ht="12" thickBot="1" x14ac:dyDescent="0.25">
      <c r="A4" s="81" t="s">
        <v>142</v>
      </c>
      <c r="B4" s="80"/>
      <c r="C4" s="80"/>
      <c r="D4" s="79" t="s">
        <v>141</v>
      </c>
      <c r="E4" s="79" t="s">
        <v>17</v>
      </c>
      <c r="F4" s="78"/>
      <c r="G4" s="78"/>
      <c r="H4" s="77"/>
      <c r="J4" s="146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122"/>
      <c r="W4" s="122"/>
      <c r="X4" s="60"/>
      <c r="Y4" s="60"/>
      <c r="Z4" s="143">
        <f>_xll.ohTrigger(Z6:Z47)</f>
        <v>799</v>
      </c>
      <c r="AA4" s="182"/>
      <c r="AB4" s="3"/>
      <c r="AC4" s="3"/>
      <c r="AD4" s="3"/>
      <c r="AE4" s="3"/>
      <c r="AF4" s="3"/>
      <c r="AH4" s="76"/>
      <c r="AL4" s="116" t="s">
        <v>88</v>
      </c>
      <c r="AM4" s="115" t="str">
        <f>Libor!E10</f>
        <v>UsdLibor3M#0009</v>
      </c>
      <c r="AN4" s="114" t="s">
        <v>17</v>
      </c>
      <c r="AO4" s="9"/>
    </row>
    <row r="5" spans="1:41" ht="22.5" x14ac:dyDescent="0.2">
      <c r="A5" s="76"/>
      <c r="B5" s="35" t="s">
        <v>140</v>
      </c>
      <c r="C5" s="36" t="s">
        <v>139</v>
      </c>
      <c r="D5" s="36" t="s">
        <v>138</v>
      </c>
      <c r="E5" s="34" t="str">
        <f>Currency&amp;"_010_"&amp;$D$4&amp;$E$4&amp;".xml"</f>
        <v>USD_010_FUT3M.xml</v>
      </c>
      <c r="F5" s="33" t="str">
        <f>IF(Serialize,_xll.ohObjectSave(F6:F47,SerializationPath&amp;E5,FileOverwrite,Serialize),"---")</f>
        <v>---</v>
      </c>
      <c r="G5" s="49" t="str">
        <f>_xll.ohRangeRetrieveError(F5)</f>
        <v/>
      </c>
      <c r="H5" s="64"/>
      <c r="J5" s="146"/>
      <c r="K5" s="190" t="s">
        <v>140</v>
      </c>
      <c r="L5" s="186" t="s">
        <v>139</v>
      </c>
      <c r="M5" s="186" t="s">
        <v>138</v>
      </c>
      <c r="N5" s="186" t="s">
        <v>203</v>
      </c>
      <c r="O5" s="189" t="str">
        <f>_xll.RData(O6:O47,P5:T5,"RTFEED:IDN",ReutersRtMode,,P6)</f>
        <v>Updated at 17:02:01</v>
      </c>
      <c r="P5" s="186" t="s">
        <v>202</v>
      </c>
      <c r="Q5" s="186" t="s">
        <v>179</v>
      </c>
      <c r="R5" s="186" t="s">
        <v>178</v>
      </c>
      <c r="S5" s="186" t="s">
        <v>189</v>
      </c>
      <c r="T5" s="186" t="s">
        <v>199</v>
      </c>
      <c r="U5" s="188" t="s">
        <v>198</v>
      </c>
      <c r="V5" s="122"/>
      <c r="W5" s="187" t="s">
        <v>195</v>
      </c>
      <c r="X5" s="122"/>
      <c r="Y5" s="190" t="s">
        <v>194</v>
      </c>
      <c r="Z5" s="185" t="s">
        <v>193</v>
      </c>
      <c r="AA5" s="9"/>
      <c r="AB5" s="3"/>
      <c r="AC5" s="105" t="s">
        <v>201</v>
      </c>
      <c r="AD5" s="103" t="s">
        <v>200</v>
      </c>
      <c r="AE5" s="3"/>
      <c r="AF5" s="156" t="s">
        <v>197</v>
      </c>
      <c r="AH5" s="76"/>
      <c r="AI5" s="35" t="s">
        <v>140</v>
      </c>
      <c r="AJ5" s="95" t="s">
        <v>139</v>
      </c>
      <c r="AK5" s="95" t="s">
        <v>138</v>
      </c>
      <c r="AL5" s="34" t="str">
        <f>Currency&amp;"_020_Futures"&amp;AN4&amp;"ConvAdj.xml"</f>
        <v>USD_020_Futures3MConvAdj.xml</v>
      </c>
      <c r="AM5" s="50" t="str">
        <f>IF(Serialize,_xll.ohObjectSave(AM6:AM47,SerializationPath&amp;AL5,FileOverwrite,Serialize),"---")</f>
        <v>---</v>
      </c>
      <c r="AN5" s="17" t="str">
        <f>_xll.ohRangeRetrieveError(AM5)</f>
        <v/>
      </c>
      <c r="AO5" s="9"/>
    </row>
    <row r="6" spans="1:41" x14ac:dyDescent="0.2">
      <c r="A6" s="70"/>
      <c r="B6" s="75">
        <v>1</v>
      </c>
      <c r="C6" s="74" t="b">
        <v>0</v>
      </c>
      <c r="D6" s="73" t="str">
        <f t="array" ref="D6:D47">_xll.qlIMMNextCodes(_xll.qlSettingsEvaluationDate(Trigger)-1,$C6:$C47)</f>
        <v>H5</v>
      </c>
      <c r="E6" s="66" t="str">
        <f t="shared" ref="E6:E37" si="0">Currency&amp;$D$4&amp;$E$4&amp;$D6&amp;QuoteSuffix</f>
        <v>USDFUT3MH5_Quote</v>
      </c>
      <c r="F6" s="72" t="str">
        <f>_xll.qlSimpleQuote(E6,,PriceTickValue,Permanent,Trigger,ObjectOverwrite)</f>
        <v>USDFUT3MH5_Quote#0008</v>
      </c>
      <c r="G6" s="71" t="str">
        <f>_xll.ohRangeRetrieveError(F6)</f>
        <v/>
      </c>
      <c r="H6" s="64"/>
      <c r="J6" s="167"/>
      <c r="K6" s="180">
        <v>1</v>
      </c>
      <c r="L6" s="179" t="b">
        <v>0</v>
      </c>
      <c r="M6" s="135" t="str">
        <f t="array" ref="M6:M47">_xll.qlIMMcode(FuturesDates)</f>
        <v>H5</v>
      </c>
      <c r="N6" s="178">
        <f t="array" ref="N6:N47">_xll.qlIMMNextDates(_xll.qlSettingsEvaluationDate(Trigger)-1,$L6:$L47)</f>
        <v>42081</v>
      </c>
      <c r="O6" s="135" t="str">
        <f t="array" ref="O6:O47">VLOOKUP(Currency,LiffeCodes,2)&amp;FuturesCodes</f>
        <v>EDH5</v>
      </c>
      <c r="P6" s="177">
        <v>42079</v>
      </c>
      <c r="Q6" s="135">
        <v>99.722500000000011</v>
      </c>
      <c r="R6" s="135">
        <v>99.725000000000009</v>
      </c>
      <c r="S6" s="135">
        <v>99.722500000000011</v>
      </c>
      <c r="T6" s="135">
        <v>99.72</v>
      </c>
      <c r="U6" s="137">
        <f>_xll.qlMidSafe(Q6,R6,Trigger)</f>
        <v>99.72375000000001</v>
      </c>
      <c r="V6" s="122"/>
      <c r="W6" s="176">
        <v>99.771249999999995</v>
      </c>
      <c r="X6" s="122"/>
      <c r="Y6" s="175">
        <f t="array" ref="Y6:Y47">QuoteLive</f>
        <v>99.72375000000001</v>
      </c>
      <c r="Z6" s="137">
        <f>_xll.qlSimpleQuoteSetValue(F6,Y6,Trigger)</f>
        <v>0</v>
      </c>
      <c r="AA6" s="9"/>
      <c r="AB6" s="3"/>
      <c r="AC6" s="28" t="s">
        <v>101</v>
      </c>
      <c r="AD6" s="26" t="s">
        <v>207</v>
      </c>
      <c r="AE6" s="3"/>
      <c r="AF6" s="148">
        <f t="shared" ref="AF6:AF47" si="1">(R6-U6)/50</f>
        <v>2.4999999999977263E-5</v>
      </c>
      <c r="AH6" s="70"/>
      <c r="AI6" s="75">
        <v>1</v>
      </c>
      <c r="AJ6" s="73" t="b">
        <v>0</v>
      </c>
      <c r="AK6" s="73" t="str">
        <f t="array" ref="AK6:AK47">_xll.qlIMMNextCodes(_xll.qlSettingsEvaluationDate(Trigger)-1,$AJ6:$AJ47)</f>
        <v>H5</v>
      </c>
      <c r="AL6" s="113" t="str">
        <f t="shared" ref="AL6:AL47" si="2">Currency&amp;"FUT"&amp;$AN$4&amp;$AK6&amp;"ConvAdj"&amp;QuoteSuffix</f>
        <v>USDFUT3MH5ConvAdj_Quote</v>
      </c>
      <c r="AM6" s="112" t="str">
        <f>_xll.qlFuturesConvAdjustmentQuote(AL6,IborIndex,AK6,F6,Volatility,MeanReversion,Permanent,AND(ISERROR(Z6),ISERROR(FuturesHWConvAdj!Q5:Q6)),ObjectOverwrite)</f>
        <v>USDFUT3MH5ConvAdj_Quote#0915</v>
      </c>
      <c r="AN6" s="17" t="str">
        <f>_xll.ohRangeRetrieveError(AM6)</f>
        <v/>
      </c>
      <c r="AO6" s="9"/>
    </row>
    <row r="7" spans="1:41" x14ac:dyDescent="0.2">
      <c r="A7" s="70"/>
      <c r="B7" s="69">
        <v>2</v>
      </c>
      <c r="C7" s="68" t="b">
        <v>0</v>
      </c>
      <c r="D7" s="67" t="str">
        <v>J5</v>
      </c>
      <c r="E7" s="66" t="str">
        <f t="shared" si="0"/>
        <v>USDFUT3MJ5_Quote</v>
      </c>
      <c r="F7" s="65" t="str">
        <f>_xll.qlSimpleQuote(E7,,PriceTickValue,Permanent,Trigger,ObjectOverwrite)</f>
        <v>USDFUT3MJ5_Quote#0007</v>
      </c>
      <c r="G7" s="46" t="str">
        <f>_xll.ohRangeRetrieveError(F7)</f>
        <v/>
      </c>
      <c r="H7" s="64"/>
      <c r="J7" s="167"/>
      <c r="K7" s="173">
        <v>2</v>
      </c>
      <c r="L7" s="172" t="b">
        <v>0</v>
      </c>
      <c r="M7" s="120" t="str">
        <v>J5</v>
      </c>
      <c r="N7" s="171">
        <v>42109</v>
      </c>
      <c r="O7" s="120" t="str">
        <v>EDJ5</v>
      </c>
      <c r="P7" s="170">
        <v>42107</v>
      </c>
      <c r="Q7" s="120">
        <v>99.7</v>
      </c>
      <c r="R7" s="120">
        <v>99.704999999999998</v>
      </c>
      <c r="S7" s="120">
        <v>99.7</v>
      </c>
      <c r="T7" s="120">
        <v>99.7</v>
      </c>
      <c r="U7" s="124">
        <f>_xll.qlMidSafe(Q7,R7,Trigger)</f>
        <v>99.702500000000001</v>
      </c>
      <c r="V7" s="122"/>
      <c r="W7" s="174">
        <v>99.772500000000008</v>
      </c>
      <c r="X7" s="122"/>
      <c r="Y7" s="168">
        <v>99.702500000000001</v>
      </c>
      <c r="Z7" s="124">
        <f>_xll.qlSimpleQuoteSetValue(F7,Y7,Trigger)</f>
        <v>0</v>
      </c>
      <c r="AA7" s="9"/>
      <c r="AB7" s="3"/>
      <c r="AC7" s="28" t="s">
        <v>100</v>
      </c>
      <c r="AD7" s="26" t="s">
        <v>206</v>
      </c>
      <c r="AE7" s="3"/>
      <c r="AF7" s="148">
        <f t="shared" si="1"/>
        <v>4.9999999999954527E-5</v>
      </c>
      <c r="AH7" s="70"/>
      <c r="AI7" s="69">
        <v>2</v>
      </c>
      <c r="AJ7" s="67" t="b">
        <v>0</v>
      </c>
      <c r="AK7" s="67" t="str">
        <v>J5</v>
      </c>
      <c r="AL7" s="113" t="str">
        <f t="shared" si="2"/>
        <v>USDFUT3MJ5ConvAdj_Quote</v>
      </c>
      <c r="AM7" s="112" t="str">
        <f>_xll.qlFuturesConvAdjustmentQuote(AL7,IborIndex,AK7,F7,Volatility,MeanReversion,Permanent,AND(ISERROR(Z7),ISERROR(FuturesHWConvAdj!Q6:Q7)),ObjectOverwrite)</f>
        <v>USDFUT3MJ5ConvAdj_Quote#0789</v>
      </c>
      <c r="AN7" s="17" t="str">
        <f>_xll.ohRangeRetrieveError(AM7)</f>
        <v/>
      </c>
      <c r="AO7" s="9"/>
    </row>
    <row r="8" spans="1:41" x14ac:dyDescent="0.2">
      <c r="A8" s="70"/>
      <c r="B8" s="69">
        <v>3</v>
      </c>
      <c r="C8" s="68" t="b">
        <v>0</v>
      </c>
      <c r="D8" s="67" t="str">
        <v>K5</v>
      </c>
      <c r="E8" s="66" t="str">
        <f t="shared" si="0"/>
        <v>USDFUT3MK5_Quote</v>
      </c>
      <c r="F8" s="65" t="str">
        <f>_xll.qlSimpleQuote(E8,,PriceTickValue,Permanent,Trigger,ObjectOverwrite)</f>
        <v>USDFUT3MK5_Quote#0007</v>
      </c>
      <c r="G8" s="46" t="str">
        <f>_xll.ohRangeRetrieveError(F8)</f>
        <v/>
      </c>
      <c r="H8" s="64"/>
      <c r="J8" s="167"/>
      <c r="K8" s="173">
        <v>3</v>
      </c>
      <c r="L8" s="172" t="b">
        <v>0</v>
      </c>
      <c r="M8" s="120" t="str">
        <v>K5</v>
      </c>
      <c r="N8" s="171">
        <v>42144</v>
      </c>
      <c r="O8" s="120" t="str">
        <v>EDK5</v>
      </c>
      <c r="P8" s="170">
        <v>42142</v>
      </c>
      <c r="Q8" s="120">
        <v>99.65</v>
      </c>
      <c r="R8" s="120">
        <v>99.655000000000001</v>
      </c>
      <c r="S8" s="120">
        <v>99.655000000000001</v>
      </c>
      <c r="T8" s="120">
        <v>99.64500000000001</v>
      </c>
      <c r="U8" s="124">
        <f>_xll.qlMidSafe(Q8,R8,Trigger)</f>
        <v>99.652500000000003</v>
      </c>
      <c r="V8" s="122"/>
      <c r="W8" s="174">
        <v>99.767499999999998</v>
      </c>
      <c r="X8" s="122"/>
      <c r="Y8" s="168">
        <v>99.652500000000003</v>
      </c>
      <c r="Z8" s="124">
        <f>_xll.qlSimpleQuoteSetValue(F8,Y8,Trigger)</f>
        <v>0</v>
      </c>
      <c r="AA8" s="9"/>
      <c r="AB8" s="3"/>
      <c r="AC8" s="28" t="s">
        <v>97</v>
      </c>
      <c r="AD8" s="26" t="s">
        <v>205</v>
      </c>
      <c r="AE8" s="3"/>
      <c r="AF8" s="148">
        <f t="shared" si="1"/>
        <v>4.9999999999954527E-5</v>
      </c>
      <c r="AH8" s="70"/>
      <c r="AI8" s="69">
        <v>3</v>
      </c>
      <c r="AJ8" s="67" t="b">
        <v>0</v>
      </c>
      <c r="AK8" s="67" t="str">
        <v>K5</v>
      </c>
      <c r="AL8" s="113" t="str">
        <f t="shared" si="2"/>
        <v>USDFUT3MK5ConvAdj_Quote</v>
      </c>
      <c r="AM8" s="112" t="str">
        <f>_xll.qlFuturesConvAdjustmentQuote(AL8,IborIndex,AK8,F8,Volatility,MeanReversion,Permanent,AND(ISERROR(Z8),ISERROR(FuturesHWConvAdj!Q7:Q8)),ObjectOverwrite)</f>
        <v>USDFUT3MK5ConvAdj_Quote#0787</v>
      </c>
      <c r="AN8" s="17" t="str">
        <f>_xll.ohRangeRetrieveError(AM8)</f>
        <v/>
      </c>
      <c r="AO8" s="9"/>
    </row>
    <row r="9" spans="1:41" x14ac:dyDescent="0.2">
      <c r="A9" s="70"/>
      <c r="B9" s="69">
        <v>4</v>
      </c>
      <c r="C9" s="68" t="b">
        <v>0</v>
      </c>
      <c r="D9" s="67" t="str">
        <v>M5</v>
      </c>
      <c r="E9" s="66" t="str">
        <f t="shared" si="0"/>
        <v>USDFUT3MM5_Quote</v>
      </c>
      <c r="F9" s="65" t="str">
        <f>_xll.qlSimpleQuote(E9,,PriceTickValue,Permanent,Trigger,ObjectOverwrite)</f>
        <v>USDFUT3MM5_Quote#0008</v>
      </c>
      <c r="G9" s="46" t="str">
        <f>_xll.ohRangeRetrieveError(F9)</f>
        <v/>
      </c>
      <c r="H9" s="64"/>
      <c r="J9" s="167"/>
      <c r="K9" s="173">
        <v>4</v>
      </c>
      <c r="L9" s="172" t="b">
        <v>0</v>
      </c>
      <c r="M9" s="120" t="str">
        <v>M5</v>
      </c>
      <c r="N9" s="171">
        <v>42172</v>
      </c>
      <c r="O9" s="120" t="str">
        <v>EDM5</v>
      </c>
      <c r="P9" s="170">
        <v>42170</v>
      </c>
      <c r="Q9" s="120">
        <v>99.600000000000009</v>
      </c>
      <c r="R9" s="120">
        <v>99.605000000000004</v>
      </c>
      <c r="S9" s="120">
        <v>99.600000000000009</v>
      </c>
      <c r="T9" s="120">
        <v>99.59</v>
      </c>
      <c r="U9" s="124">
        <f>_xll.qlMidSafe(Q9,R9,Trigger)</f>
        <v>99.602500000000006</v>
      </c>
      <c r="V9" s="122"/>
      <c r="W9" s="174">
        <v>99.757499999999993</v>
      </c>
      <c r="X9" s="122"/>
      <c r="Y9" s="168">
        <v>99.602500000000006</v>
      </c>
      <c r="Z9" s="124">
        <f>_xll.qlSimpleQuoteSetValue(F9,Y9,Trigger)</f>
        <v>0</v>
      </c>
      <c r="AA9" s="9"/>
      <c r="AB9" s="3"/>
      <c r="AC9" s="28" t="s">
        <v>96</v>
      </c>
      <c r="AD9" s="26"/>
      <c r="AE9" s="3"/>
      <c r="AF9" s="148">
        <f t="shared" si="1"/>
        <v>4.9999999999954527E-5</v>
      </c>
      <c r="AH9" s="70"/>
      <c r="AI9" s="69">
        <v>4</v>
      </c>
      <c r="AJ9" s="67" t="b">
        <v>0</v>
      </c>
      <c r="AK9" s="67" t="str">
        <v>M5</v>
      </c>
      <c r="AL9" s="113" t="str">
        <f t="shared" si="2"/>
        <v>USDFUT3MM5ConvAdj_Quote</v>
      </c>
      <c r="AM9" s="112" t="str">
        <f>_xll.qlFuturesConvAdjustmentQuote(AL9,IborIndex,AK9,F9,Volatility,MeanReversion,Permanent,AND(ISERROR(Z9),ISERROR(FuturesHWConvAdj!Q8:Q9)),ObjectOverwrite)</f>
        <v>USDFUT3MM5ConvAdj_Quote#0799</v>
      </c>
      <c r="AN9" s="17" t="str">
        <f>_xll.ohRangeRetrieveError(AM9)</f>
        <v/>
      </c>
      <c r="AO9" s="9"/>
    </row>
    <row r="10" spans="1:41" ht="12" thickBot="1" x14ac:dyDescent="0.25">
      <c r="A10" s="70"/>
      <c r="B10" s="69">
        <v>5</v>
      </c>
      <c r="C10" s="68" t="b">
        <v>0</v>
      </c>
      <c r="D10" s="67" t="str">
        <v>N5</v>
      </c>
      <c r="E10" s="66" t="str">
        <f t="shared" si="0"/>
        <v>USDFUT3MN5_Quote</v>
      </c>
      <c r="F10" s="65" t="str">
        <f>_xll.qlSimpleQuote(E10,,PriceTickValue,Permanent,Trigger,ObjectOverwrite)</f>
        <v>USDFUT3MN5_Quote#0007</v>
      </c>
      <c r="G10" s="46" t="str">
        <f>_xll.ohRangeRetrieveError(F10)</f>
        <v/>
      </c>
      <c r="H10" s="64"/>
      <c r="I10" s="225"/>
      <c r="J10" s="167"/>
      <c r="K10" s="173">
        <v>5</v>
      </c>
      <c r="L10" s="172" t="b">
        <v>0</v>
      </c>
      <c r="M10" s="120" t="str">
        <v>N5</v>
      </c>
      <c r="N10" s="171">
        <v>42200</v>
      </c>
      <c r="O10" s="120" t="str">
        <v>EDN5</v>
      </c>
      <c r="P10" s="170">
        <v>42198</v>
      </c>
      <c r="Q10" s="120">
        <v>99.54</v>
      </c>
      <c r="R10" s="120">
        <v>99.550000000000011</v>
      </c>
      <c r="S10" s="120">
        <v>99.545000000000002</v>
      </c>
      <c r="T10" s="120">
        <v>99.535000000000011</v>
      </c>
      <c r="U10" s="124">
        <f>_xll.qlMidSafe(Q10,R10,Trigger)</f>
        <v>99.545000000000016</v>
      </c>
      <c r="V10" s="122"/>
      <c r="W10" s="169">
        <v>99.72</v>
      </c>
      <c r="X10" s="122"/>
      <c r="Y10" s="168">
        <v>99.545000000000016</v>
      </c>
      <c r="Z10" s="124">
        <f>_xll.qlSimpleQuoteSetValue(F10,Y10,Trigger)</f>
        <v>0</v>
      </c>
      <c r="AA10" s="9"/>
      <c r="AB10" s="3"/>
      <c r="AC10" s="25" t="s">
        <v>91</v>
      </c>
      <c r="AD10" s="23" t="s">
        <v>204</v>
      </c>
      <c r="AE10" s="3"/>
      <c r="AF10" s="148">
        <f t="shared" si="1"/>
        <v>9.9999999999909054E-5</v>
      </c>
      <c r="AH10" s="70"/>
      <c r="AI10" s="69">
        <v>5</v>
      </c>
      <c r="AJ10" s="67" t="b">
        <v>0</v>
      </c>
      <c r="AK10" s="67" t="str">
        <v>N5</v>
      </c>
      <c r="AL10" s="113" t="str">
        <f t="shared" si="2"/>
        <v>USDFUT3MN5ConvAdj_Quote</v>
      </c>
      <c r="AM10" s="112" t="str">
        <f>_xll.qlFuturesConvAdjustmentQuote(AL10,IborIndex,AK10,F10,Volatility,MeanReversion,Permanent,AND(ISERROR(Z10),ISERROR(FuturesHWConvAdj!Q9:Q10)),ObjectOverwrite)</f>
        <v>USDFUT3MN5ConvAdj_Quote#0787</v>
      </c>
      <c r="AN10" s="17" t="str">
        <f>_xll.ohRangeRetrieveError(AM10)</f>
        <v/>
      </c>
      <c r="AO10" s="9"/>
    </row>
    <row r="11" spans="1:41" x14ac:dyDescent="0.2">
      <c r="A11" s="70"/>
      <c r="B11" s="69">
        <v>6</v>
      </c>
      <c r="C11" s="68" t="b">
        <v>0</v>
      </c>
      <c r="D11" s="67" t="str">
        <v>Q5</v>
      </c>
      <c r="E11" s="66" t="str">
        <f t="shared" si="0"/>
        <v>USDFUT3MQ5_Quote</v>
      </c>
      <c r="F11" s="65" t="str">
        <f>_xll.qlSimpleQuote(E11,,PriceTickValue,Permanent,Trigger,ObjectOverwrite)</f>
        <v>USDFUT3MQ5_Quote#0008</v>
      </c>
      <c r="G11" s="46" t="str">
        <f>_xll.ohRangeRetrieveError(F11)</f>
        <v/>
      </c>
      <c r="H11" s="64"/>
      <c r="J11" s="167"/>
      <c r="K11" s="173">
        <v>6</v>
      </c>
      <c r="L11" s="172" t="b">
        <v>0</v>
      </c>
      <c r="M11" s="120" t="str">
        <v>Q5</v>
      </c>
      <c r="N11" s="171">
        <v>42235</v>
      </c>
      <c r="O11" s="120" t="str">
        <v>EDQ5</v>
      </c>
      <c r="P11" s="170">
        <v>42233</v>
      </c>
      <c r="Q11" s="120">
        <v>99.465000000000003</v>
      </c>
      <c r="R11" s="120">
        <v>99.495000000000005</v>
      </c>
      <c r="S11" s="120">
        <v>0</v>
      </c>
      <c r="T11" s="120">
        <v>99.465000000000003</v>
      </c>
      <c r="U11" s="124">
        <f>_xll.qlMidSafe(Q11,R11,Trigger)</f>
        <v>99.48</v>
      </c>
      <c r="V11" s="122"/>
      <c r="W11" s="169">
        <v>99.722499999999997</v>
      </c>
      <c r="X11" s="122"/>
      <c r="Y11" s="168">
        <v>99.48</v>
      </c>
      <c r="Z11" s="124">
        <f>_xll.qlSimpleQuoteSetValue(F11,Y11,Trigger)</f>
        <v>0</v>
      </c>
      <c r="AA11" s="9"/>
      <c r="AB11" s="3"/>
      <c r="AC11" s="3"/>
      <c r="AD11" s="3"/>
      <c r="AE11" s="3"/>
      <c r="AF11" s="148">
        <f t="shared" si="1"/>
        <v>3.0000000000001136E-4</v>
      </c>
      <c r="AH11" s="70"/>
      <c r="AI11" s="69">
        <v>6</v>
      </c>
      <c r="AJ11" s="67" t="b">
        <v>0</v>
      </c>
      <c r="AK11" s="67" t="str">
        <v>Q5</v>
      </c>
      <c r="AL11" s="113" t="str">
        <f t="shared" si="2"/>
        <v>USDFUT3MQ5ConvAdj_Quote</v>
      </c>
      <c r="AM11" s="112" t="str">
        <f>_xll.qlFuturesConvAdjustmentQuote(AL11,IborIndex,AK11,F11,Volatility,MeanReversion,Permanent,AND(ISERROR(Z11),ISERROR(FuturesHWConvAdj!Q10:Q11)),ObjectOverwrite)</f>
        <v>USDFUT3MQ5ConvAdj_Quote#0786</v>
      </c>
      <c r="AN11" s="17" t="str">
        <f>_xll.ohRangeRetrieveError(AM11)</f>
        <v/>
      </c>
      <c r="AO11" s="9"/>
    </row>
    <row r="12" spans="1:41" x14ac:dyDescent="0.2">
      <c r="A12" s="70"/>
      <c r="B12" s="69">
        <v>7</v>
      </c>
      <c r="C12" s="68" t="b">
        <v>0</v>
      </c>
      <c r="D12" s="67" t="str">
        <v>U5</v>
      </c>
      <c r="E12" s="66" t="str">
        <f t="shared" si="0"/>
        <v>USDFUT3MU5_Quote</v>
      </c>
      <c r="F12" s="65" t="str">
        <f>_xll.qlSimpleQuote(E12,,PriceTickValue,Permanent,Trigger,ObjectOverwrite)</f>
        <v>USDFUT3MU5_Quote#0008</v>
      </c>
      <c r="G12" s="46" t="str">
        <f>_xll.ohRangeRetrieveError(F12)</f>
        <v/>
      </c>
      <c r="H12" s="64"/>
      <c r="J12" s="167"/>
      <c r="K12" s="173">
        <v>7</v>
      </c>
      <c r="L12" s="172" t="b">
        <v>0</v>
      </c>
      <c r="M12" s="120" t="str">
        <v>U5</v>
      </c>
      <c r="N12" s="171">
        <v>42263</v>
      </c>
      <c r="O12" s="120" t="str">
        <v>EDU5</v>
      </c>
      <c r="P12" s="170">
        <v>42261</v>
      </c>
      <c r="Q12" s="120">
        <v>99.415000000000006</v>
      </c>
      <c r="R12" s="120">
        <v>99.42</v>
      </c>
      <c r="S12" s="120">
        <v>99.415000000000006</v>
      </c>
      <c r="T12" s="120">
        <v>99.4</v>
      </c>
      <c r="U12" s="124">
        <f>_xll.qlMidSafe(Q12,R12,Trigger)</f>
        <v>99.417500000000004</v>
      </c>
      <c r="V12" s="122"/>
      <c r="W12" s="169" t="e">
        <v>#NUM!</v>
      </c>
      <c r="X12" s="122"/>
      <c r="Y12" s="168">
        <v>99.417500000000004</v>
      </c>
      <c r="Z12" s="124">
        <f>_xll.qlSimpleQuoteSetValue(F12,Y12,Trigger)</f>
        <v>0</v>
      </c>
      <c r="AA12" s="9"/>
      <c r="AB12" s="3"/>
      <c r="AC12" s="3"/>
      <c r="AD12" s="3"/>
      <c r="AE12" s="3"/>
      <c r="AF12" s="148">
        <f t="shared" si="1"/>
        <v>4.9999999999954527E-5</v>
      </c>
      <c r="AH12" s="70"/>
      <c r="AI12" s="69">
        <v>7</v>
      </c>
      <c r="AJ12" s="67" t="b">
        <v>0</v>
      </c>
      <c r="AK12" s="67" t="str">
        <v>U5</v>
      </c>
      <c r="AL12" s="113" t="str">
        <f t="shared" si="2"/>
        <v>USDFUT3MU5ConvAdj_Quote</v>
      </c>
      <c r="AM12" s="112" t="str">
        <f>_xll.qlFuturesConvAdjustmentQuote(AL12,IborIndex,AK12,F12,Volatility,MeanReversion,Permanent,AND(ISERROR(Z12),ISERROR(FuturesHWConvAdj!Q11:Q12)),ObjectOverwrite)</f>
        <v>USDFUT3MU5ConvAdj_Quote#0789</v>
      </c>
      <c r="AN12" s="17" t="str">
        <f>_xll.ohRangeRetrieveError(AM12)</f>
        <v/>
      </c>
      <c r="AO12" s="9"/>
    </row>
    <row r="13" spans="1:41" x14ac:dyDescent="0.2">
      <c r="A13" s="70"/>
      <c r="B13" s="69">
        <v>8</v>
      </c>
      <c r="C13" s="68" t="b">
        <v>0</v>
      </c>
      <c r="D13" s="67" t="str">
        <v>V5</v>
      </c>
      <c r="E13" s="66" t="str">
        <f t="shared" si="0"/>
        <v>USDFUT3MV5_Quote</v>
      </c>
      <c r="F13" s="65" t="str">
        <f>_xll.qlSimpleQuote(E13,,PriceTickValue,Permanent,Trigger,ObjectOverwrite)</f>
        <v>USDFUT3MV5_Quote#0007</v>
      </c>
      <c r="G13" s="46" t="str">
        <f>_xll.ohRangeRetrieveError(F13)</f>
        <v/>
      </c>
      <c r="H13" s="64"/>
      <c r="J13" s="167"/>
      <c r="K13" s="173">
        <v>8</v>
      </c>
      <c r="L13" s="172" t="b">
        <v>0</v>
      </c>
      <c r="M13" s="120" t="str">
        <v>V5</v>
      </c>
      <c r="N13" s="171">
        <v>42298</v>
      </c>
      <c r="O13" s="120" t="str">
        <v>EDV5</v>
      </c>
      <c r="P13" s="170" t="s">
        <v>184</v>
      </c>
      <c r="Q13" s="120" t="s">
        <v>184</v>
      </c>
      <c r="R13" s="120" t="s">
        <v>184</v>
      </c>
      <c r="S13" s="120" t="s">
        <v>184</v>
      </c>
      <c r="T13" s="120" t="s">
        <v>184</v>
      </c>
      <c r="U13" s="124" t="e">
        <f>_xll.qlMidSafe(Q13,R13,Trigger)</f>
        <v>#NUM!</v>
      </c>
      <c r="V13" s="122"/>
      <c r="W13" s="169" t="e">
        <v>#NUM!</v>
      </c>
      <c r="X13" s="122"/>
      <c r="Y13" s="168" t="e">
        <v>#NUM!</v>
      </c>
      <c r="Z13" s="124">
        <f>_xll.qlSimpleQuoteSetValue(F13,Y13,Trigger)</f>
        <v>0</v>
      </c>
      <c r="AA13" s="9"/>
      <c r="AB13" s="3"/>
      <c r="AC13" s="3"/>
      <c r="AD13" s="3"/>
      <c r="AE13" s="3"/>
      <c r="AF13" s="148" t="e">
        <f t="shared" si="1"/>
        <v>#VALUE!</v>
      </c>
      <c r="AH13" s="70"/>
      <c r="AI13" s="69">
        <v>8</v>
      </c>
      <c r="AJ13" s="67" t="b">
        <v>0</v>
      </c>
      <c r="AK13" s="67" t="str">
        <v>V5</v>
      </c>
      <c r="AL13" s="113" t="str">
        <f t="shared" si="2"/>
        <v>USDFUT3MV5ConvAdj_Quote</v>
      </c>
      <c r="AM13" s="112" t="str">
        <f>_xll.qlFuturesConvAdjustmentQuote(AL13,IborIndex,AK13,F13,Volatility,MeanReversion,Permanent,AND(ISERROR(Z13),ISERROR(FuturesHWConvAdj!Q12:Q13)),ObjectOverwrite)</f>
        <v>USDFUT3MV5ConvAdj_Quote#0789</v>
      </c>
      <c r="AN13" s="17" t="str">
        <f>_xll.ohRangeRetrieveError(AM13)</f>
        <v/>
      </c>
      <c r="AO13" s="9"/>
    </row>
    <row r="14" spans="1:41" x14ac:dyDescent="0.2">
      <c r="A14" s="70"/>
      <c r="B14" s="69">
        <v>9</v>
      </c>
      <c r="C14" s="68" t="b">
        <v>0</v>
      </c>
      <c r="D14" s="67" t="str">
        <v>X5</v>
      </c>
      <c r="E14" s="66" t="str">
        <f t="shared" si="0"/>
        <v>USDFUT3MX5_Quote</v>
      </c>
      <c r="F14" s="65" t="str">
        <f>_xll.qlSimpleQuote(E14,,PriceTickValue,Permanent,Trigger,ObjectOverwrite)</f>
        <v>USDFUT3MX5_Quote#0007</v>
      </c>
      <c r="G14" s="46" t="str">
        <f>_xll.ohRangeRetrieveError(F14)</f>
        <v/>
      </c>
      <c r="H14" s="64"/>
      <c r="J14" s="167"/>
      <c r="K14" s="173">
        <v>9</v>
      </c>
      <c r="L14" s="172" t="b">
        <v>0</v>
      </c>
      <c r="M14" s="120" t="str">
        <v>X5</v>
      </c>
      <c r="N14" s="171">
        <v>42326</v>
      </c>
      <c r="O14" s="120" t="str">
        <v>EDX5</v>
      </c>
      <c r="P14" s="170" t="s">
        <v>184</v>
      </c>
      <c r="Q14" s="120" t="s">
        <v>184</v>
      </c>
      <c r="R14" s="120" t="s">
        <v>184</v>
      </c>
      <c r="S14" s="120" t="s">
        <v>184</v>
      </c>
      <c r="T14" s="120" t="s">
        <v>184</v>
      </c>
      <c r="U14" s="124" t="e">
        <f>_xll.qlMidSafe(Q14,R14,Trigger)</f>
        <v>#NUM!</v>
      </c>
      <c r="V14" s="122"/>
      <c r="W14" s="169">
        <v>99.577500000000001</v>
      </c>
      <c r="X14" s="122"/>
      <c r="Y14" s="168" t="e">
        <v>#NUM!</v>
      </c>
      <c r="Z14" s="124">
        <f>_xll.qlSimpleQuoteSetValue(F14,Y14,Trigger)</f>
        <v>0</v>
      </c>
      <c r="AA14" s="9"/>
      <c r="AB14" s="3"/>
      <c r="AC14" s="3"/>
      <c r="AD14" s="3"/>
      <c r="AE14" s="3"/>
      <c r="AF14" s="148" t="e">
        <f t="shared" si="1"/>
        <v>#VALUE!</v>
      </c>
      <c r="AH14" s="70"/>
      <c r="AI14" s="69">
        <v>9</v>
      </c>
      <c r="AJ14" s="67" t="b">
        <v>0</v>
      </c>
      <c r="AK14" s="67" t="str">
        <v>X5</v>
      </c>
      <c r="AL14" s="113" t="str">
        <f t="shared" si="2"/>
        <v>USDFUT3MX5ConvAdj_Quote</v>
      </c>
      <c r="AM14" s="112" t="str">
        <f>_xll.qlFuturesConvAdjustmentQuote(AL14,IborIndex,AK14,F14,Volatility,MeanReversion,Permanent,AND(ISERROR(Z14),ISERROR(FuturesHWConvAdj!Q13:Q14)),ObjectOverwrite)</f>
        <v>USDFUT3MX5ConvAdj_Quote#0787</v>
      </c>
      <c r="AN14" s="17" t="str">
        <f>_xll.ohRangeRetrieveError(AM14)</f>
        <v/>
      </c>
      <c r="AO14" s="9"/>
    </row>
    <row r="15" spans="1:41" x14ac:dyDescent="0.2">
      <c r="A15" s="70"/>
      <c r="B15" s="69">
        <v>10</v>
      </c>
      <c r="C15" s="68" t="b">
        <v>0</v>
      </c>
      <c r="D15" s="67" t="str">
        <v>Z5</v>
      </c>
      <c r="E15" s="66" t="str">
        <f t="shared" si="0"/>
        <v>USDFUT3MZ5_Quote</v>
      </c>
      <c r="F15" s="65" t="str">
        <f>_xll.qlSimpleQuote(E15,,PriceTickValue,Permanent,Trigger,ObjectOverwrite)</f>
        <v>USDFUT3MZ5_Quote#0008</v>
      </c>
      <c r="G15" s="46" t="str">
        <f>_xll.ohRangeRetrieveError(F15)</f>
        <v/>
      </c>
      <c r="H15" s="64"/>
      <c r="J15" s="167"/>
      <c r="K15" s="173">
        <v>10</v>
      </c>
      <c r="L15" s="172" t="b">
        <v>0</v>
      </c>
      <c r="M15" s="120" t="str">
        <v>Z5</v>
      </c>
      <c r="N15" s="171">
        <v>42354</v>
      </c>
      <c r="O15" s="120" t="str">
        <v>EDZ5</v>
      </c>
      <c r="P15" s="170">
        <v>42352</v>
      </c>
      <c r="Q15" s="120">
        <v>99.195000000000007</v>
      </c>
      <c r="R15" s="120">
        <v>99.2</v>
      </c>
      <c r="S15" s="120">
        <v>99.195000000000007</v>
      </c>
      <c r="T15" s="120">
        <v>99.17</v>
      </c>
      <c r="U15" s="124">
        <f>_xll.qlMidSafe(Q15,R15,Trigger)</f>
        <v>99.197500000000005</v>
      </c>
      <c r="V15" s="122"/>
      <c r="W15" s="169" t="e">
        <v>#NUM!</v>
      </c>
      <c r="X15" s="122"/>
      <c r="Y15" s="168">
        <v>99.197500000000005</v>
      </c>
      <c r="Z15" s="124">
        <f>_xll.qlSimpleQuoteSetValue(F15,Y15,Trigger)</f>
        <v>0</v>
      </c>
      <c r="AA15" s="9"/>
      <c r="AB15" s="3"/>
      <c r="AC15" s="3"/>
      <c r="AD15" s="3"/>
      <c r="AE15" s="3"/>
      <c r="AF15" s="148">
        <f t="shared" si="1"/>
        <v>4.9999999999954527E-5</v>
      </c>
      <c r="AH15" s="70"/>
      <c r="AI15" s="69">
        <v>10</v>
      </c>
      <c r="AJ15" s="67" t="b">
        <v>0</v>
      </c>
      <c r="AK15" s="67" t="str">
        <v>Z5</v>
      </c>
      <c r="AL15" s="113" t="str">
        <f t="shared" si="2"/>
        <v>USDFUT3MZ5ConvAdj_Quote</v>
      </c>
      <c r="AM15" s="112" t="str">
        <f>_xll.qlFuturesConvAdjustmentQuote(AL15,IborIndex,AK15,F15,Volatility,MeanReversion,Permanent,AND(ISERROR(Z15),ISERROR(FuturesHWConvAdj!Q14:Q15)),ObjectOverwrite)</f>
        <v>USDFUT3MZ5ConvAdj_Quote#0787</v>
      </c>
      <c r="AN15" s="17" t="str">
        <f>_xll.ohRangeRetrieveError(AM15)</f>
        <v/>
      </c>
      <c r="AO15" s="9"/>
    </row>
    <row r="16" spans="1:41" x14ac:dyDescent="0.2">
      <c r="A16" s="70"/>
      <c r="B16" s="69">
        <v>11</v>
      </c>
      <c r="C16" s="68" t="b">
        <v>0</v>
      </c>
      <c r="D16" s="67" t="str">
        <v>F6</v>
      </c>
      <c r="E16" s="66" t="str">
        <f t="shared" si="0"/>
        <v>USDFUT3MF6_Quote</v>
      </c>
      <c r="F16" s="65" t="str">
        <f>_xll.qlSimpleQuote(E16,,PriceTickValue,Permanent,Trigger,ObjectOverwrite)</f>
        <v>USDFUT3MF6_Quote#0007</v>
      </c>
      <c r="G16" s="46" t="str">
        <f>_xll.ohRangeRetrieveError(F16)</f>
        <v/>
      </c>
      <c r="H16" s="64"/>
      <c r="J16" s="167"/>
      <c r="K16" s="173">
        <v>11</v>
      </c>
      <c r="L16" s="172" t="b">
        <v>0</v>
      </c>
      <c r="M16" s="120" t="str">
        <v>F6</v>
      </c>
      <c r="N16" s="171">
        <v>42389</v>
      </c>
      <c r="O16" s="120" t="str">
        <v>EDF6</v>
      </c>
      <c r="P16" s="170" t="s">
        <v>184</v>
      </c>
      <c r="Q16" s="120" t="s">
        <v>184</v>
      </c>
      <c r="R16" s="120" t="s">
        <v>184</v>
      </c>
      <c r="S16" s="120" t="s">
        <v>184</v>
      </c>
      <c r="T16" s="120" t="s">
        <v>184</v>
      </c>
      <c r="U16" s="124" t="e">
        <f>_xll.qlMidSafe(Q16,R16,Trigger)</f>
        <v>#NUM!</v>
      </c>
      <c r="V16" s="122"/>
      <c r="W16" s="169" t="e">
        <v>#NUM!</v>
      </c>
      <c r="X16" s="122"/>
      <c r="Y16" s="168" t="e">
        <v>#NUM!</v>
      </c>
      <c r="Z16" s="124">
        <f>_xll.qlSimpleQuoteSetValue(F16,Y16,Trigger)</f>
        <v>0</v>
      </c>
      <c r="AA16" s="9"/>
      <c r="AB16" s="3"/>
      <c r="AC16" s="3"/>
      <c r="AD16" s="3"/>
      <c r="AE16" s="3"/>
      <c r="AF16" s="148" t="e">
        <f t="shared" si="1"/>
        <v>#VALUE!</v>
      </c>
      <c r="AH16" s="70"/>
      <c r="AI16" s="69">
        <v>11</v>
      </c>
      <c r="AJ16" s="67" t="b">
        <v>0</v>
      </c>
      <c r="AK16" s="67" t="str">
        <v>F6</v>
      </c>
      <c r="AL16" s="113" t="str">
        <f t="shared" si="2"/>
        <v>USDFUT3MF6ConvAdj_Quote</v>
      </c>
      <c r="AM16" s="112" t="str">
        <f>_xll.qlFuturesConvAdjustmentQuote(AL16,IborIndex,AK16,F16,Volatility,MeanReversion,Permanent,AND(ISERROR(Z16),ISERROR(FuturesHWConvAdj!Q15:Q16)),ObjectOverwrite)</f>
        <v>USDFUT3MF6ConvAdj_Quote#0799</v>
      </c>
      <c r="AN16" s="17" t="str">
        <f>_xll.ohRangeRetrieveError(AM16)</f>
        <v/>
      </c>
      <c r="AO16" s="9"/>
    </row>
    <row r="17" spans="1:41" x14ac:dyDescent="0.2">
      <c r="A17" s="70"/>
      <c r="B17" s="69">
        <v>12</v>
      </c>
      <c r="C17" s="68" t="b">
        <v>0</v>
      </c>
      <c r="D17" s="67" t="str">
        <v>G6</v>
      </c>
      <c r="E17" s="66" t="str">
        <f t="shared" si="0"/>
        <v>USDFUT3MG6_Quote</v>
      </c>
      <c r="F17" s="65" t="str">
        <f>_xll.qlSimpleQuote(E17,,PriceTickValue,Permanent,Trigger,ObjectOverwrite)</f>
        <v>USDFUT3MG6_Quote#0008</v>
      </c>
      <c r="G17" s="46" t="str">
        <f>_xll.ohRangeRetrieveError(F17)</f>
        <v/>
      </c>
      <c r="H17" s="64"/>
      <c r="J17" s="167"/>
      <c r="K17" s="173">
        <v>12</v>
      </c>
      <c r="L17" s="172" t="b">
        <v>0</v>
      </c>
      <c r="M17" s="120" t="str">
        <v>G6</v>
      </c>
      <c r="N17" s="171">
        <v>42417</v>
      </c>
      <c r="O17" s="120" t="str">
        <v>EDG6</v>
      </c>
      <c r="P17" s="170" t="s">
        <v>184</v>
      </c>
      <c r="Q17" s="120" t="s">
        <v>184</v>
      </c>
      <c r="R17" s="120" t="s">
        <v>184</v>
      </c>
      <c r="S17" s="120" t="s">
        <v>184</v>
      </c>
      <c r="T17" s="120" t="s">
        <v>184</v>
      </c>
      <c r="U17" s="124" t="e">
        <f>_xll.qlMidSafe(Q17,R17,Trigger)</f>
        <v>#NUM!</v>
      </c>
      <c r="V17" s="122"/>
      <c r="W17" s="169">
        <v>99.357500000000002</v>
      </c>
      <c r="X17" s="122"/>
      <c r="Y17" s="168" t="e">
        <v>#NUM!</v>
      </c>
      <c r="Z17" s="124">
        <f>_xll.qlSimpleQuoteSetValue(F17,Y17,Trigger)</f>
        <v>0</v>
      </c>
      <c r="AA17" s="9"/>
      <c r="AB17" s="3"/>
      <c r="AC17" s="3"/>
      <c r="AD17" s="3"/>
      <c r="AE17" s="3"/>
      <c r="AF17" s="148" t="e">
        <f t="shared" si="1"/>
        <v>#VALUE!</v>
      </c>
      <c r="AH17" s="70"/>
      <c r="AI17" s="69">
        <v>12</v>
      </c>
      <c r="AJ17" s="67" t="b">
        <v>0</v>
      </c>
      <c r="AK17" s="67" t="str">
        <v>G6</v>
      </c>
      <c r="AL17" s="113" t="str">
        <f t="shared" si="2"/>
        <v>USDFUT3MG6ConvAdj_Quote</v>
      </c>
      <c r="AM17" s="112" t="str">
        <f>_xll.qlFuturesConvAdjustmentQuote(AL17,IborIndex,AK17,F17,Volatility,MeanReversion,Permanent,AND(ISERROR(Z17),ISERROR(FuturesHWConvAdj!Q16:Q17)),ObjectOverwrite)</f>
        <v>USDFUT3MG6ConvAdj_Quote#0789</v>
      </c>
      <c r="AN17" s="17" t="str">
        <f>_xll.ohRangeRetrieveError(AM17)</f>
        <v/>
      </c>
      <c r="AO17" s="9"/>
    </row>
    <row r="18" spans="1:41" x14ac:dyDescent="0.2">
      <c r="A18" s="70"/>
      <c r="B18" s="69">
        <v>13</v>
      </c>
      <c r="C18" s="68" t="b">
        <v>1</v>
      </c>
      <c r="D18" s="67" t="str">
        <v>H6</v>
      </c>
      <c r="E18" s="66" t="str">
        <f t="shared" si="0"/>
        <v>USDFUT3MH6_Quote</v>
      </c>
      <c r="F18" s="65" t="str">
        <f>_xll.qlSimpleQuote(E18,,PriceTickValue,Permanent,Trigger,ObjectOverwrite)</f>
        <v>USDFUT3MH6_Quote#0008</v>
      </c>
      <c r="G18" s="46" t="str">
        <f>_xll.ohRangeRetrieveError(F18)</f>
        <v/>
      </c>
      <c r="H18" s="64"/>
      <c r="J18" s="167"/>
      <c r="K18" s="173">
        <v>13</v>
      </c>
      <c r="L18" s="172" t="b">
        <v>1</v>
      </c>
      <c r="M18" s="120" t="str">
        <v>H6</v>
      </c>
      <c r="N18" s="171">
        <v>42445</v>
      </c>
      <c r="O18" s="120" t="str">
        <v>EDH6</v>
      </c>
      <c r="P18" s="170">
        <v>42443</v>
      </c>
      <c r="Q18" s="120">
        <v>98.960000000000008</v>
      </c>
      <c r="R18" s="120">
        <v>98.965000000000003</v>
      </c>
      <c r="S18" s="120">
        <v>98.965000000000003</v>
      </c>
      <c r="T18" s="120">
        <v>98.93</v>
      </c>
      <c r="U18" s="124">
        <f>_xll.qlMidSafe(Q18,R18,Trigger)</f>
        <v>98.962500000000006</v>
      </c>
      <c r="V18" s="122"/>
      <c r="W18" s="169">
        <v>99.102499999999992</v>
      </c>
      <c r="X18" s="122"/>
      <c r="Y18" s="168">
        <v>98.962500000000006</v>
      </c>
      <c r="Z18" s="124">
        <f>_xll.qlSimpleQuoteSetValue(F18,Y18,Trigger)</f>
        <v>0</v>
      </c>
      <c r="AA18" s="9"/>
      <c r="AB18" s="3"/>
      <c r="AC18" s="3"/>
      <c r="AD18" s="3"/>
      <c r="AE18" s="3"/>
      <c r="AF18" s="148">
        <f t="shared" si="1"/>
        <v>4.9999999999954527E-5</v>
      </c>
      <c r="AH18" s="70"/>
      <c r="AI18" s="69">
        <v>13</v>
      </c>
      <c r="AJ18" s="67" t="b">
        <v>1</v>
      </c>
      <c r="AK18" s="67" t="str">
        <v>H6</v>
      </c>
      <c r="AL18" s="113" t="str">
        <f t="shared" si="2"/>
        <v>USDFUT3MH6ConvAdj_Quote</v>
      </c>
      <c r="AM18" s="112" t="str">
        <f>_xll.qlFuturesConvAdjustmentQuote(AL18,IborIndex,AK18,F18,Volatility,MeanReversion,Permanent,AND(ISERROR(Z18),ISERROR(FuturesHWConvAdj!Q17:Q18)),ObjectOverwrite)</f>
        <v>USDFUT3MH6ConvAdj_Quote#0799</v>
      </c>
      <c r="AN18" s="17" t="str">
        <f>_xll.ohRangeRetrieveError(AM18)</f>
        <v/>
      </c>
      <c r="AO18" s="9"/>
    </row>
    <row r="19" spans="1:41" x14ac:dyDescent="0.2">
      <c r="A19" s="70"/>
      <c r="B19" s="69">
        <v>14</v>
      </c>
      <c r="C19" s="68" t="b">
        <v>1</v>
      </c>
      <c r="D19" s="67" t="str">
        <v>M6</v>
      </c>
      <c r="E19" s="66" t="str">
        <f t="shared" si="0"/>
        <v>USDFUT3MM6_Quote</v>
      </c>
      <c r="F19" s="65" t="str">
        <f>_xll.qlSimpleQuote(E19,,PriceTickValue,Permanent,Trigger,ObjectOverwrite)</f>
        <v>USDFUT3MM6_Quote#0008</v>
      </c>
      <c r="G19" s="46" t="str">
        <f>_xll.ohRangeRetrieveError(F19)</f>
        <v/>
      </c>
      <c r="H19" s="64"/>
      <c r="J19" s="167"/>
      <c r="K19" s="173">
        <v>14</v>
      </c>
      <c r="L19" s="172" t="b">
        <v>1</v>
      </c>
      <c r="M19" s="120" t="str">
        <v>M6</v>
      </c>
      <c r="N19" s="171">
        <v>42536</v>
      </c>
      <c r="O19" s="120" t="str">
        <v>EDM6</v>
      </c>
      <c r="P19" s="170">
        <v>42534</v>
      </c>
      <c r="Q19" s="120">
        <v>98.734999999999999</v>
      </c>
      <c r="R19" s="120">
        <v>98.740000000000009</v>
      </c>
      <c r="S19" s="120">
        <v>98.740000000000009</v>
      </c>
      <c r="T19" s="120">
        <v>98.695000000000007</v>
      </c>
      <c r="U19" s="124">
        <f>_xll.qlMidSafe(Q19,R19,Trigger)</f>
        <v>98.737500000000011</v>
      </c>
      <c r="V19" s="122"/>
      <c r="W19" s="169">
        <v>98.842500000000001</v>
      </c>
      <c r="X19" s="122"/>
      <c r="Y19" s="168">
        <v>98.737500000000011</v>
      </c>
      <c r="Z19" s="124">
        <f>_xll.qlSimpleQuoteSetValue(F19,Y19,Trigger)</f>
        <v>0</v>
      </c>
      <c r="AA19" s="9"/>
      <c r="AB19" s="3"/>
      <c r="AC19" s="3"/>
      <c r="AD19" s="3"/>
      <c r="AE19" s="3"/>
      <c r="AF19" s="148">
        <f t="shared" si="1"/>
        <v>4.9999999999954527E-5</v>
      </c>
      <c r="AH19" s="70"/>
      <c r="AI19" s="69">
        <v>14</v>
      </c>
      <c r="AJ19" s="67" t="b">
        <v>1</v>
      </c>
      <c r="AK19" s="67" t="str">
        <v>M6</v>
      </c>
      <c r="AL19" s="113" t="str">
        <f t="shared" si="2"/>
        <v>USDFUT3MM6ConvAdj_Quote</v>
      </c>
      <c r="AM19" s="112" t="str">
        <f>_xll.qlFuturesConvAdjustmentQuote(AL19,IborIndex,AK19,F19,Volatility,MeanReversion,Permanent,AND(ISERROR(Z19),ISERROR(FuturesHWConvAdj!Q18:Q19)),ObjectOverwrite)</f>
        <v>USDFUT3MM6ConvAdj_Quote#0787</v>
      </c>
      <c r="AN19" s="17" t="str">
        <f>_xll.ohRangeRetrieveError(AM19)</f>
        <v/>
      </c>
      <c r="AO19" s="9"/>
    </row>
    <row r="20" spans="1:41" x14ac:dyDescent="0.2">
      <c r="A20" s="70"/>
      <c r="B20" s="69">
        <v>15</v>
      </c>
      <c r="C20" s="68" t="b">
        <v>1</v>
      </c>
      <c r="D20" s="67" t="str">
        <v>U6</v>
      </c>
      <c r="E20" s="66" t="str">
        <f t="shared" si="0"/>
        <v>USDFUT3MU6_Quote</v>
      </c>
      <c r="F20" s="65" t="str">
        <f>_xll.qlSimpleQuote(E20,,PriceTickValue,Permanent,Trigger,ObjectOverwrite)</f>
        <v>USDFUT3MU6_Quote#0008</v>
      </c>
      <c r="G20" s="46" t="str">
        <f>_xll.ohRangeRetrieveError(F20)</f>
        <v/>
      </c>
      <c r="H20" s="64"/>
      <c r="J20" s="167"/>
      <c r="K20" s="173">
        <v>15</v>
      </c>
      <c r="L20" s="172" t="b">
        <v>1</v>
      </c>
      <c r="M20" s="120" t="str">
        <v>U6</v>
      </c>
      <c r="N20" s="171">
        <v>42634</v>
      </c>
      <c r="O20" s="120" t="str">
        <v>EDU6</v>
      </c>
      <c r="P20" s="170">
        <v>42632</v>
      </c>
      <c r="Q20" s="120">
        <v>98.52000000000001</v>
      </c>
      <c r="R20" s="120">
        <v>98.525000000000006</v>
      </c>
      <c r="S20" s="120">
        <v>98.52000000000001</v>
      </c>
      <c r="T20" s="120">
        <v>98.475000000000009</v>
      </c>
      <c r="U20" s="124">
        <f>_xll.qlMidSafe(Q20,R20,Trigger)</f>
        <v>98.522500000000008</v>
      </c>
      <c r="V20" s="122"/>
      <c r="W20" s="169">
        <v>98.582499999999996</v>
      </c>
      <c r="X20" s="122"/>
      <c r="Y20" s="168">
        <v>98.522500000000008</v>
      </c>
      <c r="Z20" s="124">
        <f>_xll.qlSimpleQuoteSetValue(F20,Y20,Trigger)</f>
        <v>0</v>
      </c>
      <c r="AA20" s="9"/>
      <c r="AB20" s="3"/>
      <c r="AC20" s="3"/>
      <c r="AD20" s="3"/>
      <c r="AE20" s="3"/>
      <c r="AF20" s="148">
        <f t="shared" si="1"/>
        <v>4.9999999999954527E-5</v>
      </c>
      <c r="AH20" s="70"/>
      <c r="AI20" s="69">
        <v>15</v>
      </c>
      <c r="AJ20" s="67" t="b">
        <v>1</v>
      </c>
      <c r="AK20" s="67" t="str">
        <v>U6</v>
      </c>
      <c r="AL20" s="113" t="str">
        <f t="shared" si="2"/>
        <v>USDFUT3MU6ConvAdj_Quote</v>
      </c>
      <c r="AM20" s="112" t="str">
        <f>_xll.qlFuturesConvAdjustmentQuote(AL20,IborIndex,AK20,F20,Volatility,MeanReversion,Permanent,AND(ISERROR(Z20),ISERROR(FuturesHWConvAdj!Q19:Q20)),ObjectOverwrite)</f>
        <v>USDFUT3MU6ConvAdj_Quote#0799</v>
      </c>
      <c r="AN20" s="17" t="str">
        <f>_xll.ohRangeRetrieveError(AM20)</f>
        <v/>
      </c>
      <c r="AO20" s="9"/>
    </row>
    <row r="21" spans="1:41" x14ac:dyDescent="0.2">
      <c r="A21" s="70"/>
      <c r="B21" s="69">
        <v>16</v>
      </c>
      <c r="C21" s="68" t="b">
        <v>1</v>
      </c>
      <c r="D21" s="67" t="str">
        <v>Z6</v>
      </c>
      <c r="E21" s="66" t="str">
        <f t="shared" si="0"/>
        <v>USDFUT3MZ6_Quote</v>
      </c>
      <c r="F21" s="65" t="str">
        <f>_xll.qlSimpleQuote(E21,,PriceTickValue,Permanent,Trigger,ObjectOverwrite)</f>
        <v>USDFUT3MZ6_Quote#0008</v>
      </c>
      <c r="G21" s="46" t="str">
        <f>_xll.ohRangeRetrieveError(F21)</f>
        <v/>
      </c>
      <c r="H21" s="64"/>
      <c r="J21" s="167"/>
      <c r="K21" s="173">
        <v>16</v>
      </c>
      <c r="L21" s="172" t="b">
        <v>1</v>
      </c>
      <c r="M21" s="120" t="str">
        <v>Z6</v>
      </c>
      <c r="N21" s="171">
        <v>42725</v>
      </c>
      <c r="O21" s="120" t="str">
        <v>EDZ6</v>
      </c>
      <c r="P21" s="170">
        <v>42723</v>
      </c>
      <c r="Q21" s="120">
        <v>98.325000000000003</v>
      </c>
      <c r="R21" s="120">
        <v>98.33</v>
      </c>
      <c r="S21" s="120">
        <v>98.325000000000003</v>
      </c>
      <c r="T21" s="120">
        <v>98.275000000000006</v>
      </c>
      <c r="U21" s="124">
        <f>_xll.qlMidSafe(Q21,R21,Trigger)</f>
        <v>98.327500000000001</v>
      </c>
      <c r="V21" s="122"/>
      <c r="W21" s="169">
        <v>98.327500000000001</v>
      </c>
      <c r="X21" s="122"/>
      <c r="Y21" s="168">
        <v>98.327500000000001</v>
      </c>
      <c r="Z21" s="124">
        <f>_xll.qlSimpleQuoteSetValue(F21,Y21,Trigger)</f>
        <v>0</v>
      </c>
      <c r="AA21" s="9"/>
      <c r="AB21" s="3"/>
      <c r="AC21" s="3"/>
      <c r="AD21" s="3"/>
      <c r="AE21" s="3"/>
      <c r="AF21" s="148">
        <f t="shared" si="1"/>
        <v>4.9999999999954527E-5</v>
      </c>
      <c r="AH21" s="70"/>
      <c r="AI21" s="69">
        <v>16</v>
      </c>
      <c r="AJ21" s="67" t="b">
        <v>1</v>
      </c>
      <c r="AK21" s="67" t="str">
        <v>Z6</v>
      </c>
      <c r="AL21" s="113" t="str">
        <f t="shared" si="2"/>
        <v>USDFUT3MZ6ConvAdj_Quote</v>
      </c>
      <c r="AM21" s="112" t="str">
        <f>_xll.qlFuturesConvAdjustmentQuote(AL21,IborIndex,AK21,F21,Volatility,MeanReversion,Permanent,AND(ISERROR(Z21),ISERROR(FuturesHWConvAdj!Q20:Q21)),ObjectOverwrite)</f>
        <v>USDFUT3MZ6ConvAdj_Quote#0787</v>
      </c>
      <c r="AN21" s="17" t="str">
        <f>_xll.ohRangeRetrieveError(AM21)</f>
        <v/>
      </c>
      <c r="AO21" s="9"/>
    </row>
    <row r="22" spans="1:41" x14ac:dyDescent="0.2">
      <c r="A22" s="70"/>
      <c r="B22" s="69">
        <v>17</v>
      </c>
      <c r="C22" s="68" t="b">
        <v>1</v>
      </c>
      <c r="D22" s="67" t="str">
        <v>H7</v>
      </c>
      <c r="E22" s="66" t="str">
        <f t="shared" si="0"/>
        <v>USDFUT3MH7_Quote</v>
      </c>
      <c r="F22" s="65" t="str">
        <f>_xll.qlSimpleQuote(E22,,PriceTickValue,Permanent,Trigger,ObjectOverwrite)</f>
        <v>USDFUT3MH7_Quote#0007</v>
      </c>
      <c r="G22" s="46" t="str">
        <f>_xll.ohRangeRetrieveError(F22)</f>
        <v/>
      </c>
      <c r="H22" s="64"/>
      <c r="J22" s="167"/>
      <c r="K22" s="173">
        <v>17</v>
      </c>
      <c r="L22" s="172" t="b">
        <v>1</v>
      </c>
      <c r="M22" s="120" t="str">
        <v>H7</v>
      </c>
      <c r="N22" s="171">
        <v>42809</v>
      </c>
      <c r="O22" s="120" t="str">
        <v>EDH7</v>
      </c>
      <c r="P22" s="170">
        <v>42807</v>
      </c>
      <c r="Q22" s="120">
        <v>98.165000000000006</v>
      </c>
      <c r="R22" s="120">
        <v>98.17</v>
      </c>
      <c r="S22" s="120">
        <v>98.165000000000006</v>
      </c>
      <c r="T22" s="120">
        <v>98.11</v>
      </c>
      <c r="U22" s="124">
        <f>_xll.qlMidSafe(Q22,R22,Trigger)</f>
        <v>98.167500000000004</v>
      </c>
      <c r="V22" s="122"/>
      <c r="W22" s="169">
        <v>98.092500000000001</v>
      </c>
      <c r="X22" s="122"/>
      <c r="Y22" s="168">
        <v>98.167500000000004</v>
      </c>
      <c r="Z22" s="124">
        <f>_xll.qlSimpleQuoteSetValue(F22,Y22,Trigger)</f>
        <v>0</v>
      </c>
      <c r="AA22" s="9"/>
      <c r="AB22" s="3"/>
      <c r="AC22" s="3"/>
      <c r="AD22" s="3"/>
      <c r="AE22" s="3"/>
      <c r="AF22" s="148">
        <f t="shared" si="1"/>
        <v>4.9999999999954527E-5</v>
      </c>
      <c r="AH22" s="70"/>
      <c r="AI22" s="69">
        <v>17</v>
      </c>
      <c r="AJ22" s="67" t="b">
        <v>1</v>
      </c>
      <c r="AK22" s="67" t="str">
        <v>H7</v>
      </c>
      <c r="AL22" s="113" t="str">
        <f t="shared" si="2"/>
        <v>USDFUT3MH7ConvAdj_Quote</v>
      </c>
      <c r="AM22" s="112" t="str">
        <f>_xll.qlFuturesConvAdjustmentQuote(AL22,IborIndex,AK22,F22,Volatility,MeanReversion,Permanent,AND(ISERROR(Z22),ISERROR(FuturesHWConvAdj!Q21:Q22)),ObjectOverwrite)</f>
        <v>USDFUT3MH7ConvAdj_Quote#0788</v>
      </c>
      <c r="AN22" s="17" t="str">
        <f>_xll.ohRangeRetrieveError(AM22)</f>
        <v/>
      </c>
      <c r="AO22" s="9"/>
    </row>
    <row r="23" spans="1:41" x14ac:dyDescent="0.2">
      <c r="A23" s="70"/>
      <c r="B23" s="69">
        <v>18</v>
      </c>
      <c r="C23" s="68" t="b">
        <v>1</v>
      </c>
      <c r="D23" s="67" t="str">
        <v>M7</v>
      </c>
      <c r="E23" s="66" t="str">
        <f t="shared" si="0"/>
        <v>USDFUT3MM7_Quote</v>
      </c>
      <c r="F23" s="65" t="str">
        <f>_xll.qlSimpleQuote(E23,,PriceTickValue,Permanent,Trigger,ObjectOverwrite)</f>
        <v>USDFUT3MM7_Quote#0007</v>
      </c>
      <c r="G23" s="46" t="str">
        <f>_xll.ohRangeRetrieveError(F23)</f>
        <v/>
      </c>
      <c r="H23" s="64"/>
      <c r="J23" s="167"/>
      <c r="K23" s="173">
        <v>18</v>
      </c>
      <c r="L23" s="172" t="b">
        <v>1</v>
      </c>
      <c r="M23" s="120" t="str">
        <v>M7</v>
      </c>
      <c r="N23" s="171">
        <v>42907</v>
      </c>
      <c r="O23" s="120" t="str">
        <v>EDM7</v>
      </c>
      <c r="P23" s="170">
        <v>42905</v>
      </c>
      <c r="Q23" s="120">
        <v>98.015000000000001</v>
      </c>
      <c r="R23" s="120">
        <v>98.02000000000001</v>
      </c>
      <c r="S23" s="120">
        <v>98.02000000000001</v>
      </c>
      <c r="T23" s="120">
        <v>97.954999999999998</v>
      </c>
      <c r="U23" s="124">
        <f>_xll.qlMidSafe(Q23,R23,Trigger)</f>
        <v>98.017500000000013</v>
      </c>
      <c r="V23" s="122"/>
      <c r="W23" s="169">
        <v>97.892499999999998</v>
      </c>
      <c r="X23" s="122"/>
      <c r="Y23" s="168">
        <v>98.017500000000013</v>
      </c>
      <c r="Z23" s="124">
        <f>_xll.qlSimpleQuoteSetValue(F23,Y23,Trigger)</f>
        <v>0</v>
      </c>
      <c r="AA23" s="9"/>
      <c r="AB23" s="3"/>
      <c r="AC23" s="3"/>
      <c r="AD23" s="3"/>
      <c r="AE23" s="3"/>
      <c r="AF23" s="148">
        <f t="shared" si="1"/>
        <v>4.9999999999954527E-5</v>
      </c>
      <c r="AH23" s="70"/>
      <c r="AI23" s="69">
        <v>18</v>
      </c>
      <c r="AJ23" s="67" t="b">
        <v>1</v>
      </c>
      <c r="AK23" s="67" t="str">
        <v>M7</v>
      </c>
      <c r="AL23" s="113" t="str">
        <f t="shared" si="2"/>
        <v>USDFUT3MM7ConvAdj_Quote</v>
      </c>
      <c r="AM23" s="112" t="str">
        <f>_xll.qlFuturesConvAdjustmentQuote(AL23,IborIndex,AK23,F23,Volatility,MeanReversion,Permanent,AND(ISERROR(Z23),ISERROR(FuturesHWConvAdj!Q22:Q23)),ObjectOverwrite)</f>
        <v>USDFUT3MM7ConvAdj_Quote#0799</v>
      </c>
      <c r="AN23" s="17" t="str">
        <f>_xll.ohRangeRetrieveError(AM23)</f>
        <v/>
      </c>
      <c r="AO23" s="9"/>
    </row>
    <row r="24" spans="1:41" x14ac:dyDescent="0.2">
      <c r="A24" s="70"/>
      <c r="B24" s="69">
        <v>19</v>
      </c>
      <c r="C24" s="68" t="b">
        <v>1</v>
      </c>
      <c r="D24" s="67" t="str">
        <v>U7</v>
      </c>
      <c r="E24" s="66" t="str">
        <f t="shared" si="0"/>
        <v>USDFUT3MU7_Quote</v>
      </c>
      <c r="F24" s="65" t="str">
        <f>_xll.qlSimpleQuote(E24,,PriceTickValue,Permanent,Trigger,ObjectOverwrite)</f>
        <v>USDFUT3MU7_Quote#0008</v>
      </c>
      <c r="G24" s="46" t="str">
        <f>_xll.ohRangeRetrieveError(F24)</f>
        <v/>
      </c>
      <c r="H24" s="64"/>
      <c r="J24" s="167"/>
      <c r="K24" s="173">
        <v>19</v>
      </c>
      <c r="L24" s="172" t="b">
        <v>1</v>
      </c>
      <c r="M24" s="120" t="str">
        <v>U7</v>
      </c>
      <c r="N24" s="171">
        <v>42998</v>
      </c>
      <c r="O24" s="120" t="str">
        <v>EDU7</v>
      </c>
      <c r="P24" s="170">
        <v>42996</v>
      </c>
      <c r="Q24" s="120">
        <v>97.89</v>
      </c>
      <c r="R24" s="120">
        <v>97.89500000000001</v>
      </c>
      <c r="S24" s="120">
        <v>97.89500000000001</v>
      </c>
      <c r="T24" s="120">
        <v>97.83</v>
      </c>
      <c r="U24" s="124">
        <f>_xll.qlMidSafe(Q24,R24,Trigger)</f>
        <v>97.892500000000013</v>
      </c>
      <c r="V24" s="122"/>
      <c r="W24" s="169">
        <v>97.712500000000006</v>
      </c>
      <c r="X24" s="122"/>
      <c r="Y24" s="168">
        <v>97.892500000000013</v>
      </c>
      <c r="Z24" s="124">
        <f>_xll.qlSimpleQuoteSetValue(F24,Y24,Trigger)</f>
        <v>0</v>
      </c>
      <c r="AA24" s="9"/>
      <c r="AB24" s="3"/>
      <c r="AC24" s="3"/>
      <c r="AD24" s="3"/>
      <c r="AE24" s="3"/>
      <c r="AF24" s="148">
        <f t="shared" si="1"/>
        <v>4.9999999999954527E-5</v>
      </c>
      <c r="AH24" s="70"/>
      <c r="AI24" s="69">
        <v>19</v>
      </c>
      <c r="AJ24" s="67" t="b">
        <v>1</v>
      </c>
      <c r="AK24" s="67" t="str">
        <v>U7</v>
      </c>
      <c r="AL24" s="113" t="str">
        <f t="shared" si="2"/>
        <v>USDFUT3MU7ConvAdj_Quote</v>
      </c>
      <c r="AM24" s="112" t="str">
        <f>_xll.qlFuturesConvAdjustmentQuote(AL24,IborIndex,AK24,F24,Volatility,MeanReversion,Permanent,AND(ISERROR(Z24),ISERROR(FuturesHWConvAdj!Q23:Q24)),ObjectOverwrite)</f>
        <v>USDFUT3MU7ConvAdj_Quote#0787</v>
      </c>
      <c r="AN24" s="17" t="str">
        <f>_xll.ohRangeRetrieveError(AM24)</f>
        <v/>
      </c>
      <c r="AO24" s="9"/>
    </row>
    <row r="25" spans="1:41" x14ac:dyDescent="0.2">
      <c r="A25" s="70"/>
      <c r="B25" s="69">
        <v>20</v>
      </c>
      <c r="C25" s="68" t="b">
        <v>1</v>
      </c>
      <c r="D25" s="67" t="str">
        <v>Z7</v>
      </c>
      <c r="E25" s="66" t="str">
        <f t="shared" si="0"/>
        <v>USDFUT3MZ7_Quote</v>
      </c>
      <c r="F25" s="65" t="str">
        <f>_xll.qlSimpleQuote(E25,,PriceTickValue,Permanent,Trigger,ObjectOverwrite)</f>
        <v>USDFUT3MZ7_Quote#0008</v>
      </c>
      <c r="G25" s="46" t="str">
        <f>_xll.ohRangeRetrieveError(F25)</f>
        <v/>
      </c>
      <c r="H25" s="64"/>
      <c r="J25" s="167"/>
      <c r="K25" s="173">
        <v>20</v>
      </c>
      <c r="L25" s="172" t="b">
        <v>1</v>
      </c>
      <c r="M25" s="120" t="str">
        <v>Z7</v>
      </c>
      <c r="N25" s="171">
        <v>43089</v>
      </c>
      <c r="O25" s="120" t="str">
        <v>EDZ7</v>
      </c>
      <c r="P25" s="170">
        <v>43087</v>
      </c>
      <c r="Q25" s="120">
        <v>97.78</v>
      </c>
      <c r="R25" s="120">
        <v>97.785000000000011</v>
      </c>
      <c r="S25" s="120">
        <v>97.78</v>
      </c>
      <c r="T25" s="120">
        <v>97.715000000000003</v>
      </c>
      <c r="U25" s="124">
        <f>_xll.qlMidSafe(Q25,R25,Trigger)</f>
        <v>97.782499999999999</v>
      </c>
      <c r="V25" s="122"/>
      <c r="W25" s="169">
        <v>97.567499999999995</v>
      </c>
      <c r="X25" s="122"/>
      <c r="Y25" s="168">
        <v>97.782499999999999</v>
      </c>
      <c r="Z25" s="124">
        <f>_xll.qlSimpleQuoteSetValue(F25,Y25,Trigger)</f>
        <v>0</v>
      </c>
      <c r="AA25" s="9"/>
      <c r="AB25" s="3"/>
      <c r="AC25" s="3"/>
      <c r="AD25" s="3"/>
      <c r="AE25" s="3"/>
      <c r="AF25" s="148">
        <f t="shared" si="1"/>
        <v>5.0000000000238744E-5</v>
      </c>
      <c r="AH25" s="70"/>
      <c r="AI25" s="69">
        <v>20</v>
      </c>
      <c r="AJ25" s="67" t="b">
        <v>1</v>
      </c>
      <c r="AK25" s="67" t="str">
        <v>Z7</v>
      </c>
      <c r="AL25" s="113" t="str">
        <f t="shared" si="2"/>
        <v>USDFUT3MZ7ConvAdj_Quote</v>
      </c>
      <c r="AM25" s="112" t="str">
        <f>_xll.qlFuturesConvAdjustmentQuote(AL25,IborIndex,AK25,F25,Volatility,MeanReversion,Permanent,AND(ISERROR(Z25),ISERROR(FuturesHWConvAdj!Q24:Q25)),ObjectOverwrite)</f>
        <v>USDFUT3MZ7ConvAdj_Quote#0799</v>
      </c>
      <c r="AN25" s="17" t="str">
        <f>_xll.ohRangeRetrieveError(AM25)</f>
        <v/>
      </c>
      <c r="AO25" s="9"/>
    </row>
    <row r="26" spans="1:41" x14ac:dyDescent="0.2">
      <c r="A26" s="70"/>
      <c r="B26" s="69">
        <v>21</v>
      </c>
      <c r="C26" s="68" t="b">
        <v>1</v>
      </c>
      <c r="D26" s="67" t="str">
        <v>H8</v>
      </c>
      <c r="E26" s="66" t="str">
        <f t="shared" si="0"/>
        <v>USDFUT3MH8_Quote</v>
      </c>
      <c r="F26" s="65" t="str">
        <f>_xll.qlSimpleQuote(E26,,PriceTickValue,Permanent,Trigger,ObjectOverwrite)</f>
        <v>USDFUT3MH8_Quote#0007</v>
      </c>
      <c r="G26" s="46" t="str">
        <f>_xll.ohRangeRetrieveError(F26)</f>
        <v/>
      </c>
      <c r="H26" s="64"/>
      <c r="J26" s="167"/>
      <c r="K26" s="173">
        <v>21</v>
      </c>
      <c r="L26" s="172" t="b">
        <v>1</v>
      </c>
      <c r="M26" s="120" t="str">
        <v>H8</v>
      </c>
      <c r="N26" s="171">
        <v>43180</v>
      </c>
      <c r="O26" s="120" t="str">
        <v>EDH8</v>
      </c>
      <c r="P26" s="170">
        <v>43178</v>
      </c>
      <c r="Q26" s="120">
        <v>97.695000000000007</v>
      </c>
      <c r="R26" s="120">
        <v>97.7</v>
      </c>
      <c r="S26" s="120">
        <v>97.7</v>
      </c>
      <c r="T26" s="120">
        <v>97.63000000000001</v>
      </c>
      <c r="U26" s="124">
        <f>_xll.qlMidSafe(Q26,R26,Trigger)</f>
        <v>97.697500000000005</v>
      </c>
      <c r="V26" s="122"/>
      <c r="W26" s="169">
        <v>97.4375</v>
      </c>
      <c r="X26" s="122"/>
      <c r="Y26" s="168">
        <v>97.697500000000005</v>
      </c>
      <c r="Z26" s="124">
        <f>_xll.qlSimpleQuoteSetValue(F26,Y26,Trigger)</f>
        <v>0</v>
      </c>
      <c r="AA26" s="9"/>
      <c r="AB26" s="3"/>
      <c r="AC26" s="3"/>
      <c r="AD26" s="3"/>
      <c r="AE26" s="3"/>
      <c r="AF26" s="148">
        <f t="shared" si="1"/>
        <v>4.9999999999954527E-5</v>
      </c>
      <c r="AH26" s="70"/>
      <c r="AI26" s="69">
        <v>21</v>
      </c>
      <c r="AJ26" s="67" t="b">
        <v>1</v>
      </c>
      <c r="AK26" s="67" t="str">
        <v>H8</v>
      </c>
      <c r="AL26" s="113" t="str">
        <f t="shared" si="2"/>
        <v>USDFUT3MH8ConvAdj_Quote</v>
      </c>
      <c r="AM26" s="112" t="str">
        <f>_xll.qlFuturesConvAdjustmentQuote(AL26,IborIndex,AK26,F26,Volatility,MeanReversion,Permanent,AND(ISERROR(Z26),ISERROR(FuturesHWConvAdj!Q25:Q26)),ObjectOverwrite)</f>
        <v>USDFUT3MH8ConvAdj_Quote#0789</v>
      </c>
      <c r="AN26" s="17" t="str">
        <f>_xll.ohRangeRetrieveError(AM26)</f>
        <v/>
      </c>
      <c r="AO26" s="9"/>
    </row>
    <row r="27" spans="1:41" x14ac:dyDescent="0.2">
      <c r="A27" s="70"/>
      <c r="B27" s="69">
        <v>22</v>
      </c>
      <c r="C27" s="68" t="b">
        <v>1</v>
      </c>
      <c r="D27" s="67" t="str">
        <v>M8</v>
      </c>
      <c r="E27" s="66" t="str">
        <f t="shared" si="0"/>
        <v>USDFUT3MM8_Quote</v>
      </c>
      <c r="F27" s="65" t="str">
        <f>_xll.qlSimpleQuote(E27,,PriceTickValue,Permanent,Trigger,ObjectOverwrite)</f>
        <v>USDFUT3MM8_Quote#0007</v>
      </c>
      <c r="G27" s="46" t="str">
        <f>_xll.ohRangeRetrieveError(F27)</f>
        <v/>
      </c>
      <c r="H27" s="64"/>
      <c r="J27" s="167"/>
      <c r="K27" s="173">
        <v>22</v>
      </c>
      <c r="L27" s="172" t="b">
        <v>1</v>
      </c>
      <c r="M27" s="120" t="str">
        <v>M8</v>
      </c>
      <c r="N27" s="171">
        <v>43271</v>
      </c>
      <c r="O27" s="120" t="str">
        <v>EDM8</v>
      </c>
      <c r="P27" s="170">
        <v>43269</v>
      </c>
      <c r="Q27" s="120">
        <v>97.615000000000009</v>
      </c>
      <c r="R27" s="120">
        <v>97.62</v>
      </c>
      <c r="S27" s="120">
        <v>97.62</v>
      </c>
      <c r="T27" s="120">
        <v>97.550000000000011</v>
      </c>
      <c r="U27" s="124">
        <f>_xll.qlMidSafe(Q27,R27,Trigger)</f>
        <v>97.617500000000007</v>
      </c>
      <c r="V27" s="122"/>
      <c r="W27" s="169">
        <v>97.337500000000006</v>
      </c>
      <c r="X27" s="122"/>
      <c r="Y27" s="168">
        <v>97.617500000000007</v>
      </c>
      <c r="Z27" s="124">
        <f>_xll.qlSimpleQuoteSetValue(F27,Y27,Trigger)</f>
        <v>0</v>
      </c>
      <c r="AA27" s="9"/>
      <c r="AB27" s="3"/>
      <c r="AC27" s="3"/>
      <c r="AD27" s="3"/>
      <c r="AE27" s="3"/>
      <c r="AF27" s="148">
        <f t="shared" si="1"/>
        <v>4.9999999999954527E-5</v>
      </c>
      <c r="AH27" s="70"/>
      <c r="AI27" s="69">
        <v>22</v>
      </c>
      <c r="AJ27" s="67" t="b">
        <v>1</v>
      </c>
      <c r="AK27" s="67" t="str">
        <v>M8</v>
      </c>
      <c r="AL27" s="113" t="str">
        <f t="shared" si="2"/>
        <v>USDFUT3MM8ConvAdj_Quote</v>
      </c>
      <c r="AM27" s="112" t="str">
        <f>_xll.qlFuturesConvAdjustmentQuote(AL27,IborIndex,AK27,F27,Volatility,MeanReversion,Permanent,AND(ISERROR(Z27),ISERROR(FuturesHWConvAdj!Q26:Q27)),ObjectOverwrite)</f>
        <v>USDFUT3MM8ConvAdj_Quote#0787</v>
      </c>
      <c r="AN27" s="17" t="str">
        <f>_xll.ohRangeRetrieveError(AM27)</f>
        <v/>
      </c>
      <c r="AO27" s="9"/>
    </row>
    <row r="28" spans="1:41" x14ac:dyDescent="0.2">
      <c r="A28" s="70"/>
      <c r="B28" s="69">
        <v>23</v>
      </c>
      <c r="C28" s="68" t="b">
        <v>1</v>
      </c>
      <c r="D28" s="67" t="str">
        <v>U8</v>
      </c>
      <c r="E28" s="66" t="str">
        <f t="shared" si="0"/>
        <v>USDFUT3MU8_Quote</v>
      </c>
      <c r="F28" s="65" t="str">
        <f>_xll.qlSimpleQuote(E28,,PriceTickValue,Permanent,Trigger,ObjectOverwrite)</f>
        <v>USDFUT3MU8_Quote#0007</v>
      </c>
      <c r="G28" s="46" t="str">
        <f>_xll.ohRangeRetrieveError(F28)</f>
        <v/>
      </c>
      <c r="H28" s="64"/>
      <c r="J28" s="167"/>
      <c r="K28" s="173">
        <v>23</v>
      </c>
      <c r="L28" s="172" t="b">
        <v>1</v>
      </c>
      <c r="M28" s="120" t="str">
        <v>U8</v>
      </c>
      <c r="N28" s="171">
        <v>43362</v>
      </c>
      <c r="O28" s="120" t="str">
        <v>EDU8</v>
      </c>
      <c r="P28" s="170">
        <v>43360</v>
      </c>
      <c r="Q28" s="120">
        <v>97.545000000000002</v>
      </c>
      <c r="R28" s="120">
        <v>97.550000000000011</v>
      </c>
      <c r="S28" s="120">
        <v>97.550000000000011</v>
      </c>
      <c r="T28" s="120">
        <v>97.48</v>
      </c>
      <c r="U28" s="124">
        <f>_xll.qlMidSafe(Q28,R28,Trigger)</f>
        <v>97.547500000000014</v>
      </c>
      <c r="V28" s="122"/>
      <c r="W28" s="169">
        <v>97.252499999999998</v>
      </c>
      <c r="X28" s="122"/>
      <c r="Y28" s="168">
        <v>97.547500000000014</v>
      </c>
      <c r="Z28" s="124">
        <f>_xll.qlSimpleQuoteSetValue(F28,Y28,Trigger)</f>
        <v>0</v>
      </c>
      <c r="AA28" s="9"/>
      <c r="AB28" s="3"/>
      <c r="AC28" s="3"/>
      <c r="AD28" s="3"/>
      <c r="AE28" s="3"/>
      <c r="AF28" s="148">
        <f t="shared" si="1"/>
        <v>4.9999999999954527E-5</v>
      </c>
      <c r="AH28" s="70"/>
      <c r="AI28" s="69">
        <v>23</v>
      </c>
      <c r="AJ28" s="67" t="b">
        <v>1</v>
      </c>
      <c r="AK28" s="67" t="str">
        <v>U8</v>
      </c>
      <c r="AL28" s="113" t="str">
        <f t="shared" si="2"/>
        <v>USDFUT3MU8ConvAdj_Quote</v>
      </c>
      <c r="AM28" s="112" t="str">
        <f>_xll.qlFuturesConvAdjustmentQuote(AL28,IborIndex,AK28,F28,Volatility,MeanReversion,Permanent,AND(ISERROR(Z28),ISERROR(FuturesHWConvAdj!Q27:Q28)),ObjectOverwrite)</f>
        <v>USDFUT3MU8ConvAdj_Quote#0787</v>
      </c>
      <c r="AN28" s="17" t="str">
        <f>_xll.ohRangeRetrieveError(AM28)</f>
        <v/>
      </c>
      <c r="AO28" s="9"/>
    </row>
    <row r="29" spans="1:41" x14ac:dyDescent="0.2">
      <c r="A29" s="70"/>
      <c r="B29" s="69">
        <v>24</v>
      </c>
      <c r="C29" s="68" t="b">
        <v>1</v>
      </c>
      <c r="D29" s="67" t="str">
        <v>Z8</v>
      </c>
      <c r="E29" s="66" t="str">
        <f t="shared" si="0"/>
        <v>USDFUT3MZ8_Quote</v>
      </c>
      <c r="F29" s="65" t="str">
        <f>_xll.qlSimpleQuote(E29,,PriceTickValue,Permanent,Trigger,ObjectOverwrite)</f>
        <v>USDFUT3MZ8_Quote#0007</v>
      </c>
      <c r="G29" s="46" t="str">
        <f>_xll.ohRangeRetrieveError(F29)</f>
        <v/>
      </c>
      <c r="H29" s="64"/>
      <c r="J29" s="167"/>
      <c r="K29" s="173">
        <v>24</v>
      </c>
      <c r="L29" s="172" t="b">
        <v>1</v>
      </c>
      <c r="M29" s="120" t="str">
        <v>Z8</v>
      </c>
      <c r="N29" s="171">
        <v>43453</v>
      </c>
      <c r="O29" s="120" t="str">
        <v>EDZ8</v>
      </c>
      <c r="P29" s="170">
        <v>43451</v>
      </c>
      <c r="Q29" s="120">
        <v>97.475000000000009</v>
      </c>
      <c r="R29" s="120">
        <v>97.48</v>
      </c>
      <c r="S29" s="120">
        <v>97.48</v>
      </c>
      <c r="T29" s="120">
        <v>97.415000000000006</v>
      </c>
      <c r="U29" s="124">
        <f>_xll.qlMidSafe(Q29,R29,Trigger)</f>
        <v>97.477500000000006</v>
      </c>
      <c r="V29" s="122"/>
      <c r="W29" s="169">
        <v>97.17</v>
      </c>
      <c r="X29" s="122"/>
      <c r="Y29" s="168">
        <v>97.477500000000006</v>
      </c>
      <c r="Z29" s="124">
        <f>_xll.qlSimpleQuoteSetValue(F29,Y29,Trigger)</f>
        <v>0</v>
      </c>
      <c r="AA29" s="9"/>
      <c r="AB29" s="3"/>
      <c r="AC29" s="3"/>
      <c r="AD29" s="3"/>
      <c r="AE29" s="3"/>
      <c r="AF29" s="148">
        <f t="shared" si="1"/>
        <v>4.9999999999954527E-5</v>
      </c>
      <c r="AH29" s="70"/>
      <c r="AI29" s="69">
        <v>24</v>
      </c>
      <c r="AJ29" s="67" t="b">
        <v>1</v>
      </c>
      <c r="AK29" s="67" t="str">
        <v>Z8</v>
      </c>
      <c r="AL29" s="113" t="str">
        <f t="shared" si="2"/>
        <v>USDFUT3MZ8ConvAdj_Quote</v>
      </c>
      <c r="AM29" s="112" t="str">
        <f>_xll.qlFuturesConvAdjustmentQuote(AL29,IborIndex,AK29,F29,Volatility,MeanReversion,Permanent,AND(ISERROR(Z29),ISERROR(FuturesHWConvAdj!Q28:Q29)),ObjectOverwrite)</f>
        <v>USDFUT3MZ8ConvAdj_Quote#0787</v>
      </c>
      <c r="AN29" s="17" t="str">
        <f>_xll.ohRangeRetrieveError(AM29)</f>
        <v/>
      </c>
      <c r="AO29" s="9"/>
    </row>
    <row r="30" spans="1:41" x14ac:dyDescent="0.2">
      <c r="A30" s="70"/>
      <c r="B30" s="69">
        <v>25</v>
      </c>
      <c r="C30" s="68" t="b">
        <v>1</v>
      </c>
      <c r="D30" s="67" t="str">
        <v>H9</v>
      </c>
      <c r="E30" s="66" t="str">
        <f t="shared" si="0"/>
        <v>USDFUT3MH9_Quote</v>
      </c>
      <c r="F30" s="65" t="str">
        <f>_xll.qlSimpleQuote(E30,,PriceTickValue,Permanent,Trigger,ObjectOverwrite)</f>
        <v>USDFUT3MH9_Quote#0007</v>
      </c>
      <c r="G30" s="46" t="str">
        <f>_xll.ohRangeRetrieveError(F30)</f>
        <v/>
      </c>
      <c r="H30" s="64"/>
      <c r="J30" s="167"/>
      <c r="K30" s="173">
        <v>25</v>
      </c>
      <c r="L30" s="172" t="b">
        <v>1</v>
      </c>
      <c r="M30" s="120" t="str">
        <v>H9</v>
      </c>
      <c r="N30" s="171">
        <v>43544</v>
      </c>
      <c r="O30" s="120" t="str">
        <v>EDH9</v>
      </c>
      <c r="P30" s="170">
        <v>43542</v>
      </c>
      <c r="Q30" s="120">
        <v>97.42</v>
      </c>
      <c r="R30" s="120">
        <v>97.425000000000011</v>
      </c>
      <c r="S30" s="120">
        <v>97.425000000000011</v>
      </c>
      <c r="T30" s="120">
        <v>97.365000000000009</v>
      </c>
      <c r="U30" s="124">
        <f>_xll.qlMidSafe(Q30,R30,Trigger)</f>
        <v>97.422500000000014</v>
      </c>
      <c r="V30" s="122"/>
      <c r="W30" s="169">
        <v>97.09</v>
      </c>
      <c r="X30" s="122"/>
      <c r="Y30" s="168">
        <v>97.422500000000014</v>
      </c>
      <c r="Z30" s="124">
        <f>_xll.qlSimpleQuoteSetValue(F30,Y30,Trigger)</f>
        <v>0</v>
      </c>
      <c r="AA30" s="9"/>
      <c r="AB30" s="3"/>
      <c r="AC30" s="3"/>
      <c r="AD30" s="3"/>
      <c r="AE30" s="3"/>
      <c r="AF30" s="148">
        <f t="shared" si="1"/>
        <v>4.9999999999954527E-5</v>
      </c>
      <c r="AH30" s="70"/>
      <c r="AI30" s="69">
        <v>25</v>
      </c>
      <c r="AJ30" s="67" t="b">
        <v>1</v>
      </c>
      <c r="AK30" s="67" t="str">
        <v>H9</v>
      </c>
      <c r="AL30" s="113" t="str">
        <f t="shared" si="2"/>
        <v>USDFUT3MH9ConvAdj_Quote</v>
      </c>
      <c r="AM30" s="112" t="str">
        <f>_xll.qlFuturesConvAdjustmentQuote(AL30,IborIndex,AK30,F30,Volatility,MeanReversion,Permanent,AND(ISERROR(Z30),ISERROR(FuturesHWConvAdj!Q29:Q30)),ObjectOverwrite)</f>
        <v>USDFUT3MH9ConvAdj_Quote#0786</v>
      </c>
      <c r="AN30" s="17" t="str">
        <f>_xll.ohRangeRetrieveError(AM30)</f>
        <v/>
      </c>
      <c r="AO30" s="9"/>
    </row>
    <row r="31" spans="1:41" x14ac:dyDescent="0.2">
      <c r="A31" s="70"/>
      <c r="B31" s="69">
        <v>26</v>
      </c>
      <c r="C31" s="68" t="b">
        <v>1</v>
      </c>
      <c r="D31" s="67" t="str">
        <v>M9</v>
      </c>
      <c r="E31" s="66" t="str">
        <f t="shared" si="0"/>
        <v>USDFUT3MM9_Quote</v>
      </c>
      <c r="F31" s="65" t="str">
        <f>_xll.qlSimpleQuote(E31,,PriceTickValue,Permanent,Trigger,ObjectOverwrite)</f>
        <v>USDFUT3MM9_Quote#0008</v>
      </c>
      <c r="G31" s="46" t="str">
        <f>_xll.ohRangeRetrieveError(F31)</f>
        <v/>
      </c>
      <c r="H31" s="64"/>
      <c r="J31" s="167"/>
      <c r="K31" s="173">
        <v>26</v>
      </c>
      <c r="L31" s="172" t="b">
        <v>1</v>
      </c>
      <c r="M31" s="120" t="str">
        <v>M9</v>
      </c>
      <c r="N31" s="171">
        <v>43635</v>
      </c>
      <c r="O31" s="120" t="str">
        <v>EDM9</v>
      </c>
      <c r="P31" s="170">
        <v>43633</v>
      </c>
      <c r="Q31" s="120">
        <v>97.37</v>
      </c>
      <c r="R31" s="120">
        <v>97.375</v>
      </c>
      <c r="S31" s="120">
        <v>97.375</v>
      </c>
      <c r="T31" s="120">
        <v>97.314999999999998</v>
      </c>
      <c r="U31" s="124">
        <f>_xll.qlMidSafe(Q31,R31,Trigger)</f>
        <v>97.372500000000002</v>
      </c>
      <c r="V31" s="122"/>
      <c r="W31" s="169">
        <v>97.027500000000003</v>
      </c>
      <c r="X31" s="122"/>
      <c r="Y31" s="168">
        <v>97.372500000000002</v>
      </c>
      <c r="Z31" s="124">
        <f>_xll.qlSimpleQuoteSetValue(F31,Y31,Trigger)</f>
        <v>0</v>
      </c>
      <c r="AA31" s="9"/>
      <c r="AB31" s="3"/>
      <c r="AC31" s="3"/>
      <c r="AD31" s="3"/>
      <c r="AE31" s="3"/>
      <c r="AF31" s="148">
        <f t="shared" si="1"/>
        <v>4.9999999999954527E-5</v>
      </c>
      <c r="AH31" s="70"/>
      <c r="AI31" s="69">
        <v>26</v>
      </c>
      <c r="AJ31" s="67" t="b">
        <v>1</v>
      </c>
      <c r="AK31" s="67" t="str">
        <v>M9</v>
      </c>
      <c r="AL31" s="113" t="str">
        <f t="shared" si="2"/>
        <v>USDFUT3MM9ConvAdj_Quote</v>
      </c>
      <c r="AM31" s="112" t="str">
        <f>_xll.qlFuturesConvAdjustmentQuote(AL31,IborIndex,AK31,F31,Volatility,MeanReversion,Permanent,AND(ISERROR(Z31),ISERROR(FuturesHWConvAdj!Q30:Q31)),ObjectOverwrite)</f>
        <v>USDFUT3MM9ConvAdj_Quote#0787</v>
      </c>
      <c r="AN31" s="17" t="str">
        <f>_xll.ohRangeRetrieveError(AM31)</f>
        <v/>
      </c>
      <c r="AO31" s="9"/>
    </row>
    <row r="32" spans="1:41" x14ac:dyDescent="0.2">
      <c r="A32" s="70"/>
      <c r="B32" s="69">
        <v>27</v>
      </c>
      <c r="C32" s="68" t="b">
        <v>1</v>
      </c>
      <c r="D32" s="67" t="str">
        <v>U9</v>
      </c>
      <c r="E32" s="66" t="str">
        <f t="shared" si="0"/>
        <v>USDFUT3MU9_Quote</v>
      </c>
      <c r="F32" s="65" t="str">
        <f>_xll.qlSimpleQuote(E32,,PriceTickValue,Permanent,Trigger,ObjectOverwrite)</f>
        <v>USDFUT3MU9_Quote#0007</v>
      </c>
      <c r="G32" s="46" t="str">
        <f>_xll.ohRangeRetrieveError(F32)</f>
        <v/>
      </c>
      <c r="H32" s="64"/>
      <c r="J32" s="167"/>
      <c r="K32" s="173">
        <v>27</v>
      </c>
      <c r="L32" s="172" t="b">
        <v>1</v>
      </c>
      <c r="M32" s="120" t="str">
        <v>U9</v>
      </c>
      <c r="N32" s="171">
        <v>43726</v>
      </c>
      <c r="O32" s="120" t="str">
        <v>EDU9</v>
      </c>
      <c r="P32" s="170">
        <v>43724</v>
      </c>
      <c r="Q32" s="120">
        <v>97.320000000000007</v>
      </c>
      <c r="R32" s="120">
        <v>97.325000000000003</v>
      </c>
      <c r="S32" s="120">
        <v>97.325000000000003</v>
      </c>
      <c r="T32" s="120">
        <v>97.265000000000001</v>
      </c>
      <c r="U32" s="124">
        <f>_xll.qlMidSafe(Q32,R32,Trigger)</f>
        <v>97.322500000000005</v>
      </c>
      <c r="V32" s="122"/>
      <c r="W32" s="169">
        <v>96.965000000000003</v>
      </c>
      <c r="X32" s="122"/>
      <c r="Y32" s="168">
        <v>97.322500000000005</v>
      </c>
      <c r="Z32" s="124">
        <f>_xll.qlSimpleQuoteSetValue(F32,Y32,Trigger)</f>
        <v>0</v>
      </c>
      <c r="AA32" s="9"/>
      <c r="AB32" s="3"/>
      <c r="AC32" s="3"/>
      <c r="AD32" s="3"/>
      <c r="AE32" s="3"/>
      <c r="AF32" s="148">
        <f t="shared" si="1"/>
        <v>4.9999999999954527E-5</v>
      </c>
      <c r="AH32" s="70"/>
      <c r="AI32" s="69">
        <v>27</v>
      </c>
      <c r="AJ32" s="67" t="b">
        <v>1</v>
      </c>
      <c r="AK32" s="67" t="str">
        <v>U9</v>
      </c>
      <c r="AL32" s="113" t="str">
        <f t="shared" si="2"/>
        <v>USDFUT3MU9ConvAdj_Quote</v>
      </c>
      <c r="AM32" s="112" t="str">
        <f>_xll.qlFuturesConvAdjustmentQuote(AL32,IborIndex,AK32,F32,Volatility,MeanReversion,Permanent,AND(ISERROR(Z32),ISERROR(FuturesHWConvAdj!Q31:Q32)),ObjectOverwrite)</f>
        <v>USDFUT3MU9ConvAdj_Quote#0786</v>
      </c>
      <c r="AN32" s="17" t="str">
        <f>_xll.ohRangeRetrieveError(AM32)</f>
        <v/>
      </c>
      <c r="AO32" s="9"/>
    </row>
    <row r="33" spans="1:41" x14ac:dyDescent="0.2">
      <c r="A33" s="70"/>
      <c r="B33" s="69">
        <v>28</v>
      </c>
      <c r="C33" s="68" t="b">
        <v>1</v>
      </c>
      <c r="D33" s="67" t="str">
        <v>Z9</v>
      </c>
      <c r="E33" s="66" t="str">
        <f t="shared" si="0"/>
        <v>USDFUT3MZ9_Quote</v>
      </c>
      <c r="F33" s="65" t="str">
        <f>_xll.qlSimpleQuote(E33,,PriceTickValue,Permanent,Trigger,ObjectOverwrite)</f>
        <v>USDFUT3MZ9_Quote#0007</v>
      </c>
      <c r="G33" s="46" t="str">
        <f>_xll.ohRangeRetrieveError(F33)</f>
        <v/>
      </c>
      <c r="H33" s="64"/>
      <c r="J33" s="167"/>
      <c r="K33" s="173">
        <v>28</v>
      </c>
      <c r="L33" s="172" t="b">
        <v>1</v>
      </c>
      <c r="M33" s="120" t="str">
        <v>Z9</v>
      </c>
      <c r="N33" s="171">
        <v>43817</v>
      </c>
      <c r="O33" s="120" t="str">
        <v>EDZ9</v>
      </c>
      <c r="P33" s="170">
        <v>43815</v>
      </c>
      <c r="Q33" s="120">
        <v>97.27000000000001</v>
      </c>
      <c r="R33" s="120">
        <v>97.28</v>
      </c>
      <c r="S33" s="120">
        <v>97.275000000000006</v>
      </c>
      <c r="T33" s="120">
        <v>97.22</v>
      </c>
      <c r="U33" s="124">
        <f>_xll.qlMidSafe(Q33,R33,Trigger)</f>
        <v>97.275000000000006</v>
      </c>
      <c r="V33" s="122"/>
      <c r="W33" s="169">
        <v>96.9</v>
      </c>
      <c r="X33" s="122"/>
      <c r="Y33" s="168">
        <v>97.275000000000006</v>
      </c>
      <c r="Z33" s="124">
        <f>_xll.qlSimpleQuoteSetValue(F33,Y33,Trigger)</f>
        <v>0</v>
      </c>
      <c r="AA33" s="9"/>
      <c r="AB33" s="3"/>
      <c r="AC33" s="3"/>
      <c r="AD33" s="3"/>
      <c r="AE33" s="3"/>
      <c r="AF33" s="148">
        <f t="shared" si="1"/>
        <v>9.9999999999909054E-5</v>
      </c>
      <c r="AH33" s="70"/>
      <c r="AI33" s="69">
        <v>28</v>
      </c>
      <c r="AJ33" s="67" t="b">
        <v>1</v>
      </c>
      <c r="AK33" s="67" t="str">
        <v>Z9</v>
      </c>
      <c r="AL33" s="113" t="str">
        <f t="shared" si="2"/>
        <v>USDFUT3MZ9ConvAdj_Quote</v>
      </c>
      <c r="AM33" s="112" t="str">
        <f>_xll.qlFuturesConvAdjustmentQuote(AL33,IborIndex,AK33,F33,Volatility,MeanReversion,Permanent,AND(ISERROR(Z33),ISERROR(FuturesHWConvAdj!Q32:Q33)),ObjectOverwrite)</f>
        <v>USDFUT3MZ9ConvAdj_Quote#0789</v>
      </c>
      <c r="AN33" s="17" t="str">
        <f>_xll.ohRangeRetrieveError(AM33)</f>
        <v/>
      </c>
      <c r="AO33" s="9"/>
    </row>
    <row r="34" spans="1:41" x14ac:dyDescent="0.2">
      <c r="A34" s="70"/>
      <c r="B34" s="69">
        <v>29</v>
      </c>
      <c r="C34" s="68" t="b">
        <v>1</v>
      </c>
      <c r="D34" s="67" t="str">
        <v>H0</v>
      </c>
      <c r="E34" s="66" t="str">
        <f t="shared" si="0"/>
        <v>USDFUT3MH0_Quote</v>
      </c>
      <c r="F34" s="65" t="str">
        <f>_xll.qlSimpleQuote(E34,,PriceTickValue,Permanent,Trigger,ObjectOverwrite)</f>
        <v>USDFUT3MH0_Quote#0007</v>
      </c>
      <c r="G34" s="46" t="str">
        <f>_xll.ohRangeRetrieveError(F34)</f>
        <v/>
      </c>
      <c r="H34" s="64"/>
      <c r="J34" s="167"/>
      <c r="K34" s="173">
        <v>29</v>
      </c>
      <c r="L34" s="172" t="b">
        <v>1</v>
      </c>
      <c r="M34" s="120" t="str">
        <v>H0</v>
      </c>
      <c r="N34" s="171">
        <v>43908</v>
      </c>
      <c r="O34" s="120" t="str">
        <v>EDH0</v>
      </c>
      <c r="P34" s="170">
        <v>43906</v>
      </c>
      <c r="Q34" s="120">
        <v>97.23</v>
      </c>
      <c r="R34" s="120">
        <v>97.240000000000009</v>
      </c>
      <c r="S34" s="120">
        <v>97.240000000000009</v>
      </c>
      <c r="T34" s="120">
        <v>97.18</v>
      </c>
      <c r="U34" s="124">
        <f>_xll.qlMidSafe(Q34,R34,Trigger)</f>
        <v>97.235000000000014</v>
      </c>
      <c r="V34" s="122"/>
      <c r="W34" s="169">
        <v>96.835000000000008</v>
      </c>
      <c r="X34" s="122"/>
      <c r="Y34" s="168">
        <v>97.235000000000014</v>
      </c>
      <c r="Z34" s="124">
        <f>_xll.qlSimpleQuoteSetValue(F34,Y34,Trigger)</f>
        <v>0</v>
      </c>
      <c r="AA34" s="9"/>
      <c r="AB34" s="3"/>
      <c r="AC34" s="3"/>
      <c r="AD34" s="3"/>
      <c r="AE34" s="3"/>
      <c r="AF34" s="148">
        <f t="shared" si="1"/>
        <v>9.9999999999909054E-5</v>
      </c>
      <c r="AH34" s="70"/>
      <c r="AI34" s="69">
        <v>29</v>
      </c>
      <c r="AJ34" s="67" t="b">
        <v>1</v>
      </c>
      <c r="AK34" s="67" t="str">
        <v>H0</v>
      </c>
      <c r="AL34" s="113" t="str">
        <f t="shared" si="2"/>
        <v>USDFUT3MH0ConvAdj_Quote</v>
      </c>
      <c r="AM34" s="112" t="str">
        <f>_xll.qlFuturesConvAdjustmentQuote(AL34,IborIndex,AK34,F34,Volatility,MeanReversion,Permanent,AND(ISERROR(Z34),ISERROR(FuturesHWConvAdj!Q33:Q34)),ObjectOverwrite)</f>
        <v>USDFUT3MH0ConvAdj_Quote#0799</v>
      </c>
      <c r="AN34" s="17" t="str">
        <f>_xll.ohRangeRetrieveError(AM34)</f>
        <v/>
      </c>
      <c r="AO34" s="9"/>
    </row>
    <row r="35" spans="1:41" x14ac:dyDescent="0.2">
      <c r="A35" s="70"/>
      <c r="B35" s="69">
        <v>30</v>
      </c>
      <c r="C35" s="68" t="b">
        <v>1</v>
      </c>
      <c r="D35" s="67" t="str">
        <v>M0</v>
      </c>
      <c r="E35" s="66" t="str">
        <f t="shared" si="0"/>
        <v>USDFUT3MM0_Quote</v>
      </c>
      <c r="F35" s="65" t="str">
        <f>_xll.qlSimpleQuote(E35,,PriceTickValue,Permanent,Trigger,ObjectOverwrite)</f>
        <v>USDFUT3MM0_Quote#0007</v>
      </c>
      <c r="G35" s="46" t="str">
        <f>_xll.ohRangeRetrieveError(F35)</f>
        <v/>
      </c>
      <c r="H35" s="64"/>
      <c r="J35" s="167"/>
      <c r="K35" s="173">
        <v>30</v>
      </c>
      <c r="L35" s="172" t="b">
        <v>1</v>
      </c>
      <c r="M35" s="120" t="str">
        <v>M0</v>
      </c>
      <c r="N35" s="171">
        <v>43999</v>
      </c>
      <c r="O35" s="120" t="str">
        <v>EDM0</v>
      </c>
      <c r="P35" s="170">
        <v>43997</v>
      </c>
      <c r="Q35" s="120">
        <v>97.19</v>
      </c>
      <c r="R35" s="120">
        <v>97.195000000000007</v>
      </c>
      <c r="S35" s="120">
        <v>97.2</v>
      </c>
      <c r="T35" s="120">
        <v>97.14</v>
      </c>
      <c r="U35" s="124">
        <f>_xll.qlMidSafe(Q35,R35,Trigger)</f>
        <v>97.192499999999995</v>
      </c>
      <c r="V35" s="122"/>
      <c r="W35" s="169">
        <v>96.777500000000003</v>
      </c>
      <c r="X35" s="122"/>
      <c r="Y35" s="168">
        <v>97.192499999999995</v>
      </c>
      <c r="Z35" s="124">
        <f>_xll.qlSimpleQuoteSetValue(F35,Y35,Trigger)</f>
        <v>-2.4999999999977263E-3</v>
      </c>
      <c r="AA35" s="9"/>
      <c r="AB35" s="3"/>
      <c r="AC35" s="3"/>
      <c r="AD35" s="3"/>
      <c r="AE35" s="3"/>
      <c r="AF35" s="148">
        <f t="shared" si="1"/>
        <v>5.0000000000238744E-5</v>
      </c>
      <c r="AH35" s="70"/>
      <c r="AI35" s="69">
        <v>30</v>
      </c>
      <c r="AJ35" s="67" t="b">
        <v>1</v>
      </c>
      <c r="AK35" s="67" t="str">
        <v>M0</v>
      </c>
      <c r="AL35" s="113" t="str">
        <f t="shared" si="2"/>
        <v>USDFUT3MM0ConvAdj_Quote</v>
      </c>
      <c r="AM35" s="112" t="str">
        <f>_xll.qlFuturesConvAdjustmentQuote(AL35,IborIndex,AK35,F35,Volatility,MeanReversion,Permanent,AND(ISERROR(Z35),ISERROR(FuturesHWConvAdj!Q34:Q35)),ObjectOverwrite)</f>
        <v>USDFUT3MM0ConvAdj_Quote#0789</v>
      </c>
      <c r="AN35" s="17" t="str">
        <f>_xll.ohRangeRetrieveError(AM35)</f>
        <v/>
      </c>
      <c r="AO35" s="9"/>
    </row>
    <row r="36" spans="1:41" x14ac:dyDescent="0.2">
      <c r="A36" s="70"/>
      <c r="B36" s="69">
        <v>31</v>
      </c>
      <c r="C36" s="68" t="b">
        <v>1</v>
      </c>
      <c r="D36" s="67" t="str">
        <v>U0</v>
      </c>
      <c r="E36" s="66" t="str">
        <f t="shared" si="0"/>
        <v>USDFUT3MU0_Quote</v>
      </c>
      <c r="F36" s="65" t="str">
        <f>_xll.qlSimpleQuote(E36,,PriceTickValue,Permanent,Trigger,ObjectOverwrite)</f>
        <v>USDFUT3MU0_Quote#0007</v>
      </c>
      <c r="G36" s="46" t="str">
        <f>_xll.ohRangeRetrieveError(F36)</f>
        <v/>
      </c>
      <c r="H36" s="64"/>
      <c r="J36" s="167"/>
      <c r="K36" s="173">
        <v>31</v>
      </c>
      <c r="L36" s="172" t="b">
        <v>1</v>
      </c>
      <c r="M36" s="120" t="str">
        <v>U0</v>
      </c>
      <c r="N36" s="171">
        <v>44090</v>
      </c>
      <c r="O36" s="120" t="str">
        <v>EDU0</v>
      </c>
      <c r="P36" s="170">
        <v>44088</v>
      </c>
      <c r="Q36" s="120">
        <v>97.15</v>
      </c>
      <c r="R36" s="120">
        <v>97.155000000000001</v>
      </c>
      <c r="S36" s="120">
        <v>97.160000000000011</v>
      </c>
      <c r="T36" s="120">
        <v>97.100000000000009</v>
      </c>
      <c r="U36" s="124">
        <f>_xll.qlMidSafe(Q36,R36,Trigger)</f>
        <v>97.152500000000003</v>
      </c>
      <c r="V36" s="122"/>
      <c r="W36" s="169">
        <v>96.72</v>
      </c>
      <c r="X36" s="122"/>
      <c r="Y36" s="168">
        <v>97.152500000000003</v>
      </c>
      <c r="Z36" s="124">
        <f>_xll.qlSimpleQuoteSetValue(F36,Y36,Trigger)</f>
        <v>0</v>
      </c>
      <c r="AA36" s="9"/>
      <c r="AB36" s="3"/>
      <c r="AC36" s="3"/>
      <c r="AD36" s="3"/>
      <c r="AE36" s="3"/>
      <c r="AF36" s="148">
        <f t="shared" si="1"/>
        <v>4.9999999999954527E-5</v>
      </c>
      <c r="AH36" s="70"/>
      <c r="AI36" s="69">
        <v>31</v>
      </c>
      <c r="AJ36" s="67" t="b">
        <v>1</v>
      </c>
      <c r="AK36" s="67" t="str">
        <v>U0</v>
      </c>
      <c r="AL36" s="113" t="str">
        <f t="shared" si="2"/>
        <v>USDFUT3MU0ConvAdj_Quote</v>
      </c>
      <c r="AM36" s="112" t="str">
        <f>_xll.qlFuturesConvAdjustmentQuote(AL36,IborIndex,AK36,F36,Volatility,MeanReversion,Permanent,AND(ISERROR(Z36),ISERROR(FuturesHWConvAdj!Q35:Q36)),ObjectOverwrite)</f>
        <v>USDFUT3MU0ConvAdj_Quote#0799</v>
      </c>
      <c r="AN36" s="17" t="str">
        <f>_xll.ohRangeRetrieveError(AM36)</f>
        <v/>
      </c>
      <c r="AO36" s="9"/>
    </row>
    <row r="37" spans="1:41" x14ac:dyDescent="0.2">
      <c r="A37" s="70"/>
      <c r="B37" s="69">
        <v>32</v>
      </c>
      <c r="C37" s="68" t="b">
        <v>1</v>
      </c>
      <c r="D37" s="67" t="str">
        <v>Z0</v>
      </c>
      <c r="E37" s="66" t="str">
        <f t="shared" si="0"/>
        <v>USDFUT3MZ0_Quote</v>
      </c>
      <c r="F37" s="65" t="str">
        <f>_xll.qlSimpleQuote(E37,,PriceTickValue,Permanent,Trigger,ObjectOverwrite)</f>
        <v>USDFUT3MZ0_Quote#0008</v>
      </c>
      <c r="G37" s="46" t="str">
        <f>_xll.ohRangeRetrieveError(F37)</f>
        <v/>
      </c>
      <c r="H37" s="64"/>
      <c r="J37" s="167"/>
      <c r="K37" s="173">
        <v>32</v>
      </c>
      <c r="L37" s="172" t="b">
        <v>1</v>
      </c>
      <c r="M37" s="120" t="str">
        <v>Z0</v>
      </c>
      <c r="N37" s="171">
        <v>44181</v>
      </c>
      <c r="O37" s="120" t="str">
        <v>EDZ0</v>
      </c>
      <c r="P37" s="170">
        <v>44179</v>
      </c>
      <c r="Q37" s="120">
        <v>97.11</v>
      </c>
      <c r="R37" s="120">
        <v>97.115000000000009</v>
      </c>
      <c r="S37" s="120">
        <v>97.125</v>
      </c>
      <c r="T37" s="120">
        <v>97.06</v>
      </c>
      <c r="U37" s="124">
        <f>_xll.qlMidSafe(Q37,R37,Trigger)</f>
        <v>97.112500000000011</v>
      </c>
      <c r="V37" s="122"/>
      <c r="W37" s="169">
        <v>96.664999999999992</v>
      </c>
      <c r="X37" s="122"/>
      <c r="Y37" s="168">
        <v>97.112500000000011</v>
      </c>
      <c r="Z37" s="124">
        <f>_xll.qlSimpleQuoteSetValue(F37,Y37,Trigger)</f>
        <v>0</v>
      </c>
      <c r="AA37" s="9"/>
      <c r="AB37" s="3"/>
      <c r="AC37" s="3"/>
      <c r="AD37" s="3"/>
      <c r="AE37" s="3"/>
      <c r="AF37" s="148">
        <f t="shared" si="1"/>
        <v>4.9999999999954527E-5</v>
      </c>
      <c r="AH37" s="70"/>
      <c r="AI37" s="69">
        <v>32</v>
      </c>
      <c r="AJ37" s="67" t="b">
        <v>1</v>
      </c>
      <c r="AK37" s="67" t="str">
        <v>Z0</v>
      </c>
      <c r="AL37" s="113" t="str">
        <f t="shared" si="2"/>
        <v>USDFUT3MZ0ConvAdj_Quote</v>
      </c>
      <c r="AM37" s="112" t="str">
        <f>_xll.qlFuturesConvAdjustmentQuote(AL37,IborIndex,AK37,F37,Volatility,MeanReversion,Permanent,AND(ISERROR(Z37),ISERROR(FuturesHWConvAdj!Q36:Q37)),ObjectOverwrite)</f>
        <v>USDFUT3MZ0ConvAdj_Quote#0789</v>
      </c>
      <c r="AN37" s="17" t="str">
        <f>_xll.ohRangeRetrieveError(AM37)</f>
        <v/>
      </c>
      <c r="AO37" s="9"/>
    </row>
    <row r="38" spans="1:41" x14ac:dyDescent="0.2">
      <c r="A38" s="70"/>
      <c r="B38" s="69">
        <v>33</v>
      </c>
      <c r="C38" s="68" t="b">
        <v>1</v>
      </c>
      <c r="D38" s="67" t="str">
        <v>H1</v>
      </c>
      <c r="E38" s="66" t="str">
        <f t="shared" ref="E38:E47" si="3">Currency&amp;$D$4&amp;$E$4&amp;$D38&amp;QuoteSuffix</f>
        <v>USDFUT3MH1_Quote</v>
      </c>
      <c r="F38" s="65" t="str">
        <f>_xll.qlSimpleQuote(E38,,PriceTickValue,Permanent,Trigger,ObjectOverwrite)</f>
        <v>USDFUT3MH1_Quote#0007</v>
      </c>
      <c r="G38" s="46" t="str">
        <f>_xll.ohRangeRetrieveError(F38)</f>
        <v/>
      </c>
      <c r="H38" s="64"/>
      <c r="J38" s="167"/>
      <c r="K38" s="173">
        <v>33</v>
      </c>
      <c r="L38" s="172" t="b">
        <v>1</v>
      </c>
      <c r="M38" s="120" t="str">
        <v>H1</v>
      </c>
      <c r="N38" s="171">
        <v>44272</v>
      </c>
      <c r="O38" s="120" t="str">
        <v>EDH1</v>
      </c>
      <c r="P38" s="170">
        <v>44270</v>
      </c>
      <c r="Q38" s="120">
        <v>97.085000000000008</v>
      </c>
      <c r="R38" s="120">
        <v>97.09</v>
      </c>
      <c r="S38" s="120">
        <v>97.100000000000009</v>
      </c>
      <c r="T38" s="120">
        <v>97.035000000000011</v>
      </c>
      <c r="U38" s="124">
        <f>_xll.qlMidSafe(Q38,R38,Trigger)</f>
        <v>97.087500000000006</v>
      </c>
      <c r="V38" s="122"/>
      <c r="W38" s="169">
        <v>96.615000000000009</v>
      </c>
      <c r="X38" s="122"/>
      <c r="Y38" s="168">
        <v>97.087500000000006</v>
      </c>
      <c r="Z38" s="124">
        <f>_xll.qlSimpleQuoteSetValue(F38,Y38,Trigger)</f>
        <v>0</v>
      </c>
      <c r="AA38" s="9"/>
      <c r="AB38" s="3"/>
      <c r="AC38" s="3"/>
      <c r="AD38" s="3"/>
      <c r="AE38" s="3"/>
      <c r="AF38" s="148">
        <f t="shared" si="1"/>
        <v>4.9999999999954527E-5</v>
      </c>
      <c r="AH38" s="70"/>
      <c r="AI38" s="69">
        <v>33</v>
      </c>
      <c r="AJ38" s="67" t="b">
        <v>1</v>
      </c>
      <c r="AK38" s="67" t="str">
        <v>H1</v>
      </c>
      <c r="AL38" s="113" t="str">
        <f t="shared" si="2"/>
        <v>USDFUT3MH1ConvAdj_Quote</v>
      </c>
      <c r="AM38" s="112" t="str">
        <f>_xll.qlFuturesConvAdjustmentQuote(AL38,IborIndex,AK38,F38,Volatility,MeanReversion,Permanent,AND(ISERROR(Z38),ISERROR(FuturesHWConvAdj!Q37:Q38)),ObjectOverwrite)</f>
        <v>USDFUT3MH1ConvAdj_Quote#0799</v>
      </c>
      <c r="AN38" s="17" t="str">
        <f>_xll.ohRangeRetrieveError(AM38)</f>
        <v/>
      </c>
      <c r="AO38" s="9"/>
    </row>
    <row r="39" spans="1:41" x14ac:dyDescent="0.2">
      <c r="A39" s="70"/>
      <c r="B39" s="69">
        <v>34</v>
      </c>
      <c r="C39" s="68" t="b">
        <v>1</v>
      </c>
      <c r="D39" s="67" t="str">
        <v>M1</v>
      </c>
      <c r="E39" s="66" t="str">
        <f t="shared" si="3"/>
        <v>USDFUT3MM1_Quote</v>
      </c>
      <c r="F39" s="65" t="str">
        <f>_xll.qlSimpleQuote(E39,,PriceTickValue,Permanent,Trigger,ObjectOverwrite)</f>
        <v>USDFUT3MM1_Quote#0007</v>
      </c>
      <c r="G39" s="46" t="str">
        <f>_xll.ohRangeRetrieveError(F39)</f>
        <v/>
      </c>
      <c r="H39" s="64"/>
      <c r="J39" s="167"/>
      <c r="K39" s="173">
        <v>34</v>
      </c>
      <c r="L39" s="172" t="b">
        <v>1</v>
      </c>
      <c r="M39" s="120" t="str">
        <v>M1</v>
      </c>
      <c r="N39" s="171">
        <v>44363</v>
      </c>
      <c r="O39" s="120" t="str">
        <v>EDM1</v>
      </c>
      <c r="P39" s="170">
        <v>44361</v>
      </c>
      <c r="Q39" s="120">
        <v>97.055000000000007</v>
      </c>
      <c r="R39" s="120">
        <v>97.06</v>
      </c>
      <c r="S39" s="120">
        <v>0</v>
      </c>
      <c r="T39" s="120">
        <v>97.00500000000001</v>
      </c>
      <c r="U39" s="124">
        <f>_xll.qlMidSafe(Q39,R39,Trigger)</f>
        <v>97.057500000000005</v>
      </c>
      <c r="V39" s="122"/>
      <c r="W39" s="169">
        <v>96.577499999999986</v>
      </c>
      <c r="X39" s="122"/>
      <c r="Y39" s="168">
        <v>97.057500000000005</v>
      </c>
      <c r="Z39" s="124">
        <f>_xll.qlSimpleQuoteSetValue(F39,Y39,Trigger)</f>
        <v>0</v>
      </c>
      <c r="AA39" s="9"/>
      <c r="AB39" s="3"/>
      <c r="AC39" s="3"/>
      <c r="AD39" s="3"/>
      <c r="AE39" s="3"/>
      <c r="AF39" s="148">
        <f t="shared" si="1"/>
        <v>4.9999999999954527E-5</v>
      </c>
      <c r="AH39" s="70"/>
      <c r="AI39" s="69">
        <v>34</v>
      </c>
      <c r="AJ39" s="67" t="b">
        <v>1</v>
      </c>
      <c r="AK39" s="67" t="str">
        <v>M1</v>
      </c>
      <c r="AL39" s="113" t="str">
        <f t="shared" si="2"/>
        <v>USDFUT3MM1ConvAdj_Quote</v>
      </c>
      <c r="AM39" s="112" t="str">
        <f>_xll.qlFuturesConvAdjustmentQuote(AL39,IborIndex,AK39,F39,Volatility,MeanReversion,Permanent,AND(ISERROR(Z39),ISERROR(FuturesHWConvAdj!Q38:Q39)),ObjectOverwrite)</f>
        <v>USDFUT3MM1ConvAdj_Quote#0799</v>
      </c>
      <c r="AN39" s="17" t="str">
        <f>_xll.ohRangeRetrieveError(AM39)</f>
        <v/>
      </c>
      <c r="AO39" s="9"/>
    </row>
    <row r="40" spans="1:41" x14ac:dyDescent="0.2">
      <c r="A40" s="70"/>
      <c r="B40" s="69">
        <v>35</v>
      </c>
      <c r="C40" s="68" t="b">
        <v>1</v>
      </c>
      <c r="D40" s="67" t="str">
        <v>U1</v>
      </c>
      <c r="E40" s="66" t="str">
        <f t="shared" si="3"/>
        <v>USDFUT3MU1_Quote</v>
      </c>
      <c r="F40" s="65" t="str">
        <f>_xll.qlSimpleQuote(E40,,PriceTickValue,Permanent,Trigger,ObjectOverwrite)</f>
        <v>USDFUT3MU1_Quote#0008</v>
      </c>
      <c r="G40" s="46" t="str">
        <f>_xll.ohRangeRetrieveError(F40)</f>
        <v/>
      </c>
      <c r="H40" s="64"/>
      <c r="J40" s="167"/>
      <c r="K40" s="173">
        <v>35</v>
      </c>
      <c r="L40" s="172" t="b">
        <v>1</v>
      </c>
      <c r="M40" s="120" t="str">
        <v>U1</v>
      </c>
      <c r="N40" s="171">
        <v>44454</v>
      </c>
      <c r="O40" s="120" t="str">
        <v>EDU1</v>
      </c>
      <c r="P40" s="170">
        <v>44452</v>
      </c>
      <c r="Q40" s="120">
        <v>97.025000000000006</v>
      </c>
      <c r="R40" s="120">
        <v>97.035000000000011</v>
      </c>
      <c r="S40" s="120">
        <v>97.02000000000001</v>
      </c>
      <c r="T40" s="120">
        <v>96.975000000000009</v>
      </c>
      <c r="U40" s="124">
        <f>_xll.qlMidSafe(Q40,R40,Trigger)</f>
        <v>97.03</v>
      </c>
      <c r="V40" s="122"/>
      <c r="W40" s="169">
        <v>96.532499999999999</v>
      </c>
      <c r="X40" s="122"/>
      <c r="Y40" s="168">
        <v>97.03</v>
      </c>
      <c r="Z40" s="124">
        <f>_xll.qlSimpleQuoteSetValue(F40,Y40,Trigger)</f>
        <v>0</v>
      </c>
      <c r="AA40" s="9"/>
      <c r="AB40" s="3"/>
      <c r="AC40" s="3"/>
      <c r="AD40" s="3"/>
      <c r="AE40" s="3"/>
      <c r="AF40" s="148">
        <f t="shared" si="1"/>
        <v>1.0000000000019326E-4</v>
      </c>
      <c r="AH40" s="70"/>
      <c r="AI40" s="69">
        <v>35</v>
      </c>
      <c r="AJ40" s="67" t="b">
        <v>1</v>
      </c>
      <c r="AK40" s="67" t="str">
        <v>U1</v>
      </c>
      <c r="AL40" s="113" t="str">
        <f t="shared" si="2"/>
        <v>USDFUT3MU1ConvAdj_Quote</v>
      </c>
      <c r="AM40" s="112" t="str">
        <f>_xll.qlFuturesConvAdjustmentQuote(AL40,IborIndex,AK40,F40,Volatility,MeanReversion,Permanent,AND(ISERROR(Z40),ISERROR(FuturesHWConvAdj!Q39:Q40)),ObjectOverwrite)</f>
        <v>USDFUT3MU1ConvAdj_Quote#0787</v>
      </c>
      <c r="AN40" s="17" t="str">
        <f>_xll.ohRangeRetrieveError(AM40)</f>
        <v/>
      </c>
      <c r="AO40" s="9"/>
    </row>
    <row r="41" spans="1:41" x14ac:dyDescent="0.2">
      <c r="A41" s="70"/>
      <c r="B41" s="69">
        <v>36</v>
      </c>
      <c r="C41" s="68" t="b">
        <v>1</v>
      </c>
      <c r="D41" s="67" t="str">
        <v>Z1</v>
      </c>
      <c r="E41" s="66" t="str">
        <f t="shared" si="3"/>
        <v>USDFUT3MZ1_Quote</v>
      </c>
      <c r="F41" s="65" t="str">
        <f>_xll.qlSimpleQuote(E41,,PriceTickValue,Permanent,Trigger,ObjectOverwrite)</f>
        <v>USDFUT3MZ1_Quote#0007</v>
      </c>
      <c r="G41" s="46" t="str">
        <f>_xll.ohRangeRetrieveError(F41)</f>
        <v/>
      </c>
      <c r="H41" s="64"/>
      <c r="J41" s="167"/>
      <c r="K41" s="173">
        <v>36</v>
      </c>
      <c r="L41" s="172" t="b">
        <v>1</v>
      </c>
      <c r="M41" s="120" t="str">
        <v>Z1</v>
      </c>
      <c r="N41" s="171">
        <v>44545</v>
      </c>
      <c r="O41" s="120" t="str">
        <v>EDZ1</v>
      </c>
      <c r="P41" s="170">
        <v>44543</v>
      </c>
      <c r="Q41" s="120">
        <v>97</v>
      </c>
      <c r="R41" s="120">
        <v>97.01</v>
      </c>
      <c r="S41" s="120">
        <v>0</v>
      </c>
      <c r="T41" s="120">
        <v>96.95</v>
      </c>
      <c r="U41" s="124">
        <f>_xll.qlMidSafe(Q41,R41,Trigger)</f>
        <v>97.004999999999995</v>
      </c>
      <c r="V41" s="122"/>
      <c r="W41" s="169">
        <v>96.502499999999998</v>
      </c>
      <c r="X41" s="122"/>
      <c r="Y41" s="168">
        <v>97.004999999999995</v>
      </c>
      <c r="Z41" s="124">
        <f>_xll.qlSimpleQuoteSetValue(F41,Y41,Trigger)</f>
        <v>0</v>
      </c>
      <c r="AA41" s="9"/>
      <c r="AB41" s="3"/>
      <c r="AC41" s="3"/>
      <c r="AD41" s="3"/>
      <c r="AE41" s="3"/>
      <c r="AF41" s="148">
        <f t="shared" si="1"/>
        <v>1.0000000000019326E-4</v>
      </c>
      <c r="AH41" s="70"/>
      <c r="AI41" s="69">
        <v>36</v>
      </c>
      <c r="AJ41" s="67" t="b">
        <v>1</v>
      </c>
      <c r="AK41" s="67" t="str">
        <v>Z1</v>
      </c>
      <c r="AL41" s="113" t="str">
        <f t="shared" si="2"/>
        <v>USDFUT3MZ1ConvAdj_Quote</v>
      </c>
      <c r="AM41" s="112" t="str">
        <f>_xll.qlFuturesConvAdjustmentQuote(AL41,IborIndex,AK41,F41,Volatility,MeanReversion,Permanent,AND(ISERROR(Z41),ISERROR(FuturesHWConvAdj!Q40:Q41)),ObjectOverwrite)</f>
        <v>USDFUT3MZ1ConvAdj_Quote#0789</v>
      </c>
      <c r="AN41" s="17" t="str">
        <f>_xll.ohRangeRetrieveError(AM41)</f>
        <v/>
      </c>
      <c r="AO41" s="9"/>
    </row>
    <row r="42" spans="1:41" x14ac:dyDescent="0.2">
      <c r="A42" s="70"/>
      <c r="B42" s="69">
        <v>37</v>
      </c>
      <c r="C42" s="68" t="b">
        <v>1</v>
      </c>
      <c r="D42" s="67" t="str">
        <v>H2</v>
      </c>
      <c r="E42" s="66" t="str">
        <f t="shared" si="3"/>
        <v>USDFUT3MH2_Quote</v>
      </c>
      <c r="F42" s="65" t="str">
        <f>_xll.qlSimpleQuote(E42,,PriceTickValue,Permanent,Trigger,ObjectOverwrite)</f>
        <v>USDFUT3MH2_Quote#0007</v>
      </c>
      <c r="G42" s="46" t="str">
        <f>_xll.ohRangeRetrieveError(F42)</f>
        <v/>
      </c>
      <c r="H42" s="64"/>
      <c r="J42" s="167"/>
      <c r="K42" s="173">
        <v>37</v>
      </c>
      <c r="L42" s="172" t="b">
        <v>1</v>
      </c>
      <c r="M42" s="120" t="str">
        <v>H2</v>
      </c>
      <c r="N42" s="171">
        <v>44636</v>
      </c>
      <c r="O42" s="120" t="str">
        <v>EDH2</v>
      </c>
      <c r="P42" s="170">
        <v>44634</v>
      </c>
      <c r="Q42" s="120">
        <v>96.984999999999999</v>
      </c>
      <c r="R42" s="120">
        <v>96.995000000000005</v>
      </c>
      <c r="S42" s="120">
        <v>0</v>
      </c>
      <c r="T42" s="120">
        <v>96.935000000000002</v>
      </c>
      <c r="U42" s="124">
        <f>_xll.qlMidSafe(Q42,R42,Trigger)</f>
        <v>96.990000000000009</v>
      </c>
      <c r="V42" s="122"/>
      <c r="W42" s="169">
        <v>96.457499999999996</v>
      </c>
      <c r="X42" s="122"/>
      <c r="Y42" s="168">
        <v>96.990000000000009</v>
      </c>
      <c r="Z42" s="124">
        <f>_xll.qlSimpleQuoteSetValue(F42,Y42,Trigger)</f>
        <v>0</v>
      </c>
      <c r="AA42" s="9"/>
      <c r="AB42" s="3"/>
      <c r="AC42" s="3"/>
      <c r="AD42" s="3"/>
      <c r="AE42" s="3"/>
      <c r="AF42" s="148">
        <f t="shared" si="1"/>
        <v>9.9999999999909054E-5</v>
      </c>
      <c r="AH42" s="70"/>
      <c r="AI42" s="69">
        <v>37</v>
      </c>
      <c r="AJ42" s="67" t="b">
        <v>1</v>
      </c>
      <c r="AK42" s="67" t="str">
        <v>H2</v>
      </c>
      <c r="AL42" s="113" t="str">
        <f t="shared" si="2"/>
        <v>USDFUT3MH2ConvAdj_Quote</v>
      </c>
      <c r="AM42" s="112" t="str">
        <f>_xll.qlFuturesConvAdjustmentQuote(AL42,IborIndex,AK42,F42,Volatility,MeanReversion,Permanent,AND(ISERROR(Z42),ISERROR(FuturesHWConvAdj!Q41:Q42)),ObjectOverwrite)</f>
        <v>USDFUT3MH2ConvAdj_Quote#0787</v>
      </c>
      <c r="AN42" s="17" t="str">
        <f>_xll.ohRangeRetrieveError(AM42)</f>
        <v/>
      </c>
      <c r="AO42" s="9"/>
    </row>
    <row r="43" spans="1:41" x14ac:dyDescent="0.2">
      <c r="A43" s="70"/>
      <c r="B43" s="69">
        <v>38</v>
      </c>
      <c r="C43" s="68" t="b">
        <v>1</v>
      </c>
      <c r="D43" s="67" t="str">
        <v>M2</v>
      </c>
      <c r="E43" s="66" t="str">
        <f t="shared" si="3"/>
        <v>USDFUT3MM2_Quote</v>
      </c>
      <c r="F43" s="65" t="str">
        <f>_xll.qlSimpleQuote(E43,,PriceTickValue,Permanent,Trigger,ObjectOverwrite)</f>
        <v>USDFUT3MM2_Quote#0007</v>
      </c>
      <c r="G43" s="46" t="str">
        <f>_xll.ohRangeRetrieveError(F43)</f>
        <v/>
      </c>
      <c r="H43" s="64"/>
      <c r="J43" s="167"/>
      <c r="K43" s="173">
        <v>38</v>
      </c>
      <c r="L43" s="172" t="b">
        <v>1</v>
      </c>
      <c r="M43" s="120" t="str">
        <v>M2</v>
      </c>
      <c r="N43" s="171">
        <v>44727</v>
      </c>
      <c r="O43" s="120" t="str">
        <v>EDM2</v>
      </c>
      <c r="P43" s="170">
        <v>44725</v>
      </c>
      <c r="Q43" s="120">
        <v>96.960000000000008</v>
      </c>
      <c r="R43" s="120">
        <v>96.984999999999999</v>
      </c>
      <c r="S43" s="120">
        <v>0</v>
      </c>
      <c r="T43" s="120">
        <v>96.915000000000006</v>
      </c>
      <c r="U43" s="124">
        <f>_xll.qlMidSafe(Q43,R43,Trigger)</f>
        <v>96.972499999999997</v>
      </c>
      <c r="V43" s="122"/>
      <c r="W43" s="169">
        <v>96.367500000000007</v>
      </c>
      <c r="X43" s="122"/>
      <c r="Y43" s="168">
        <v>96.972499999999997</v>
      </c>
      <c r="Z43" s="124">
        <f>_xll.qlSimpleQuoteSetValue(F43,Y43,Trigger)</f>
        <v>0</v>
      </c>
      <c r="AA43" s="9"/>
      <c r="AB43" s="3"/>
      <c r="AC43" s="3"/>
      <c r="AD43" s="3"/>
      <c r="AE43" s="3"/>
      <c r="AF43" s="148">
        <f t="shared" si="1"/>
        <v>2.5000000000005682E-4</v>
      </c>
      <c r="AH43" s="70"/>
      <c r="AI43" s="69">
        <v>38</v>
      </c>
      <c r="AJ43" s="67" t="b">
        <v>1</v>
      </c>
      <c r="AK43" s="67" t="str">
        <v>M2</v>
      </c>
      <c r="AL43" s="113" t="str">
        <f t="shared" si="2"/>
        <v>USDFUT3MM2ConvAdj_Quote</v>
      </c>
      <c r="AM43" s="112" t="str">
        <f>_xll.qlFuturesConvAdjustmentQuote(AL43,IborIndex,AK43,F43,Volatility,MeanReversion,Permanent,AND(ISERROR(Z43),ISERROR(FuturesHWConvAdj!Q42:Q43)),ObjectOverwrite)</f>
        <v>USDFUT3MM2ConvAdj_Quote#0799</v>
      </c>
      <c r="AN43" s="17" t="str">
        <f>_xll.ohRangeRetrieveError(AM43)</f>
        <v/>
      </c>
      <c r="AO43" s="9"/>
    </row>
    <row r="44" spans="1:41" x14ac:dyDescent="0.2">
      <c r="A44" s="70"/>
      <c r="B44" s="69">
        <v>39</v>
      </c>
      <c r="C44" s="68" t="b">
        <v>1</v>
      </c>
      <c r="D44" s="67" t="str">
        <v>U2</v>
      </c>
      <c r="E44" s="66" t="str">
        <f t="shared" si="3"/>
        <v>USDFUT3MU2_Quote</v>
      </c>
      <c r="F44" s="65" t="str">
        <f>_xll.qlSimpleQuote(E44,,PriceTickValue,Permanent,Trigger,ObjectOverwrite)</f>
        <v>USDFUT3MU2_Quote#0008</v>
      </c>
      <c r="G44" s="46" t="str">
        <f>_xll.ohRangeRetrieveError(F44)</f>
        <v/>
      </c>
      <c r="H44" s="64"/>
      <c r="J44" s="167"/>
      <c r="K44" s="173">
        <v>39</v>
      </c>
      <c r="L44" s="172" t="b">
        <v>1</v>
      </c>
      <c r="M44" s="120" t="str">
        <v>U2</v>
      </c>
      <c r="N44" s="171">
        <v>44825</v>
      </c>
      <c r="O44" s="120" t="str">
        <v>EDU2</v>
      </c>
      <c r="P44" s="170">
        <v>44823</v>
      </c>
      <c r="Q44" s="120">
        <v>96.945000000000007</v>
      </c>
      <c r="R44" s="120">
        <v>96.960000000000008</v>
      </c>
      <c r="S44" s="120">
        <v>96.95</v>
      </c>
      <c r="T44" s="120">
        <v>96.89500000000001</v>
      </c>
      <c r="U44" s="124">
        <f>_xll.qlMidSafe(Q44,R44,Trigger)</f>
        <v>96.952500000000015</v>
      </c>
      <c r="V44" s="122"/>
      <c r="W44" s="169">
        <v>96.39</v>
      </c>
      <c r="X44" s="122"/>
      <c r="Y44" s="168">
        <v>96.952500000000015</v>
      </c>
      <c r="Z44" s="124">
        <f>_xll.qlSimpleQuoteSetValue(F44,Y44,Trigger)</f>
        <v>0</v>
      </c>
      <c r="AA44" s="9"/>
      <c r="AB44" s="3"/>
      <c r="AC44" s="3"/>
      <c r="AD44" s="3"/>
      <c r="AE44" s="3"/>
      <c r="AF44" s="148">
        <f t="shared" si="1"/>
        <v>1.4999999999986357E-4</v>
      </c>
      <c r="AH44" s="70"/>
      <c r="AI44" s="69">
        <v>39</v>
      </c>
      <c r="AJ44" s="67" t="b">
        <v>1</v>
      </c>
      <c r="AK44" s="67" t="str">
        <v>U2</v>
      </c>
      <c r="AL44" s="113" t="str">
        <f t="shared" si="2"/>
        <v>USDFUT3MU2ConvAdj_Quote</v>
      </c>
      <c r="AM44" s="112" t="str">
        <f>_xll.qlFuturesConvAdjustmentQuote(AL44,IborIndex,AK44,F44,Volatility,MeanReversion,Permanent,AND(ISERROR(Z44),ISERROR(FuturesHWConvAdj!Q43:Q44)),ObjectOverwrite)</f>
        <v>USDFUT3MU2ConvAdj_Quote#0799</v>
      </c>
      <c r="AN44" s="17" t="str">
        <f>_xll.ohRangeRetrieveError(AM44)</f>
        <v/>
      </c>
      <c r="AO44" s="9"/>
    </row>
    <row r="45" spans="1:41" x14ac:dyDescent="0.2">
      <c r="A45" s="70"/>
      <c r="B45" s="69">
        <v>40</v>
      </c>
      <c r="C45" s="68" t="b">
        <v>1</v>
      </c>
      <c r="D45" s="67" t="str">
        <v>Z2</v>
      </c>
      <c r="E45" s="66" t="str">
        <f t="shared" si="3"/>
        <v>USDFUT3MZ2_Quote</v>
      </c>
      <c r="F45" s="65" t="str">
        <f>_xll.qlSimpleQuote(E45,,PriceTickValue,Permanent,Trigger,ObjectOverwrite)</f>
        <v>USDFUT3MZ2_Quote#0008</v>
      </c>
      <c r="G45" s="46" t="str">
        <f>_xll.ohRangeRetrieveError(F45)</f>
        <v/>
      </c>
      <c r="H45" s="64"/>
      <c r="J45" s="167"/>
      <c r="K45" s="173">
        <v>40</v>
      </c>
      <c r="L45" s="172" t="b">
        <v>1</v>
      </c>
      <c r="M45" s="120" t="str">
        <v>Z2</v>
      </c>
      <c r="N45" s="171">
        <v>44916</v>
      </c>
      <c r="O45" s="120" t="str">
        <v>EDZ2</v>
      </c>
      <c r="P45" s="170">
        <v>44914</v>
      </c>
      <c r="Q45" s="120">
        <v>96.915000000000006</v>
      </c>
      <c r="R45" s="120">
        <v>96.935000000000002</v>
      </c>
      <c r="S45" s="120">
        <v>96.94</v>
      </c>
      <c r="T45" s="120">
        <v>96.865000000000009</v>
      </c>
      <c r="U45" s="124">
        <f>_xll.qlMidSafe(Q45,R45,Trigger)</f>
        <v>96.925000000000011</v>
      </c>
      <c r="V45" s="122"/>
      <c r="W45" s="169">
        <v>96.297499999999999</v>
      </c>
      <c r="X45" s="122"/>
      <c r="Y45" s="168">
        <v>96.925000000000011</v>
      </c>
      <c r="Z45" s="124">
        <f>_xll.qlSimpleQuoteSetValue(F45,Y45,Trigger)</f>
        <v>0</v>
      </c>
      <c r="AA45" s="9"/>
      <c r="AB45" s="3"/>
      <c r="AC45" s="3"/>
      <c r="AD45" s="3"/>
      <c r="AE45" s="3"/>
      <c r="AF45" s="148">
        <f t="shared" si="1"/>
        <v>1.9999999999981811E-4</v>
      </c>
      <c r="AH45" s="70"/>
      <c r="AI45" s="69">
        <v>40</v>
      </c>
      <c r="AJ45" s="67" t="b">
        <v>1</v>
      </c>
      <c r="AK45" s="67" t="str">
        <v>Z2</v>
      </c>
      <c r="AL45" s="113" t="str">
        <f t="shared" si="2"/>
        <v>USDFUT3MZ2ConvAdj_Quote</v>
      </c>
      <c r="AM45" s="112" t="str">
        <f>_xll.qlFuturesConvAdjustmentQuote(AL45,IborIndex,AK45,F45,Volatility,MeanReversion,Permanent,AND(ISERROR(Z45),ISERROR(FuturesHWConvAdj!Q44:Q45)),ObjectOverwrite)</f>
        <v>USDFUT3MZ2ConvAdj_Quote#0799</v>
      </c>
      <c r="AN45" s="17" t="str">
        <f>_xll.ohRangeRetrieveError(AM45)</f>
        <v/>
      </c>
      <c r="AO45" s="9"/>
    </row>
    <row r="46" spans="1:41" x14ac:dyDescent="0.2">
      <c r="A46" s="70"/>
      <c r="B46" s="69">
        <v>41</v>
      </c>
      <c r="C46" s="68" t="b">
        <v>1</v>
      </c>
      <c r="D46" s="67" t="str">
        <v>H3</v>
      </c>
      <c r="E46" s="66" t="str">
        <f t="shared" si="3"/>
        <v>USDFUT3MH3_Quote</v>
      </c>
      <c r="F46" s="65" t="str">
        <f>_xll.qlSimpleQuote(E46,,PriceTickValue,Permanent,Trigger,ObjectOverwrite)</f>
        <v>USDFUT3MH3_Quote#0007</v>
      </c>
      <c r="G46" s="46" t="str">
        <f>_xll.ohRangeRetrieveError(F46)</f>
        <v/>
      </c>
      <c r="H46" s="64"/>
      <c r="J46" s="167"/>
      <c r="K46" s="173">
        <v>41</v>
      </c>
      <c r="L46" s="172" t="b">
        <v>1</v>
      </c>
      <c r="M46" s="120" t="str">
        <v>H3</v>
      </c>
      <c r="N46" s="171">
        <v>45000</v>
      </c>
      <c r="O46" s="120" t="str">
        <v>EDH3</v>
      </c>
      <c r="P46" s="170">
        <v>44998</v>
      </c>
      <c r="Q46" s="120">
        <v>96.9</v>
      </c>
      <c r="R46" s="120">
        <v>96.925000000000011</v>
      </c>
      <c r="S46" s="120">
        <v>0</v>
      </c>
      <c r="T46" s="120">
        <v>96.850000000000009</v>
      </c>
      <c r="U46" s="124">
        <f>_xll.qlMidSafe(Q46,R46,Trigger)</f>
        <v>96.912500000000009</v>
      </c>
      <c r="V46" s="122"/>
      <c r="W46" s="169">
        <v>96.33</v>
      </c>
      <c r="X46" s="122"/>
      <c r="Y46" s="168">
        <v>96.912500000000009</v>
      </c>
      <c r="Z46" s="124">
        <f>_xll.qlSimpleQuoteSetValue(F46,Y46,Trigger)</f>
        <v>0</v>
      </c>
      <c r="AA46" s="9"/>
      <c r="AB46" s="3"/>
      <c r="AC46" s="3"/>
      <c r="AD46" s="3"/>
      <c r="AE46" s="3"/>
      <c r="AF46" s="148">
        <f t="shared" si="1"/>
        <v>2.5000000000005682E-4</v>
      </c>
      <c r="AH46" s="70"/>
      <c r="AI46" s="69">
        <v>41</v>
      </c>
      <c r="AJ46" s="67" t="b">
        <v>1</v>
      </c>
      <c r="AK46" s="67" t="str">
        <v>H3</v>
      </c>
      <c r="AL46" s="113" t="str">
        <f t="shared" si="2"/>
        <v>USDFUT3MH3ConvAdj_Quote</v>
      </c>
      <c r="AM46" s="112" t="str">
        <f>_xll.qlFuturesConvAdjustmentQuote(AL46,IborIndex,AK46,F46,Volatility,MeanReversion,Permanent,AND(ISERROR(Z46),ISERROR(FuturesHWConvAdj!Q45:Q46)),ObjectOverwrite)</f>
        <v>USDFUT3MH3ConvAdj_Quote#0787</v>
      </c>
      <c r="AN46" s="17" t="str">
        <f>_xll.ohRangeRetrieveError(AM46)</f>
        <v/>
      </c>
      <c r="AO46" s="9"/>
    </row>
    <row r="47" spans="1:41" x14ac:dyDescent="0.2">
      <c r="A47" s="70"/>
      <c r="B47" s="69">
        <v>42</v>
      </c>
      <c r="C47" s="68" t="b">
        <v>1</v>
      </c>
      <c r="D47" s="67" t="str">
        <v>M3</v>
      </c>
      <c r="E47" s="66" t="str">
        <f t="shared" si="3"/>
        <v>USDFUT3MM3_Quote</v>
      </c>
      <c r="F47" s="65" t="str">
        <f>_xll.qlSimpleQuote(E47,,PriceTickValue,Permanent,Trigger,ObjectOverwrite)</f>
        <v>USDFUT3MM3_Quote#0007</v>
      </c>
      <c r="G47" s="46" t="str">
        <f>_xll.ohRangeRetrieveError(F47)</f>
        <v/>
      </c>
      <c r="H47" s="64"/>
      <c r="J47" s="167"/>
      <c r="K47" s="166">
        <v>42</v>
      </c>
      <c r="L47" s="165" t="b">
        <v>1</v>
      </c>
      <c r="M47" s="129" t="str">
        <v>M3</v>
      </c>
      <c r="N47" s="164">
        <v>45098</v>
      </c>
      <c r="O47" s="129" t="str">
        <v>EDM3</v>
      </c>
      <c r="P47" s="163">
        <v>45096</v>
      </c>
      <c r="Q47" s="129">
        <v>96.875</v>
      </c>
      <c r="R47" s="129">
        <v>96.905000000000001</v>
      </c>
      <c r="S47" s="129">
        <v>0</v>
      </c>
      <c r="T47" s="129">
        <v>96.83</v>
      </c>
      <c r="U47" s="131">
        <f>_xll.qlMidSafe(Q47,R47,Trigger)</f>
        <v>96.89</v>
      </c>
      <c r="V47" s="122"/>
      <c r="W47" s="162">
        <v>95.795000000000002</v>
      </c>
      <c r="X47" s="122"/>
      <c r="Y47" s="161">
        <v>96.89</v>
      </c>
      <c r="Z47" s="131">
        <f>_xll.qlSimpleQuoteSetValue(F47,Y47,Trigger)</f>
        <v>0</v>
      </c>
      <c r="AA47" s="9"/>
      <c r="AB47" s="3"/>
      <c r="AC47" s="3"/>
      <c r="AD47" s="3"/>
      <c r="AE47" s="3"/>
      <c r="AF47" s="148">
        <f t="shared" si="1"/>
        <v>3.0000000000001136E-4</v>
      </c>
      <c r="AH47" s="70"/>
      <c r="AI47" s="69">
        <v>42</v>
      </c>
      <c r="AJ47" s="67" t="b">
        <v>1</v>
      </c>
      <c r="AK47" s="67" t="str">
        <v>M3</v>
      </c>
      <c r="AL47" s="113" t="str">
        <f t="shared" si="2"/>
        <v>USDFUT3MM3ConvAdj_Quote</v>
      </c>
      <c r="AM47" s="112" t="str">
        <f>_xll.qlFuturesConvAdjustmentQuote(AL47,IborIndex,AK47,F47,Volatility,MeanReversion,Permanent,AND(ISERROR(Z47),ISERROR(FuturesHWConvAdj!Q46:Q47)),ObjectOverwrite)</f>
        <v>USDFUT3MM3ConvAdj_Quote#0789</v>
      </c>
      <c r="AN47" s="17" t="str">
        <f>_xll.ohRangeRetrieveError(AM47)</f>
        <v/>
      </c>
      <c r="AO47" s="9"/>
    </row>
    <row r="48" spans="1:41" ht="12" thickBot="1" x14ac:dyDescent="0.25">
      <c r="A48" s="63"/>
      <c r="B48" s="62"/>
      <c r="C48" s="62"/>
      <c r="D48" s="62"/>
      <c r="E48" s="62"/>
      <c r="F48" s="62"/>
      <c r="G48" s="62"/>
      <c r="H48" s="61"/>
      <c r="J48" s="16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6"/>
      <c r="AB48" s="3"/>
      <c r="AC48" s="3"/>
      <c r="AD48" s="3"/>
      <c r="AE48" s="3"/>
      <c r="AF48" s="3"/>
      <c r="AH48" s="63"/>
      <c r="AI48" s="62"/>
      <c r="AJ48" s="62"/>
      <c r="AK48" s="62"/>
      <c r="AL48" s="62"/>
      <c r="AM48" s="62"/>
      <c r="AN48" s="62"/>
      <c r="AO48" s="6"/>
    </row>
  </sheetData>
  <conditionalFormatting sqref="Z6:Z47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44" customWidth="1"/>
    <col min="2" max="2" width="25.5703125" style="44" bestFit="1" customWidth="1"/>
    <col min="3" max="3" width="27.7109375" style="44" bestFit="1" customWidth="1"/>
    <col min="4" max="4" width="23.28515625" style="44" customWidth="1"/>
    <col min="5" max="7" width="2.7109375" style="44" customWidth="1"/>
    <col min="8" max="8" width="14.140625" style="44" bestFit="1" customWidth="1"/>
    <col min="9" max="9" width="9.140625" style="44"/>
    <col min="10" max="10" width="2.7109375" style="44" customWidth="1"/>
    <col min="11" max="11" width="11.7109375" style="44" bestFit="1" customWidth="1"/>
    <col min="12" max="12" width="9.140625" style="44"/>
    <col min="13" max="13" width="2.7109375" style="44" customWidth="1"/>
    <col min="14" max="14" width="9.140625" style="44"/>
    <col min="15" max="15" width="2.7109375" style="44" customWidth="1"/>
    <col min="16" max="17" width="9.140625" style="44"/>
    <col min="18" max="19" width="2.7109375" style="44" customWidth="1"/>
    <col min="20" max="16384" width="9.140625" style="44"/>
  </cols>
  <sheetData>
    <row r="1" spans="1:22" x14ac:dyDescent="0.2">
      <c r="G1" s="147" t="s">
        <v>233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6"/>
      <c r="S1" s="3"/>
      <c r="T1" s="3"/>
      <c r="U1" s="3"/>
      <c r="V1" s="3"/>
    </row>
    <row r="2" spans="1:22" x14ac:dyDescent="0.2">
      <c r="G2" s="146"/>
      <c r="H2" s="67" t="s">
        <v>185</v>
      </c>
      <c r="I2" s="60"/>
      <c r="J2" s="60"/>
      <c r="K2" s="60"/>
      <c r="L2" s="60"/>
      <c r="M2" s="60"/>
      <c r="N2" s="60"/>
      <c r="O2" s="60"/>
      <c r="P2" s="60"/>
      <c r="Q2" s="60"/>
      <c r="R2" s="9"/>
      <c r="S2" s="3"/>
      <c r="T2" s="3"/>
      <c r="U2" s="3"/>
      <c r="V2" s="3"/>
    </row>
    <row r="3" spans="1:22" x14ac:dyDescent="0.2">
      <c r="A3" s="54" t="s">
        <v>142</v>
      </c>
      <c r="B3" s="53"/>
      <c r="C3" s="53"/>
      <c r="D3" s="53"/>
      <c r="E3" s="52"/>
      <c r="G3" s="146"/>
      <c r="H3" s="60"/>
      <c r="I3" s="60"/>
      <c r="J3" s="60"/>
      <c r="K3" s="60"/>
      <c r="L3" s="60"/>
      <c r="M3" s="60"/>
      <c r="N3" s="60"/>
      <c r="O3" s="60"/>
      <c r="P3" s="60"/>
      <c r="Q3" s="143">
        <f>_xll.ohTrigger(Q5:Q9)</f>
        <v>532</v>
      </c>
      <c r="R3" s="9"/>
      <c r="S3" s="3"/>
      <c r="T3" s="3"/>
      <c r="U3" s="3" t="s">
        <v>84</v>
      </c>
      <c r="V3" s="3"/>
    </row>
    <row r="4" spans="1:22" ht="13.5" thickBot="1" x14ac:dyDescent="0.25">
      <c r="A4" s="87"/>
      <c r="B4" s="5" t="str">
        <f>Currency&amp;"_010_"&amp;"FuturesHWConvAdj.xml"</f>
        <v>USD_010_FuturesHWConvAdj.xml</v>
      </c>
      <c r="C4" s="1" t="str">
        <f>IF(Serialize,_xll.ohObjectSave(C5:C6,SerializationPath&amp;B4,FileOverwrite,Serialize),"---")</f>
        <v>---</v>
      </c>
      <c r="D4" s="46" t="str">
        <f>_xll.ohRangeRetrieveError(C4)</f>
        <v/>
      </c>
      <c r="E4" s="85"/>
      <c r="G4" s="146"/>
      <c r="H4" s="181" t="str">
        <f>_xll.RData(H5,I4,"RTFEED:IDN",ReutersRtMode,,I5)</f>
        <v>#N/A</v>
      </c>
      <c r="I4" s="208" t="s">
        <v>179</v>
      </c>
      <c r="J4" s="199"/>
      <c r="K4" s="479" t="s">
        <v>215</v>
      </c>
      <c r="L4" s="480"/>
      <c r="M4" s="199"/>
      <c r="N4" s="141" t="s">
        <v>195</v>
      </c>
      <c r="O4" s="197"/>
      <c r="P4" s="226" t="s">
        <v>194</v>
      </c>
      <c r="Q4" s="142" t="s">
        <v>193</v>
      </c>
      <c r="R4" s="9"/>
      <c r="S4" s="3"/>
      <c r="T4" s="3"/>
      <c r="U4" s="3"/>
      <c r="V4" s="3"/>
    </row>
    <row r="5" spans="1:22" x14ac:dyDescent="0.2">
      <c r="A5" s="87"/>
      <c r="B5" s="86" t="str">
        <f>Currency&amp;"HW_Volatility"&amp;QuoteSuffix</f>
        <v>USDHW_Volatility_Quote</v>
      </c>
      <c r="C5" s="86" t="str">
        <f>_xll.qlSimpleQuote(B5,,,Permanent,Trigger,ObjectOverwrite)</f>
        <v>USDHW_Volatility_Quote#0009</v>
      </c>
      <c r="D5" s="46" t="str">
        <f>_xll.ohRangeRetrieveError(C5)</f>
        <v/>
      </c>
      <c r="E5" s="85"/>
      <c r="G5" s="146"/>
      <c r="H5" s="207" t="e">
        <f>VLOOKUP(Currency,$T$5:$V$9,2)&amp;U3&amp;VLOOKUP(Currency,$T$5:$V$9,3)&amp;"ATM="&amp;VLOOKUP($H$2,ContributorTable,2,FALSE)</f>
        <v>#N/A</v>
      </c>
      <c r="I5" s="206"/>
      <c r="J5" s="199"/>
      <c r="K5" s="205" t="s">
        <v>214</v>
      </c>
      <c r="L5" s="203">
        <f>I5/100*IF(ISNUMBER(Swap3M4Y),Swap3M4Y/100,Swap6M4Y/100)</f>
        <v>0</v>
      </c>
      <c r="M5" s="199"/>
      <c r="N5" s="204">
        <v>1.0229024000000001E-2</v>
      </c>
      <c r="O5" s="197"/>
      <c r="P5" s="227">
        <f t="array" ref="P5:P6">QuoteLive</f>
        <v>0</v>
      </c>
      <c r="Q5" s="203">
        <f>_xll.qlSimpleQuoteSetValue(C5,P5,Trigger)</f>
        <v>0</v>
      </c>
      <c r="R5" s="9"/>
      <c r="S5" s="3"/>
      <c r="T5" s="31" t="s">
        <v>101</v>
      </c>
      <c r="U5" s="111" t="s">
        <v>213</v>
      </c>
      <c r="V5" s="202" t="s">
        <v>95</v>
      </c>
    </row>
    <row r="6" spans="1:22" x14ac:dyDescent="0.2">
      <c r="A6" s="87"/>
      <c r="B6" s="86" t="str">
        <f>Currency&amp;"HW_MeanReversion"&amp;QuoteSuffix</f>
        <v>USDHW_MeanReversion_Quote</v>
      </c>
      <c r="C6" s="86" t="str">
        <f>_xll.qlSimpleQuote(B6,,,Permanent,Trigger,ObjectOverwrite)</f>
        <v>USDHW_MeanReversion_Quote#0009</v>
      </c>
      <c r="D6" s="46" t="str">
        <f>_xll.ohRangeRetrieveError(C6)</f>
        <v/>
      </c>
      <c r="E6" s="85"/>
      <c r="G6" s="146"/>
      <c r="H6" s="196"/>
      <c r="I6" s="201"/>
      <c r="J6" s="199"/>
      <c r="K6" s="200" t="s">
        <v>212</v>
      </c>
      <c r="L6" s="195">
        <v>0.03</v>
      </c>
      <c r="M6" s="199"/>
      <c r="N6" s="198">
        <v>0.03</v>
      </c>
      <c r="O6" s="197"/>
      <c r="P6" s="228">
        <v>0.03</v>
      </c>
      <c r="Q6" s="195">
        <f>_xll.qlSimpleQuoteSetValue(C6,P6,Trigger)</f>
        <v>0</v>
      </c>
      <c r="R6" s="9"/>
      <c r="S6" s="3"/>
      <c r="T6" s="28" t="s">
        <v>100</v>
      </c>
      <c r="U6" s="194" t="s">
        <v>211</v>
      </c>
      <c r="V6" s="193" t="s">
        <v>95</v>
      </c>
    </row>
    <row r="7" spans="1:22" ht="12" thickBot="1" x14ac:dyDescent="0.25">
      <c r="A7" s="84"/>
      <c r="B7" s="83"/>
      <c r="C7" s="83"/>
      <c r="D7" s="83"/>
      <c r="E7" s="82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8" t="s">
        <v>97</v>
      </c>
      <c r="U7" s="194" t="s">
        <v>210</v>
      </c>
      <c r="V7" s="193" t="s">
        <v>94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8" t="s">
        <v>96</v>
      </c>
      <c r="U8" s="194" t="s">
        <v>209</v>
      </c>
      <c r="V8" s="193" t="s">
        <v>95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5" t="s">
        <v>91</v>
      </c>
      <c r="U9" s="192" t="s">
        <v>208</v>
      </c>
      <c r="V9" s="191" t="s">
        <v>94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18"/>
  <sheetViews>
    <sheetView showGridLines="0" workbookViewId="0">
      <selection activeCell="H4" sqref="H4"/>
    </sheetView>
  </sheetViews>
  <sheetFormatPr defaultRowHeight="11.25" x14ac:dyDescent="0.2"/>
  <cols>
    <col min="1" max="1" width="2.7109375" style="368" customWidth="1"/>
    <col min="2" max="2" width="4" style="368" bestFit="1" customWidth="1"/>
    <col min="3" max="3" width="16.140625" style="368" bestFit="1" customWidth="1"/>
    <col min="4" max="4" width="18.28515625" style="368" bestFit="1" customWidth="1"/>
    <col min="5" max="5" width="36.85546875" style="368" bestFit="1" customWidth="1"/>
    <col min="6" max="6" width="2.7109375" style="368" customWidth="1"/>
    <col min="7" max="7" width="9.140625" style="368"/>
    <col min="8" max="8" width="11.85546875" style="368" customWidth="1"/>
    <col min="9" max="9" width="9.140625" style="368"/>
    <col min="10" max="10" width="2.7109375" style="368" customWidth="1"/>
    <col min="11" max="11" width="9.140625" style="368"/>
    <col min="12" max="12" width="2.7109375" style="368" customWidth="1"/>
    <col min="13" max="13" width="15.7109375" style="368" customWidth="1"/>
    <col min="14" max="14" width="9.140625" style="368"/>
    <col min="15" max="16" width="2.7109375" style="368" customWidth="1"/>
    <col min="17" max="18" width="9.140625" style="368"/>
    <col min="19" max="19" width="9.85546875" style="368" customWidth="1"/>
    <col min="20" max="20" width="8.85546875" style="368" customWidth="1"/>
    <col min="21" max="16384" width="9.140625" style="368"/>
  </cols>
  <sheetData>
    <row r="1" spans="1:14" x14ac:dyDescent="0.2">
      <c r="A1" s="428" t="s">
        <v>314</v>
      </c>
      <c r="G1" s="428"/>
      <c r="H1" s="428"/>
      <c r="I1" s="428"/>
      <c r="J1" s="428"/>
      <c r="K1" s="428"/>
    </row>
    <row r="2" spans="1:14" x14ac:dyDescent="0.2">
      <c r="H2" s="420" t="str">
        <f>VLOOKUP($A$1,AreaTable,AreaIndex,0)</f>
        <v>KLIEM</v>
      </c>
      <c r="I2" s="428"/>
      <c r="J2" s="428"/>
      <c r="K2" s="428"/>
      <c r="N2" s="433">
        <f>_xll.ohTrigger(N5:N13)</f>
        <v>12</v>
      </c>
    </row>
    <row r="3" spans="1:14" x14ac:dyDescent="0.2">
      <c r="A3" s="369"/>
      <c r="H3" s="370"/>
      <c r="J3" s="348"/>
      <c r="K3" s="348"/>
      <c r="L3" s="348"/>
      <c r="M3" s="372"/>
    </row>
    <row r="4" spans="1:14" ht="22.5" x14ac:dyDescent="0.2">
      <c r="A4" s="373"/>
      <c r="B4" s="387"/>
      <c r="C4" s="387" t="s">
        <v>306</v>
      </c>
      <c r="D4" s="388" t="s">
        <v>307</v>
      </c>
      <c r="E4" s="389"/>
      <c r="F4" s="374"/>
      <c r="G4" s="414"/>
      <c r="H4" s="390" t="str">
        <f>_xll.RData(H5:H7,I4,"RTFEED:IDN",ReutersRtMode,,I5)</f>
        <v>Updated at 16:52:51</v>
      </c>
      <c r="I4" s="391" t="s">
        <v>178</v>
      </c>
      <c r="J4" s="348" t="s">
        <v>276</v>
      </c>
      <c r="K4" s="393" t="s">
        <v>195</v>
      </c>
      <c r="L4" s="348"/>
      <c r="M4" s="394" t="s">
        <v>194</v>
      </c>
      <c r="N4" s="395" t="s">
        <v>193</v>
      </c>
    </row>
    <row r="5" spans="1:14" x14ac:dyDescent="0.2">
      <c r="A5" s="373"/>
      <c r="B5" s="396" t="s">
        <v>131</v>
      </c>
      <c r="C5" s="397" t="str">
        <f t="shared" ref="C5:C13" si="0">Currency&amp;$B5&amp;QuoteSuffix</f>
        <v>USDOND_Quote</v>
      </c>
      <c r="D5" s="397" t="str">
        <f>_xll.qlSimpleQuote(C5,,RateTickValue,Permanent,Trigger,ObjectOverwrite)</f>
        <v>USDOND_Quote#0009</v>
      </c>
      <c r="E5" s="398" t="str">
        <f>_xll.ohRangeRetrieveError(D5)</f>
        <v/>
      </c>
      <c r="F5" s="374"/>
      <c r="G5" s="375" t="s">
        <v>174</v>
      </c>
      <c r="H5" s="381" t="str">
        <f>Currency&amp;G5&amp;"D="&amp;VLOOKUP($H$2,[0]!ContributorTable,2,0)</f>
        <v>USDOND=CKCC</v>
      </c>
      <c r="I5" s="384">
        <v>0.28000000000000003</v>
      </c>
      <c r="J5" s="429" t="s">
        <v>276</v>
      </c>
      <c r="K5" s="430">
        <v>0.23</v>
      </c>
      <c r="L5" s="429"/>
      <c r="M5" s="384">
        <f t="array" ref="M5:M13">QuoteLive</f>
        <v>0.28000000000000003</v>
      </c>
      <c r="N5" s="378">
        <f>_xll.qlSimpleQuoteSetValue(D5,M5/100,Trigger)</f>
        <v>0</v>
      </c>
    </row>
    <row r="6" spans="1:14" x14ac:dyDescent="0.2">
      <c r="A6" s="373"/>
      <c r="B6" s="399" t="s">
        <v>130</v>
      </c>
      <c r="C6" s="400" t="str">
        <f t="shared" si="0"/>
        <v>USDTND_Quote</v>
      </c>
      <c r="D6" s="400" t="str">
        <f>_xll.qlSimpleQuote(C6,,RateTickValue,Permanent,Trigger,ObjectOverwrite)</f>
        <v>USDTND_Quote#0009</v>
      </c>
      <c r="E6" s="401" t="str">
        <f>_xll.ohRangeRetrieveError(D6)</f>
        <v/>
      </c>
      <c r="F6" s="374"/>
      <c r="G6" s="376" t="s">
        <v>191</v>
      </c>
      <c r="H6" s="382" t="str">
        <f>Currency&amp;G6&amp;"D="&amp;VLOOKUP($H$2,[0]!ContributorTable,2,0)</f>
        <v>USDTND=CKCC</v>
      </c>
      <c r="I6" s="385">
        <v>0.28000000000000003</v>
      </c>
      <c r="J6" s="429" t="s">
        <v>276</v>
      </c>
      <c r="K6" s="431">
        <v>0.23</v>
      </c>
      <c r="L6" s="429"/>
      <c r="M6" s="385">
        <v>0.28000000000000003</v>
      </c>
      <c r="N6" s="379">
        <f>_xll.qlSimpleQuoteSetValue(D6,M6/100,Trigger)</f>
        <v>0</v>
      </c>
    </row>
    <row r="7" spans="1:14" x14ac:dyDescent="0.2">
      <c r="A7" s="373"/>
      <c r="B7" s="399" t="s">
        <v>129</v>
      </c>
      <c r="C7" s="400" t="str">
        <f t="shared" si="0"/>
        <v>USDSND_Quote</v>
      </c>
      <c r="D7" s="400" t="str">
        <f>_xll.qlSimpleQuote(C7,,RateTickValue,Permanent,Trigger,ObjectOverwrite)</f>
        <v>USDSND_Quote#0009</v>
      </c>
      <c r="E7" s="401" t="str">
        <f>_xll.ohRangeRetrieveError(D7)</f>
        <v/>
      </c>
      <c r="F7" s="374"/>
      <c r="G7" s="377" t="s">
        <v>188</v>
      </c>
      <c r="H7" s="383" t="str">
        <f>Currency&amp;G7&amp;"D="&amp;VLOOKUP($H$2,[0]!ContributorTable,2,0)</f>
        <v>USDSND=CKCC</v>
      </c>
      <c r="I7" s="386">
        <v>0.28000000000000003</v>
      </c>
      <c r="J7" s="429" t="s">
        <v>276</v>
      </c>
      <c r="K7" s="432">
        <v>0.23</v>
      </c>
      <c r="L7" s="429"/>
      <c r="M7" s="386">
        <v>0.28000000000000003</v>
      </c>
      <c r="N7" s="380">
        <f>_xll.qlSimpleQuoteSetValue(D7,M7/100,Trigger)</f>
        <v>0</v>
      </c>
    </row>
    <row r="8" spans="1:14" x14ac:dyDescent="0.2">
      <c r="A8" s="373"/>
      <c r="B8" s="396" t="s">
        <v>128</v>
      </c>
      <c r="C8" s="397" t="str">
        <f t="shared" si="0"/>
        <v>USDSWD_Quote</v>
      </c>
      <c r="D8" s="397" t="str">
        <f>_xll.qlSimpleQuote(C8,,RateTickValue,Permanent,Trigger,ObjectOverwrite)</f>
        <v>USDSWD_Quote#0009</v>
      </c>
      <c r="E8" s="398" t="str">
        <f>_xll.ohRangeRetrieveError(D8)</f>
        <v/>
      </c>
      <c r="F8" s="374"/>
      <c r="G8" s="376" t="s">
        <v>22</v>
      </c>
      <c r="H8" s="381" t="str">
        <f>Libor!K7</f>
        <v>USDSWFSR=</v>
      </c>
      <c r="I8" s="384">
        <f>Libor!M7</f>
        <v>0.1406</v>
      </c>
      <c r="J8" s="429" t="s">
        <v>276</v>
      </c>
      <c r="K8" s="431">
        <v>0.12</v>
      </c>
      <c r="L8" s="429"/>
      <c r="M8" s="385">
        <v>0.1406</v>
      </c>
      <c r="N8" s="379">
        <f>_xll.qlSimpleQuoteSetValue(D8,M8/100,Trigger)</f>
        <v>0</v>
      </c>
    </row>
    <row r="9" spans="1:14" x14ac:dyDescent="0.2">
      <c r="A9" s="373"/>
      <c r="B9" s="399" t="s">
        <v>125</v>
      </c>
      <c r="C9" s="400" t="str">
        <f t="shared" si="0"/>
        <v>USD1MD_Quote</v>
      </c>
      <c r="D9" s="400" t="str">
        <f>_xll.qlSimpleQuote(C9,,RateTickValue,Permanent,Trigger,ObjectOverwrite)</f>
        <v>USD1MD_Quote#0009</v>
      </c>
      <c r="E9" s="401" t="str">
        <f>_xll.ohRangeRetrieveError(D9)</f>
        <v/>
      </c>
      <c r="F9" s="374"/>
      <c r="G9" s="376" t="s">
        <v>19</v>
      </c>
      <c r="H9" s="382" t="str">
        <f>Libor!K8</f>
        <v>USD1MFSR=</v>
      </c>
      <c r="I9" s="385">
        <f>Libor!M8</f>
        <v>0.17100000000000001</v>
      </c>
      <c r="J9" s="429" t="s">
        <v>276</v>
      </c>
      <c r="K9" s="431">
        <v>0.1527</v>
      </c>
      <c r="L9" s="429"/>
      <c r="M9" s="385">
        <v>0.17100000000000001</v>
      </c>
      <c r="N9" s="379">
        <f>_xll.qlSimpleQuoteSetValue(D9,M9/100,Trigger)</f>
        <v>0</v>
      </c>
    </row>
    <row r="10" spans="1:14" x14ac:dyDescent="0.2">
      <c r="A10" s="373"/>
      <c r="B10" s="399" t="s">
        <v>124</v>
      </c>
      <c r="C10" s="400" t="str">
        <f t="shared" si="0"/>
        <v>USD2MD_Quote</v>
      </c>
      <c r="D10" s="400" t="str">
        <f>_xll.qlSimpleQuote(C10,,RateTickValue,Permanent,Trigger,ObjectOverwrite)</f>
        <v>USD2MD_Quote#0008</v>
      </c>
      <c r="E10" s="401" t="str">
        <f>_xll.ohRangeRetrieveError(D10)</f>
        <v/>
      </c>
      <c r="F10" s="374"/>
      <c r="G10" s="376" t="s">
        <v>18</v>
      </c>
      <c r="H10" s="382" t="str">
        <f>Libor!K9</f>
        <v>USD2MFSR=</v>
      </c>
      <c r="I10" s="385">
        <f>Libor!M9</f>
        <v>0.21300000000000002</v>
      </c>
      <c r="J10" s="429" t="s">
        <v>276</v>
      </c>
      <c r="K10" s="431">
        <v>0.19539999999999999</v>
      </c>
      <c r="L10" s="429"/>
      <c r="M10" s="385">
        <v>0.21300000000000002</v>
      </c>
      <c r="N10" s="379">
        <f>_xll.qlSimpleQuoteSetValue(D10,M10/100,Trigger)</f>
        <v>0</v>
      </c>
    </row>
    <row r="11" spans="1:14" x14ac:dyDescent="0.2">
      <c r="A11" s="373"/>
      <c r="B11" s="399" t="s">
        <v>123</v>
      </c>
      <c r="C11" s="400" t="str">
        <f t="shared" si="0"/>
        <v>USD3MD_Quote</v>
      </c>
      <c r="D11" s="400" t="str">
        <f>_xll.qlSimpleQuote(C11,,RateTickValue,Permanent,Trigger,ObjectOverwrite)</f>
        <v>USD3MD_Quote#0008</v>
      </c>
      <c r="E11" s="401" t="str">
        <f>_xll.ohRangeRetrieveError(D11)</f>
        <v/>
      </c>
      <c r="F11" s="374"/>
      <c r="G11" s="376" t="s">
        <v>17</v>
      </c>
      <c r="H11" s="382" t="str">
        <f>Libor!K10</f>
        <v>USD3MFSR=</v>
      </c>
      <c r="I11" s="385">
        <f>Libor!M10</f>
        <v>0.2616</v>
      </c>
      <c r="J11" s="429" t="s">
        <v>276</v>
      </c>
      <c r="K11" s="431">
        <v>0.2291</v>
      </c>
      <c r="L11" s="429"/>
      <c r="M11" s="385">
        <v>0.2616</v>
      </c>
      <c r="N11" s="379">
        <f>_xll.qlSimpleQuoteSetValue(D11,M11/100,Trigger)</f>
        <v>0</v>
      </c>
    </row>
    <row r="12" spans="1:14" x14ac:dyDescent="0.2">
      <c r="A12" s="373"/>
      <c r="B12" s="399" t="s">
        <v>120</v>
      </c>
      <c r="C12" s="400" t="str">
        <f t="shared" si="0"/>
        <v>USD6MD_Quote</v>
      </c>
      <c r="D12" s="400" t="str">
        <f>_xll.qlSimpleQuote(C12,,RateTickValue,Permanent,Trigger,ObjectOverwrite)</f>
        <v>USD6MD_Quote#0008</v>
      </c>
      <c r="E12" s="401" t="str">
        <f>_xll.ohRangeRetrieveError(D12)</f>
        <v/>
      </c>
      <c r="F12" s="374"/>
      <c r="G12" s="376" t="s">
        <v>14</v>
      </c>
      <c r="H12" s="382" t="str">
        <f>Libor!K11</f>
        <v>USD6MFSR=</v>
      </c>
      <c r="I12" s="385">
        <f>Libor!M11</f>
        <v>0.38470000000000004</v>
      </c>
      <c r="J12" s="429" t="s">
        <v>276</v>
      </c>
      <c r="K12" s="431">
        <v>0.31940000000000002</v>
      </c>
      <c r="L12" s="429"/>
      <c r="M12" s="385">
        <v>0.38470000000000004</v>
      </c>
      <c r="N12" s="379">
        <f>_xll.qlSimpleQuoteSetValue(D12,M12/100,Trigger)</f>
        <v>0</v>
      </c>
    </row>
    <row r="13" spans="1:14" x14ac:dyDescent="0.2">
      <c r="A13" s="373"/>
      <c r="B13" s="402" t="s">
        <v>114</v>
      </c>
      <c r="C13" s="403" t="str">
        <f t="shared" si="0"/>
        <v>USD1YD_Quote</v>
      </c>
      <c r="D13" s="403" t="str">
        <f>_xll.qlSimpleQuote(C13,,RateTickValue,Permanent,Trigger,ObjectOverwrite)</f>
        <v>USD1YD_Quote#0008</v>
      </c>
      <c r="E13" s="404" t="str">
        <f>_xll.ohRangeRetrieveError(D13)</f>
        <v/>
      </c>
      <c r="F13" s="374"/>
      <c r="G13" s="377" t="s">
        <v>8</v>
      </c>
      <c r="H13" s="383" t="str">
        <f>Libor!K12</f>
        <v>USD1YFSR=</v>
      </c>
      <c r="I13" s="386">
        <f>Libor!M12</f>
        <v>0.6784</v>
      </c>
      <c r="J13" s="429" t="s">
        <v>276</v>
      </c>
      <c r="K13" s="432">
        <v>0.55054999999999998</v>
      </c>
      <c r="L13" s="429"/>
      <c r="M13" s="386">
        <v>0.6784</v>
      </c>
      <c r="N13" s="380">
        <f>_xll.qlSimpleQuoteSetValue(D13,M13/100,Trigger)</f>
        <v>0</v>
      </c>
    </row>
    <row r="14" spans="1:14" x14ac:dyDescent="0.2">
      <c r="G14" s="428"/>
      <c r="H14" s="428"/>
      <c r="I14" s="428"/>
      <c r="J14" s="428"/>
      <c r="K14" s="428"/>
      <c r="L14" s="428"/>
      <c r="M14" s="428"/>
      <c r="N14" s="428"/>
    </row>
    <row r="18" ht="19.5" customHeight="1" x14ac:dyDescent="0.2"/>
  </sheetData>
  <conditionalFormatting sqref="N5:N13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1"/>
  <sheetViews>
    <sheetView showGridLines="0" workbookViewId="0">
      <selection activeCell="L2" sqref="L2"/>
    </sheetView>
  </sheetViews>
  <sheetFormatPr defaultRowHeight="11.25" x14ac:dyDescent="0.2"/>
  <cols>
    <col min="1" max="1" width="2.7109375" style="368" customWidth="1"/>
    <col min="2" max="2" width="3" style="368" bestFit="1" customWidth="1"/>
    <col min="3" max="3" width="5" style="368" bestFit="1" customWidth="1"/>
    <col min="4" max="4" width="16.140625" style="368" bestFit="1" customWidth="1"/>
    <col min="5" max="5" width="21.42578125" style="368" bestFit="1" customWidth="1"/>
    <col min="6" max="6" width="57.42578125" style="427" customWidth="1"/>
    <col min="7" max="7" width="2.7109375" style="368" customWidth="1"/>
    <col min="8" max="9" width="3" style="368" bestFit="1" customWidth="1"/>
    <col min="10" max="10" width="2" style="368" bestFit="1" customWidth="1"/>
    <col min="11" max="11" width="10" style="368" bestFit="1" customWidth="1"/>
    <col min="12" max="12" width="15.140625" style="368" bestFit="1" customWidth="1"/>
    <col min="13" max="16" width="10.7109375" style="368" customWidth="1"/>
    <col min="17" max="17" width="9" style="368" bestFit="1" customWidth="1"/>
    <col min="18" max="18" width="2.7109375" style="368" customWidth="1"/>
    <col min="19" max="19" width="7" style="368" bestFit="1" customWidth="1"/>
    <col min="20" max="20" width="2.7109375" style="368" customWidth="1"/>
    <col min="21" max="21" width="10" style="368" bestFit="1" customWidth="1"/>
    <col min="22" max="22" width="9" style="368" bestFit="1" customWidth="1"/>
    <col min="23" max="23" width="2.7109375" style="368" customWidth="1"/>
    <col min="24" max="24" width="14.140625" style="368" bestFit="1" customWidth="1"/>
    <col min="25" max="25" width="12" style="368" bestFit="1" customWidth="1"/>
    <col min="26" max="16384" width="9.140625" style="368"/>
  </cols>
  <sheetData>
    <row r="1" spans="1:25" x14ac:dyDescent="0.2">
      <c r="A1" s="371" t="s">
        <v>313</v>
      </c>
      <c r="H1" s="241"/>
      <c r="I1" s="241"/>
      <c r="J1" s="241"/>
      <c r="K1" s="241"/>
      <c r="L1" s="478"/>
      <c r="M1" s="241"/>
      <c r="N1" s="241"/>
      <c r="O1" s="241"/>
      <c r="P1" s="241"/>
      <c r="Q1" s="241"/>
      <c r="R1" s="241"/>
      <c r="S1" s="241"/>
      <c r="T1" s="241"/>
      <c r="U1" s="241"/>
      <c r="V1" s="241"/>
    </row>
    <row r="2" spans="1:25" x14ac:dyDescent="0.2">
      <c r="A2" s="371"/>
      <c r="J2" s="245"/>
      <c r="K2" s="245"/>
      <c r="L2" s="420" t="str">
        <f>VLOOKUP($A$1,AreaTable,AreaIndex,0)</f>
        <v>ICAP NY</v>
      </c>
      <c r="M2" s="245"/>
      <c r="N2" s="245"/>
      <c r="O2" s="245"/>
      <c r="P2" s="245"/>
      <c r="Q2" s="348"/>
      <c r="R2" s="348"/>
      <c r="S2" s="348"/>
      <c r="T2" s="348"/>
      <c r="U2" s="348"/>
      <c r="V2" s="433">
        <f>_xll.ohTrigger(V5:V31)</f>
        <v>60</v>
      </c>
      <c r="W2" s="405"/>
      <c r="X2" s="405"/>
      <c r="Y2" s="405"/>
    </row>
    <row r="3" spans="1:25" x14ac:dyDescent="0.2">
      <c r="A3" s="371"/>
      <c r="H3" s="348"/>
      <c r="I3" s="245"/>
      <c r="J3" s="245"/>
      <c r="K3" s="245"/>
      <c r="L3" s="245"/>
      <c r="M3" s="245"/>
      <c r="N3" s="245"/>
      <c r="O3" s="245"/>
      <c r="P3" s="245"/>
      <c r="Q3" s="245"/>
      <c r="R3" s="348"/>
      <c r="S3" s="348"/>
      <c r="T3" s="348"/>
      <c r="U3" s="245"/>
      <c r="W3" s="406"/>
      <c r="X3" s="405"/>
      <c r="Y3" s="405"/>
    </row>
    <row r="4" spans="1:25" ht="22.5" x14ac:dyDescent="0.2">
      <c r="A4" s="371"/>
      <c r="B4" s="407"/>
      <c r="C4" s="408"/>
      <c r="D4" s="415" t="s">
        <v>306</v>
      </c>
      <c r="E4" s="416" t="s">
        <v>307</v>
      </c>
      <c r="F4" s="417"/>
      <c r="H4" s="392"/>
      <c r="I4" s="422"/>
      <c r="J4" s="423"/>
      <c r="K4" s="418"/>
      <c r="L4" s="421" t="str">
        <f>_xll.RData(L5:L31,M4:P4,"RTFEED:IDN",ReutersRtMode,,M5)</f>
        <v>Updated at 17:01:23</v>
      </c>
      <c r="M4" s="424" t="s">
        <v>179</v>
      </c>
      <c r="N4" s="425" t="s">
        <v>178</v>
      </c>
      <c r="O4" s="425" t="s">
        <v>189</v>
      </c>
      <c r="P4" s="426" t="s">
        <v>199</v>
      </c>
      <c r="Q4" s="395" t="s">
        <v>198</v>
      </c>
      <c r="R4" s="348"/>
      <c r="S4" s="393" t="s">
        <v>195</v>
      </c>
      <c r="T4" s="348"/>
      <c r="U4" s="418" t="s">
        <v>194</v>
      </c>
      <c r="V4" s="423" t="s">
        <v>193</v>
      </c>
      <c r="W4" s="406"/>
      <c r="X4" s="405"/>
      <c r="Y4" s="405"/>
    </row>
    <row r="5" spans="1:25" x14ac:dyDescent="0.2">
      <c r="A5" s="371"/>
      <c r="B5" s="434">
        <v>1</v>
      </c>
      <c r="C5" s="435" t="s">
        <v>137</v>
      </c>
      <c r="D5" s="434" t="str">
        <f t="shared" ref="D5:D31" si="0">Currency&amp;$B5&amp;$C5&amp;QuoteSuffix</f>
        <v>USD1x4F_Quote</v>
      </c>
      <c r="E5" s="397" t="str">
        <f>_xll.qlSimpleQuote(D5,,RateTickValue,Permanent,Trigger,ObjectOverwrite)</f>
        <v>USD1x4F_Quote#0009</v>
      </c>
      <c r="F5" s="436" t="str">
        <f>_xll.ohRangeRetrieveError(E5)</f>
        <v/>
      </c>
      <c r="H5" s="446">
        <f>I5+3</f>
        <v>4</v>
      </c>
      <c r="I5" s="447">
        <f t="shared" ref="I5:I31" si="1">B5</f>
        <v>1</v>
      </c>
      <c r="J5" s="448" t="s">
        <v>196</v>
      </c>
      <c r="K5" s="449" t="str">
        <f t="shared" ref="K5:K31" si="2">Currency&amp;$I5&amp;$J5&amp;$H5&amp;"F"</f>
        <v>USD1X4F</v>
      </c>
      <c r="L5" s="449" t="str">
        <f t="array" ref="L5:L31">Instruments&amp;"="&amp;VLOOKUP(ContributorFRA,ContributorTable,2,FALSE)</f>
        <v>USD1X4F=GCMN</v>
      </c>
      <c r="M5" s="450">
        <v>0.26300000000000001</v>
      </c>
      <c r="N5" s="451">
        <v>0.30299999999999999</v>
      </c>
      <c r="O5" s="451">
        <v>0.26300000000000001</v>
      </c>
      <c r="P5" s="452">
        <v>0.26800000000000002</v>
      </c>
      <c r="Q5" s="453">
        <f>_xll.qlMidSafe($M5,$N5)</f>
        <v>0.28300000000000003</v>
      </c>
      <c r="R5" s="454"/>
      <c r="S5" s="455">
        <v>0.22699999999999998</v>
      </c>
      <c r="T5" s="454"/>
      <c r="U5" s="455">
        <f t="array" ref="U5:U31">QuoteLive</f>
        <v>0.28300000000000003</v>
      </c>
      <c r="V5" s="456">
        <f>_xll.qlSimpleQuoteSetValue(E5,U5/100,Trigger)</f>
        <v>0</v>
      </c>
      <c r="W5" s="457"/>
      <c r="X5" s="405"/>
      <c r="Y5" s="405"/>
    </row>
    <row r="6" spans="1:25" x14ac:dyDescent="0.2">
      <c r="A6" s="371"/>
      <c r="B6" s="437">
        <v>2</v>
      </c>
      <c r="C6" s="438" t="s">
        <v>136</v>
      </c>
      <c r="D6" s="437" t="str">
        <f t="shared" si="0"/>
        <v>USD2x5F_Quote</v>
      </c>
      <c r="E6" s="400" t="str">
        <f>_xll.qlSimpleQuote(D6,,RateTickValue,Permanent,Trigger,ObjectOverwrite)</f>
        <v>USD2x5F_Quote#0009</v>
      </c>
      <c r="F6" s="439" t="str">
        <f>_xll.ohRangeRetrieveError(E6)</f>
        <v/>
      </c>
      <c r="H6" s="446">
        <f t="shared" ref="H6:H10" si="3">I6+3</f>
        <v>5</v>
      </c>
      <c r="I6" s="447">
        <f t="shared" si="1"/>
        <v>2</v>
      </c>
      <c r="J6" s="448" t="s">
        <v>196</v>
      </c>
      <c r="K6" s="449" t="str">
        <f t="shared" si="2"/>
        <v>USD2X5F</v>
      </c>
      <c r="L6" s="449" t="str">
        <v>USD2X5F=GCMN</v>
      </c>
      <c r="M6" s="450">
        <v>0.3</v>
      </c>
      <c r="N6" s="451">
        <v>0.34</v>
      </c>
      <c r="O6" s="451">
        <v>0.3</v>
      </c>
      <c r="P6" s="452">
        <v>0.30499999999999999</v>
      </c>
      <c r="Q6" s="453">
        <f>_xll.qlMidSafe($M6,$N6)</f>
        <v>0.32</v>
      </c>
      <c r="R6" s="454"/>
      <c r="S6" s="458">
        <v>0.23199999999999998</v>
      </c>
      <c r="T6" s="454"/>
      <c r="U6" s="458">
        <v>0.32</v>
      </c>
      <c r="V6" s="459">
        <f>_xll.qlSimpleQuoteSetValue(E6,U6/100,Trigger)</f>
        <v>0</v>
      </c>
      <c r="W6" s="457"/>
      <c r="X6" s="405"/>
      <c r="Y6" s="405"/>
    </row>
    <row r="7" spans="1:25" x14ac:dyDescent="0.2">
      <c r="A7" s="371"/>
      <c r="B7" s="437">
        <v>3</v>
      </c>
      <c r="C7" s="438" t="s">
        <v>135</v>
      </c>
      <c r="D7" s="437" t="str">
        <f t="shared" si="0"/>
        <v>USD3x6F_Quote</v>
      </c>
      <c r="E7" s="400" t="str">
        <f>_xll.qlSimpleQuote(D7,,RateTickValue,Permanent,Trigger,ObjectOverwrite)</f>
        <v>USD3x6F_Quote#0009</v>
      </c>
      <c r="F7" s="439" t="str">
        <f>_xll.ohRangeRetrieveError(E7)</f>
        <v/>
      </c>
      <c r="H7" s="446">
        <f t="shared" si="3"/>
        <v>6</v>
      </c>
      <c r="I7" s="447">
        <f t="shared" si="1"/>
        <v>3</v>
      </c>
      <c r="J7" s="448" t="s">
        <v>196</v>
      </c>
      <c r="K7" s="449" t="str">
        <f t="shared" si="2"/>
        <v>USD3X6F</v>
      </c>
      <c r="L7" s="449" t="str">
        <v>USD3X6F=GCMN</v>
      </c>
      <c r="M7" s="450">
        <v>0.34100000000000003</v>
      </c>
      <c r="N7" s="451">
        <v>0.38100000000000001</v>
      </c>
      <c r="O7" s="451">
        <v>0.34100000000000003</v>
      </c>
      <c r="P7" s="452">
        <v>0.35400000000000004</v>
      </c>
      <c r="Q7" s="453">
        <f>_xll.qlMidSafe($M7,$N7)</f>
        <v>0.36099999999999999</v>
      </c>
      <c r="R7" s="454"/>
      <c r="S7" s="458">
        <v>0.24199999999999999</v>
      </c>
      <c r="T7" s="454"/>
      <c r="U7" s="458">
        <v>0.36099999999999999</v>
      </c>
      <c r="V7" s="459">
        <f>_xll.qlSimpleQuoteSetValue(E7,U7/100,Trigger)</f>
        <v>-1.0000000000000026E-5</v>
      </c>
      <c r="W7" s="457"/>
      <c r="X7" s="405"/>
      <c r="Y7" s="405"/>
    </row>
    <row r="8" spans="1:25" x14ac:dyDescent="0.2">
      <c r="A8" s="371"/>
      <c r="B8" s="437">
        <v>4</v>
      </c>
      <c r="C8" s="438" t="s">
        <v>134</v>
      </c>
      <c r="D8" s="437" t="str">
        <f t="shared" si="0"/>
        <v>USD4x7F_Quote</v>
      </c>
      <c r="E8" s="400" t="str">
        <f>_xll.qlSimpleQuote(D8,,RateTickValue,Permanent,Trigger,ObjectOverwrite)</f>
        <v>USD4x7F_Quote#0008</v>
      </c>
      <c r="F8" s="439" t="str">
        <f>_xll.ohRangeRetrieveError(E8)</f>
        <v/>
      </c>
      <c r="H8" s="446">
        <f t="shared" si="3"/>
        <v>7</v>
      </c>
      <c r="I8" s="447">
        <f t="shared" si="1"/>
        <v>4</v>
      </c>
      <c r="J8" s="448" t="s">
        <v>196</v>
      </c>
      <c r="K8" s="449" t="str">
        <f t="shared" si="2"/>
        <v>USD4X7F</v>
      </c>
      <c r="L8" s="449" t="str">
        <v>USD4X7F=GCMN</v>
      </c>
      <c r="M8" s="450">
        <v>0.39200000000000002</v>
      </c>
      <c r="N8" s="451">
        <v>0.432</v>
      </c>
      <c r="O8" s="451">
        <v>0.39200000000000002</v>
      </c>
      <c r="P8" s="452">
        <v>0.40400000000000003</v>
      </c>
      <c r="Q8" s="453">
        <f>_xll.qlMidSafe($M8,$N8)</f>
        <v>0.41200000000000003</v>
      </c>
      <c r="R8" s="454"/>
      <c r="S8" s="458">
        <v>0.255</v>
      </c>
      <c r="T8" s="454"/>
      <c r="U8" s="458">
        <v>0.41200000000000003</v>
      </c>
      <c r="V8" s="459">
        <f>_xll.qlSimpleQuoteSetValue(E8,U8/100,Trigger)</f>
        <v>0</v>
      </c>
      <c r="W8" s="457"/>
      <c r="X8" s="405"/>
      <c r="Y8" s="405"/>
    </row>
    <row r="9" spans="1:25" x14ac:dyDescent="0.2">
      <c r="A9" s="371"/>
      <c r="B9" s="437">
        <v>5</v>
      </c>
      <c r="C9" s="438" t="s">
        <v>133</v>
      </c>
      <c r="D9" s="437" t="str">
        <f t="shared" si="0"/>
        <v>USD5x8F_Quote</v>
      </c>
      <c r="E9" s="400" t="str">
        <f>_xll.qlSimpleQuote(D9,,RateTickValue,Permanent,Trigger,ObjectOverwrite)</f>
        <v>USD5x8F_Quote#0008</v>
      </c>
      <c r="F9" s="439" t="str">
        <f>_xll.ohRangeRetrieveError(E9)</f>
        <v/>
      </c>
      <c r="H9" s="446">
        <f t="shared" si="3"/>
        <v>8</v>
      </c>
      <c r="I9" s="447">
        <f t="shared" si="1"/>
        <v>5</v>
      </c>
      <c r="J9" s="448" t="s">
        <v>196</v>
      </c>
      <c r="K9" s="449" t="str">
        <f t="shared" si="2"/>
        <v>USD5X8F</v>
      </c>
      <c r="L9" s="449" t="str">
        <v>USD5X8F=GCMN</v>
      </c>
      <c r="M9" s="450">
        <v>0.45100000000000001</v>
      </c>
      <c r="N9" s="451">
        <v>0.49100000000000005</v>
      </c>
      <c r="O9" s="451">
        <v>0.45100000000000001</v>
      </c>
      <c r="P9" s="452">
        <v>0.46200000000000002</v>
      </c>
      <c r="Q9" s="453">
        <f>_xll.qlMidSafe($M9,$N9)</f>
        <v>0.47100000000000003</v>
      </c>
      <c r="R9" s="454"/>
      <c r="S9" s="458">
        <v>0.27500000000000002</v>
      </c>
      <c r="T9" s="454"/>
      <c r="U9" s="458">
        <v>0.47100000000000003</v>
      </c>
      <c r="V9" s="459">
        <f>_xll.qlSimpleQuoteSetValue(E9,U9/100,Trigger)</f>
        <v>0</v>
      </c>
      <c r="W9" s="457"/>
      <c r="X9" s="405"/>
      <c r="Y9" s="405"/>
    </row>
    <row r="10" spans="1:25" x14ac:dyDescent="0.2">
      <c r="A10" s="371"/>
      <c r="B10" s="440">
        <v>6</v>
      </c>
      <c r="C10" s="441" t="s">
        <v>132</v>
      </c>
      <c r="D10" s="440" t="str">
        <f t="shared" si="0"/>
        <v>USD6x9F_Quote</v>
      </c>
      <c r="E10" s="403" t="str">
        <f>_xll.qlSimpleQuote(D10,,RateTickValue,Permanent,Trigger,ObjectOverwrite)</f>
        <v>USD6x9F_Quote#0008</v>
      </c>
      <c r="F10" s="442" t="str">
        <f>_xll.ohRangeRetrieveError(E10)</f>
        <v/>
      </c>
      <c r="H10" s="460">
        <f t="shared" si="3"/>
        <v>9</v>
      </c>
      <c r="I10" s="461">
        <f t="shared" si="1"/>
        <v>6</v>
      </c>
      <c r="J10" s="462" t="s">
        <v>196</v>
      </c>
      <c r="K10" s="463" t="str">
        <f t="shared" si="2"/>
        <v>USD6X9F</v>
      </c>
      <c r="L10" s="463" t="str">
        <v>USD6X9F=GCMN</v>
      </c>
      <c r="M10" s="450">
        <v>0.51</v>
      </c>
      <c r="N10" s="451">
        <v>0.55000000000000004</v>
      </c>
      <c r="O10" s="451">
        <v>0.51</v>
      </c>
      <c r="P10" s="452">
        <v>0.52700000000000002</v>
      </c>
      <c r="Q10" s="464">
        <f>_xll.qlMidSafe($M10,$N10)</f>
        <v>0.53</v>
      </c>
      <c r="R10" s="454"/>
      <c r="S10" s="465">
        <v>0.309</v>
      </c>
      <c r="T10" s="454"/>
      <c r="U10" s="465">
        <v>0.53</v>
      </c>
      <c r="V10" s="466">
        <f>_xll.qlSimpleQuoteSetValue(E10,U10/100,Trigger)</f>
        <v>0</v>
      </c>
      <c r="W10" s="457"/>
      <c r="X10" s="405"/>
      <c r="Y10" s="405"/>
    </row>
    <row r="11" spans="1:25" x14ac:dyDescent="0.2">
      <c r="A11" s="371"/>
      <c r="B11" s="434">
        <v>1</v>
      </c>
      <c r="C11" s="435" t="str">
        <f t="shared" ref="C11:C19" si="4">"x"&amp;B11+6&amp;"F"</f>
        <v>x7F</v>
      </c>
      <c r="D11" s="434" t="str">
        <f t="shared" si="0"/>
        <v>USD1x7F_Quote</v>
      </c>
      <c r="E11" s="397" t="str">
        <f>_xll.qlSimpleQuote(D11,,RateTickValue,Permanent,Trigger,ObjectOverwrite)</f>
        <v>USD1x7F_Quote#0009</v>
      </c>
      <c r="F11" s="436" t="str">
        <f>_xll.ohRangeRetrieveError(E11)</f>
        <v/>
      </c>
      <c r="H11" s="467">
        <f>I11+6</f>
        <v>7</v>
      </c>
      <c r="I11" s="468">
        <f t="shared" si="1"/>
        <v>1</v>
      </c>
      <c r="J11" s="469" t="s">
        <v>196</v>
      </c>
      <c r="K11" s="470" t="str">
        <f t="shared" si="2"/>
        <v>USD1X7F</v>
      </c>
      <c r="L11" s="470" t="str">
        <v>USD1X7F=GCMN</v>
      </c>
      <c r="M11" s="471">
        <v>0.39200000000000002</v>
      </c>
      <c r="N11" s="472">
        <v>0.432</v>
      </c>
      <c r="O11" s="472">
        <v>0.39200000000000002</v>
      </c>
      <c r="P11" s="473">
        <v>0.40100000000000002</v>
      </c>
      <c r="Q11" s="474">
        <f>_xll.qlMidSafe($M11,$N11)</f>
        <v>0.41200000000000003</v>
      </c>
      <c r="R11" s="454"/>
      <c r="S11" s="455">
        <v>0.32599999999999996</v>
      </c>
      <c r="T11" s="454"/>
      <c r="U11" s="455">
        <v>0.41200000000000003</v>
      </c>
      <c r="V11" s="456">
        <f>_xll.qlSimpleQuoteSetValue(E11,U11/100,Trigger)</f>
        <v>0</v>
      </c>
      <c r="W11" s="457"/>
      <c r="X11" s="405"/>
      <c r="Y11" s="405"/>
    </row>
    <row r="12" spans="1:25" x14ac:dyDescent="0.2">
      <c r="A12" s="371"/>
      <c r="B12" s="437">
        <v>2</v>
      </c>
      <c r="C12" s="438" t="str">
        <f t="shared" si="4"/>
        <v>x8F</v>
      </c>
      <c r="D12" s="437" t="str">
        <f t="shared" si="0"/>
        <v>USD2x8F_Quote</v>
      </c>
      <c r="E12" s="400" t="str">
        <f>_xll.qlSimpleQuote(D12,,RateTickValue,Permanent,Trigger,ObjectOverwrite)</f>
        <v>USD2x8F_Quote#0009</v>
      </c>
      <c r="F12" s="439" t="str">
        <f>_xll.ohRangeRetrieveError(E12)</f>
        <v/>
      </c>
      <c r="H12" s="446">
        <f t="shared" ref="H12:H19" si="5">I12+6</f>
        <v>8</v>
      </c>
      <c r="I12" s="447">
        <f t="shared" si="1"/>
        <v>2</v>
      </c>
      <c r="J12" s="448" t="s">
        <v>196</v>
      </c>
      <c r="K12" s="449" t="str">
        <f t="shared" si="2"/>
        <v>USD2X8F</v>
      </c>
      <c r="L12" s="449" t="str">
        <v>USD2X8F=GCMN</v>
      </c>
      <c r="M12" s="450">
        <v>0.441</v>
      </c>
      <c r="N12" s="451">
        <v>0.48100000000000004</v>
      </c>
      <c r="O12" s="451">
        <v>0.441</v>
      </c>
      <c r="P12" s="452">
        <v>0.45</v>
      </c>
      <c r="Q12" s="453">
        <f>_xll.qlMidSafe($M12,$N12)</f>
        <v>0.46100000000000002</v>
      </c>
      <c r="R12" s="454"/>
      <c r="S12" s="458">
        <v>0.33999999999999997</v>
      </c>
      <c r="T12" s="454"/>
      <c r="U12" s="458">
        <v>0.46100000000000002</v>
      </c>
      <c r="V12" s="459">
        <f>_xll.qlSimpleQuoteSetValue(E12,U12/100,Trigger)</f>
        <v>0</v>
      </c>
      <c r="W12" s="457"/>
      <c r="X12" s="405"/>
      <c r="Y12" s="405"/>
    </row>
    <row r="13" spans="1:25" x14ac:dyDescent="0.2">
      <c r="A13" s="371"/>
      <c r="B13" s="437">
        <v>3</v>
      </c>
      <c r="C13" s="438" t="str">
        <f t="shared" si="4"/>
        <v>x9F</v>
      </c>
      <c r="D13" s="437" t="str">
        <f t="shared" si="0"/>
        <v>USD3x9F_Quote</v>
      </c>
      <c r="E13" s="400" t="str">
        <f>_xll.qlSimpleQuote(D13,,RateTickValue,Permanent,Trigger,ObjectOverwrite)</f>
        <v>USD3x9F_Quote#0008</v>
      </c>
      <c r="F13" s="439" t="str">
        <f>_xll.ohRangeRetrieveError(E13)</f>
        <v/>
      </c>
      <c r="H13" s="446">
        <f t="shared" si="5"/>
        <v>9</v>
      </c>
      <c r="I13" s="447">
        <f t="shared" si="1"/>
        <v>3</v>
      </c>
      <c r="J13" s="448" t="s">
        <v>196</v>
      </c>
      <c r="K13" s="449" t="str">
        <f t="shared" si="2"/>
        <v>USD3X9F</v>
      </c>
      <c r="L13" s="449" t="str">
        <v>USD3X9F=GCMN</v>
      </c>
      <c r="M13" s="450">
        <v>0.49300000000000005</v>
      </c>
      <c r="N13" s="451">
        <v>0.53300000000000003</v>
      </c>
      <c r="O13" s="451">
        <v>0.49300000000000005</v>
      </c>
      <c r="P13" s="452">
        <v>0.50800000000000001</v>
      </c>
      <c r="Q13" s="453">
        <f>_xll.qlMidSafe($M13,$N13)</f>
        <v>0.51300000000000001</v>
      </c>
      <c r="R13" s="454"/>
      <c r="S13" s="458">
        <v>0.36099999999999999</v>
      </c>
      <c r="T13" s="454"/>
      <c r="U13" s="458">
        <v>0.51300000000000001</v>
      </c>
      <c r="V13" s="459">
        <f>_xll.qlSimpleQuoteSetValue(E13,U13/100,Trigger)</f>
        <v>0</v>
      </c>
      <c r="W13" s="457"/>
      <c r="X13" s="405"/>
      <c r="Y13" s="405"/>
    </row>
    <row r="14" spans="1:25" x14ac:dyDescent="0.2">
      <c r="A14" s="371"/>
      <c r="B14" s="437">
        <v>4</v>
      </c>
      <c r="C14" s="438" t="str">
        <f t="shared" si="4"/>
        <v>x10F</v>
      </c>
      <c r="D14" s="437" t="str">
        <f t="shared" si="0"/>
        <v>USD4x10F_Quote</v>
      </c>
      <c r="E14" s="400" t="str">
        <f>_xll.qlSimpleQuote(D14,,RateTickValue,Permanent,Trigger,ObjectOverwrite)</f>
        <v>USD4x10F_Quote#0008</v>
      </c>
      <c r="F14" s="439" t="str">
        <f>_xll.ohRangeRetrieveError(E14)</f>
        <v/>
      </c>
      <c r="H14" s="446">
        <f t="shared" si="5"/>
        <v>10</v>
      </c>
      <c r="I14" s="447">
        <f t="shared" si="1"/>
        <v>4</v>
      </c>
      <c r="J14" s="448" t="s">
        <v>196</v>
      </c>
      <c r="K14" s="449" t="str">
        <f t="shared" si="2"/>
        <v>USD4X10F</v>
      </c>
      <c r="L14" s="449" t="str">
        <v>USD4X10F=GCMN</v>
      </c>
      <c r="M14" s="450">
        <v>0.55400000000000005</v>
      </c>
      <c r="N14" s="451">
        <v>0.59400000000000008</v>
      </c>
      <c r="O14" s="451">
        <v>0.55400000000000005</v>
      </c>
      <c r="P14" s="452">
        <v>0.56700000000000006</v>
      </c>
      <c r="Q14" s="453">
        <f>_xll.qlMidSafe($M14,$N14)</f>
        <v>0.57400000000000007</v>
      </c>
      <c r="R14" s="454"/>
      <c r="S14" s="458">
        <v>0.39300000000000002</v>
      </c>
      <c r="T14" s="454"/>
      <c r="U14" s="458">
        <v>0.57400000000000007</v>
      </c>
      <c r="V14" s="459">
        <f>_xll.qlSimpleQuoteSetValue(E14,U14/100,Trigger)</f>
        <v>0</v>
      </c>
      <c r="W14" s="457"/>
      <c r="X14" s="405"/>
      <c r="Y14" s="405"/>
    </row>
    <row r="15" spans="1:25" x14ac:dyDescent="0.2">
      <c r="A15" s="371"/>
      <c r="B15" s="437">
        <v>5</v>
      </c>
      <c r="C15" s="438" t="str">
        <f t="shared" si="4"/>
        <v>x11F</v>
      </c>
      <c r="D15" s="437" t="str">
        <f t="shared" si="0"/>
        <v>USD5x11F_Quote</v>
      </c>
      <c r="E15" s="400" t="str">
        <f>_xll.qlSimpleQuote(D15,,RateTickValue,Permanent,Trigger,ObjectOverwrite)</f>
        <v>USD5x11F_Quote#0008</v>
      </c>
      <c r="F15" s="439" t="str">
        <f>_xll.ohRangeRetrieveError(E15)</f>
        <v/>
      </c>
      <c r="H15" s="446">
        <f t="shared" si="5"/>
        <v>11</v>
      </c>
      <c r="I15" s="447">
        <f t="shared" si="1"/>
        <v>5</v>
      </c>
      <c r="J15" s="448" t="s">
        <v>196</v>
      </c>
      <c r="K15" s="449" t="str">
        <f t="shared" si="2"/>
        <v>USD5X11F</v>
      </c>
      <c r="L15" s="449" t="str">
        <v>USD5X11F=GCMN</v>
      </c>
      <c r="M15" s="450">
        <v>0.62</v>
      </c>
      <c r="N15" s="451">
        <v>0.66</v>
      </c>
      <c r="O15" s="451">
        <v>0.62</v>
      </c>
      <c r="P15" s="452">
        <v>0.63400000000000001</v>
      </c>
      <c r="Q15" s="453">
        <f>_xll.qlMidSafe($M15,$N15)</f>
        <v>0.64</v>
      </c>
      <c r="R15" s="454"/>
      <c r="S15" s="458">
        <v>0.432</v>
      </c>
      <c r="T15" s="454"/>
      <c r="U15" s="458">
        <v>0.64</v>
      </c>
      <c r="V15" s="459">
        <f>_xll.qlSimpleQuoteSetValue(E15,U15/100,Trigger)</f>
        <v>0</v>
      </c>
      <c r="W15" s="457"/>
      <c r="X15" s="405"/>
      <c r="Y15" s="405"/>
    </row>
    <row r="16" spans="1:25" x14ac:dyDescent="0.2">
      <c r="A16" s="371"/>
      <c r="B16" s="437">
        <v>6</v>
      </c>
      <c r="C16" s="438" t="str">
        <f t="shared" si="4"/>
        <v>x12F</v>
      </c>
      <c r="D16" s="437" t="str">
        <f t="shared" si="0"/>
        <v>USD6x12F_Quote</v>
      </c>
      <c r="E16" s="400" t="str">
        <f>_xll.qlSimpleQuote(D16,,RateTickValue,Permanent,Trigger,ObjectOverwrite)</f>
        <v>USD6x12F_Quote#0009</v>
      </c>
      <c r="F16" s="439" t="str">
        <f>_xll.ohRangeRetrieveError(E16)</f>
        <v/>
      </c>
      <c r="H16" s="446">
        <f t="shared" si="5"/>
        <v>12</v>
      </c>
      <c r="I16" s="447">
        <f t="shared" si="1"/>
        <v>6</v>
      </c>
      <c r="J16" s="448" t="s">
        <v>196</v>
      </c>
      <c r="K16" s="449" t="str">
        <f t="shared" si="2"/>
        <v>USD6X12F</v>
      </c>
      <c r="L16" s="449" t="str">
        <v>USD6X12F=GCMN</v>
      </c>
      <c r="M16" s="450">
        <v>0.68700000000000006</v>
      </c>
      <c r="N16" s="451">
        <v>0.72699999999999998</v>
      </c>
      <c r="O16" s="451">
        <v>0.68700000000000006</v>
      </c>
      <c r="P16" s="452">
        <v>0.70400000000000007</v>
      </c>
      <c r="Q16" s="453">
        <f>_xll.qlMidSafe($M16,$N16)</f>
        <v>0.70700000000000007</v>
      </c>
      <c r="R16" s="454"/>
      <c r="S16" s="458">
        <v>0.48099999999999998</v>
      </c>
      <c r="T16" s="454"/>
      <c r="U16" s="458">
        <v>0.70700000000000007</v>
      </c>
      <c r="V16" s="459">
        <f>_xll.qlSimpleQuoteSetValue(E16,U16/100,Trigger)</f>
        <v>-9.9999999999987252E-6</v>
      </c>
      <c r="W16" s="457"/>
      <c r="X16" s="405"/>
      <c r="Y16" s="405"/>
    </row>
    <row r="17" spans="1:25" x14ac:dyDescent="0.2">
      <c r="A17" s="371"/>
      <c r="B17" s="437">
        <v>9</v>
      </c>
      <c r="C17" s="438" t="str">
        <f t="shared" si="4"/>
        <v>x15F</v>
      </c>
      <c r="D17" s="437" t="str">
        <f t="shared" si="0"/>
        <v>USD9x15F_Quote</v>
      </c>
      <c r="E17" s="400" t="str">
        <f>_xll.qlSimpleQuote(D17,,RateTickValue,Permanent,Trigger,ObjectOverwrite)</f>
        <v>USD9x15F_Quote#0012</v>
      </c>
      <c r="F17" s="439" t="str">
        <f>_xll.ohRangeRetrieveError(E17)</f>
        <v/>
      </c>
      <c r="H17" s="446">
        <f t="shared" si="5"/>
        <v>15</v>
      </c>
      <c r="I17" s="447">
        <f t="shared" si="1"/>
        <v>9</v>
      </c>
      <c r="J17" s="448" t="s">
        <v>196</v>
      </c>
      <c r="K17" s="449" t="str">
        <f t="shared" si="2"/>
        <v>USD9X15F</v>
      </c>
      <c r="L17" s="449" t="str">
        <v>USD9X15F=GCMN</v>
      </c>
      <c r="M17" s="450">
        <v>0.91100000000000003</v>
      </c>
      <c r="N17" s="451">
        <v>0.95100000000000007</v>
      </c>
      <c r="O17" s="451">
        <v>0.91100000000000003</v>
      </c>
      <c r="P17" s="452">
        <v>0.92800000000000005</v>
      </c>
      <c r="Q17" s="453">
        <f>_xll.qlMidSafe($M17,$N17)</f>
        <v>0.93100000000000005</v>
      </c>
      <c r="R17" s="454"/>
      <c r="S17" s="458">
        <v>0.68300000000000005</v>
      </c>
      <c r="T17" s="454"/>
      <c r="U17" s="458">
        <v>0.93100000000000005</v>
      </c>
      <c r="V17" s="459">
        <f>_xll.qlSimpleQuoteSetValue(E17,U17/100,Trigger)</f>
        <v>9.9999999999995925E-6</v>
      </c>
      <c r="W17" s="457"/>
      <c r="X17" s="405"/>
      <c r="Y17" s="405"/>
    </row>
    <row r="18" spans="1:25" x14ac:dyDescent="0.2">
      <c r="A18" s="371"/>
      <c r="B18" s="437">
        <v>12</v>
      </c>
      <c r="C18" s="438" t="str">
        <f t="shared" si="4"/>
        <v>x18F</v>
      </c>
      <c r="D18" s="437" t="str">
        <f t="shared" si="0"/>
        <v>USD12x18F_Quote</v>
      </c>
      <c r="E18" s="400" t="str">
        <f>_xll.qlSimpleQuote(D18,,RateTickValue,Permanent,Trigger,ObjectOverwrite)</f>
        <v>USD12x18F_Quote#0009</v>
      </c>
      <c r="F18" s="439" t="str">
        <f>_xll.ohRangeRetrieveError(E18)</f>
        <v/>
      </c>
      <c r="H18" s="446">
        <f t="shared" si="5"/>
        <v>18</v>
      </c>
      <c r="I18" s="447">
        <f t="shared" si="1"/>
        <v>12</v>
      </c>
      <c r="J18" s="448" t="s">
        <v>196</v>
      </c>
      <c r="K18" s="449" t="str">
        <f t="shared" si="2"/>
        <v>USD12X18F</v>
      </c>
      <c r="L18" s="449" t="str">
        <v>USD12X18F=GCMN</v>
      </c>
      <c r="M18" s="450">
        <v>1.1420000000000001</v>
      </c>
      <c r="N18" s="451">
        <v>1.1820000000000002</v>
      </c>
      <c r="O18" s="451">
        <v>1.1420000000000001</v>
      </c>
      <c r="P18" s="452">
        <v>1.1600000000000001</v>
      </c>
      <c r="Q18" s="453">
        <f>_xll.qlMidSafe($M18,$N18)</f>
        <v>1.1620000000000001</v>
      </c>
      <c r="R18" s="454"/>
      <c r="S18" s="458">
        <v>0.92599999999999993</v>
      </c>
      <c r="T18" s="454"/>
      <c r="U18" s="458">
        <v>1.1620000000000001</v>
      </c>
      <c r="V18" s="459">
        <f>_xll.qlSimpleQuoteSetValue(E18,U18/100,Trigger)</f>
        <v>3.0000000000002247E-5</v>
      </c>
      <c r="W18" s="457"/>
      <c r="X18" s="405"/>
      <c r="Y18" s="405"/>
    </row>
    <row r="19" spans="1:25" x14ac:dyDescent="0.2">
      <c r="A19" s="371"/>
      <c r="B19" s="440">
        <v>18</v>
      </c>
      <c r="C19" s="441" t="str">
        <f t="shared" si="4"/>
        <v>x24F</v>
      </c>
      <c r="D19" s="440" t="str">
        <f t="shared" si="0"/>
        <v>USD18x24F_Quote</v>
      </c>
      <c r="E19" s="403" t="str">
        <f>_xll.qlSimpleQuote(D19,,RateTickValue,Permanent,Trigger,ObjectOverwrite)</f>
        <v>USD18x24F_Quote#0008</v>
      </c>
      <c r="F19" s="442" t="str">
        <f>_xll.ohRangeRetrieveError(E19)</f>
        <v/>
      </c>
      <c r="H19" s="460">
        <f t="shared" si="5"/>
        <v>24</v>
      </c>
      <c r="I19" s="461">
        <f t="shared" si="1"/>
        <v>18</v>
      </c>
      <c r="J19" s="462" t="s">
        <v>196</v>
      </c>
      <c r="K19" s="463" t="str">
        <f t="shared" si="2"/>
        <v>USD18X24F</v>
      </c>
      <c r="L19" s="463" t="str">
        <v>USD18X24F=GCMN</v>
      </c>
      <c r="M19" s="475">
        <v>1.548</v>
      </c>
      <c r="N19" s="476">
        <v>1.5880000000000001</v>
      </c>
      <c r="O19" s="476">
        <v>1.548</v>
      </c>
      <c r="P19" s="477">
        <v>1.5730000000000002</v>
      </c>
      <c r="Q19" s="464">
        <f>_xll.qlMidSafe($M19,$N19)</f>
        <v>1.5680000000000001</v>
      </c>
      <c r="R19" s="454"/>
      <c r="S19" s="465">
        <v>1.425</v>
      </c>
      <c r="T19" s="454"/>
      <c r="U19" s="465">
        <v>1.5680000000000001</v>
      </c>
      <c r="V19" s="466">
        <f>_xll.qlSimpleQuoteSetValue(E19,U19/100,Trigger)</f>
        <v>0</v>
      </c>
      <c r="W19" s="457"/>
      <c r="X19" s="405"/>
      <c r="Y19" s="405"/>
    </row>
    <row r="20" spans="1:25" x14ac:dyDescent="0.2">
      <c r="A20" s="371"/>
      <c r="B20" s="434">
        <v>1</v>
      </c>
      <c r="C20" s="443" t="str">
        <f>"x"&amp;B20+12&amp;"F"</f>
        <v>x13F</v>
      </c>
      <c r="D20" s="434" t="str">
        <f t="shared" si="0"/>
        <v>USD1x13F_Quote</v>
      </c>
      <c r="E20" s="397" t="str">
        <f>_xll.qlSimpleQuote(D20,,RateTickValue,Permanent,Trigger,ObjectOverwrite)</f>
        <v>USD1x13F_Quote#0012</v>
      </c>
      <c r="F20" s="436" t="str">
        <f>_xll.ohRangeRetrieveError(E20)</f>
        <v/>
      </c>
      <c r="H20" s="467">
        <f>I20+12</f>
        <v>13</v>
      </c>
      <c r="I20" s="468">
        <f t="shared" si="1"/>
        <v>1</v>
      </c>
      <c r="J20" s="469" t="s">
        <v>196</v>
      </c>
      <c r="K20" s="470" t="str">
        <f t="shared" si="2"/>
        <v>USD1X13F</v>
      </c>
      <c r="L20" s="470" t="str">
        <v>USD1X13F=GCMN</v>
      </c>
      <c r="M20" s="450">
        <v>0.72300000000000009</v>
      </c>
      <c r="N20" s="451">
        <v>0.76300000000000001</v>
      </c>
      <c r="O20" s="451">
        <v>0.72300000000000009</v>
      </c>
      <c r="P20" s="452">
        <v>0.73499999999999999</v>
      </c>
      <c r="Q20" s="474">
        <f>_xll.qlMidSafe($M20,$N20)</f>
        <v>0.7430000000000001</v>
      </c>
      <c r="R20" s="454"/>
      <c r="S20" s="455">
        <v>0.6</v>
      </c>
      <c r="T20" s="454"/>
      <c r="U20" s="455">
        <v>0.7430000000000001</v>
      </c>
      <c r="V20" s="456">
        <f>_xll.qlSimpleQuoteSetValue(E20,U20/100,Trigger)</f>
        <v>0</v>
      </c>
      <c r="W20" s="310"/>
    </row>
    <row r="21" spans="1:25" x14ac:dyDescent="0.2">
      <c r="A21" s="371"/>
      <c r="B21" s="437">
        <v>2</v>
      </c>
      <c r="C21" s="444" t="str">
        <f t="shared" ref="C21:C31" si="6">"x"&amp;B21+12&amp;"F"</f>
        <v>x14F</v>
      </c>
      <c r="D21" s="437" t="str">
        <f t="shared" si="0"/>
        <v>USD2x14F_Quote</v>
      </c>
      <c r="E21" s="400" t="str">
        <f>_xll.qlSimpleQuote(D21,,RateTickValue,Permanent,Trigger,ObjectOverwrite)</f>
        <v>USD2x14F_Quote#0012</v>
      </c>
      <c r="F21" s="439" t="str">
        <f>_xll.ohRangeRetrieveError(E21)</f>
        <v/>
      </c>
      <c r="H21" s="446">
        <f t="shared" ref="H21:H31" si="7">I21+12</f>
        <v>14</v>
      </c>
      <c r="I21" s="447">
        <f t="shared" si="1"/>
        <v>2</v>
      </c>
      <c r="J21" s="448" t="s">
        <v>196</v>
      </c>
      <c r="K21" s="449" t="str">
        <f t="shared" si="2"/>
        <v>USD2X14F</v>
      </c>
      <c r="L21" s="449" t="str">
        <v>USD2X14F=GCMN</v>
      </c>
      <c r="M21" s="450">
        <v>0.80900000000000005</v>
      </c>
      <c r="N21" s="451">
        <v>0.84900000000000009</v>
      </c>
      <c r="O21" s="451">
        <v>0.80900000000000005</v>
      </c>
      <c r="P21" s="452">
        <v>0.82100000000000006</v>
      </c>
      <c r="Q21" s="453">
        <f>_xll.qlMidSafe($M21,$N21)</f>
        <v>0.82900000000000007</v>
      </c>
      <c r="R21" s="454"/>
      <c r="S21" s="458">
        <v>0.64500000000000002</v>
      </c>
      <c r="T21" s="454"/>
      <c r="U21" s="458">
        <v>0.82900000000000007</v>
      </c>
      <c r="V21" s="459">
        <f>_xll.qlSimpleQuoteSetValue(E21,U21/100,Trigger)</f>
        <v>9.9999999999995925E-6</v>
      </c>
      <c r="W21" s="310"/>
    </row>
    <row r="22" spans="1:25" x14ac:dyDescent="0.2">
      <c r="A22" s="371"/>
      <c r="B22" s="437">
        <v>3</v>
      </c>
      <c r="C22" s="444" t="str">
        <f t="shared" si="6"/>
        <v>x15F</v>
      </c>
      <c r="D22" s="437" t="str">
        <f t="shared" si="0"/>
        <v>USD3x15F_Quote</v>
      </c>
      <c r="E22" s="400" t="str">
        <f>_xll.qlSimpleQuote(D22,,RateTickValue,Permanent,Trigger,ObjectOverwrite)</f>
        <v>USD3x15F_Quote#0012</v>
      </c>
      <c r="F22" s="439" t="str">
        <f>_xll.ohRangeRetrieveError(E22)</f>
        <v/>
      </c>
      <c r="H22" s="446">
        <f t="shared" si="7"/>
        <v>15</v>
      </c>
      <c r="I22" s="447">
        <f t="shared" si="1"/>
        <v>3</v>
      </c>
      <c r="J22" s="448" t="s">
        <v>196</v>
      </c>
      <c r="K22" s="449" t="str">
        <f t="shared" si="2"/>
        <v>USD3X15F</v>
      </c>
      <c r="L22" s="449" t="str">
        <v>USD3X15F=GCMN</v>
      </c>
      <c r="M22" s="450">
        <v>0.89400000000000002</v>
      </c>
      <c r="N22" s="451">
        <v>0.93400000000000005</v>
      </c>
      <c r="O22" s="451">
        <v>0.89400000000000002</v>
      </c>
      <c r="P22" s="452">
        <v>0.91100000000000003</v>
      </c>
      <c r="Q22" s="453">
        <f>_xll.qlMidSafe($M22,$N22)</f>
        <v>0.91400000000000003</v>
      </c>
      <c r="R22" s="454"/>
      <c r="S22" s="458">
        <v>0.69700000000000006</v>
      </c>
      <c r="T22" s="454"/>
      <c r="U22" s="458">
        <v>0.91400000000000003</v>
      </c>
      <c r="V22" s="459">
        <f>_xll.qlSimpleQuoteSetValue(E22,U22/100,Trigger)</f>
        <v>9.9999999999995925E-6</v>
      </c>
      <c r="W22" s="310"/>
    </row>
    <row r="23" spans="1:25" x14ac:dyDescent="0.2">
      <c r="A23" s="371"/>
      <c r="B23" s="437">
        <v>4</v>
      </c>
      <c r="C23" s="444" t="str">
        <f t="shared" si="6"/>
        <v>x16F</v>
      </c>
      <c r="D23" s="437" t="str">
        <f t="shared" si="0"/>
        <v>USD4x16F_Quote</v>
      </c>
      <c r="E23" s="400" t="str">
        <f>_xll.qlSimpleQuote(D23,,RateTickValue,Permanent,Trigger,ObjectOverwrite)</f>
        <v>USD4x16F_Quote#0012</v>
      </c>
      <c r="F23" s="439" t="str">
        <f>_xll.ohRangeRetrieveError(E23)</f>
        <v/>
      </c>
      <c r="H23" s="446">
        <f t="shared" si="7"/>
        <v>16</v>
      </c>
      <c r="I23" s="447">
        <f t="shared" si="1"/>
        <v>4</v>
      </c>
      <c r="J23" s="448" t="s">
        <v>196</v>
      </c>
      <c r="K23" s="449" t="str">
        <f t="shared" si="2"/>
        <v>USD4X16F</v>
      </c>
      <c r="L23" s="449" t="str">
        <v>USD4X16F=GCMN</v>
      </c>
      <c r="M23" s="450">
        <v>0.96300000000000008</v>
      </c>
      <c r="N23" s="451">
        <v>1.0030000000000001</v>
      </c>
      <c r="O23" s="451">
        <v>0.96300000000000008</v>
      </c>
      <c r="P23" s="452">
        <v>0.97700000000000009</v>
      </c>
      <c r="Q23" s="453">
        <f>_xll.qlMidSafe($M23,$N23)</f>
        <v>0.9830000000000001</v>
      </c>
      <c r="R23" s="454"/>
      <c r="S23" s="458">
        <v>0.755</v>
      </c>
      <c r="T23" s="454"/>
      <c r="U23" s="458">
        <v>0.9830000000000001</v>
      </c>
      <c r="V23" s="459">
        <f>_xll.qlSimpleQuoteSetValue(E23,U23/100,Trigger)</f>
        <v>9.9999999999995925E-6</v>
      </c>
      <c r="W23" s="310"/>
    </row>
    <row r="24" spans="1:25" x14ac:dyDescent="0.2">
      <c r="A24" s="371"/>
      <c r="B24" s="437">
        <v>5</v>
      </c>
      <c r="C24" s="444" t="str">
        <f t="shared" si="6"/>
        <v>x17F</v>
      </c>
      <c r="D24" s="437" t="str">
        <f t="shared" si="0"/>
        <v>USD5x17F_Quote</v>
      </c>
      <c r="E24" s="400" t="str">
        <f>_xll.qlSimpleQuote(D24,,RateTickValue,Permanent,Trigger,ObjectOverwrite)</f>
        <v>USD5x17F_Quote#0012</v>
      </c>
      <c r="F24" s="439" t="str">
        <f>_xll.ohRangeRetrieveError(E24)</f>
        <v/>
      </c>
      <c r="H24" s="446">
        <f t="shared" si="7"/>
        <v>17</v>
      </c>
      <c r="I24" s="447">
        <f t="shared" si="1"/>
        <v>5</v>
      </c>
      <c r="J24" s="448" t="s">
        <v>196</v>
      </c>
      <c r="K24" s="449" t="str">
        <f t="shared" si="2"/>
        <v>USD5X17F</v>
      </c>
      <c r="L24" s="449" t="str">
        <v>USD5X17F=GCMN</v>
      </c>
      <c r="M24" s="450">
        <v>1.032</v>
      </c>
      <c r="N24" s="451">
        <v>1.0720000000000001</v>
      </c>
      <c r="O24" s="451">
        <v>1.032</v>
      </c>
      <c r="P24" s="452">
        <v>1.0470000000000002</v>
      </c>
      <c r="Q24" s="453">
        <f>_xll.qlMidSafe($M24,$N24)</f>
        <v>1.052</v>
      </c>
      <c r="R24" s="454"/>
      <c r="S24" s="458">
        <v>0.80899999999999994</v>
      </c>
      <c r="T24" s="454"/>
      <c r="U24" s="458">
        <v>1.052</v>
      </c>
      <c r="V24" s="459">
        <f>_xll.qlSimpleQuoteSetValue(E24,U24/100,Trigger)</f>
        <v>9.9999999999978578E-6</v>
      </c>
      <c r="W24" s="310"/>
    </row>
    <row r="25" spans="1:25" x14ac:dyDescent="0.2">
      <c r="A25" s="371"/>
      <c r="B25" s="437">
        <v>6</v>
      </c>
      <c r="C25" s="444" t="str">
        <f t="shared" si="6"/>
        <v>x18F</v>
      </c>
      <c r="D25" s="437" t="str">
        <f t="shared" si="0"/>
        <v>USD6x18F_Quote</v>
      </c>
      <c r="E25" s="400" t="str">
        <f>_xll.qlSimpleQuote(D25,,RateTickValue,Permanent,Trigger,ObjectOverwrite)</f>
        <v>USD6x18F_Quote#0012</v>
      </c>
      <c r="F25" s="439" t="str">
        <f>_xll.ohRangeRetrieveError(E25)</f>
        <v/>
      </c>
      <c r="H25" s="446">
        <f t="shared" si="7"/>
        <v>18</v>
      </c>
      <c r="I25" s="447">
        <f t="shared" si="1"/>
        <v>6</v>
      </c>
      <c r="J25" s="448" t="s">
        <v>196</v>
      </c>
      <c r="K25" s="449" t="str">
        <f t="shared" si="2"/>
        <v>USD6X18F</v>
      </c>
      <c r="L25" s="449" t="str">
        <v>USD6X18F=GCMN</v>
      </c>
      <c r="M25" s="450">
        <v>1.101</v>
      </c>
      <c r="N25" s="451">
        <v>1.141</v>
      </c>
      <c r="O25" s="451">
        <v>1.101</v>
      </c>
      <c r="P25" s="452">
        <v>1.119</v>
      </c>
      <c r="Q25" s="453">
        <f>_xll.qlMidSafe($M25,$N25)</f>
        <v>1.121</v>
      </c>
      <c r="R25" s="454"/>
      <c r="S25" s="458">
        <v>0.874</v>
      </c>
      <c r="T25" s="454"/>
      <c r="U25" s="458">
        <v>1.121</v>
      </c>
      <c r="V25" s="459">
        <f>_xll.qlSimpleQuoteSetValue(E25,U25/100,Trigger)</f>
        <v>9.9999999999978578E-6</v>
      </c>
      <c r="W25" s="310"/>
    </row>
    <row r="26" spans="1:25" x14ac:dyDescent="0.2">
      <c r="A26" s="371"/>
      <c r="B26" s="437">
        <v>7</v>
      </c>
      <c r="C26" s="444" t="str">
        <f t="shared" si="6"/>
        <v>x19F</v>
      </c>
      <c r="D26" s="437" t="str">
        <f t="shared" si="0"/>
        <v>USD7x19F_Quote</v>
      </c>
      <c r="E26" s="400" t="str">
        <f>_xll.qlSimpleQuote(D26,,RateTickValue,Permanent,Trigger,ObjectOverwrite)</f>
        <v>USD7x19F_Quote#0012</v>
      </c>
      <c r="F26" s="439" t="str">
        <f>_xll.ohRangeRetrieveError(E26)</f>
        <v/>
      </c>
      <c r="H26" s="446">
        <f t="shared" si="7"/>
        <v>19</v>
      </c>
      <c r="I26" s="447">
        <f t="shared" si="1"/>
        <v>7</v>
      </c>
      <c r="J26" s="448" t="s">
        <v>196</v>
      </c>
      <c r="K26" s="449" t="str">
        <f t="shared" si="2"/>
        <v>USD7X19F</v>
      </c>
      <c r="L26" s="449" t="str">
        <v>USD7X19F=GCMN</v>
      </c>
      <c r="M26" s="450" t="s">
        <v>184</v>
      </c>
      <c r="N26" s="451" t="s">
        <v>184</v>
      </c>
      <c r="O26" s="451" t="s">
        <v>184</v>
      </c>
      <c r="P26" s="452" t="s">
        <v>184</v>
      </c>
      <c r="Q26" s="453" t="e">
        <f>_xll.qlMidSafe($M26,$N26)</f>
        <v>#NUM!</v>
      </c>
      <c r="R26" s="454"/>
      <c r="S26" s="458" t="e">
        <v>#NUM!</v>
      </c>
      <c r="T26" s="454"/>
      <c r="U26" s="458" t="e">
        <v>#NUM!</v>
      </c>
      <c r="V26" s="459">
        <f>_xll.qlSimpleQuoteSetValue(E26,U26/100,Trigger)</f>
        <v>0</v>
      </c>
      <c r="W26" s="310"/>
    </row>
    <row r="27" spans="1:25" x14ac:dyDescent="0.2">
      <c r="A27" s="371"/>
      <c r="B27" s="437">
        <v>8</v>
      </c>
      <c r="C27" s="444" t="str">
        <f t="shared" si="6"/>
        <v>x20F</v>
      </c>
      <c r="D27" s="437" t="str">
        <f t="shared" si="0"/>
        <v>USD8x20F_Quote</v>
      </c>
      <c r="E27" s="400" t="str">
        <f>_xll.qlSimpleQuote(D27,,RateTickValue,Permanent,Trigger,ObjectOverwrite)</f>
        <v>USD8x20F_Quote#0012</v>
      </c>
      <c r="F27" s="439" t="str">
        <f>_xll.ohRangeRetrieveError(E27)</f>
        <v/>
      </c>
      <c r="H27" s="446">
        <f t="shared" si="7"/>
        <v>20</v>
      </c>
      <c r="I27" s="447">
        <f t="shared" si="1"/>
        <v>8</v>
      </c>
      <c r="J27" s="448" t="s">
        <v>196</v>
      </c>
      <c r="K27" s="449" t="str">
        <f t="shared" si="2"/>
        <v>USD8X20F</v>
      </c>
      <c r="L27" s="449" t="str">
        <v>USD8X20F=GCMN</v>
      </c>
      <c r="M27" s="450" t="s">
        <v>184</v>
      </c>
      <c r="N27" s="451" t="s">
        <v>184</v>
      </c>
      <c r="O27" s="451" t="s">
        <v>184</v>
      </c>
      <c r="P27" s="452" t="s">
        <v>184</v>
      </c>
      <c r="Q27" s="453" t="e">
        <f>_xll.qlMidSafe($M27,$N27)</f>
        <v>#NUM!</v>
      </c>
      <c r="R27" s="454"/>
      <c r="S27" s="458" t="e">
        <v>#NUM!</v>
      </c>
      <c r="T27" s="454"/>
      <c r="U27" s="458" t="e">
        <v>#NUM!</v>
      </c>
      <c r="V27" s="459">
        <f>_xll.qlSimpleQuoteSetValue(E27,U27/100,Trigger)</f>
        <v>0</v>
      </c>
      <c r="W27" s="310"/>
    </row>
    <row r="28" spans="1:25" x14ac:dyDescent="0.2">
      <c r="A28" s="371"/>
      <c r="B28" s="437">
        <v>9</v>
      </c>
      <c r="C28" s="444" t="str">
        <f t="shared" si="6"/>
        <v>x21F</v>
      </c>
      <c r="D28" s="437" t="str">
        <f t="shared" si="0"/>
        <v>USD9x21F_Quote</v>
      </c>
      <c r="E28" s="400" t="str">
        <f>_xll.qlSimpleQuote(D28,,RateTickValue,Permanent,Trigger,ObjectOverwrite)</f>
        <v>USD9x21F_Quote#0012</v>
      </c>
      <c r="F28" s="439" t="str">
        <f>_xll.ohRangeRetrieveError(E28)</f>
        <v/>
      </c>
      <c r="H28" s="446">
        <f t="shared" si="7"/>
        <v>21</v>
      </c>
      <c r="I28" s="447">
        <f t="shared" si="1"/>
        <v>9</v>
      </c>
      <c r="J28" s="448" t="s">
        <v>196</v>
      </c>
      <c r="K28" s="449" t="str">
        <f t="shared" si="2"/>
        <v>USD9X21F</v>
      </c>
      <c r="L28" s="449" t="str">
        <v>USD9X21F=GCMN</v>
      </c>
      <c r="M28" s="450">
        <v>1.3160000000000001</v>
      </c>
      <c r="N28" s="451">
        <v>1.3560000000000001</v>
      </c>
      <c r="O28" s="451">
        <v>1.3160000000000001</v>
      </c>
      <c r="P28" s="452">
        <v>1.3360000000000001</v>
      </c>
      <c r="Q28" s="453">
        <f>_xll.qlMidSafe($M28,$N28)</f>
        <v>1.3360000000000001</v>
      </c>
      <c r="R28" s="454"/>
      <c r="S28" s="458">
        <v>1.0960000000000001</v>
      </c>
      <c r="T28" s="454"/>
      <c r="U28" s="458">
        <v>1.3360000000000001</v>
      </c>
      <c r="V28" s="459">
        <f>_xll.qlSimpleQuoteSetValue(E28,U28/100,Trigger)</f>
        <v>1.0000000000001327E-5</v>
      </c>
      <c r="W28" s="310"/>
    </row>
    <row r="29" spans="1:25" x14ac:dyDescent="0.2">
      <c r="A29" s="371"/>
      <c r="B29" s="437">
        <v>10</v>
      </c>
      <c r="C29" s="444" t="str">
        <f t="shared" si="6"/>
        <v>x22F</v>
      </c>
      <c r="D29" s="437" t="str">
        <f t="shared" si="0"/>
        <v>USD10x22F_Quote</v>
      </c>
      <c r="E29" s="400" t="str">
        <f>_xll.qlSimpleQuote(D29,,RateTickValue,Permanent,Trigger,ObjectOverwrite)</f>
        <v>USD10x22F_Quote#0012</v>
      </c>
      <c r="F29" s="439" t="str">
        <f>_xll.ohRangeRetrieveError(E29)</f>
        <v/>
      </c>
      <c r="H29" s="446">
        <f t="shared" si="7"/>
        <v>22</v>
      </c>
      <c r="I29" s="447">
        <f t="shared" si="1"/>
        <v>10</v>
      </c>
      <c r="J29" s="448" t="s">
        <v>196</v>
      </c>
      <c r="K29" s="449" t="str">
        <f t="shared" si="2"/>
        <v>USD10X22F</v>
      </c>
      <c r="L29" s="449" t="str">
        <v>USD10X22F=GCMN</v>
      </c>
      <c r="M29" s="450" t="s">
        <v>184</v>
      </c>
      <c r="N29" s="451" t="s">
        <v>184</v>
      </c>
      <c r="O29" s="451" t="s">
        <v>184</v>
      </c>
      <c r="P29" s="452" t="s">
        <v>184</v>
      </c>
      <c r="Q29" s="453" t="e">
        <f>_xll.qlMidSafe($M29,$N29)</f>
        <v>#NUM!</v>
      </c>
      <c r="R29" s="454"/>
      <c r="S29" s="458" t="e">
        <v>#NUM!</v>
      </c>
      <c r="T29" s="454"/>
      <c r="U29" s="458" t="e">
        <v>#NUM!</v>
      </c>
      <c r="V29" s="459">
        <f>_xll.qlSimpleQuoteSetValue(E29,U29/100,Trigger)</f>
        <v>0</v>
      </c>
      <c r="W29" s="310"/>
    </row>
    <row r="30" spans="1:25" x14ac:dyDescent="0.2">
      <c r="A30" s="371"/>
      <c r="B30" s="437">
        <v>11</v>
      </c>
      <c r="C30" s="444" t="str">
        <f t="shared" si="6"/>
        <v>x23F</v>
      </c>
      <c r="D30" s="437" t="str">
        <f t="shared" si="0"/>
        <v>USD11x23F_Quote</v>
      </c>
      <c r="E30" s="400" t="str">
        <f>_xll.qlSimpleQuote(D30,,RateTickValue,Permanent,Trigger,ObjectOverwrite)</f>
        <v>USD11x23F_Quote#0012</v>
      </c>
      <c r="F30" s="439" t="str">
        <f>_xll.ohRangeRetrieveError(E30)</f>
        <v/>
      </c>
      <c r="H30" s="446">
        <f t="shared" si="7"/>
        <v>23</v>
      </c>
      <c r="I30" s="447">
        <f t="shared" si="1"/>
        <v>11</v>
      </c>
      <c r="J30" s="448" t="s">
        <v>196</v>
      </c>
      <c r="K30" s="449" t="str">
        <f t="shared" si="2"/>
        <v>USD11X23F</v>
      </c>
      <c r="L30" s="449" t="str">
        <v>USD11X23F=GCMN</v>
      </c>
      <c r="M30" s="450" t="s">
        <v>184</v>
      </c>
      <c r="N30" s="451" t="s">
        <v>184</v>
      </c>
      <c r="O30" s="451" t="s">
        <v>184</v>
      </c>
      <c r="P30" s="452" t="s">
        <v>184</v>
      </c>
      <c r="Q30" s="453" t="e">
        <f>_xll.qlMidSafe($M30,$N30)</f>
        <v>#NUM!</v>
      </c>
      <c r="R30" s="454"/>
      <c r="S30" s="458" t="e">
        <v>#NUM!</v>
      </c>
      <c r="T30" s="454"/>
      <c r="U30" s="458" t="e">
        <v>#NUM!</v>
      </c>
      <c r="V30" s="459">
        <f>_xll.qlSimpleQuoteSetValue(E30,U30/100,Trigger)</f>
        <v>0</v>
      </c>
      <c r="W30" s="310"/>
    </row>
    <row r="31" spans="1:25" x14ac:dyDescent="0.2">
      <c r="A31" s="371"/>
      <c r="B31" s="440">
        <v>12</v>
      </c>
      <c r="C31" s="445" t="str">
        <f t="shared" si="6"/>
        <v>x24F</v>
      </c>
      <c r="D31" s="440" t="str">
        <f t="shared" si="0"/>
        <v>USD12x24F_Quote</v>
      </c>
      <c r="E31" s="403" t="str">
        <f>_xll.qlSimpleQuote(D31,,RateTickValue,Permanent,Trigger,ObjectOverwrite)</f>
        <v>USD12x24F_Quote#0009</v>
      </c>
      <c r="F31" s="442" t="str">
        <f>_xll.ohRangeRetrieveError(E31)</f>
        <v/>
      </c>
      <c r="H31" s="460">
        <f t="shared" si="7"/>
        <v>24</v>
      </c>
      <c r="I31" s="461">
        <f t="shared" si="1"/>
        <v>12</v>
      </c>
      <c r="J31" s="462" t="s">
        <v>196</v>
      </c>
      <c r="K31" s="463" t="str">
        <f t="shared" si="2"/>
        <v>USD12X24F</v>
      </c>
      <c r="L31" s="463" t="str">
        <v>USD12X24F=GCMN</v>
      </c>
      <c r="M31" s="475">
        <v>1.526</v>
      </c>
      <c r="N31" s="476">
        <v>1.5660000000000001</v>
      </c>
      <c r="O31" s="476">
        <v>1.526</v>
      </c>
      <c r="P31" s="477">
        <v>1.5470000000000002</v>
      </c>
      <c r="Q31" s="464">
        <f>_xll.qlMidSafe($M31,$N31)</f>
        <v>1.546</v>
      </c>
      <c r="R31" s="454"/>
      <c r="S31" s="465">
        <v>1.337</v>
      </c>
      <c r="T31" s="454"/>
      <c r="U31" s="465">
        <v>1.546</v>
      </c>
      <c r="V31" s="466">
        <f>_xll.qlSimpleQuoteSetValue(E31,U31/100,Trigger)</f>
        <v>9.9999999999978578E-6</v>
      </c>
      <c r="W31" s="310"/>
    </row>
  </sheetData>
  <conditionalFormatting sqref="V5:V31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>
      <selection activeCell="O4" sqref="O4"/>
    </sheetView>
  </sheetViews>
  <sheetFormatPr defaultRowHeight="11.25" x14ac:dyDescent="0.2"/>
  <cols>
    <col min="1" max="1" width="2.7109375" style="3" customWidth="1"/>
    <col min="2" max="3" width="4" style="3" bestFit="1" customWidth="1"/>
    <col min="4" max="4" width="6" style="3" bestFit="1" customWidth="1"/>
    <col min="5" max="5" width="21.42578125" style="3" bestFit="1" customWidth="1"/>
    <col min="6" max="6" width="26.5703125" style="11" bestFit="1" customWidth="1"/>
    <col min="7" max="7" width="38.28515625" style="3" customWidth="1"/>
    <col min="8" max="10" width="2.7109375" style="3" customWidth="1"/>
    <col min="11" max="13" width="9.140625" style="3"/>
    <col min="14" max="14" width="9.28515625" style="3" bestFit="1" customWidth="1"/>
    <col min="15" max="15" width="13.5703125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9.140625" style="3"/>
    <col min="23" max="23" width="2.7109375" style="3" customWidth="1"/>
    <col min="24" max="24" width="10.5703125" style="3" bestFit="1" customWidth="1"/>
    <col min="25" max="25" width="7.7109375" style="3" bestFit="1" customWidth="1"/>
    <col min="26" max="26" width="2.7109375" style="3" customWidth="1"/>
    <col min="27" max="16384" width="9.140625" style="3"/>
  </cols>
  <sheetData>
    <row r="1" spans="1:26" x14ac:dyDescent="0.2">
      <c r="A1" s="3" t="s">
        <v>143</v>
      </c>
      <c r="J1" s="159" t="s">
        <v>242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6"/>
    </row>
    <row r="2" spans="1:26" ht="12" thickBot="1" x14ac:dyDescent="0.25">
      <c r="J2" s="146"/>
      <c r="K2" s="60"/>
      <c r="L2" s="60"/>
      <c r="M2" s="60"/>
      <c r="N2" s="60"/>
      <c r="O2" s="67" t="str">
        <f>VLOOKUP($A$1,AreaTable,AreaIndex,0)</f>
        <v>Tullet</v>
      </c>
      <c r="P2" s="60"/>
      <c r="Q2" s="60"/>
      <c r="R2" s="60"/>
      <c r="S2" s="60"/>
      <c r="T2" s="60"/>
      <c r="U2" s="122"/>
      <c r="V2" s="122"/>
      <c r="W2" s="122"/>
      <c r="X2" s="122"/>
      <c r="Y2" s="122"/>
      <c r="Z2" s="9"/>
    </row>
    <row r="3" spans="1:26" x14ac:dyDescent="0.2">
      <c r="A3" s="108" t="s">
        <v>173</v>
      </c>
      <c r="B3" s="99"/>
      <c r="C3" s="99"/>
      <c r="D3" s="99"/>
      <c r="E3" s="111"/>
      <c r="F3" s="238"/>
      <c r="G3" s="111"/>
      <c r="H3" s="96"/>
      <c r="J3" s="58"/>
      <c r="K3" s="122"/>
      <c r="L3" s="60"/>
      <c r="M3" s="60"/>
      <c r="N3" s="60"/>
      <c r="O3" s="60"/>
      <c r="P3" s="60"/>
      <c r="Q3" s="60"/>
      <c r="R3" s="60"/>
      <c r="S3" s="60"/>
      <c r="T3" s="60"/>
      <c r="U3" s="122"/>
      <c r="V3" s="122"/>
      <c r="W3" s="122"/>
      <c r="X3" s="60"/>
      <c r="Y3" s="143">
        <f>_xll.ohTrigger(Y5:Y24)</f>
        <v>96</v>
      </c>
      <c r="Z3" s="109"/>
    </row>
    <row r="4" spans="1:26" ht="22.5" x14ac:dyDescent="0.2">
      <c r="A4" s="58"/>
      <c r="B4" s="35"/>
      <c r="C4" s="35"/>
      <c r="D4" s="95"/>
      <c r="E4" s="229" t="str">
        <f>Currency&amp;"_010_"&amp;"OIS.xml"</f>
        <v>USD_010_OIS.xml</v>
      </c>
      <c r="F4" s="230" t="str">
        <f>IF(Serialize,_xll.ohObjectSave(_xll.ohPack(F5:F95),SerializationPath&amp;E4,FileOverwrite,Serialize),"---")</f>
        <v>---</v>
      </c>
      <c r="G4" s="231" t="str">
        <f>_xll.ohRangeRetrieveError(F4)</f>
        <v/>
      </c>
      <c r="H4" s="9"/>
      <c r="J4" s="58"/>
      <c r="K4" s="219"/>
      <c r="L4" s="59"/>
      <c r="M4" s="59"/>
      <c r="N4" s="59"/>
      <c r="O4" s="189" t="str">
        <f>_xll.RData(O5:O58,P4:S4,"RTFEED:IDN",ReutersRtMode,,P5)</f>
        <v>Updated at 17:02:05</v>
      </c>
      <c r="P4" s="186" t="s">
        <v>179</v>
      </c>
      <c r="Q4" s="186" t="s">
        <v>178</v>
      </c>
      <c r="R4" s="186" t="s">
        <v>189</v>
      </c>
      <c r="S4" s="186" t="s">
        <v>199</v>
      </c>
      <c r="T4" s="188" t="s">
        <v>218</v>
      </c>
      <c r="U4" s="122"/>
      <c r="V4" s="141" t="s">
        <v>195</v>
      </c>
      <c r="W4" s="122"/>
      <c r="X4" s="220" t="s">
        <v>194</v>
      </c>
      <c r="Y4" s="36" t="s">
        <v>193</v>
      </c>
      <c r="Z4" s="109"/>
    </row>
    <row r="5" spans="1:26" x14ac:dyDescent="0.2">
      <c r="A5" s="58"/>
      <c r="B5" s="90"/>
      <c r="C5" s="90" t="s">
        <v>143</v>
      </c>
      <c r="D5" s="232" t="s">
        <v>22</v>
      </c>
      <c r="E5" s="110" t="str">
        <f t="shared" ref="E5:E36" si="0">Currency&amp;$B5&amp;$C5&amp;$D5&amp;QuoteSuffix</f>
        <v>USDOISSW_Quote</v>
      </c>
      <c r="F5" s="110" t="str">
        <f>_xll.qlSimpleQuote(Currency&amp;$B5&amp;$C5&amp;$D5&amp;QuoteSuffix,,RateTickValue,Permanent,Trigger,ObjectOverwrite)</f>
        <v>USDOISSW_Quote#0009</v>
      </c>
      <c r="G5" s="10" t="str">
        <f>_xll.ohRangeRetrieveError(F5)</f>
        <v/>
      </c>
      <c r="H5" s="9"/>
      <c r="J5" s="58"/>
      <c r="K5" s="138" t="s">
        <v>22</v>
      </c>
      <c r="L5" s="155"/>
      <c r="M5" s="155" t="s">
        <v>143</v>
      </c>
      <c r="N5" s="154" t="str">
        <f t="shared" ref="N5:N36" si="1">Currency&amp;$K5&amp;$L5&amp;$M5</f>
        <v>USDSWOIS</v>
      </c>
      <c r="O5" s="154" t="str">
        <f t="array" ref="O5:O58">Instruments&amp;"="&amp;VLOOKUP(Contributor,ContributorTable,2,FALSE)</f>
        <v>USDSWOIS=TTKL</v>
      </c>
      <c r="P5" s="135">
        <v>0.10400000000000001</v>
      </c>
      <c r="Q5" s="135">
        <v>0.13400000000000001</v>
      </c>
      <c r="R5" s="135">
        <v>0</v>
      </c>
      <c r="S5" s="135">
        <v>0</v>
      </c>
      <c r="T5" s="137">
        <f>_xll.qlMidEquivalent($P5,$Q5,$R5,$S5)</f>
        <v>0.11900000000000001</v>
      </c>
      <c r="U5" s="122"/>
      <c r="V5" s="136">
        <v>8.5999999999999993E-2</v>
      </c>
      <c r="W5" s="122"/>
      <c r="X5" s="175">
        <f t="array" ref="X5:X58">QuoteLive</f>
        <v>0.11900000000000001</v>
      </c>
      <c r="Y5" s="134">
        <f>_xll.qlSimpleQuoteSetValue(F5,X5/100,Trigger)</f>
        <v>0</v>
      </c>
      <c r="Z5" s="109"/>
    </row>
    <row r="6" spans="1:26" x14ac:dyDescent="0.2">
      <c r="A6" s="58"/>
      <c r="B6" s="90"/>
      <c r="C6" s="90" t="s">
        <v>143</v>
      </c>
      <c r="D6" s="232" t="s">
        <v>21</v>
      </c>
      <c r="E6" s="110" t="str">
        <f t="shared" si="0"/>
        <v>USDOIS2W_Quote</v>
      </c>
      <c r="F6" s="110" t="str">
        <f>_xll.qlSimpleQuote(Currency&amp;$B6&amp;$C6&amp;$D6&amp;QuoteSuffix,,RateTickValue,Permanent,Trigger,ObjectOverwrite)</f>
        <v>USDOIS2W_Quote#0009</v>
      </c>
      <c r="G6" s="10" t="str">
        <f>_xll.ohRangeRetrieveError(F6)</f>
        <v/>
      </c>
      <c r="H6" s="9"/>
      <c r="J6" s="58"/>
      <c r="K6" s="126" t="s">
        <v>21</v>
      </c>
      <c r="L6" s="153"/>
      <c r="M6" s="153" t="s">
        <v>143</v>
      </c>
      <c r="N6" s="152" t="str">
        <f t="shared" si="1"/>
        <v>USD2WOIS</v>
      </c>
      <c r="O6" s="152" t="str">
        <v>USD2WOIS=TTKL</v>
      </c>
      <c r="P6" s="120">
        <v>0.10400000000000001</v>
      </c>
      <c r="Q6" s="120">
        <v>0.13400000000000001</v>
      </c>
      <c r="R6" s="120">
        <v>0</v>
      </c>
      <c r="S6" s="120">
        <v>0</v>
      </c>
      <c r="T6" s="124">
        <f>_xll.qlMidEquivalent($P6,$Q6,$R6,$S6)</f>
        <v>0.11900000000000001</v>
      </c>
      <c r="U6" s="122"/>
      <c r="V6" s="123">
        <v>8.5999999999999993E-2</v>
      </c>
      <c r="W6" s="122"/>
      <c r="X6" s="168">
        <v>0.11900000000000001</v>
      </c>
      <c r="Y6" s="119">
        <f>_xll.qlSimpleQuoteSetValue(F6,X6/100,Trigger)</f>
        <v>0</v>
      </c>
      <c r="Z6" s="109"/>
    </row>
    <row r="7" spans="1:26" x14ac:dyDescent="0.2">
      <c r="A7" s="58"/>
      <c r="B7" s="90"/>
      <c r="C7" s="90" t="s">
        <v>143</v>
      </c>
      <c r="D7" s="232" t="s">
        <v>20</v>
      </c>
      <c r="E7" s="110" t="str">
        <f t="shared" si="0"/>
        <v>USDOIS3W_Quote</v>
      </c>
      <c r="F7" s="110" t="str">
        <f>_xll.qlSimpleQuote(Currency&amp;$B7&amp;$C7&amp;$D7&amp;QuoteSuffix,,RateTickValue,Permanent,Trigger,ObjectOverwrite)</f>
        <v>USDOIS3W_Quote#0009</v>
      </c>
      <c r="G7" s="10" t="str">
        <f>_xll.ohRangeRetrieveError(F7)</f>
        <v/>
      </c>
      <c r="H7" s="9"/>
      <c r="J7" s="58"/>
      <c r="K7" s="126" t="s">
        <v>20</v>
      </c>
      <c r="L7" s="153"/>
      <c r="M7" s="153" t="s">
        <v>143</v>
      </c>
      <c r="N7" s="152" t="str">
        <f t="shared" si="1"/>
        <v>USD3WOIS</v>
      </c>
      <c r="O7" s="152" t="str">
        <v>USD3WOIS=TTKL</v>
      </c>
      <c r="P7" s="120">
        <v>0.107</v>
      </c>
      <c r="Q7" s="120">
        <v>0.13700000000000001</v>
      </c>
      <c r="R7" s="120">
        <v>0</v>
      </c>
      <c r="S7" s="120">
        <v>0</v>
      </c>
      <c r="T7" s="124">
        <f>_xll.qlMidEquivalent($P7,$Q7,$R7,$S7)</f>
        <v>0.122</v>
      </c>
      <c r="U7" s="122"/>
      <c r="V7" s="123">
        <v>8.5000000000000006E-2</v>
      </c>
      <c r="W7" s="122"/>
      <c r="X7" s="168">
        <v>0.122</v>
      </c>
      <c r="Y7" s="119">
        <f>_xll.qlSimpleQuoteSetValue(F7,X7/100,Trigger)</f>
        <v>0</v>
      </c>
      <c r="Z7" s="109"/>
    </row>
    <row r="8" spans="1:26" x14ac:dyDescent="0.2">
      <c r="A8" s="58"/>
      <c r="B8" s="90"/>
      <c r="C8" s="90" t="s">
        <v>143</v>
      </c>
      <c r="D8" s="232" t="s">
        <v>19</v>
      </c>
      <c r="E8" s="110" t="str">
        <f t="shared" si="0"/>
        <v>USDOIS1M_Quote</v>
      </c>
      <c r="F8" s="110" t="str">
        <f>_xll.qlSimpleQuote(Currency&amp;$B8&amp;$C8&amp;$D8&amp;QuoteSuffix,,RateTickValue,Permanent,Trigger,ObjectOverwrite)</f>
        <v>USDOIS1M_Quote#0009</v>
      </c>
      <c r="G8" s="10" t="str">
        <f>_xll.ohRangeRetrieveError(F8)</f>
        <v/>
      </c>
      <c r="H8" s="9"/>
      <c r="J8" s="58"/>
      <c r="K8" s="126" t="s">
        <v>19</v>
      </c>
      <c r="L8" s="153"/>
      <c r="M8" s="153" t="s">
        <v>143</v>
      </c>
      <c r="N8" s="152" t="str">
        <f t="shared" si="1"/>
        <v>USD1MOIS</v>
      </c>
      <c r="O8" s="152" t="str">
        <v>USD1MOIS=TTKL</v>
      </c>
      <c r="P8" s="120">
        <v>0.107</v>
      </c>
      <c r="Q8" s="120">
        <v>0.13700000000000001</v>
      </c>
      <c r="R8" s="120">
        <v>0</v>
      </c>
      <c r="S8" s="120">
        <v>0</v>
      </c>
      <c r="T8" s="124">
        <f>_xll.qlMidEquivalent($P8,$Q8,$R8,$S8)</f>
        <v>0.122</v>
      </c>
      <c r="U8" s="122"/>
      <c r="V8" s="123">
        <v>8.5000000000000006E-2</v>
      </c>
      <c r="W8" s="122"/>
      <c r="X8" s="168">
        <v>0.122</v>
      </c>
      <c r="Y8" s="119">
        <f>_xll.qlSimpleQuoteSetValue(F8,X8/100,Trigger)</f>
        <v>0</v>
      </c>
      <c r="Z8" s="109"/>
    </row>
    <row r="9" spans="1:26" x14ac:dyDescent="0.2">
      <c r="A9" s="58"/>
      <c r="B9" s="90"/>
      <c r="C9" s="90" t="s">
        <v>143</v>
      </c>
      <c r="D9" s="232" t="s">
        <v>18</v>
      </c>
      <c r="E9" s="110" t="str">
        <f t="shared" si="0"/>
        <v>USDOIS2M_Quote</v>
      </c>
      <c r="F9" s="110" t="str">
        <f>_xll.qlSimpleQuote(Currency&amp;$B9&amp;$C9&amp;$D9&amp;QuoteSuffix,,RateTickValue,Permanent,Trigger,ObjectOverwrite)</f>
        <v>USDOIS2M_Quote#0009</v>
      </c>
      <c r="G9" s="10" t="str">
        <f>_xll.ohRangeRetrieveError(F9)</f>
        <v/>
      </c>
      <c r="H9" s="9"/>
      <c r="J9" s="58"/>
      <c r="K9" s="126" t="s">
        <v>18</v>
      </c>
      <c r="L9" s="153"/>
      <c r="M9" s="153" t="s">
        <v>143</v>
      </c>
      <c r="N9" s="152" t="str">
        <f t="shared" si="1"/>
        <v>USD2MOIS</v>
      </c>
      <c r="O9" s="152" t="str">
        <v>USD2MOIS=TTKL</v>
      </c>
      <c r="P9" s="120">
        <v>0.109</v>
      </c>
      <c r="Q9" s="120">
        <v>0.13900000000000001</v>
      </c>
      <c r="R9" s="120">
        <v>0</v>
      </c>
      <c r="S9" s="120">
        <v>0</v>
      </c>
      <c r="T9" s="124">
        <f>_xll.qlMidEquivalent($P9,$Q9,$R9,$S9)</f>
        <v>0.124</v>
      </c>
      <c r="U9" s="122"/>
      <c r="V9" s="123">
        <v>8.5000000000000006E-2</v>
      </c>
      <c r="W9" s="122"/>
      <c r="X9" s="168">
        <v>0.124</v>
      </c>
      <c r="Y9" s="119">
        <f>_xll.qlSimpleQuoteSetValue(F9,X9/100,Trigger)</f>
        <v>0</v>
      </c>
      <c r="Z9" s="109"/>
    </row>
    <row r="10" spans="1:26" x14ac:dyDescent="0.2">
      <c r="A10" s="58"/>
      <c r="B10" s="90"/>
      <c r="C10" s="90" t="s">
        <v>143</v>
      </c>
      <c r="D10" s="232" t="s">
        <v>17</v>
      </c>
      <c r="E10" s="110" t="str">
        <f t="shared" si="0"/>
        <v>USDOIS3M_Quote</v>
      </c>
      <c r="F10" s="110" t="str">
        <f>_xll.qlSimpleQuote(Currency&amp;$B10&amp;$C10&amp;$D10&amp;QuoteSuffix,,RateTickValue,Permanent,Trigger,ObjectOverwrite)</f>
        <v>USDOIS3M_Quote#0009</v>
      </c>
      <c r="G10" s="10" t="str">
        <f>_xll.ohRangeRetrieveError(F10)</f>
        <v/>
      </c>
      <c r="H10" s="9"/>
      <c r="J10" s="58"/>
      <c r="K10" s="126" t="s">
        <v>17</v>
      </c>
      <c r="L10" s="153"/>
      <c r="M10" s="153" t="s">
        <v>143</v>
      </c>
      <c r="N10" s="152" t="str">
        <f t="shared" si="1"/>
        <v>USD3MOIS</v>
      </c>
      <c r="O10" s="152" t="str">
        <v>USD3MOIS=TTKL</v>
      </c>
      <c r="P10" s="120">
        <v>0.113</v>
      </c>
      <c r="Q10" s="120">
        <v>0.14300000000000002</v>
      </c>
      <c r="R10" s="120">
        <v>0</v>
      </c>
      <c r="S10" s="120">
        <v>0</v>
      </c>
      <c r="T10" s="124">
        <f>_xll.qlMidEquivalent($P10,$Q10,$R10,$S10)</f>
        <v>0.128</v>
      </c>
      <c r="U10" s="122"/>
      <c r="V10" s="123">
        <v>8.5000000000000006E-2</v>
      </c>
      <c r="W10" s="122"/>
      <c r="X10" s="168">
        <v>0.128</v>
      </c>
      <c r="Y10" s="119">
        <f>_xll.qlSimpleQuoteSetValue(F10,X10/100,Trigger)</f>
        <v>0</v>
      </c>
      <c r="Z10" s="109"/>
    </row>
    <row r="11" spans="1:26" x14ac:dyDescent="0.2">
      <c r="A11" s="58"/>
      <c r="B11" s="90"/>
      <c r="C11" s="90" t="s">
        <v>143</v>
      </c>
      <c r="D11" s="232" t="s">
        <v>16</v>
      </c>
      <c r="E11" s="110" t="str">
        <f t="shared" si="0"/>
        <v>USDOIS4M_Quote</v>
      </c>
      <c r="F11" s="110" t="str">
        <f>_xll.qlSimpleQuote(Currency&amp;$B11&amp;$C11&amp;$D11&amp;QuoteSuffix,,RateTickValue,Permanent,Trigger,ObjectOverwrite)</f>
        <v>USDOIS4M_Quote#0009</v>
      </c>
      <c r="G11" s="10" t="str">
        <f>_xll.ohRangeRetrieveError(F11)</f>
        <v/>
      </c>
      <c r="H11" s="9"/>
      <c r="J11" s="58"/>
      <c r="K11" s="126" t="s">
        <v>16</v>
      </c>
      <c r="L11" s="153"/>
      <c r="M11" s="153" t="s">
        <v>143</v>
      </c>
      <c r="N11" s="152" t="str">
        <f t="shared" si="1"/>
        <v>USD4MOIS</v>
      </c>
      <c r="O11" s="152" t="str">
        <v>USD4MOIS=TTKL</v>
      </c>
      <c r="P11" s="120">
        <v>0.121</v>
      </c>
      <c r="Q11" s="120">
        <v>0.151</v>
      </c>
      <c r="R11" s="120">
        <v>0</v>
      </c>
      <c r="S11" s="120">
        <v>0</v>
      </c>
      <c r="T11" s="124">
        <f>_xll.qlMidEquivalent($P11,$Q11,$R11,$S11)</f>
        <v>0.13600000000000001</v>
      </c>
      <c r="U11" s="122"/>
      <c r="V11" s="123">
        <v>8.5999999999999993E-2</v>
      </c>
      <c r="W11" s="122"/>
      <c r="X11" s="168">
        <v>0.13600000000000001</v>
      </c>
      <c r="Y11" s="119">
        <f>_xll.qlSimpleQuoteSetValue(F11,X11/100,Trigger)</f>
        <v>0</v>
      </c>
      <c r="Z11" s="109"/>
    </row>
    <row r="12" spans="1:26" x14ac:dyDescent="0.2">
      <c r="A12" s="58"/>
      <c r="B12" s="90"/>
      <c r="C12" s="90" t="s">
        <v>143</v>
      </c>
      <c r="D12" s="232" t="s">
        <v>15</v>
      </c>
      <c r="E12" s="110" t="str">
        <f t="shared" si="0"/>
        <v>USDOIS5M_Quote</v>
      </c>
      <c r="F12" s="110" t="str">
        <f>_xll.qlSimpleQuote(Currency&amp;$B12&amp;$C12&amp;$D12&amp;QuoteSuffix,,RateTickValue,Permanent,Trigger,ObjectOverwrite)</f>
        <v>USDOIS5M_Quote#0009</v>
      </c>
      <c r="G12" s="10" t="str">
        <f>_xll.ohRangeRetrieveError(F12)</f>
        <v/>
      </c>
      <c r="H12" s="9"/>
      <c r="J12" s="58"/>
      <c r="K12" s="126" t="s">
        <v>15</v>
      </c>
      <c r="L12" s="153"/>
      <c r="M12" s="153" t="s">
        <v>143</v>
      </c>
      <c r="N12" s="152" t="str">
        <f t="shared" si="1"/>
        <v>USD5MOIS</v>
      </c>
      <c r="O12" s="152" t="str">
        <v>USD5MOIS=TTKL</v>
      </c>
      <c r="P12" s="120">
        <v>0.13700000000000001</v>
      </c>
      <c r="Q12" s="120">
        <v>0.16700000000000001</v>
      </c>
      <c r="R12" s="120">
        <v>0</v>
      </c>
      <c r="S12" s="120">
        <v>0</v>
      </c>
      <c r="T12" s="124">
        <f>_xll.qlMidEquivalent($P12,$Q12,$R12,$S12)</f>
        <v>0.15200000000000002</v>
      </c>
      <c r="U12" s="122"/>
      <c r="V12" s="123">
        <v>8.6999999999999994E-2</v>
      </c>
      <c r="W12" s="122"/>
      <c r="X12" s="168">
        <v>0.15200000000000002</v>
      </c>
      <c r="Y12" s="119">
        <f>_xll.qlSimpleQuoteSetValue(F12,X12/100,Trigger)</f>
        <v>0</v>
      </c>
      <c r="Z12" s="109"/>
    </row>
    <row r="13" spans="1:26" x14ac:dyDescent="0.2">
      <c r="A13" s="58"/>
      <c r="B13" s="90"/>
      <c r="C13" s="90" t="s">
        <v>143</v>
      </c>
      <c r="D13" s="232" t="s">
        <v>14</v>
      </c>
      <c r="E13" s="110" t="str">
        <f t="shared" si="0"/>
        <v>USDOIS6M_Quote</v>
      </c>
      <c r="F13" s="110" t="str">
        <f>_xll.qlSimpleQuote(Currency&amp;$B13&amp;$C13&amp;$D13&amp;QuoteSuffix,,RateTickValue,Permanent,Trigger,ObjectOverwrite)</f>
        <v>USDOIS6M_Quote#0009</v>
      </c>
      <c r="G13" s="10" t="str">
        <f>_xll.ohRangeRetrieveError(F13)</f>
        <v/>
      </c>
      <c r="H13" s="9"/>
      <c r="J13" s="58"/>
      <c r="K13" s="126" t="s">
        <v>14</v>
      </c>
      <c r="L13" s="153"/>
      <c r="M13" s="153" t="s">
        <v>143</v>
      </c>
      <c r="N13" s="152" t="str">
        <f t="shared" si="1"/>
        <v>USD6MOIS</v>
      </c>
      <c r="O13" s="152" t="str">
        <v>USD6MOIS=TTKL</v>
      </c>
      <c r="P13" s="120">
        <v>0.155</v>
      </c>
      <c r="Q13" s="120">
        <v>0.185</v>
      </c>
      <c r="R13" s="120">
        <v>0</v>
      </c>
      <c r="S13" s="120">
        <v>0</v>
      </c>
      <c r="T13" s="124">
        <f>_xll.qlMidEquivalent($P13,$Q13,$R13,$S13)</f>
        <v>0.16999999999999998</v>
      </c>
      <c r="U13" s="122"/>
      <c r="V13" s="123">
        <v>0.09</v>
      </c>
      <c r="W13" s="122"/>
      <c r="X13" s="168">
        <v>0.16999999999999998</v>
      </c>
      <c r="Y13" s="119">
        <f>_xll.qlSimpleQuoteSetValue(F13,X13/100,Trigger)</f>
        <v>0</v>
      </c>
      <c r="Z13" s="109"/>
    </row>
    <row r="14" spans="1:26" x14ac:dyDescent="0.2">
      <c r="A14" s="58"/>
      <c r="B14" s="90"/>
      <c r="C14" s="90" t="s">
        <v>143</v>
      </c>
      <c r="D14" s="232" t="s">
        <v>13</v>
      </c>
      <c r="E14" s="110" t="str">
        <f t="shared" si="0"/>
        <v>USDOIS7M_Quote</v>
      </c>
      <c r="F14" s="110" t="str">
        <f>_xll.qlSimpleQuote(Currency&amp;$B14&amp;$C14&amp;$D14&amp;QuoteSuffix,,RateTickValue,Permanent,Trigger,ObjectOverwrite)</f>
        <v>USDOIS7M_Quote#0009</v>
      </c>
      <c r="G14" s="10" t="str">
        <f>_xll.ohRangeRetrieveError(F14)</f>
        <v/>
      </c>
      <c r="H14" s="9"/>
      <c r="J14" s="58"/>
      <c r="K14" s="126" t="s">
        <v>13</v>
      </c>
      <c r="L14" s="153"/>
      <c r="M14" s="153" t="s">
        <v>143</v>
      </c>
      <c r="N14" s="152" t="str">
        <f t="shared" si="1"/>
        <v>USD7MOIS</v>
      </c>
      <c r="O14" s="152" t="str">
        <v>USD7MOIS=TTKL</v>
      </c>
      <c r="P14" s="120">
        <v>0.17300000000000001</v>
      </c>
      <c r="Q14" s="120">
        <v>0.20300000000000001</v>
      </c>
      <c r="R14" s="120">
        <v>0</v>
      </c>
      <c r="S14" s="120">
        <v>0</v>
      </c>
      <c r="T14" s="124">
        <f>_xll.qlMidEquivalent($P14,$Q14,$R14,$S14)</f>
        <v>0.188</v>
      </c>
      <c r="U14" s="122"/>
      <c r="V14" s="123">
        <v>9.5000000000000001E-2</v>
      </c>
      <c r="W14" s="122"/>
      <c r="X14" s="168">
        <v>0.188</v>
      </c>
      <c r="Y14" s="119">
        <f>_xll.qlSimpleQuoteSetValue(F14,X14/100,Trigger)</f>
        <v>0</v>
      </c>
      <c r="Z14" s="109"/>
    </row>
    <row r="15" spans="1:26" x14ac:dyDescent="0.2">
      <c r="A15" s="58"/>
      <c r="B15" s="90"/>
      <c r="C15" s="90" t="s">
        <v>143</v>
      </c>
      <c r="D15" s="232" t="s">
        <v>12</v>
      </c>
      <c r="E15" s="110" t="str">
        <f t="shared" si="0"/>
        <v>USDOIS8M_Quote</v>
      </c>
      <c r="F15" s="110" t="str">
        <f>_xll.qlSimpleQuote(Currency&amp;$B15&amp;$C15&amp;$D15&amp;QuoteSuffix,,RateTickValue,Permanent,Trigger,ObjectOverwrite)</f>
        <v>USDOIS8M_Quote#0009</v>
      </c>
      <c r="G15" s="10" t="str">
        <f>_xll.ohRangeRetrieveError(F15)</f>
        <v/>
      </c>
      <c r="H15" s="9"/>
      <c r="J15" s="58"/>
      <c r="K15" s="126" t="s">
        <v>12</v>
      </c>
      <c r="L15" s="153"/>
      <c r="M15" s="153" t="s">
        <v>143</v>
      </c>
      <c r="N15" s="152" t="str">
        <f t="shared" si="1"/>
        <v>USD8MOIS</v>
      </c>
      <c r="O15" s="152" t="str">
        <v>USD8MOIS=TTKL</v>
      </c>
      <c r="P15" s="120">
        <v>0.19700000000000001</v>
      </c>
      <c r="Q15" s="120">
        <v>0.22700000000000001</v>
      </c>
      <c r="R15" s="120">
        <v>0</v>
      </c>
      <c r="S15" s="120">
        <v>0</v>
      </c>
      <c r="T15" s="124">
        <f>_xll.qlMidEquivalent($P15,$Q15,$R15,$S15)</f>
        <v>0.21200000000000002</v>
      </c>
      <c r="U15" s="122"/>
      <c r="V15" s="123">
        <v>0.1</v>
      </c>
      <c r="W15" s="122"/>
      <c r="X15" s="168">
        <v>0.21200000000000002</v>
      </c>
      <c r="Y15" s="119">
        <f>_xll.qlSimpleQuoteSetValue(F15,X15/100,Trigger)</f>
        <v>0</v>
      </c>
      <c r="Z15" s="109"/>
    </row>
    <row r="16" spans="1:26" x14ac:dyDescent="0.2">
      <c r="A16" s="58"/>
      <c r="B16" s="90"/>
      <c r="C16" s="90" t="s">
        <v>143</v>
      </c>
      <c r="D16" s="232" t="s">
        <v>11</v>
      </c>
      <c r="E16" s="110" t="str">
        <f t="shared" si="0"/>
        <v>USDOIS9M_Quote</v>
      </c>
      <c r="F16" s="110" t="str">
        <f>_xll.qlSimpleQuote(Currency&amp;$B16&amp;$C16&amp;$D16&amp;QuoteSuffix,,RateTickValue,Permanent,Trigger,ObjectOverwrite)</f>
        <v>USDOIS9M_Quote#0009</v>
      </c>
      <c r="G16" s="10" t="str">
        <f>_xll.ohRangeRetrieveError(F16)</f>
        <v/>
      </c>
      <c r="H16" s="9"/>
      <c r="J16" s="58"/>
      <c r="K16" s="126" t="s">
        <v>11</v>
      </c>
      <c r="L16" s="153"/>
      <c r="M16" s="153" t="s">
        <v>143</v>
      </c>
      <c r="N16" s="152" t="str">
        <f t="shared" si="1"/>
        <v>USD9MOIS</v>
      </c>
      <c r="O16" s="152" t="str">
        <v>USD9MOIS=TTKL</v>
      </c>
      <c r="P16" s="120">
        <v>0.222</v>
      </c>
      <c r="Q16" s="120">
        <v>0.252</v>
      </c>
      <c r="R16" s="120">
        <v>0</v>
      </c>
      <c r="S16" s="120">
        <v>0</v>
      </c>
      <c r="T16" s="124">
        <f>_xll.qlMidEquivalent($P16,$Q16,$R16,$S16)</f>
        <v>0.23699999999999999</v>
      </c>
      <c r="U16" s="122"/>
      <c r="V16" s="123">
        <v>0.113</v>
      </c>
      <c r="W16" s="122"/>
      <c r="X16" s="168">
        <v>0.23699999999999999</v>
      </c>
      <c r="Y16" s="119">
        <f>_xll.qlSimpleQuoteSetValue(F16,X16/100,Trigger)</f>
        <v>0</v>
      </c>
      <c r="Z16" s="109"/>
    </row>
    <row r="17" spans="1:26" x14ac:dyDescent="0.2">
      <c r="A17" s="58"/>
      <c r="B17" s="90"/>
      <c r="C17" s="90" t="s">
        <v>143</v>
      </c>
      <c r="D17" s="232" t="s">
        <v>10</v>
      </c>
      <c r="E17" s="110" t="str">
        <f t="shared" si="0"/>
        <v>USDOIS10M_Quote</v>
      </c>
      <c r="F17" s="110" t="str">
        <f>_xll.qlSimpleQuote(Currency&amp;$B17&amp;$C17&amp;$D17&amp;QuoteSuffix,,RateTickValue,Permanent,Trigger,ObjectOverwrite)</f>
        <v>USDOIS10M_Quote#0009</v>
      </c>
      <c r="G17" s="10" t="str">
        <f>_xll.ohRangeRetrieveError(F17)</f>
        <v/>
      </c>
      <c r="H17" s="9"/>
      <c r="J17" s="58"/>
      <c r="K17" s="126" t="s">
        <v>10</v>
      </c>
      <c r="L17" s="153"/>
      <c r="M17" s="153" t="s">
        <v>143</v>
      </c>
      <c r="N17" s="152" t="str">
        <f t="shared" si="1"/>
        <v>USD10MOIS</v>
      </c>
      <c r="O17" s="152" t="str">
        <v>USD10MOIS=TTKL</v>
      </c>
      <c r="P17" s="120">
        <v>0.25</v>
      </c>
      <c r="Q17" s="120">
        <v>0.28000000000000003</v>
      </c>
      <c r="R17" s="120">
        <v>0</v>
      </c>
      <c r="S17" s="120">
        <v>0</v>
      </c>
      <c r="T17" s="124">
        <f>_xll.qlMidEquivalent($P17,$Q17,$R17,$S17)</f>
        <v>0.26500000000000001</v>
      </c>
      <c r="U17" s="122"/>
      <c r="V17" s="123">
        <v>0.13</v>
      </c>
      <c r="W17" s="122"/>
      <c r="X17" s="168">
        <v>0.26500000000000001</v>
      </c>
      <c r="Y17" s="119">
        <f>_xll.qlSimpleQuoteSetValue(F17,X17/100,Trigger)</f>
        <v>0</v>
      </c>
      <c r="Z17" s="109"/>
    </row>
    <row r="18" spans="1:26" x14ac:dyDescent="0.2">
      <c r="A18" s="58"/>
      <c r="B18" s="90"/>
      <c r="C18" s="90" t="s">
        <v>143</v>
      </c>
      <c r="D18" s="232" t="s">
        <v>9</v>
      </c>
      <c r="E18" s="110" t="str">
        <f t="shared" si="0"/>
        <v>USDOIS11M_Quote</v>
      </c>
      <c r="F18" s="110" t="str">
        <f>_xll.qlSimpleQuote(Currency&amp;$B18&amp;$C18&amp;$D18&amp;QuoteSuffix,,RateTickValue,Permanent,Trigger,ObjectOverwrite)</f>
        <v>USDOIS11M_Quote#0009</v>
      </c>
      <c r="G18" s="10" t="str">
        <f>_xll.ohRangeRetrieveError(F18)</f>
        <v/>
      </c>
      <c r="H18" s="9"/>
      <c r="J18" s="58"/>
      <c r="K18" s="126" t="s">
        <v>9</v>
      </c>
      <c r="L18" s="153"/>
      <c r="M18" s="153" t="s">
        <v>143</v>
      </c>
      <c r="N18" s="152" t="str">
        <f t="shared" si="1"/>
        <v>USD11MOIS</v>
      </c>
      <c r="O18" s="152" t="str">
        <v>USD11MOIS=TTKL</v>
      </c>
      <c r="P18" s="120">
        <v>0.27600000000000002</v>
      </c>
      <c r="Q18" s="120">
        <v>0.30599999999999999</v>
      </c>
      <c r="R18" s="120">
        <v>0</v>
      </c>
      <c r="S18" s="120">
        <v>0</v>
      </c>
      <c r="T18" s="124">
        <f>_xll.qlMidEquivalent($P18,$Q18,$R18,$S18)</f>
        <v>0.29100000000000004</v>
      </c>
      <c r="U18" s="122"/>
      <c r="V18" s="123">
        <v>0.14400000000000002</v>
      </c>
      <c r="W18" s="122"/>
      <c r="X18" s="168">
        <v>0.29100000000000004</v>
      </c>
      <c r="Y18" s="119">
        <f>_xll.qlSimpleQuoteSetValue(F18,X18/100,Trigger)</f>
        <v>0</v>
      </c>
      <c r="Z18" s="109"/>
    </row>
    <row r="19" spans="1:26" x14ac:dyDescent="0.2">
      <c r="A19" s="58"/>
      <c r="B19" s="90"/>
      <c r="C19" s="90" t="s">
        <v>143</v>
      </c>
      <c r="D19" s="232" t="s">
        <v>8</v>
      </c>
      <c r="E19" s="110" t="str">
        <f t="shared" si="0"/>
        <v>USDOIS1Y_Quote</v>
      </c>
      <c r="F19" s="110" t="str">
        <f>_xll.qlSimpleQuote(Currency&amp;$B19&amp;$C19&amp;$D19&amp;QuoteSuffix,,RateTickValue,Permanent,Trigger,ObjectOverwrite)</f>
        <v>USDOIS1Y_Quote#0009</v>
      </c>
      <c r="G19" s="10" t="str">
        <f>_xll.ohRangeRetrieveError(F19)</f>
        <v/>
      </c>
      <c r="H19" s="9"/>
      <c r="J19" s="58"/>
      <c r="K19" s="126" t="s">
        <v>8</v>
      </c>
      <c r="L19" s="153"/>
      <c r="M19" s="153" t="s">
        <v>143</v>
      </c>
      <c r="N19" s="152" t="str">
        <f t="shared" si="1"/>
        <v>USD1YOIS</v>
      </c>
      <c r="O19" s="152" t="str">
        <v>USD1YOIS=TTKL</v>
      </c>
      <c r="P19" s="120">
        <v>0.307</v>
      </c>
      <c r="Q19" s="120">
        <v>0.33700000000000002</v>
      </c>
      <c r="R19" s="120">
        <v>0</v>
      </c>
      <c r="S19" s="120">
        <v>0</v>
      </c>
      <c r="T19" s="124">
        <f>_xll.qlMidEquivalent($P19,$Q19,$R19,$S19)</f>
        <v>0.32200000000000001</v>
      </c>
      <c r="U19" s="122"/>
      <c r="V19" s="123">
        <v>0.16499999999999998</v>
      </c>
      <c r="W19" s="122"/>
      <c r="X19" s="168">
        <v>0.32200000000000001</v>
      </c>
      <c r="Y19" s="119">
        <f>_xll.qlSimpleQuoteSetValue(F19,X19/100,Trigger)</f>
        <v>0</v>
      </c>
      <c r="Z19" s="109"/>
    </row>
    <row r="20" spans="1:26" x14ac:dyDescent="0.2">
      <c r="A20" s="58"/>
      <c r="B20" s="90"/>
      <c r="C20" s="90" t="s">
        <v>143</v>
      </c>
      <c r="D20" s="232" t="s">
        <v>161</v>
      </c>
      <c r="E20" s="110" t="str">
        <f t="shared" si="0"/>
        <v>USDOIS13M_Quote</v>
      </c>
      <c r="F20" s="110" t="str">
        <f>_xll.qlSimpleQuote(Currency&amp;$B20&amp;$C20&amp;$D20&amp;QuoteSuffix,,RateTickValue,Permanent,Trigger,ObjectOverwrite)</f>
        <v>USDOIS13M_Quote#0009</v>
      </c>
      <c r="G20" s="10" t="str">
        <f>_xll.ohRangeRetrieveError(F20)</f>
        <v/>
      </c>
      <c r="H20" s="9"/>
      <c r="J20" s="58"/>
      <c r="K20" s="126" t="s">
        <v>161</v>
      </c>
      <c r="L20" s="153"/>
      <c r="M20" s="153" t="s">
        <v>143</v>
      </c>
      <c r="N20" s="152" t="str">
        <f t="shared" si="1"/>
        <v>USD13MOIS</v>
      </c>
      <c r="O20" s="152" t="str">
        <v>USD13MOIS=TTKL</v>
      </c>
      <c r="P20" s="120">
        <v>0.33500000000000002</v>
      </c>
      <c r="Q20" s="120">
        <v>0.36499999999999999</v>
      </c>
      <c r="R20" s="120">
        <v>0</v>
      </c>
      <c r="S20" s="120">
        <v>0</v>
      </c>
      <c r="T20" s="124">
        <f>_xll.qlMidEquivalent($P20,$Q20,$R20,$S20)</f>
        <v>0.35</v>
      </c>
      <c r="U20" s="122"/>
      <c r="V20" s="123">
        <v>0.19</v>
      </c>
      <c r="W20" s="122"/>
      <c r="X20" s="168">
        <v>0.35</v>
      </c>
      <c r="Y20" s="119">
        <f>_xll.qlSimpleQuoteSetValue(F20,X20/100,Trigger)</f>
        <v>0</v>
      </c>
      <c r="Z20" s="109"/>
    </row>
    <row r="21" spans="1:26" x14ac:dyDescent="0.2">
      <c r="A21" s="58"/>
      <c r="B21" s="90"/>
      <c r="C21" s="90" t="s">
        <v>143</v>
      </c>
      <c r="D21" s="232" t="s">
        <v>160</v>
      </c>
      <c r="E21" s="110" t="str">
        <f t="shared" si="0"/>
        <v>USDOIS14M_Quote</v>
      </c>
      <c r="F21" s="110" t="str">
        <f>_xll.qlSimpleQuote(Currency&amp;$B21&amp;$C21&amp;$D21&amp;QuoteSuffix,,RateTickValue,Permanent,Trigger,ObjectOverwrite)</f>
        <v>USDOIS14M_Quote#0009</v>
      </c>
      <c r="G21" s="10" t="str">
        <f>_xll.ohRangeRetrieveError(F21)</f>
        <v/>
      </c>
      <c r="H21" s="9"/>
      <c r="J21" s="58"/>
      <c r="K21" s="126" t="s">
        <v>160</v>
      </c>
      <c r="L21" s="153"/>
      <c r="M21" s="153" t="s">
        <v>143</v>
      </c>
      <c r="N21" s="152" t="str">
        <f t="shared" si="1"/>
        <v>USD14MOIS</v>
      </c>
      <c r="O21" s="152" t="str">
        <v>USD14MOIS=TTKL</v>
      </c>
      <c r="P21" s="120">
        <v>0.36699999999999999</v>
      </c>
      <c r="Q21" s="120">
        <v>0.39700000000000002</v>
      </c>
      <c r="R21" s="120">
        <v>0</v>
      </c>
      <c r="S21" s="120">
        <v>0</v>
      </c>
      <c r="T21" s="124">
        <f>_xll.qlMidEquivalent($P21,$Q21,$R21,$S21)</f>
        <v>0.38200000000000001</v>
      </c>
      <c r="U21" s="122"/>
      <c r="V21" s="123">
        <v>0.21200000000000002</v>
      </c>
      <c r="W21" s="122"/>
      <c r="X21" s="168">
        <v>0.38200000000000001</v>
      </c>
      <c r="Y21" s="119">
        <f>_xll.qlSimpleQuoteSetValue(F21,X21/100,Trigger)</f>
        <v>0</v>
      </c>
      <c r="Z21" s="109"/>
    </row>
    <row r="22" spans="1:26" x14ac:dyDescent="0.2">
      <c r="A22" s="58"/>
      <c r="B22" s="90"/>
      <c r="C22" s="90" t="s">
        <v>143</v>
      </c>
      <c r="D22" s="232" t="s">
        <v>104</v>
      </c>
      <c r="E22" s="110" t="str">
        <f t="shared" si="0"/>
        <v>USDOIS15M_Quote</v>
      </c>
      <c r="F22" s="110" t="str">
        <f>_xll.qlSimpleQuote(Currency&amp;$B22&amp;$C22&amp;$D22&amp;QuoteSuffix,,RateTickValue,Permanent,Trigger,ObjectOverwrite)</f>
        <v>USDOIS15M_Quote#0009</v>
      </c>
      <c r="G22" s="10" t="str">
        <f>_xll.ohRangeRetrieveError(F22)</f>
        <v/>
      </c>
      <c r="H22" s="9"/>
      <c r="J22" s="58"/>
      <c r="K22" s="126" t="s">
        <v>104</v>
      </c>
      <c r="L22" s="153"/>
      <c r="M22" s="153" t="s">
        <v>143</v>
      </c>
      <c r="N22" s="152" t="str">
        <f t="shared" si="1"/>
        <v>USD15MOIS</v>
      </c>
      <c r="O22" s="152" t="str">
        <v>USD15MOIS=TTKL</v>
      </c>
      <c r="P22" s="120">
        <v>0.4</v>
      </c>
      <c r="Q22" s="120">
        <v>0.43</v>
      </c>
      <c r="R22" s="120">
        <v>0</v>
      </c>
      <c r="S22" s="120">
        <v>0</v>
      </c>
      <c r="T22" s="124">
        <f>_xll.qlMidEquivalent($P22,$Q22,$R22,$S22)</f>
        <v>0.41500000000000004</v>
      </c>
      <c r="U22" s="122"/>
      <c r="V22" s="123">
        <v>0.24099999999999999</v>
      </c>
      <c r="W22" s="122"/>
      <c r="X22" s="168">
        <v>0.41500000000000004</v>
      </c>
      <c r="Y22" s="119">
        <f>_xll.qlSimpleQuoteSetValue(F22,X22/100,Trigger)</f>
        <v>0</v>
      </c>
      <c r="Z22" s="109"/>
    </row>
    <row r="23" spans="1:26" x14ac:dyDescent="0.2">
      <c r="A23" s="58"/>
      <c r="B23" s="90"/>
      <c r="C23" s="90" t="s">
        <v>143</v>
      </c>
      <c r="D23" s="232" t="s">
        <v>159</v>
      </c>
      <c r="E23" s="110" t="str">
        <f t="shared" si="0"/>
        <v>USDOIS16M_Quote</v>
      </c>
      <c r="F23" s="110" t="str">
        <f>_xll.qlSimpleQuote(Currency&amp;$B23&amp;$C23&amp;$D23&amp;QuoteSuffix,,RateTickValue,Permanent,Trigger,ObjectOverwrite)</f>
        <v>USDOIS16M_Quote#0009</v>
      </c>
      <c r="G23" s="10" t="str">
        <f>_xll.ohRangeRetrieveError(F23)</f>
        <v/>
      </c>
      <c r="H23" s="9"/>
      <c r="J23" s="58"/>
      <c r="K23" s="126" t="s">
        <v>159</v>
      </c>
      <c r="L23" s="153"/>
      <c r="M23" s="153" t="s">
        <v>143</v>
      </c>
      <c r="N23" s="152" t="str">
        <f t="shared" si="1"/>
        <v>USD16MOIS</v>
      </c>
      <c r="O23" s="152" t="str">
        <v>USD16MOIS=TTKL</v>
      </c>
      <c r="P23" s="120">
        <v>0.434</v>
      </c>
      <c r="Q23" s="120">
        <v>0.46400000000000002</v>
      </c>
      <c r="R23" s="120">
        <v>0</v>
      </c>
      <c r="S23" s="120">
        <v>0</v>
      </c>
      <c r="T23" s="124">
        <f>_xll.qlMidEquivalent($P23,$Q23,$R23,$S23)</f>
        <v>0.44900000000000001</v>
      </c>
      <c r="U23" s="122"/>
      <c r="V23" s="123">
        <v>0.27100000000000002</v>
      </c>
      <c r="W23" s="122"/>
      <c r="X23" s="168">
        <v>0.44900000000000001</v>
      </c>
      <c r="Y23" s="119">
        <f>_xll.qlSimpleQuoteSetValue(F23,X23/100,Trigger)</f>
        <v>0</v>
      </c>
      <c r="Z23" s="109"/>
    </row>
    <row r="24" spans="1:26" x14ac:dyDescent="0.2">
      <c r="A24" s="58"/>
      <c r="B24" s="90"/>
      <c r="C24" s="90" t="s">
        <v>143</v>
      </c>
      <c r="D24" s="232" t="s">
        <v>158</v>
      </c>
      <c r="E24" s="110" t="str">
        <f t="shared" si="0"/>
        <v>USDOIS17M_Quote</v>
      </c>
      <c r="F24" s="110" t="str">
        <f>_xll.qlSimpleQuote(Currency&amp;$B24&amp;$C24&amp;$D24&amp;QuoteSuffix,,RateTickValue,Permanent,Trigger,ObjectOverwrite)</f>
        <v>USDOIS17M_Quote#0009</v>
      </c>
      <c r="G24" s="10" t="str">
        <f>_xll.ohRangeRetrieveError(F24)</f>
        <v/>
      </c>
      <c r="H24" s="9"/>
      <c r="J24" s="58"/>
      <c r="K24" s="126" t="s">
        <v>158</v>
      </c>
      <c r="L24" s="153"/>
      <c r="M24" s="153" t="s">
        <v>143</v>
      </c>
      <c r="N24" s="152" t="str">
        <f t="shared" si="1"/>
        <v>USD17MOIS</v>
      </c>
      <c r="O24" s="152" t="str">
        <v>USD17MOIS=TTKL</v>
      </c>
      <c r="P24" s="120">
        <v>0.46300000000000002</v>
      </c>
      <c r="Q24" s="120">
        <v>0.49299999999999999</v>
      </c>
      <c r="R24" s="120">
        <v>0</v>
      </c>
      <c r="S24" s="120">
        <v>0</v>
      </c>
      <c r="T24" s="124">
        <f>_xll.qlMidEquivalent($P24,$Q24,$R24,$S24)</f>
        <v>0.47799999999999998</v>
      </c>
      <c r="U24" s="122"/>
      <c r="V24" s="123">
        <v>0.29699999999999999</v>
      </c>
      <c r="W24" s="122"/>
      <c r="X24" s="168">
        <v>0.47799999999999998</v>
      </c>
      <c r="Y24" s="119">
        <f>_xll.qlSimpleQuoteSetValue(F24,X24/100,Trigger)</f>
        <v>0</v>
      </c>
      <c r="Z24" s="109"/>
    </row>
    <row r="25" spans="1:26" x14ac:dyDescent="0.2">
      <c r="A25" s="58"/>
      <c r="B25" s="90"/>
      <c r="C25" s="90" t="s">
        <v>143</v>
      </c>
      <c r="D25" s="232" t="s">
        <v>103</v>
      </c>
      <c r="E25" s="110" t="str">
        <f t="shared" si="0"/>
        <v>USDOIS18M_Quote</v>
      </c>
      <c r="F25" s="110" t="str">
        <f>_xll.qlSimpleQuote(Currency&amp;$B25&amp;$C25&amp;$D25&amp;QuoteSuffix,,RateTickValue,Permanent,Trigger,ObjectOverwrite)</f>
        <v>USDOIS18M_Quote#0009</v>
      </c>
      <c r="G25" s="10" t="str">
        <f>_xll.ohRangeRetrieveError(F25)</f>
        <v/>
      </c>
      <c r="H25" s="9"/>
      <c r="J25" s="58"/>
      <c r="K25" s="126" t="s">
        <v>103</v>
      </c>
      <c r="L25" s="153"/>
      <c r="M25" s="153" t="s">
        <v>143</v>
      </c>
      <c r="N25" s="152" t="str">
        <f t="shared" si="1"/>
        <v>USD18MOIS</v>
      </c>
      <c r="O25" s="152" t="str">
        <v>USD18MOIS=TTKL</v>
      </c>
      <c r="P25" s="120">
        <v>0.499</v>
      </c>
      <c r="Q25" s="120">
        <v>0.52900000000000003</v>
      </c>
      <c r="R25" s="120">
        <v>0</v>
      </c>
      <c r="S25" s="120">
        <v>0</v>
      </c>
      <c r="T25" s="124">
        <f>_xll.qlMidEquivalent($P25,$Q25,$R25,$S25)</f>
        <v>0.51400000000000001</v>
      </c>
      <c r="U25" s="122"/>
      <c r="V25" s="123">
        <v>0.32800000000000001</v>
      </c>
      <c r="W25" s="122"/>
      <c r="X25" s="168">
        <v>0.51400000000000001</v>
      </c>
      <c r="Y25" s="119">
        <f>_xll.qlSimpleQuoteSetValue(F25,X25/100,Trigger)</f>
        <v>0</v>
      </c>
      <c r="Z25" s="109"/>
    </row>
    <row r="26" spans="1:26" x14ac:dyDescent="0.2">
      <c r="A26" s="58"/>
      <c r="B26" s="90"/>
      <c r="C26" s="90" t="s">
        <v>143</v>
      </c>
      <c r="D26" s="232" t="s">
        <v>157</v>
      </c>
      <c r="E26" s="110" t="str">
        <f t="shared" si="0"/>
        <v>USDOIS19M_Quote</v>
      </c>
      <c r="F26" s="110" t="str">
        <f>_xll.qlSimpleQuote(Currency&amp;$B26&amp;$C26&amp;$D26&amp;QuoteSuffix,,RateTickValue,Permanent,Trigger,ObjectOverwrite)</f>
        <v>USDOIS19M_Quote#0009</v>
      </c>
      <c r="G26" s="10" t="str">
        <f>_xll.ohRangeRetrieveError(F26)</f>
        <v/>
      </c>
      <c r="H26" s="9"/>
      <c r="J26" s="58"/>
      <c r="K26" s="126" t="s">
        <v>157</v>
      </c>
      <c r="L26" s="153"/>
      <c r="M26" s="153" t="s">
        <v>143</v>
      </c>
      <c r="N26" s="152" t="str">
        <f t="shared" si="1"/>
        <v>USD19MOIS</v>
      </c>
      <c r="O26" s="152" t="str">
        <v>USD19MOIS=TTKL</v>
      </c>
      <c r="P26" s="120">
        <v>0.53300000000000003</v>
      </c>
      <c r="Q26" s="120">
        <v>0.56300000000000006</v>
      </c>
      <c r="R26" s="120">
        <v>0</v>
      </c>
      <c r="S26" s="120">
        <v>0</v>
      </c>
      <c r="T26" s="124">
        <f>_xll.qlMidEquivalent($P26,$Q26,$R26,$S26)</f>
        <v>0.54800000000000004</v>
      </c>
      <c r="U26" s="122"/>
      <c r="V26" s="123">
        <v>0.36099999999999999</v>
      </c>
      <c r="W26" s="122"/>
      <c r="X26" s="168">
        <v>0.54800000000000004</v>
      </c>
      <c r="Y26" s="119">
        <f>_xll.qlSimpleQuoteSetValue(F26,X26/100,Trigger)</f>
        <v>0</v>
      </c>
      <c r="Z26" s="109"/>
    </row>
    <row r="27" spans="1:26" x14ac:dyDescent="0.2">
      <c r="A27" s="58"/>
      <c r="B27" s="90"/>
      <c r="C27" s="90" t="s">
        <v>143</v>
      </c>
      <c r="D27" s="232" t="s">
        <v>156</v>
      </c>
      <c r="E27" s="110" t="str">
        <f t="shared" si="0"/>
        <v>USDOIS20M_Quote</v>
      </c>
      <c r="F27" s="110" t="str">
        <f>_xll.qlSimpleQuote(Currency&amp;$B27&amp;$C27&amp;$D27&amp;QuoteSuffix,,RateTickValue,Permanent,Trigger,ObjectOverwrite)</f>
        <v>USDOIS20M_Quote#0009</v>
      </c>
      <c r="G27" s="10" t="str">
        <f>_xll.ohRangeRetrieveError(F27)</f>
        <v/>
      </c>
      <c r="H27" s="9"/>
      <c r="J27" s="58"/>
      <c r="K27" s="126" t="s">
        <v>156</v>
      </c>
      <c r="L27" s="153"/>
      <c r="M27" s="153" t="s">
        <v>143</v>
      </c>
      <c r="N27" s="152" t="str">
        <f t="shared" si="1"/>
        <v>USD20MOIS</v>
      </c>
      <c r="O27" s="152" t="str">
        <v>USD20MOIS=TTKL</v>
      </c>
      <c r="P27" s="120">
        <v>0.56500000000000006</v>
      </c>
      <c r="Q27" s="120">
        <v>0.59499999999999997</v>
      </c>
      <c r="R27" s="120">
        <v>0</v>
      </c>
      <c r="S27" s="120">
        <v>0</v>
      </c>
      <c r="T27" s="124">
        <f>_xll.qlMidEquivalent($P27,$Q27,$R27,$S27)</f>
        <v>0.58000000000000007</v>
      </c>
      <c r="U27" s="122"/>
      <c r="V27" s="123">
        <v>0.39400000000000002</v>
      </c>
      <c r="W27" s="122"/>
      <c r="X27" s="168">
        <v>0.58000000000000007</v>
      </c>
      <c r="Y27" s="119">
        <f>_xll.qlSimpleQuoteSetValue(F27,X27/100,Trigger)</f>
        <v>0</v>
      </c>
      <c r="Z27" s="109"/>
    </row>
    <row r="28" spans="1:26" x14ac:dyDescent="0.2">
      <c r="A28" s="58"/>
      <c r="B28" s="90"/>
      <c r="C28" s="90" t="s">
        <v>143</v>
      </c>
      <c r="D28" s="232" t="s">
        <v>102</v>
      </c>
      <c r="E28" s="110" t="str">
        <f t="shared" si="0"/>
        <v>USDOIS21M_Quote</v>
      </c>
      <c r="F28" s="110" t="str">
        <f>_xll.qlSimpleQuote(Currency&amp;$B28&amp;$C28&amp;$D28&amp;QuoteSuffix,,RateTickValue,Permanent,Trigger,ObjectOverwrite)</f>
        <v>USDOIS21M_Quote#0009</v>
      </c>
      <c r="G28" s="10" t="str">
        <f>_xll.ohRangeRetrieveError(F28)</f>
        <v/>
      </c>
      <c r="H28" s="9"/>
      <c r="J28" s="58"/>
      <c r="K28" s="126" t="s">
        <v>102</v>
      </c>
      <c r="L28" s="153"/>
      <c r="M28" s="153" t="s">
        <v>143</v>
      </c>
      <c r="N28" s="152" t="str">
        <f t="shared" si="1"/>
        <v>USD21MOIS</v>
      </c>
      <c r="O28" s="152" t="str">
        <v>USD21MOIS=TTKL</v>
      </c>
      <c r="P28" s="120">
        <v>0.59699999999999998</v>
      </c>
      <c r="Q28" s="120">
        <v>0.627</v>
      </c>
      <c r="R28" s="120">
        <v>0</v>
      </c>
      <c r="S28" s="120">
        <v>0</v>
      </c>
      <c r="T28" s="124">
        <f>_xll.qlMidEquivalent($P28,$Q28,$R28,$S28)</f>
        <v>0.61199999999999999</v>
      </c>
      <c r="U28" s="122"/>
      <c r="V28" s="123">
        <v>0.42699999999999999</v>
      </c>
      <c r="W28" s="122"/>
      <c r="X28" s="168">
        <v>0.61199999999999999</v>
      </c>
      <c r="Y28" s="119">
        <f>_xll.qlSimpleQuoteSetValue(F28,X28/100,Trigger)</f>
        <v>0</v>
      </c>
      <c r="Z28" s="109"/>
    </row>
    <row r="29" spans="1:26" x14ac:dyDescent="0.2">
      <c r="A29" s="58"/>
      <c r="B29" s="90"/>
      <c r="C29" s="90" t="s">
        <v>143</v>
      </c>
      <c r="D29" s="232" t="s">
        <v>155</v>
      </c>
      <c r="E29" s="110" t="str">
        <f t="shared" si="0"/>
        <v>USDOIS22M_Quote</v>
      </c>
      <c r="F29" s="110" t="str">
        <f>_xll.qlSimpleQuote(Currency&amp;$B29&amp;$C29&amp;$D29&amp;QuoteSuffix,,RateTickValue,Permanent,Trigger,ObjectOverwrite)</f>
        <v>USDOIS22M_Quote#0009</v>
      </c>
      <c r="G29" s="10" t="str">
        <f>_xll.ohRangeRetrieveError(F29)</f>
        <v/>
      </c>
      <c r="H29" s="9"/>
      <c r="J29" s="58"/>
      <c r="K29" s="126" t="s">
        <v>155</v>
      </c>
      <c r="L29" s="153"/>
      <c r="M29" s="153" t="s">
        <v>143</v>
      </c>
      <c r="N29" s="152" t="str">
        <f t="shared" si="1"/>
        <v>USD22MOIS</v>
      </c>
      <c r="O29" s="152" t="str">
        <v>USD22MOIS=TTKL</v>
      </c>
      <c r="P29" s="120">
        <v>0.63100000000000001</v>
      </c>
      <c r="Q29" s="120">
        <v>0.66100000000000003</v>
      </c>
      <c r="R29" s="120">
        <v>0</v>
      </c>
      <c r="S29" s="120">
        <v>0</v>
      </c>
      <c r="T29" s="124">
        <f>_xll.qlMidEquivalent($P29,$Q29,$R29,$S29)</f>
        <v>0.64600000000000002</v>
      </c>
      <c r="U29" s="122"/>
      <c r="V29" s="123">
        <v>0.46199999999999997</v>
      </c>
      <c r="W29" s="122"/>
      <c r="X29" s="168">
        <v>0.64600000000000002</v>
      </c>
      <c r="Y29" s="119">
        <f>_xll.qlSimpleQuoteSetValue(F29,X29/100,Trigger)</f>
        <v>0</v>
      </c>
      <c r="Z29" s="109"/>
    </row>
    <row r="30" spans="1:26" x14ac:dyDescent="0.2">
      <c r="A30" s="58"/>
      <c r="B30" s="90"/>
      <c r="C30" s="90" t="s">
        <v>143</v>
      </c>
      <c r="D30" s="232" t="s">
        <v>154</v>
      </c>
      <c r="E30" s="110" t="str">
        <f t="shared" si="0"/>
        <v>USDOIS23M_Quote</v>
      </c>
      <c r="F30" s="110" t="str">
        <f>_xll.qlSimpleQuote(Currency&amp;$B30&amp;$C30&amp;$D30&amp;QuoteSuffix,,RateTickValue,Permanent,Trigger,ObjectOverwrite)</f>
        <v>USDOIS23M_Quote#0009</v>
      </c>
      <c r="G30" s="10" t="str">
        <f>_xll.ohRangeRetrieveError(F30)</f>
        <v/>
      </c>
      <c r="H30" s="9"/>
      <c r="J30" s="58"/>
      <c r="K30" s="126" t="s">
        <v>154</v>
      </c>
      <c r="L30" s="153"/>
      <c r="M30" s="153" t="s">
        <v>143</v>
      </c>
      <c r="N30" s="152" t="str">
        <f t="shared" si="1"/>
        <v>USD23MOIS</v>
      </c>
      <c r="O30" s="152" t="str">
        <v>USD23MOIS=TTKL</v>
      </c>
      <c r="P30" s="120">
        <v>0.66200000000000003</v>
      </c>
      <c r="Q30" s="120">
        <v>0.69200000000000006</v>
      </c>
      <c r="R30" s="120">
        <v>0</v>
      </c>
      <c r="S30" s="120">
        <v>0</v>
      </c>
      <c r="T30" s="124">
        <f>_xll.qlMidEquivalent($P30,$Q30,$R30,$S30)</f>
        <v>0.67700000000000005</v>
      </c>
      <c r="U30" s="122"/>
      <c r="V30" s="123">
        <v>0.497</v>
      </c>
      <c r="W30" s="122"/>
      <c r="X30" s="168">
        <v>0.67700000000000005</v>
      </c>
      <c r="Y30" s="119">
        <f>_xll.qlSimpleQuoteSetValue(F30,X30/100,Trigger)</f>
        <v>0</v>
      </c>
      <c r="Z30" s="109"/>
    </row>
    <row r="31" spans="1:26" x14ac:dyDescent="0.2">
      <c r="A31" s="58"/>
      <c r="B31" s="90"/>
      <c r="C31" s="90" t="s">
        <v>143</v>
      </c>
      <c r="D31" s="232" t="s">
        <v>84</v>
      </c>
      <c r="E31" s="110" t="str">
        <f t="shared" si="0"/>
        <v>USDOIS2Y_Quote</v>
      </c>
      <c r="F31" s="110" t="str">
        <f>_xll.qlSimpleQuote(Currency&amp;$B31&amp;$C31&amp;$D31&amp;QuoteSuffix,,RateTickValue,Permanent,Trigger,ObjectOverwrite)</f>
        <v>USDOIS2Y_Quote#0009</v>
      </c>
      <c r="G31" s="10" t="str">
        <f>_xll.ohRangeRetrieveError(F31)</f>
        <v/>
      </c>
      <c r="H31" s="9"/>
      <c r="J31" s="58"/>
      <c r="K31" s="126" t="s">
        <v>84</v>
      </c>
      <c r="L31" s="153"/>
      <c r="M31" s="153" t="s">
        <v>143</v>
      </c>
      <c r="N31" s="152" t="str">
        <f t="shared" si="1"/>
        <v>USD2YOIS</v>
      </c>
      <c r="O31" s="152" t="str">
        <v>USD2YOIS=TTKL</v>
      </c>
      <c r="P31" s="120">
        <v>0.69700000000000006</v>
      </c>
      <c r="Q31" s="120">
        <v>0.72699999999999998</v>
      </c>
      <c r="R31" s="120">
        <v>0</v>
      </c>
      <c r="S31" s="120">
        <v>0</v>
      </c>
      <c r="T31" s="124">
        <f>_xll.qlMidEquivalent($P31,$Q31,$R31,$S31)</f>
        <v>0.71199999999999997</v>
      </c>
      <c r="U31" s="122"/>
      <c r="V31" s="123">
        <v>0.53300000000000003</v>
      </c>
      <c r="W31" s="122"/>
      <c r="X31" s="168">
        <v>0.71199999999999997</v>
      </c>
      <c r="Y31" s="119">
        <f>_xll.qlSimpleQuoteSetValue(F31,X31/100,Trigger)</f>
        <v>0</v>
      </c>
      <c r="Z31" s="109"/>
    </row>
    <row r="32" spans="1:26" x14ac:dyDescent="0.2">
      <c r="A32" s="58"/>
      <c r="B32" s="90"/>
      <c r="C32" s="90" t="s">
        <v>143</v>
      </c>
      <c r="D32" s="232" t="s">
        <v>153</v>
      </c>
      <c r="E32" s="110" t="str">
        <f t="shared" si="0"/>
        <v>USDOIS27M_Quote</v>
      </c>
      <c r="F32" s="110" t="str">
        <f>_xll.qlSimpleQuote(Currency&amp;$B32&amp;$C32&amp;$D32&amp;QuoteSuffix,,RateTickValue,Permanent,Trigger,ObjectOverwrite)</f>
        <v>USDOIS27M_Quote#0009</v>
      </c>
      <c r="G32" s="10" t="str">
        <f>_xll.ohRangeRetrieveError(F32)</f>
        <v/>
      </c>
      <c r="H32" s="9"/>
      <c r="J32" s="58"/>
      <c r="K32" s="126" t="s">
        <v>153</v>
      </c>
      <c r="L32" s="153"/>
      <c r="M32" s="153" t="s">
        <v>143</v>
      </c>
      <c r="N32" s="152" t="str">
        <f t="shared" si="1"/>
        <v>USD27MOIS</v>
      </c>
      <c r="O32" s="152" t="str">
        <v>USD27MOIS=TTKL</v>
      </c>
      <c r="P32" s="120">
        <v>0.77700000000000002</v>
      </c>
      <c r="Q32" s="120">
        <v>0.82700000000000007</v>
      </c>
      <c r="R32" s="120">
        <v>0</v>
      </c>
      <c r="S32" s="120">
        <v>0</v>
      </c>
      <c r="T32" s="124">
        <f>_xll.qlMidEquivalent($P32,$Q32,$R32,$S32)</f>
        <v>0.80200000000000005</v>
      </c>
      <c r="U32" s="122"/>
      <c r="V32" s="123">
        <v>0.63900000000000001</v>
      </c>
      <c r="W32" s="122"/>
      <c r="X32" s="168">
        <v>0.80200000000000005</v>
      </c>
      <c r="Y32" s="119">
        <f>_xll.qlSimpleQuoteSetValue(F32,X32/100,Trigger)</f>
        <v>0</v>
      </c>
      <c r="Z32" s="109"/>
    </row>
    <row r="33" spans="1:26" x14ac:dyDescent="0.2">
      <c r="A33" s="58"/>
      <c r="B33" s="90"/>
      <c r="C33" s="90" t="s">
        <v>143</v>
      </c>
      <c r="D33" s="232" t="s">
        <v>152</v>
      </c>
      <c r="E33" s="110" t="str">
        <f t="shared" si="0"/>
        <v>USDOIS30M_Quote</v>
      </c>
      <c r="F33" s="110" t="str">
        <f>_xll.qlSimpleQuote(Currency&amp;$B33&amp;$C33&amp;$D33&amp;QuoteSuffix,,RateTickValue,Permanent,Trigger,ObjectOverwrite)</f>
        <v>USDOIS30M_Quote#0009</v>
      </c>
      <c r="G33" s="10" t="str">
        <f>_xll.ohRangeRetrieveError(F33)</f>
        <v/>
      </c>
      <c r="H33" s="9"/>
      <c r="J33" s="58"/>
      <c r="K33" s="126" t="s">
        <v>152</v>
      </c>
      <c r="L33" s="153"/>
      <c r="M33" s="153" t="s">
        <v>143</v>
      </c>
      <c r="N33" s="152" t="str">
        <f t="shared" si="1"/>
        <v>USD30MOIS</v>
      </c>
      <c r="O33" s="152" t="str">
        <v>USD30MOIS=TTKL</v>
      </c>
      <c r="P33" s="120">
        <v>0.86499999999999999</v>
      </c>
      <c r="Q33" s="120">
        <v>0.91500000000000004</v>
      </c>
      <c r="R33" s="120">
        <v>0</v>
      </c>
      <c r="S33" s="120">
        <v>0</v>
      </c>
      <c r="T33" s="124">
        <f>_xll.qlMidEquivalent($P33,$Q33,$R33,$S33)</f>
        <v>0.89</v>
      </c>
      <c r="U33" s="122"/>
      <c r="V33" s="123">
        <v>0.74199999999999999</v>
      </c>
      <c r="W33" s="122"/>
      <c r="X33" s="168">
        <v>0.89</v>
      </c>
      <c r="Y33" s="119">
        <f>_xll.qlSimpleQuoteSetValue(F33,X33/100,Trigger)</f>
        <v>-9.9999999999995925E-6</v>
      </c>
      <c r="Z33" s="109"/>
    </row>
    <row r="34" spans="1:26" x14ac:dyDescent="0.2">
      <c r="A34" s="58"/>
      <c r="B34" s="90"/>
      <c r="C34" s="90" t="s">
        <v>143</v>
      </c>
      <c r="D34" s="232" t="s">
        <v>151</v>
      </c>
      <c r="E34" s="110" t="str">
        <f t="shared" si="0"/>
        <v>USDOIS33M_Quote</v>
      </c>
      <c r="F34" s="110" t="str">
        <f>_xll.qlSimpleQuote(Currency&amp;$B34&amp;$C34&amp;$D34&amp;QuoteSuffix,,RateTickValue,Permanent,Trigger,ObjectOverwrite)</f>
        <v>USDOIS33M_Quote#0009</v>
      </c>
      <c r="G34" s="10" t="str">
        <f>_xll.ohRangeRetrieveError(F34)</f>
        <v/>
      </c>
      <c r="H34" s="9"/>
      <c r="J34" s="58"/>
      <c r="K34" s="126" t="s">
        <v>151</v>
      </c>
      <c r="L34" s="153"/>
      <c r="M34" s="153" t="s">
        <v>143</v>
      </c>
      <c r="N34" s="152" t="str">
        <f t="shared" si="1"/>
        <v>USD33MOIS</v>
      </c>
      <c r="O34" s="152" t="str">
        <v>USD33MOIS=TTKL</v>
      </c>
      <c r="P34" s="120">
        <v>0.94900000000000007</v>
      </c>
      <c r="Q34" s="120">
        <v>0.999</v>
      </c>
      <c r="R34" s="120">
        <v>0</v>
      </c>
      <c r="S34" s="120">
        <v>0</v>
      </c>
      <c r="T34" s="124">
        <f>_xll.qlMidEquivalent($P34,$Q34,$R34,$S34)</f>
        <v>0.97399999999999998</v>
      </c>
      <c r="U34" s="122"/>
      <c r="V34" s="123">
        <v>0.84499999999999997</v>
      </c>
      <c r="W34" s="122"/>
      <c r="X34" s="168">
        <v>0.97399999999999998</v>
      </c>
      <c r="Y34" s="119">
        <f>_xll.qlSimpleQuoteSetValue(F34,X34/100,Trigger)</f>
        <v>0</v>
      </c>
      <c r="Z34" s="109"/>
    </row>
    <row r="35" spans="1:26" x14ac:dyDescent="0.2">
      <c r="A35" s="58"/>
      <c r="B35" s="90"/>
      <c r="C35" s="90" t="s">
        <v>143</v>
      </c>
      <c r="D35" s="232" t="s">
        <v>83</v>
      </c>
      <c r="E35" s="110" t="str">
        <f t="shared" si="0"/>
        <v>USDOIS3Y_Quote</v>
      </c>
      <c r="F35" s="110" t="str">
        <f>_xll.qlSimpleQuote(Currency&amp;$B35&amp;$C35&amp;$D35&amp;QuoteSuffix,,RateTickValue,Permanent,Trigger,ObjectOverwrite)</f>
        <v>USDOIS3Y_Quote#0009</v>
      </c>
      <c r="G35" s="10" t="str">
        <f>_xll.ohRangeRetrieveError(F35)</f>
        <v/>
      </c>
      <c r="H35" s="9"/>
      <c r="J35" s="58"/>
      <c r="K35" s="126" t="s">
        <v>83</v>
      </c>
      <c r="L35" s="153"/>
      <c r="M35" s="153" t="s">
        <v>143</v>
      </c>
      <c r="N35" s="152" t="str">
        <f t="shared" si="1"/>
        <v>USD3YOIS</v>
      </c>
      <c r="O35" s="152" t="str">
        <v>USD3YOIS=TTKL</v>
      </c>
      <c r="P35" s="120">
        <v>1.026</v>
      </c>
      <c r="Q35" s="120">
        <v>1.0760000000000001</v>
      </c>
      <c r="R35" s="120">
        <v>0</v>
      </c>
      <c r="S35" s="120">
        <v>0</v>
      </c>
      <c r="T35" s="124">
        <f>_xll.qlMidEquivalent($P35,$Q35,$R35,$S35)</f>
        <v>1.0510000000000002</v>
      </c>
      <c r="U35" s="122"/>
      <c r="V35" s="123">
        <v>0.94199999999999995</v>
      </c>
      <c r="W35" s="122"/>
      <c r="X35" s="168">
        <v>1.0510000000000002</v>
      </c>
      <c r="Y35" s="119">
        <f>_xll.qlSimpleQuoteSetValue(F35,X35/100,Trigger)</f>
        <v>0</v>
      </c>
      <c r="Z35" s="109"/>
    </row>
    <row r="36" spans="1:26" x14ac:dyDescent="0.2">
      <c r="A36" s="58"/>
      <c r="B36" s="90"/>
      <c r="C36" s="90" t="s">
        <v>143</v>
      </c>
      <c r="D36" s="232" t="s">
        <v>150</v>
      </c>
      <c r="E36" s="110" t="str">
        <f t="shared" si="0"/>
        <v>USDOIS39M_Quote</v>
      </c>
      <c r="F36" s="110" t="str">
        <f>_xll.qlSimpleQuote(Currency&amp;$B36&amp;$C36&amp;$D36&amp;QuoteSuffix,,RateTickValue,Permanent,Trigger,ObjectOverwrite)</f>
        <v>USDOIS39M_Quote#0009</v>
      </c>
      <c r="G36" s="10" t="str">
        <f>_xll.ohRangeRetrieveError(F36)</f>
        <v/>
      </c>
      <c r="H36" s="9"/>
      <c r="J36" s="58"/>
      <c r="K36" s="126" t="s">
        <v>150</v>
      </c>
      <c r="L36" s="153"/>
      <c r="M36" s="153" t="s">
        <v>143</v>
      </c>
      <c r="N36" s="152" t="str">
        <f t="shared" si="1"/>
        <v>USD39MOIS</v>
      </c>
      <c r="O36" s="152" t="str">
        <v>USD39MOIS=TTKL</v>
      </c>
      <c r="P36" s="120">
        <v>1.0940000000000001</v>
      </c>
      <c r="Q36" s="120">
        <v>1.1440000000000001</v>
      </c>
      <c r="R36" s="120">
        <v>0</v>
      </c>
      <c r="S36" s="120">
        <v>0</v>
      </c>
      <c r="T36" s="124">
        <f>_xll.qlMidEquivalent($P36,$Q36,$R36,$S36)</f>
        <v>1.1190000000000002</v>
      </c>
      <c r="U36" s="122"/>
      <c r="V36" s="123">
        <v>1.0339999999999998</v>
      </c>
      <c r="W36" s="122"/>
      <c r="X36" s="168">
        <v>1.1190000000000002</v>
      </c>
      <c r="Y36" s="119">
        <f>_xll.qlSimpleQuoteSetValue(F36,X36/100,Trigger)</f>
        <v>0</v>
      </c>
      <c r="Z36" s="109"/>
    </row>
    <row r="37" spans="1:26" x14ac:dyDescent="0.2">
      <c r="A37" s="58"/>
      <c r="B37" s="90"/>
      <c r="C37" s="90" t="s">
        <v>143</v>
      </c>
      <c r="D37" s="232" t="s">
        <v>149</v>
      </c>
      <c r="E37" s="110" t="str">
        <f t="shared" ref="E37:E58" si="2">Currency&amp;$B37&amp;$C37&amp;$D37&amp;QuoteSuffix</f>
        <v>USDOIS42M_Quote</v>
      </c>
      <c r="F37" s="110" t="str">
        <f>_xll.qlSimpleQuote(Currency&amp;$B37&amp;$C37&amp;$D37&amp;QuoteSuffix,,RateTickValue,Permanent,Trigger,ObjectOverwrite)</f>
        <v>USDOIS42M_Quote#0009</v>
      </c>
      <c r="G37" s="10" t="str">
        <f>_xll.ohRangeRetrieveError(F37)</f>
        <v/>
      </c>
      <c r="H37" s="9"/>
      <c r="J37" s="58"/>
      <c r="K37" s="126" t="s">
        <v>149</v>
      </c>
      <c r="L37" s="153"/>
      <c r="M37" s="153" t="s">
        <v>143</v>
      </c>
      <c r="N37" s="152" t="str">
        <f t="shared" ref="N37:N58" si="3">Currency&amp;$K37&amp;$L37&amp;$M37</f>
        <v>USD42MOIS</v>
      </c>
      <c r="O37" s="152" t="str">
        <v>USD42MOIS=TTKL</v>
      </c>
      <c r="P37" s="120">
        <v>1.161</v>
      </c>
      <c r="Q37" s="120">
        <v>1.2110000000000001</v>
      </c>
      <c r="R37" s="120">
        <v>0</v>
      </c>
      <c r="S37" s="120">
        <v>0</v>
      </c>
      <c r="T37" s="124">
        <f>_xll.qlMidEquivalent($P37,$Q37,$R37,$S37)</f>
        <v>1.1859999999999999</v>
      </c>
      <c r="U37" s="122"/>
      <c r="V37" s="123">
        <v>1.113</v>
      </c>
      <c r="W37" s="122"/>
      <c r="X37" s="168">
        <v>1.1859999999999999</v>
      </c>
      <c r="Y37" s="119">
        <f>_xll.qlSimpleQuoteSetValue(F37,X37/100,Trigger)</f>
        <v>0</v>
      </c>
      <c r="Z37" s="109"/>
    </row>
    <row r="38" spans="1:26" x14ac:dyDescent="0.2">
      <c r="A38" s="58"/>
      <c r="B38" s="90"/>
      <c r="C38" s="90" t="s">
        <v>143</v>
      </c>
      <c r="D38" s="232" t="s">
        <v>148</v>
      </c>
      <c r="E38" s="110" t="str">
        <f t="shared" si="2"/>
        <v>USDOIS45M_Quote</v>
      </c>
      <c r="F38" s="110" t="str">
        <f>_xll.qlSimpleQuote(Currency&amp;$B38&amp;$C38&amp;$D38&amp;QuoteSuffix,,RateTickValue,Permanent,Trigger,ObjectOverwrite)</f>
        <v>USDOIS45M_Quote#0009</v>
      </c>
      <c r="G38" s="10" t="str">
        <f>_xll.ohRangeRetrieveError(F38)</f>
        <v/>
      </c>
      <c r="H38" s="9"/>
      <c r="J38" s="58"/>
      <c r="K38" s="126" t="s">
        <v>148</v>
      </c>
      <c r="L38" s="153"/>
      <c r="M38" s="153" t="s">
        <v>143</v>
      </c>
      <c r="N38" s="152" t="str">
        <f t="shared" si="3"/>
        <v>USD45MOIS</v>
      </c>
      <c r="O38" s="152" t="str">
        <v>USD45MOIS=TTKL</v>
      </c>
      <c r="P38" s="120">
        <v>1.222</v>
      </c>
      <c r="Q38" s="120">
        <v>1.272</v>
      </c>
      <c r="R38" s="120">
        <v>0</v>
      </c>
      <c r="S38" s="120">
        <v>0</v>
      </c>
      <c r="T38" s="124">
        <f>_xll.qlMidEquivalent($P38,$Q38,$R38,$S38)</f>
        <v>1.2469999999999999</v>
      </c>
      <c r="U38" s="122"/>
      <c r="V38" s="123">
        <v>1.1989999999999998</v>
      </c>
      <c r="W38" s="122"/>
      <c r="X38" s="168">
        <v>1.2469999999999999</v>
      </c>
      <c r="Y38" s="119">
        <f>_xll.qlSimpleQuoteSetValue(F38,X38/100,Trigger)</f>
        <v>0</v>
      </c>
      <c r="Z38" s="109"/>
    </row>
    <row r="39" spans="1:26" x14ac:dyDescent="0.2">
      <c r="A39" s="58"/>
      <c r="B39" s="90"/>
      <c r="C39" s="90" t="s">
        <v>143</v>
      </c>
      <c r="D39" s="232" t="s">
        <v>82</v>
      </c>
      <c r="E39" s="110" t="str">
        <f t="shared" si="2"/>
        <v>USDOIS4Y_Quote</v>
      </c>
      <c r="F39" s="110" t="str">
        <f>_xll.qlSimpleQuote(Currency&amp;$B39&amp;$C39&amp;$D39&amp;QuoteSuffix,,RateTickValue,Permanent,Trigger,ObjectOverwrite)</f>
        <v>USDOIS4Y_Quote#0009</v>
      </c>
      <c r="G39" s="10" t="str">
        <f>_xll.ohRangeRetrieveError(F39)</f>
        <v/>
      </c>
      <c r="H39" s="9"/>
      <c r="J39" s="58"/>
      <c r="K39" s="126" t="s">
        <v>82</v>
      </c>
      <c r="L39" s="153"/>
      <c r="M39" s="153" t="s">
        <v>143</v>
      </c>
      <c r="N39" s="152" t="str">
        <f t="shared" si="3"/>
        <v>USD4YOIS</v>
      </c>
      <c r="O39" s="152" t="str">
        <v>USD4YOIS=TTKL</v>
      </c>
      <c r="P39" s="120">
        <v>1.274</v>
      </c>
      <c r="Q39" s="120">
        <v>1.3240000000000001</v>
      </c>
      <c r="R39" s="120">
        <v>0</v>
      </c>
      <c r="S39" s="120">
        <v>0</v>
      </c>
      <c r="T39" s="124">
        <f>_xll.qlMidEquivalent($P39,$Q39,$R39,$S39)</f>
        <v>1.2989999999999999</v>
      </c>
      <c r="U39" s="122"/>
      <c r="V39" s="123">
        <v>1.2650000000000001</v>
      </c>
      <c r="W39" s="122"/>
      <c r="X39" s="168">
        <v>1.2989999999999999</v>
      </c>
      <c r="Y39" s="119">
        <f>_xll.qlSimpleQuoteSetValue(F39,X39/100,Trigger)</f>
        <v>0</v>
      </c>
      <c r="Z39" s="109"/>
    </row>
    <row r="40" spans="1:26" x14ac:dyDescent="0.2">
      <c r="A40" s="58"/>
      <c r="B40" s="90"/>
      <c r="C40" s="90" t="s">
        <v>143</v>
      </c>
      <c r="D40" s="232" t="s">
        <v>147</v>
      </c>
      <c r="E40" s="110" t="str">
        <f t="shared" si="2"/>
        <v>USDOIS51M_Quote</v>
      </c>
      <c r="F40" s="110" t="str">
        <f>_xll.qlSimpleQuote(Currency&amp;$B40&amp;$C40&amp;$D40&amp;QuoteSuffix,,RateTickValue,Permanent,Trigger,ObjectOverwrite)</f>
        <v>USDOIS51M_Quote#0009</v>
      </c>
      <c r="G40" s="10" t="str">
        <f>_xll.ohRangeRetrieveError(F40)</f>
        <v/>
      </c>
      <c r="H40" s="9"/>
      <c r="J40" s="58"/>
      <c r="K40" s="126" t="s">
        <v>147</v>
      </c>
      <c r="L40" s="153"/>
      <c r="M40" s="153" t="s">
        <v>143</v>
      </c>
      <c r="N40" s="152" t="str">
        <f t="shared" si="3"/>
        <v>USD51MOIS</v>
      </c>
      <c r="O40" s="152" t="str">
        <v>USD51MOIS=TTKL</v>
      </c>
      <c r="P40" s="120">
        <v>1.331</v>
      </c>
      <c r="Q40" s="120">
        <v>1.381</v>
      </c>
      <c r="R40" s="120">
        <v>0</v>
      </c>
      <c r="S40" s="120">
        <v>0</v>
      </c>
      <c r="T40" s="124">
        <f>_xll.qlMidEquivalent($P40,$Q40,$R40,$S40)</f>
        <v>1.3559999999999999</v>
      </c>
      <c r="U40" s="122"/>
      <c r="V40" s="123">
        <v>1.343</v>
      </c>
      <c r="W40" s="122"/>
      <c r="X40" s="168">
        <v>1.3559999999999999</v>
      </c>
      <c r="Y40" s="119">
        <f>_xll.qlSimpleQuoteSetValue(F40,X40/100,Trigger)</f>
        <v>0</v>
      </c>
      <c r="Z40" s="109"/>
    </row>
    <row r="41" spans="1:26" x14ac:dyDescent="0.2">
      <c r="A41" s="58"/>
      <c r="B41" s="90"/>
      <c r="C41" s="90" t="s">
        <v>143</v>
      </c>
      <c r="D41" s="232" t="s">
        <v>146</v>
      </c>
      <c r="E41" s="110" t="str">
        <f t="shared" si="2"/>
        <v>USDOIS54M_Quote</v>
      </c>
      <c r="F41" s="110" t="str">
        <f>_xll.qlSimpleQuote(Currency&amp;$B41&amp;$C41&amp;$D41&amp;QuoteSuffix,,RateTickValue,Permanent,Trigger,ObjectOverwrite)</f>
        <v>USDOIS54M_Quote#0009</v>
      </c>
      <c r="G41" s="10" t="str">
        <f>_xll.ohRangeRetrieveError(F41)</f>
        <v/>
      </c>
      <c r="H41" s="9"/>
      <c r="J41" s="58"/>
      <c r="K41" s="126" t="s">
        <v>146</v>
      </c>
      <c r="L41" s="153"/>
      <c r="M41" s="153" t="s">
        <v>143</v>
      </c>
      <c r="N41" s="152" t="str">
        <f t="shared" si="3"/>
        <v>USD54MOIS</v>
      </c>
      <c r="O41" s="152" t="str">
        <v>USD54MOIS=TTKL</v>
      </c>
      <c r="P41" s="120">
        <v>1.373</v>
      </c>
      <c r="Q41" s="120">
        <v>1.423</v>
      </c>
      <c r="R41" s="120">
        <v>0</v>
      </c>
      <c r="S41" s="120">
        <v>0</v>
      </c>
      <c r="T41" s="124">
        <f>_xll.qlMidEquivalent($P41,$Q41,$R41,$S41)</f>
        <v>1.3980000000000001</v>
      </c>
      <c r="U41" s="122"/>
      <c r="V41" s="123">
        <v>1.3959999999999999</v>
      </c>
      <c r="W41" s="122"/>
      <c r="X41" s="168">
        <v>1.3980000000000001</v>
      </c>
      <c r="Y41" s="119">
        <f>_xll.qlSimpleQuoteSetValue(F41,X41/100,Trigger)</f>
        <v>1.0000000000001327E-5</v>
      </c>
      <c r="Z41" s="109"/>
    </row>
    <row r="42" spans="1:26" x14ac:dyDescent="0.2">
      <c r="A42" s="58"/>
      <c r="B42" s="90"/>
      <c r="C42" s="90" t="s">
        <v>143</v>
      </c>
      <c r="D42" s="232" t="s">
        <v>145</v>
      </c>
      <c r="E42" s="110" t="str">
        <f t="shared" si="2"/>
        <v>USDOIS57M_Quote</v>
      </c>
      <c r="F42" s="110" t="str">
        <f>_xll.qlSimpleQuote(Currency&amp;$B42&amp;$C42&amp;$D42&amp;QuoteSuffix,,RateTickValue,Permanent,Trigger,ObjectOverwrite)</f>
        <v>USDOIS57M_Quote#0009</v>
      </c>
      <c r="G42" s="10" t="str">
        <f>_xll.ohRangeRetrieveError(F42)</f>
        <v/>
      </c>
      <c r="H42" s="9"/>
      <c r="J42" s="58"/>
      <c r="K42" s="126" t="s">
        <v>145</v>
      </c>
      <c r="L42" s="153"/>
      <c r="M42" s="153" t="s">
        <v>143</v>
      </c>
      <c r="N42" s="152" t="str">
        <f t="shared" si="3"/>
        <v>USD57MOIS</v>
      </c>
      <c r="O42" s="152" t="str">
        <v>USD57MOIS=TTKL</v>
      </c>
      <c r="P42" s="120">
        <v>1.4259999999999999</v>
      </c>
      <c r="Q42" s="120">
        <v>1.476</v>
      </c>
      <c r="R42" s="120">
        <v>0</v>
      </c>
      <c r="S42" s="120">
        <v>0</v>
      </c>
      <c r="T42" s="124">
        <f>_xll.qlMidEquivalent($P42,$Q42,$R42,$S42)</f>
        <v>1.4510000000000001</v>
      </c>
      <c r="U42" s="122"/>
      <c r="V42" s="123">
        <v>1.4689999999999999</v>
      </c>
      <c r="W42" s="122"/>
      <c r="X42" s="168">
        <v>1.4510000000000001</v>
      </c>
      <c r="Y42" s="119">
        <f>_xll.qlSimpleQuoteSetValue(F42,X42/100,Trigger)</f>
        <v>0</v>
      </c>
      <c r="Z42" s="109"/>
    </row>
    <row r="43" spans="1:26" x14ac:dyDescent="0.2">
      <c r="A43" s="58"/>
      <c r="B43" s="90"/>
      <c r="C43" s="90" t="s">
        <v>143</v>
      </c>
      <c r="D43" s="232" t="s">
        <v>81</v>
      </c>
      <c r="E43" s="110" t="str">
        <f t="shared" si="2"/>
        <v>USDOIS5Y_Quote</v>
      </c>
      <c r="F43" s="110" t="str">
        <f>_xll.qlSimpleQuote(Currency&amp;$B43&amp;$C43&amp;$D43&amp;QuoteSuffix,,RateTickValue,Permanent,Trigger,ObjectOverwrite)</f>
        <v>USDOIS5Y_Quote#0009</v>
      </c>
      <c r="G43" s="10" t="str">
        <f>_xll.ohRangeRetrieveError(F43)</f>
        <v/>
      </c>
      <c r="H43" s="9"/>
      <c r="J43" s="58"/>
      <c r="K43" s="126" t="s">
        <v>81</v>
      </c>
      <c r="L43" s="153"/>
      <c r="M43" s="153" t="s">
        <v>143</v>
      </c>
      <c r="N43" s="152" t="str">
        <f t="shared" si="3"/>
        <v>USD5YOIS</v>
      </c>
      <c r="O43" s="152" t="str">
        <v>USD5YOIS=TTKL</v>
      </c>
      <c r="P43" s="120">
        <v>1.462</v>
      </c>
      <c r="Q43" s="120">
        <v>1.512</v>
      </c>
      <c r="R43" s="120">
        <v>0</v>
      </c>
      <c r="S43" s="120">
        <v>0</v>
      </c>
      <c r="T43" s="124">
        <f>_xll.qlMidEquivalent($P43,$Q43,$R43,$S43)</f>
        <v>1.4870000000000001</v>
      </c>
      <c r="U43" s="122"/>
      <c r="V43" s="123">
        <v>1.514</v>
      </c>
      <c r="W43" s="122"/>
      <c r="X43" s="168">
        <v>1.4870000000000001</v>
      </c>
      <c r="Y43" s="119">
        <f>_xll.qlSimpleQuoteSetValue(F43,X43/100,Trigger)</f>
        <v>9.9999999999995925E-6</v>
      </c>
      <c r="Z43" s="109"/>
    </row>
    <row r="44" spans="1:26" x14ac:dyDescent="0.2">
      <c r="A44" s="58"/>
      <c r="B44" s="90"/>
      <c r="C44" s="90" t="s">
        <v>143</v>
      </c>
      <c r="D44" s="232" t="s">
        <v>80</v>
      </c>
      <c r="E44" s="110" t="str">
        <f t="shared" si="2"/>
        <v>USDOIS6Y_Quote</v>
      </c>
      <c r="F44" s="110" t="str">
        <f>_xll.qlSimpleQuote(Currency&amp;$B44&amp;$C44&amp;$D44&amp;QuoteSuffix,,RateTickValue,Permanent,Trigger,ObjectOverwrite)</f>
        <v>USDOIS6Y_Quote#0009</v>
      </c>
      <c r="G44" s="10" t="str">
        <f>_xll.ohRangeRetrieveError(F44)</f>
        <v/>
      </c>
      <c r="H44" s="9"/>
      <c r="J44" s="58"/>
      <c r="K44" s="126" t="s">
        <v>80</v>
      </c>
      <c r="L44" s="153"/>
      <c r="M44" s="153" t="s">
        <v>143</v>
      </c>
      <c r="N44" s="152" t="str">
        <f t="shared" si="3"/>
        <v>USD6YOIS</v>
      </c>
      <c r="O44" s="152" t="str">
        <v>USD6YOIS=TTKL</v>
      </c>
      <c r="P44" s="120">
        <v>1.601</v>
      </c>
      <c r="Q44" s="120">
        <v>1.651</v>
      </c>
      <c r="R44" s="120">
        <v>0</v>
      </c>
      <c r="S44" s="120">
        <v>0</v>
      </c>
      <c r="T44" s="124">
        <f>_xll.qlMidEquivalent($P44,$Q44,$R44,$S44)</f>
        <v>1.6259999999999999</v>
      </c>
      <c r="U44" s="122"/>
      <c r="V44" s="123">
        <v>1.7050000000000001</v>
      </c>
      <c r="W44" s="122"/>
      <c r="X44" s="168">
        <v>1.6259999999999999</v>
      </c>
      <c r="Y44" s="119">
        <f>_xll.qlSimpleQuoteSetValue(F44,X44/100,Trigger)</f>
        <v>0</v>
      </c>
      <c r="Z44" s="109"/>
    </row>
    <row r="45" spans="1:26" x14ac:dyDescent="0.2">
      <c r="A45" s="58"/>
      <c r="B45" s="90"/>
      <c r="C45" s="90" t="s">
        <v>143</v>
      </c>
      <c r="D45" s="232" t="s">
        <v>79</v>
      </c>
      <c r="E45" s="110" t="str">
        <f t="shared" si="2"/>
        <v>USDOIS7Y_Quote</v>
      </c>
      <c r="F45" s="110" t="str">
        <f>_xll.qlSimpleQuote(Currency&amp;$B45&amp;$C45&amp;$D45&amp;QuoteSuffix,,RateTickValue,Permanent,Trigger,ObjectOverwrite)</f>
        <v>USDOIS7Y_Quote#0009</v>
      </c>
      <c r="G45" s="10" t="str">
        <f>_xll.ohRangeRetrieveError(F45)</f>
        <v/>
      </c>
      <c r="H45" s="9"/>
      <c r="J45" s="58"/>
      <c r="K45" s="126" t="s">
        <v>79</v>
      </c>
      <c r="L45" s="153"/>
      <c r="M45" s="153" t="s">
        <v>143</v>
      </c>
      <c r="N45" s="152" t="str">
        <f t="shared" si="3"/>
        <v>USD7YOIS</v>
      </c>
      <c r="O45" s="152" t="str">
        <v>USD7YOIS=TTKL</v>
      </c>
      <c r="P45" s="120">
        <v>1.7090000000000001</v>
      </c>
      <c r="Q45" s="120">
        <v>1.7590000000000001</v>
      </c>
      <c r="R45" s="120">
        <v>0</v>
      </c>
      <c r="S45" s="120">
        <v>0</v>
      </c>
      <c r="T45" s="124">
        <f>_xll.qlMidEquivalent($P45,$Q45,$R45,$S45)</f>
        <v>1.734</v>
      </c>
      <c r="U45" s="122"/>
      <c r="V45" s="123">
        <v>1.863</v>
      </c>
      <c r="W45" s="122"/>
      <c r="X45" s="168">
        <v>1.734</v>
      </c>
      <c r="Y45" s="119">
        <f>_xll.qlSimpleQuoteSetValue(F45,X45/100,Trigger)</f>
        <v>0</v>
      </c>
      <c r="Z45" s="109"/>
    </row>
    <row r="46" spans="1:26" x14ac:dyDescent="0.2">
      <c r="A46" s="58"/>
      <c r="B46" s="90"/>
      <c r="C46" s="90" t="s">
        <v>143</v>
      </c>
      <c r="D46" s="232" t="s">
        <v>78</v>
      </c>
      <c r="E46" s="110" t="str">
        <f t="shared" si="2"/>
        <v>USDOIS8Y_Quote</v>
      </c>
      <c r="F46" s="110" t="str">
        <f>_xll.qlSimpleQuote(Currency&amp;$B46&amp;$C46&amp;$D46&amp;QuoteSuffix,,RateTickValue,Permanent,Trigger,ObjectOverwrite)</f>
        <v>USDOIS8Y_Quote#0009</v>
      </c>
      <c r="G46" s="10" t="str">
        <f>_xll.ohRangeRetrieveError(F46)</f>
        <v/>
      </c>
      <c r="H46" s="9"/>
      <c r="J46" s="58"/>
      <c r="K46" s="126" t="s">
        <v>78</v>
      </c>
      <c r="L46" s="153"/>
      <c r="M46" s="153" t="s">
        <v>143</v>
      </c>
      <c r="N46" s="152" t="str">
        <f t="shared" si="3"/>
        <v>USD8YOIS</v>
      </c>
      <c r="O46" s="152" t="str">
        <v>USD8YOIS=TTKL</v>
      </c>
      <c r="P46" s="120">
        <v>1.8</v>
      </c>
      <c r="Q46" s="120">
        <v>1.85</v>
      </c>
      <c r="R46" s="120">
        <v>0</v>
      </c>
      <c r="S46" s="120">
        <v>0</v>
      </c>
      <c r="T46" s="124">
        <f>_xll.qlMidEquivalent($P46,$Q46,$R46,$S46)</f>
        <v>1.8250000000000002</v>
      </c>
      <c r="U46" s="122"/>
      <c r="V46" s="123">
        <v>1.9910000000000001</v>
      </c>
      <c r="W46" s="122"/>
      <c r="X46" s="168">
        <v>1.8250000000000002</v>
      </c>
      <c r="Y46" s="119">
        <f>_xll.qlSimpleQuoteSetValue(F46,X46/100,Trigger)</f>
        <v>0</v>
      </c>
      <c r="Z46" s="109"/>
    </row>
    <row r="47" spans="1:26" x14ac:dyDescent="0.2">
      <c r="A47" s="58"/>
      <c r="B47" s="90"/>
      <c r="C47" s="90" t="s">
        <v>143</v>
      </c>
      <c r="D47" s="232" t="s">
        <v>77</v>
      </c>
      <c r="E47" s="110" t="str">
        <f t="shared" si="2"/>
        <v>USDOIS9Y_Quote</v>
      </c>
      <c r="F47" s="110" t="str">
        <f>_xll.qlSimpleQuote(Currency&amp;$B47&amp;$C47&amp;$D47&amp;QuoteSuffix,,RateTickValue,Permanent,Trigger,ObjectOverwrite)</f>
        <v>USDOIS9Y_Quote#0009</v>
      </c>
      <c r="G47" s="10" t="str">
        <f>_xll.ohRangeRetrieveError(F47)</f>
        <v/>
      </c>
      <c r="H47" s="9"/>
      <c r="J47" s="58"/>
      <c r="K47" s="126" t="s">
        <v>77</v>
      </c>
      <c r="L47" s="153"/>
      <c r="M47" s="153" t="s">
        <v>143</v>
      </c>
      <c r="N47" s="152" t="str">
        <f t="shared" si="3"/>
        <v>USD9YOIS</v>
      </c>
      <c r="O47" s="152" t="str">
        <v>USD9YOIS=TTKL</v>
      </c>
      <c r="P47" s="120">
        <v>1.8780000000000001</v>
      </c>
      <c r="Q47" s="120">
        <v>1.9279999999999999</v>
      </c>
      <c r="R47" s="120">
        <v>0</v>
      </c>
      <c r="S47" s="120">
        <v>0</v>
      </c>
      <c r="T47" s="124">
        <f>_xll.qlMidEquivalent($P47,$Q47,$R47,$S47)</f>
        <v>1.903</v>
      </c>
      <c r="U47" s="122"/>
      <c r="V47" s="123">
        <v>2.1019999999999999</v>
      </c>
      <c r="W47" s="122"/>
      <c r="X47" s="168">
        <v>1.903</v>
      </c>
      <c r="Y47" s="119">
        <f>_xll.qlSimpleQuoteSetValue(F47,X47/100,Trigger)</f>
        <v>0</v>
      </c>
      <c r="Z47" s="109"/>
    </row>
    <row r="48" spans="1:26" x14ac:dyDescent="0.2">
      <c r="A48" s="58"/>
      <c r="B48" s="90"/>
      <c r="C48" s="90" t="s">
        <v>143</v>
      </c>
      <c r="D48" s="232" t="s">
        <v>76</v>
      </c>
      <c r="E48" s="110" t="str">
        <f t="shared" si="2"/>
        <v>USDOIS10Y_Quote</v>
      </c>
      <c r="F48" s="110" t="str">
        <f>_xll.qlSimpleQuote(Currency&amp;$B48&amp;$C48&amp;$D48&amp;QuoteSuffix,,RateTickValue,Permanent,Trigger,ObjectOverwrite)</f>
        <v>USDOIS10Y_Quote#0009</v>
      </c>
      <c r="G48" s="10" t="str">
        <f>_xll.ohRangeRetrieveError(F48)</f>
        <v/>
      </c>
      <c r="H48" s="9"/>
      <c r="J48" s="58"/>
      <c r="K48" s="126" t="s">
        <v>76</v>
      </c>
      <c r="L48" s="153"/>
      <c r="M48" s="153" t="s">
        <v>143</v>
      </c>
      <c r="N48" s="152" t="str">
        <f t="shared" si="3"/>
        <v>USD10YOIS</v>
      </c>
      <c r="O48" s="152" t="str">
        <v>USD10YOIS=TTKL</v>
      </c>
      <c r="P48" s="120">
        <v>1.94</v>
      </c>
      <c r="Q48" s="120">
        <v>1.99</v>
      </c>
      <c r="R48" s="120">
        <v>0</v>
      </c>
      <c r="S48" s="120">
        <v>0</v>
      </c>
      <c r="T48" s="124">
        <f>_xll.qlMidEquivalent($P48,$Q48,$R48,$S48)</f>
        <v>1.9649999999999999</v>
      </c>
      <c r="U48" s="122"/>
      <c r="V48" s="123">
        <v>2.1970000000000001</v>
      </c>
      <c r="W48" s="122"/>
      <c r="X48" s="168">
        <v>1.9649999999999999</v>
      </c>
      <c r="Y48" s="119">
        <f>_xll.qlSimpleQuoteSetValue(F48,X48/100,Trigger)</f>
        <v>0</v>
      </c>
      <c r="Z48" s="109"/>
    </row>
    <row r="49" spans="1:26" x14ac:dyDescent="0.2">
      <c r="A49" s="58"/>
      <c r="B49" s="90"/>
      <c r="C49" s="90" t="s">
        <v>143</v>
      </c>
      <c r="D49" s="232" t="s">
        <v>74</v>
      </c>
      <c r="E49" s="110" t="str">
        <f t="shared" si="2"/>
        <v>USDOIS12Y_Quote</v>
      </c>
      <c r="F49" s="110" t="str">
        <f>_xll.qlSimpleQuote(Currency&amp;$B49&amp;$C49&amp;$D49&amp;QuoteSuffix,,RateTickValue,Permanent,Trigger,ObjectOverwrite)</f>
        <v>USDOIS12Y_Quote#0009</v>
      </c>
      <c r="G49" s="10" t="str">
        <f>_xll.ohRangeRetrieveError(F49)</f>
        <v/>
      </c>
      <c r="H49" s="9"/>
      <c r="J49" s="58"/>
      <c r="K49" s="126" t="s">
        <v>74</v>
      </c>
      <c r="L49" s="153"/>
      <c r="M49" s="153" t="s">
        <v>143</v>
      </c>
      <c r="N49" s="152" t="str">
        <f t="shared" si="3"/>
        <v>USD12YOIS</v>
      </c>
      <c r="O49" s="152" t="str">
        <v>USD12YOIS=TTKL</v>
      </c>
      <c r="P49" s="120">
        <v>2.0409999999999999</v>
      </c>
      <c r="Q49" s="120">
        <v>2.0910000000000002</v>
      </c>
      <c r="R49" s="120">
        <v>0</v>
      </c>
      <c r="S49" s="120">
        <v>0</v>
      </c>
      <c r="T49" s="124">
        <f>_xll.qlMidEquivalent($P49,$Q49,$R49,$S49)</f>
        <v>2.0659999999999998</v>
      </c>
      <c r="U49" s="122"/>
      <c r="V49" s="123">
        <v>2.35</v>
      </c>
      <c r="W49" s="122"/>
      <c r="X49" s="168">
        <v>2.0659999999999998</v>
      </c>
      <c r="Y49" s="119">
        <f>_xll.qlSimpleQuoteSetValue(F49,X49/100,Trigger)</f>
        <v>0</v>
      </c>
      <c r="Z49" s="109"/>
    </row>
    <row r="50" spans="1:26" x14ac:dyDescent="0.2">
      <c r="A50" s="58"/>
      <c r="B50" s="90"/>
      <c r="C50" s="90" t="s">
        <v>143</v>
      </c>
      <c r="D50" s="232" t="s">
        <v>71</v>
      </c>
      <c r="E50" s="110" t="str">
        <f t="shared" si="2"/>
        <v>USDOIS15Y_Quote</v>
      </c>
      <c r="F50" s="110" t="str">
        <f>_xll.qlSimpleQuote(Currency&amp;$B50&amp;$C50&amp;$D50&amp;QuoteSuffix,,RateTickValue,Permanent,Trigger,ObjectOverwrite)</f>
        <v>USDOIS15Y_Quote#0009</v>
      </c>
      <c r="G50" s="10" t="str">
        <f>_xll.ohRangeRetrieveError(F50)</f>
        <v/>
      </c>
      <c r="H50" s="9"/>
      <c r="J50" s="58"/>
      <c r="K50" s="126" t="s">
        <v>71</v>
      </c>
      <c r="L50" s="153"/>
      <c r="M50" s="153" t="s">
        <v>143</v>
      </c>
      <c r="N50" s="152" t="str">
        <f t="shared" si="3"/>
        <v>USD15YOIS</v>
      </c>
      <c r="O50" s="152" t="str">
        <v>USD15YOIS=TTKL</v>
      </c>
      <c r="P50" s="120">
        <v>2.1470000000000002</v>
      </c>
      <c r="Q50" s="120">
        <v>2.1970000000000001</v>
      </c>
      <c r="R50" s="120">
        <v>0</v>
      </c>
      <c r="S50" s="120">
        <v>0</v>
      </c>
      <c r="T50" s="124">
        <f>_xll.qlMidEquivalent($P50,$Q50,$R50,$S50)</f>
        <v>2.1720000000000002</v>
      </c>
      <c r="U50" s="122"/>
      <c r="V50" s="123">
        <v>2.5049999999999999</v>
      </c>
      <c r="W50" s="122"/>
      <c r="X50" s="168">
        <v>2.1720000000000002</v>
      </c>
      <c r="Y50" s="119">
        <f>_xll.qlSimpleQuoteSetValue(F50,X50/100,Trigger)</f>
        <v>0</v>
      </c>
      <c r="Z50" s="109"/>
    </row>
    <row r="51" spans="1:26" x14ac:dyDescent="0.2">
      <c r="A51" s="58"/>
      <c r="B51" s="90"/>
      <c r="C51" s="90" t="s">
        <v>143</v>
      </c>
      <c r="D51" s="232" t="s">
        <v>66</v>
      </c>
      <c r="E51" s="110" t="str">
        <f t="shared" si="2"/>
        <v>USDOIS20Y_Quote</v>
      </c>
      <c r="F51" s="110" t="str">
        <f>_xll.qlSimpleQuote(Currency&amp;$B51&amp;$C51&amp;$D51&amp;QuoteSuffix,,RateTickValue,Permanent,Trigger,ObjectOverwrite)</f>
        <v>USDOIS20Y_Quote#0009</v>
      </c>
      <c r="G51" s="10" t="str">
        <f>_xll.ohRangeRetrieveError(F51)</f>
        <v/>
      </c>
      <c r="H51" s="9"/>
      <c r="J51" s="58"/>
      <c r="K51" s="126" t="s">
        <v>66</v>
      </c>
      <c r="L51" s="153"/>
      <c r="M51" s="153" t="s">
        <v>143</v>
      </c>
      <c r="N51" s="152" t="str">
        <f t="shared" si="3"/>
        <v>USD20YOIS</v>
      </c>
      <c r="O51" s="152" t="str">
        <v>USD20YOIS=TTKL</v>
      </c>
      <c r="P51" s="120">
        <v>2.2410000000000001</v>
      </c>
      <c r="Q51" s="120">
        <v>2.2909999999999999</v>
      </c>
      <c r="R51" s="120">
        <v>0</v>
      </c>
      <c r="S51" s="120">
        <v>0</v>
      </c>
      <c r="T51" s="124">
        <f>_xll.qlMidEquivalent($P51,$Q51,$R51,$S51)</f>
        <v>2.266</v>
      </c>
      <c r="U51" s="122"/>
      <c r="V51" s="123">
        <v>2.6619999999999999</v>
      </c>
      <c r="W51" s="122"/>
      <c r="X51" s="168">
        <v>2.266</v>
      </c>
      <c r="Y51" s="119">
        <f>_xll.qlSimpleQuoteSetValue(F51,X51/100,Trigger)</f>
        <v>0</v>
      </c>
      <c r="Z51" s="109"/>
    </row>
    <row r="52" spans="1:26" x14ac:dyDescent="0.2">
      <c r="A52" s="58"/>
      <c r="B52" s="90"/>
      <c r="C52" s="90" t="s">
        <v>143</v>
      </c>
      <c r="D52" s="232" t="s">
        <v>61</v>
      </c>
      <c r="E52" s="110" t="str">
        <f t="shared" si="2"/>
        <v>USDOIS25Y_Quote</v>
      </c>
      <c r="F52" s="110" t="str">
        <f>_xll.qlSimpleQuote(Currency&amp;$B52&amp;$C52&amp;$D52&amp;QuoteSuffix,,RateTickValue,Permanent,Trigger,ObjectOverwrite)</f>
        <v>USDOIS25Y_Quote#0009</v>
      </c>
      <c r="G52" s="10" t="str">
        <f>_xll.ohRangeRetrieveError(F52)</f>
        <v/>
      </c>
      <c r="H52" s="9"/>
      <c r="J52" s="58"/>
      <c r="K52" s="126" t="s">
        <v>61</v>
      </c>
      <c r="L52" s="153"/>
      <c r="M52" s="153" t="s">
        <v>143</v>
      </c>
      <c r="N52" s="152" t="str">
        <f t="shared" si="3"/>
        <v>USD25YOIS</v>
      </c>
      <c r="O52" s="152" t="str">
        <v>USD25YOIS=TTKL</v>
      </c>
      <c r="P52" s="120">
        <v>2.2829999999999999</v>
      </c>
      <c r="Q52" s="120">
        <v>2.3330000000000002</v>
      </c>
      <c r="R52" s="120">
        <v>0</v>
      </c>
      <c r="S52" s="120">
        <v>0</v>
      </c>
      <c r="T52" s="124">
        <f>_xll.qlMidEquivalent($P52,$Q52,$R52,$S52)</f>
        <v>2.3079999999999998</v>
      </c>
      <c r="U52" s="122"/>
      <c r="V52" s="123">
        <v>2.7330000000000001</v>
      </c>
      <c r="W52" s="122"/>
      <c r="X52" s="168">
        <v>2.3079999999999998</v>
      </c>
      <c r="Y52" s="119">
        <f>_xll.qlSimpleQuoteSetValue(F52,X52/100,Trigger)</f>
        <v>0</v>
      </c>
      <c r="Z52" s="109"/>
    </row>
    <row r="53" spans="1:26" x14ac:dyDescent="0.2">
      <c r="A53" s="58"/>
      <c r="B53" s="90"/>
      <c r="C53" s="90" t="s">
        <v>143</v>
      </c>
      <c r="D53" s="232" t="s">
        <v>59</v>
      </c>
      <c r="E53" s="110" t="str">
        <f t="shared" si="2"/>
        <v>USDOIS27Y_Quote</v>
      </c>
      <c r="F53" s="110" t="str">
        <f>_xll.qlSimpleQuote(Currency&amp;$B53&amp;$C53&amp;$D53&amp;QuoteSuffix,,RateTickValue,Permanent,Trigger,ObjectOverwrite)</f>
        <v>USDOIS27Y_Quote#0009</v>
      </c>
      <c r="G53" s="10" t="str">
        <f>_xll.ohRangeRetrieveError(F53)</f>
        <v/>
      </c>
      <c r="H53" s="9"/>
      <c r="J53" s="58"/>
      <c r="K53" s="126" t="s">
        <v>59</v>
      </c>
      <c r="L53" s="153"/>
      <c r="M53" s="153" t="s">
        <v>143</v>
      </c>
      <c r="N53" s="152" t="str">
        <f t="shared" si="3"/>
        <v>USD27YOIS</v>
      </c>
      <c r="O53" s="152" t="str">
        <v>USD27YOIS=TTKL</v>
      </c>
      <c r="P53" s="120" t="s">
        <v>184</v>
      </c>
      <c r="Q53" s="120" t="s">
        <v>184</v>
      </c>
      <c r="R53" s="120" t="s">
        <v>184</v>
      </c>
      <c r="S53" s="120" t="s">
        <v>184</v>
      </c>
      <c r="T53" s="124" t="e">
        <f>_xll.qlMidEquivalent($P53,$Q53,$R53,$S53)</f>
        <v>#NUM!</v>
      </c>
      <c r="U53" s="122"/>
      <c r="V53" s="123" t="e">
        <v>#NUM!</v>
      </c>
      <c r="W53" s="122"/>
      <c r="X53" s="168" t="e">
        <v>#NUM!</v>
      </c>
      <c r="Y53" s="119">
        <f>_xll.qlSimpleQuoteSetValue(F53,X53/100,Trigger)</f>
        <v>0</v>
      </c>
      <c r="Z53" s="109"/>
    </row>
    <row r="54" spans="1:26" x14ac:dyDescent="0.2">
      <c r="A54" s="58"/>
      <c r="B54" s="90"/>
      <c r="C54" s="90" t="s">
        <v>143</v>
      </c>
      <c r="D54" s="232" t="s">
        <v>56</v>
      </c>
      <c r="E54" s="110" t="str">
        <f t="shared" si="2"/>
        <v>USDOIS30Y_Quote</v>
      </c>
      <c r="F54" s="110" t="str">
        <f>_xll.qlSimpleQuote(Currency&amp;$B54&amp;$C54&amp;$D54&amp;QuoteSuffix,,RateTickValue,Permanent,Trigger,ObjectOverwrite)</f>
        <v>USDOIS30Y_Quote#0009</v>
      </c>
      <c r="G54" s="10" t="str">
        <f>_xll.ohRangeRetrieveError(F54)</f>
        <v/>
      </c>
      <c r="H54" s="9"/>
      <c r="J54" s="58"/>
      <c r="K54" s="126" t="s">
        <v>56</v>
      </c>
      <c r="L54" s="153"/>
      <c r="M54" s="153" t="s">
        <v>143</v>
      </c>
      <c r="N54" s="152" t="str">
        <f t="shared" si="3"/>
        <v>USD30YOIS</v>
      </c>
      <c r="O54" s="152" t="str">
        <v>USD30YOIS=TTKL</v>
      </c>
      <c r="P54" s="120">
        <v>2.3090000000000002</v>
      </c>
      <c r="Q54" s="120">
        <v>2.359</v>
      </c>
      <c r="R54" s="120">
        <v>0</v>
      </c>
      <c r="S54" s="120">
        <v>0</v>
      </c>
      <c r="T54" s="124">
        <f>_xll.qlMidEquivalent($P54,$Q54,$R54,$S54)</f>
        <v>2.3340000000000001</v>
      </c>
      <c r="U54" s="122"/>
      <c r="V54" s="123">
        <v>2.77</v>
      </c>
      <c r="W54" s="122"/>
      <c r="X54" s="168">
        <v>2.3340000000000001</v>
      </c>
      <c r="Y54" s="119">
        <f>_xll.qlSimpleQuoteSetValue(F54,X54/100,Trigger)</f>
        <v>0</v>
      </c>
      <c r="Z54" s="109"/>
    </row>
    <row r="55" spans="1:26" x14ac:dyDescent="0.2">
      <c r="A55" s="58"/>
      <c r="B55" s="90"/>
      <c r="C55" s="90" t="s">
        <v>143</v>
      </c>
      <c r="D55" s="232" t="s">
        <v>51</v>
      </c>
      <c r="E55" s="110" t="str">
        <f t="shared" si="2"/>
        <v>USDOIS35Y_Quote</v>
      </c>
      <c r="F55" s="110" t="str">
        <f>_xll.qlSimpleQuote(Currency&amp;$B55&amp;$C55&amp;$D55&amp;QuoteSuffix,,RateTickValue,Permanent,Trigger,ObjectOverwrite)</f>
        <v>USDOIS35Y_Quote#0009</v>
      </c>
      <c r="G55" s="10" t="str">
        <f>_xll.ohRangeRetrieveError(F55)</f>
        <v/>
      </c>
      <c r="H55" s="9"/>
      <c r="J55" s="58"/>
      <c r="K55" s="126" t="s">
        <v>51</v>
      </c>
      <c r="L55" s="153"/>
      <c r="M55" s="153" t="s">
        <v>143</v>
      </c>
      <c r="N55" s="152" t="str">
        <f t="shared" si="3"/>
        <v>USD35YOIS</v>
      </c>
      <c r="O55" s="152" t="str">
        <v>USD35YOIS=TTKL</v>
      </c>
      <c r="P55" s="120">
        <v>2.3170000000000002</v>
      </c>
      <c r="Q55" s="120">
        <v>2.367</v>
      </c>
      <c r="R55" s="120">
        <v>0</v>
      </c>
      <c r="S55" s="120">
        <v>0</v>
      </c>
      <c r="T55" s="124">
        <f>_xll.qlMidEquivalent($P55,$Q55,$R55,$S55)</f>
        <v>2.3420000000000001</v>
      </c>
      <c r="U55" s="122"/>
      <c r="V55" s="123">
        <v>2.794</v>
      </c>
      <c r="W55" s="122"/>
      <c r="X55" s="168">
        <v>2.3420000000000001</v>
      </c>
      <c r="Y55" s="119">
        <f>_xll.qlSimpleQuoteSetValue(F55,X55/100,Trigger)</f>
        <v>0</v>
      </c>
      <c r="Z55" s="109"/>
    </row>
    <row r="56" spans="1:26" x14ac:dyDescent="0.2">
      <c r="A56" s="58"/>
      <c r="B56" s="90"/>
      <c r="C56" s="90" t="s">
        <v>143</v>
      </c>
      <c r="D56" s="232" t="s">
        <v>46</v>
      </c>
      <c r="E56" s="110" t="str">
        <f t="shared" si="2"/>
        <v>USDOIS40Y_Quote</v>
      </c>
      <c r="F56" s="110" t="str">
        <f>_xll.qlSimpleQuote(Currency&amp;$B56&amp;$C56&amp;$D56&amp;QuoteSuffix,,RateTickValue,Permanent,Trigger,ObjectOverwrite)</f>
        <v>USDOIS40Y_Quote#0009</v>
      </c>
      <c r="G56" s="10" t="str">
        <f>_xll.ohRangeRetrieveError(F56)</f>
        <v/>
      </c>
      <c r="H56" s="9"/>
      <c r="J56" s="58"/>
      <c r="K56" s="126" t="s">
        <v>46</v>
      </c>
      <c r="L56" s="153"/>
      <c r="M56" s="153" t="s">
        <v>143</v>
      </c>
      <c r="N56" s="152" t="str">
        <f t="shared" si="3"/>
        <v>USD40YOIS</v>
      </c>
      <c r="O56" s="152" t="str">
        <v>USD40YOIS=TTKL</v>
      </c>
      <c r="P56" s="120">
        <v>2.319</v>
      </c>
      <c r="Q56" s="120">
        <v>2.3690000000000002</v>
      </c>
      <c r="R56" s="120">
        <v>0</v>
      </c>
      <c r="S56" s="120">
        <v>0</v>
      </c>
      <c r="T56" s="124">
        <f>_xll.qlMidEquivalent($P56,$Q56,$R56,$S56)</f>
        <v>2.3440000000000003</v>
      </c>
      <c r="U56" s="122"/>
      <c r="V56" s="123">
        <v>2.7969999999999997</v>
      </c>
      <c r="W56" s="122"/>
      <c r="X56" s="168">
        <v>2.3440000000000003</v>
      </c>
      <c r="Y56" s="119">
        <f>_xll.qlSimpleQuoteSetValue(F56,X56/100,Trigger)</f>
        <v>0</v>
      </c>
      <c r="Z56" s="109"/>
    </row>
    <row r="57" spans="1:26" x14ac:dyDescent="0.2">
      <c r="A57" s="58"/>
      <c r="B57" s="90"/>
      <c r="C57" s="90" t="s">
        <v>143</v>
      </c>
      <c r="D57" s="232" t="s">
        <v>41</v>
      </c>
      <c r="E57" s="110" t="str">
        <f t="shared" si="2"/>
        <v>USDOIS45Y_Quote</v>
      </c>
      <c r="F57" s="110" t="str">
        <f>_xll.qlSimpleQuote(Currency&amp;$B57&amp;$C57&amp;$D57&amp;QuoteSuffix,,RateTickValue,Permanent,Trigger,ObjectOverwrite)</f>
        <v>USDOIS45Y_Quote#0009</v>
      </c>
      <c r="G57" s="10" t="str">
        <f>_xll.ohRangeRetrieveError(F57)</f>
        <v/>
      </c>
      <c r="H57" s="9"/>
      <c r="J57" s="58"/>
      <c r="K57" s="126" t="s">
        <v>41</v>
      </c>
      <c r="L57" s="153"/>
      <c r="M57" s="153" t="s">
        <v>143</v>
      </c>
      <c r="N57" s="152" t="str">
        <f t="shared" si="3"/>
        <v>USD45YOIS</v>
      </c>
      <c r="O57" s="152" t="str">
        <v>USD45YOIS=TTKL</v>
      </c>
      <c r="P57" s="120">
        <v>2.3090000000000002</v>
      </c>
      <c r="Q57" s="120">
        <v>2.359</v>
      </c>
      <c r="R57" s="120">
        <v>0</v>
      </c>
      <c r="S57" s="120">
        <v>0</v>
      </c>
      <c r="T57" s="124">
        <f>_xll.qlMidEquivalent($P57,$Q57,$R57,$S57)</f>
        <v>2.3340000000000001</v>
      </c>
      <c r="U57" s="122"/>
      <c r="V57" s="123">
        <v>2.7880000000000003</v>
      </c>
      <c r="W57" s="122"/>
      <c r="X57" s="168">
        <v>2.3340000000000001</v>
      </c>
      <c r="Y57" s="119">
        <f>_xll.qlSimpleQuoteSetValue(F57,X57/100,Trigger)</f>
        <v>0</v>
      </c>
      <c r="Z57" s="109"/>
    </row>
    <row r="58" spans="1:26" x14ac:dyDescent="0.2">
      <c r="A58" s="58"/>
      <c r="B58" s="90"/>
      <c r="C58" s="90" t="s">
        <v>143</v>
      </c>
      <c r="D58" s="232" t="s">
        <v>36</v>
      </c>
      <c r="E58" s="110" t="str">
        <f t="shared" si="2"/>
        <v>USDOIS50Y_Quote</v>
      </c>
      <c r="F58" s="110" t="str">
        <f>_xll.qlSimpleQuote(Currency&amp;$B58&amp;$C58&amp;$D58&amp;QuoteSuffix,,RateTickValue,Permanent,Trigger,ObjectOverwrite)</f>
        <v>USDOIS50Y_Quote#0009</v>
      </c>
      <c r="G58" s="10" t="str">
        <f>_xll.ohRangeRetrieveError(F58)</f>
        <v/>
      </c>
      <c r="H58" s="9"/>
      <c r="J58" s="58"/>
      <c r="K58" s="133" t="s">
        <v>36</v>
      </c>
      <c r="L58" s="151"/>
      <c r="M58" s="151" t="s">
        <v>143</v>
      </c>
      <c r="N58" s="150" t="str">
        <f t="shared" si="3"/>
        <v>USD50YOIS</v>
      </c>
      <c r="O58" s="150" t="str">
        <v>USD50YOIS=TTKL</v>
      </c>
      <c r="P58" s="129">
        <v>2.298</v>
      </c>
      <c r="Q58" s="129">
        <v>2.3479999999999999</v>
      </c>
      <c r="R58" s="129">
        <v>0</v>
      </c>
      <c r="S58" s="129">
        <v>0</v>
      </c>
      <c r="T58" s="131">
        <f>_xll.qlMidEquivalent($P58,$Q58,$R58,$S58)</f>
        <v>2.323</v>
      </c>
      <c r="U58" s="122"/>
      <c r="V58" s="123">
        <v>2.778</v>
      </c>
      <c r="W58" s="122"/>
      <c r="X58" s="161">
        <v>2.323</v>
      </c>
      <c r="Y58" s="128">
        <f>_xll.qlSimpleQuoteSetValue(F58,X58/100,Trigger)</f>
        <v>0</v>
      </c>
      <c r="Z58" s="109"/>
    </row>
    <row r="59" spans="1:26" ht="12" thickBot="1" x14ac:dyDescent="0.25">
      <c r="A59" s="58"/>
      <c r="B59" s="233"/>
      <c r="C59" s="233"/>
      <c r="D59" s="234"/>
      <c r="E59" s="235"/>
      <c r="F59" s="235"/>
      <c r="G59" s="236"/>
      <c r="H59" s="9"/>
      <c r="J59" s="101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1"/>
    </row>
    <row r="60" spans="1:26" x14ac:dyDescent="0.2">
      <c r="A60" s="58"/>
      <c r="B60" s="90" t="s">
        <v>144</v>
      </c>
      <c r="C60" s="90" t="s">
        <v>143</v>
      </c>
      <c r="D60" s="237" t="str">
        <f>_xll.qlECBNextCode(_xll.qlSettingsEvaluationDate(Trigger)-365)</f>
        <v>MAR14</v>
      </c>
      <c r="E60" s="110" t="str">
        <f t="shared" ref="E60:E95" si="4">Currency&amp;$B60&amp;$C60&amp;$D60&amp;QuoteSuffix</f>
        <v>USDFEDOISMAR14_Quote</v>
      </c>
      <c r="F60" s="110" t="str">
        <f>_xll.qlSimpleQuote(Currency&amp;$B60&amp;$C60&amp;$D60&amp;QuoteSuffix,,RateTickValue,Permanent,Trigger,ObjectOverwrite)</f>
        <v>USDFEDOISMAR14_Quote#0009</v>
      </c>
      <c r="G60" s="10" t="str">
        <f>_xll.ohRangeRetrieveError(F60)</f>
        <v/>
      </c>
      <c r="H60" s="9"/>
    </row>
    <row r="61" spans="1:26" x14ac:dyDescent="0.2">
      <c r="A61" s="58"/>
      <c r="B61" s="90" t="s">
        <v>144</v>
      </c>
      <c r="C61" s="90" t="s">
        <v>143</v>
      </c>
      <c r="D61" s="237" t="str">
        <f>_xll.qlECBNextCode(_xll.qlECBdate(D60))</f>
        <v>APR14</v>
      </c>
      <c r="E61" s="110" t="str">
        <f t="shared" si="4"/>
        <v>USDFEDOISAPR14_Quote</v>
      </c>
      <c r="F61" s="110" t="str">
        <f>_xll.qlSimpleQuote(Currency&amp;$B61&amp;$C61&amp;$D61&amp;QuoteSuffix,,RateTickValue,Permanent,Trigger,ObjectOverwrite)</f>
        <v>USDFEDOISAPR14_Quote#0009</v>
      </c>
      <c r="G61" s="10" t="str">
        <f>_xll.ohRangeRetrieveError(F61)</f>
        <v/>
      </c>
      <c r="H61" s="9"/>
    </row>
    <row r="62" spans="1:26" x14ac:dyDescent="0.2">
      <c r="A62" s="58"/>
      <c r="B62" s="90" t="s">
        <v>144</v>
      </c>
      <c r="C62" s="90" t="s">
        <v>143</v>
      </c>
      <c r="D62" s="237" t="str">
        <f>_xll.qlECBNextCode(_xll.qlECBdate(D61))</f>
        <v>MAY14</v>
      </c>
      <c r="E62" s="110" t="str">
        <f t="shared" si="4"/>
        <v>USDFEDOISMAY14_Quote</v>
      </c>
      <c r="F62" s="110" t="str">
        <f>_xll.qlSimpleQuote(Currency&amp;$B62&amp;$C62&amp;$D62&amp;QuoteSuffix,,RateTickValue,Permanent,Trigger,ObjectOverwrite)</f>
        <v>USDFEDOISMAY14_Quote#0009</v>
      </c>
      <c r="G62" s="10" t="str">
        <f>_xll.ohRangeRetrieveError(F62)</f>
        <v/>
      </c>
      <c r="H62" s="9"/>
    </row>
    <row r="63" spans="1:26" x14ac:dyDescent="0.2">
      <c r="A63" s="58"/>
      <c r="B63" s="90" t="s">
        <v>144</v>
      </c>
      <c r="C63" s="90" t="s">
        <v>143</v>
      </c>
      <c r="D63" s="237" t="str">
        <f>_xll.qlECBNextCode(_xll.qlECBdate(D62))</f>
        <v>JUN14</v>
      </c>
      <c r="E63" s="110" t="str">
        <f t="shared" si="4"/>
        <v>USDFEDOISJUN14_Quote</v>
      </c>
      <c r="F63" s="110" t="str">
        <f>_xll.qlSimpleQuote(Currency&amp;$B63&amp;$C63&amp;$D63&amp;QuoteSuffix,,RateTickValue,Permanent,Trigger,ObjectOverwrite)</f>
        <v>USDFEDOISJUN14_Quote#0009</v>
      </c>
      <c r="G63" s="10" t="str">
        <f>_xll.ohRangeRetrieveError(F63)</f>
        <v/>
      </c>
      <c r="H63" s="9"/>
    </row>
    <row r="64" spans="1:26" x14ac:dyDescent="0.2">
      <c r="A64" s="58"/>
      <c r="B64" s="90" t="s">
        <v>144</v>
      </c>
      <c r="C64" s="90" t="s">
        <v>143</v>
      </c>
      <c r="D64" s="237" t="str">
        <f>_xll.qlECBNextCode(_xll.qlECBdate(D63))</f>
        <v>JUL14</v>
      </c>
      <c r="E64" s="110" t="str">
        <f t="shared" si="4"/>
        <v>USDFEDOISJUL14_Quote</v>
      </c>
      <c r="F64" s="110" t="str">
        <f>_xll.qlSimpleQuote(Currency&amp;$B64&amp;$C64&amp;$D64&amp;QuoteSuffix,,RateTickValue,Permanent,Trigger,ObjectOverwrite)</f>
        <v>USDFEDOISJUL14_Quote#0009</v>
      </c>
      <c r="G64" s="10" t="str">
        <f>_xll.ohRangeRetrieveError(F64)</f>
        <v/>
      </c>
      <c r="H64" s="9"/>
    </row>
    <row r="65" spans="1:8" x14ac:dyDescent="0.2">
      <c r="A65" s="58"/>
      <c r="B65" s="90" t="s">
        <v>144</v>
      </c>
      <c r="C65" s="90" t="s">
        <v>143</v>
      </c>
      <c r="D65" s="237" t="str">
        <f>_xll.qlECBNextCode(_xll.qlECBdate(D64))</f>
        <v>AUG14</v>
      </c>
      <c r="E65" s="110" t="str">
        <f t="shared" si="4"/>
        <v>USDFEDOISAUG14_Quote</v>
      </c>
      <c r="F65" s="110" t="str">
        <f>_xll.qlSimpleQuote(Currency&amp;$B65&amp;$C65&amp;$D65&amp;QuoteSuffix,,RateTickValue,Permanent,Trigger,ObjectOverwrite)</f>
        <v>USDFEDOISAUG14_Quote#0009</v>
      </c>
      <c r="G65" s="10" t="str">
        <f>_xll.ohRangeRetrieveError(F65)</f>
        <v/>
      </c>
      <c r="H65" s="9"/>
    </row>
    <row r="66" spans="1:8" x14ac:dyDescent="0.2">
      <c r="A66" s="58"/>
      <c r="B66" s="90" t="s">
        <v>144</v>
      </c>
      <c r="C66" s="90" t="s">
        <v>143</v>
      </c>
      <c r="D66" s="237" t="str">
        <f>_xll.qlECBNextCode(_xll.qlECBdate(D65))</f>
        <v>SEP14</v>
      </c>
      <c r="E66" s="110" t="str">
        <f t="shared" si="4"/>
        <v>USDFEDOISSEP14_Quote</v>
      </c>
      <c r="F66" s="110" t="str">
        <f>_xll.qlSimpleQuote(Currency&amp;$B66&amp;$C66&amp;$D66&amp;QuoteSuffix,,RateTickValue,Permanent,Trigger,ObjectOverwrite)</f>
        <v>USDFEDOISSEP14_Quote#0009</v>
      </c>
      <c r="G66" s="10" t="str">
        <f>_xll.ohRangeRetrieveError(F66)</f>
        <v/>
      </c>
      <c r="H66" s="9"/>
    </row>
    <row r="67" spans="1:8" x14ac:dyDescent="0.2">
      <c r="A67" s="58"/>
      <c r="B67" s="90" t="s">
        <v>144</v>
      </c>
      <c r="C67" s="90" t="s">
        <v>143</v>
      </c>
      <c r="D67" s="237" t="str">
        <f>_xll.qlECBNextCode(_xll.qlECBdate(D66))</f>
        <v>OCT14</v>
      </c>
      <c r="E67" s="110" t="str">
        <f t="shared" si="4"/>
        <v>USDFEDOISOCT14_Quote</v>
      </c>
      <c r="F67" s="110" t="str">
        <f>_xll.qlSimpleQuote(Currency&amp;$B67&amp;$C67&amp;$D67&amp;QuoteSuffix,,RateTickValue,Permanent,Trigger,ObjectOverwrite)</f>
        <v>USDFEDOISOCT14_Quote#0009</v>
      </c>
      <c r="G67" s="10" t="str">
        <f>_xll.ohRangeRetrieveError(F67)</f>
        <v/>
      </c>
      <c r="H67" s="9"/>
    </row>
    <row r="68" spans="1:8" x14ac:dyDescent="0.2">
      <c r="A68" s="58"/>
      <c r="B68" s="90" t="s">
        <v>144</v>
      </c>
      <c r="C68" s="90" t="s">
        <v>143</v>
      </c>
      <c r="D68" s="237" t="str">
        <f>_xll.qlECBNextCode(_xll.qlECBdate(D67))</f>
        <v>NOV14</v>
      </c>
      <c r="E68" s="110" t="str">
        <f t="shared" si="4"/>
        <v>USDFEDOISNOV14_Quote</v>
      </c>
      <c r="F68" s="110" t="str">
        <f>_xll.qlSimpleQuote(Currency&amp;$B68&amp;$C68&amp;$D68&amp;QuoteSuffix,,RateTickValue,Permanent,Trigger,ObjectOverwrite)</f>
        <v>USDFEDOISNOV14_Quote#0009</v>
      </c>
      <c r="G68" s="10" t="str">
        <f>_xll.ohRangeRetrieveError(F68)</f>
        <v/>
      </c>
      <c r="H68" s="9"/>
    </row>
    <row r="69" spans="1:8" x14ac:dyDescent="0.2">
      <c r="A69" s="58"/>
      <c r="B69" s="90" t="s">
        <v>144</v>
      </c>
      <c r="C69" s="90" t="s">
        <v>143</v>
      </c>
      <c r="D69" s="237" t="str">
        <f>_xll.qlECBNextCode(_xll.qlECBdate(D68))</f>
        <v>DEC14</v>
      </c>
      <c r="E69" s="110" t="str">
        <f t="shared" si="4"/>
        <v>USDFEDOISDEC14_Quote</v>
      </c>
      <c r="F69" s="110" t="str">
        <f>_xll.qlSimpleQuote(Currency&amp;$B69&amp;$C69&amp;$D69&amp;QuoteSuffix,,RateTickValue,Permanent,Trigger,ObjectOverwrite)</f>
        <v>USDFEDOISDEC14_Quote#0009</v>
      </c>
      <c r="G69" s="10" t="str">
        <f>_xll.ohRangeRetrieveError(F69)</f>
        <v/>
      </c>
      <c r="H69" s="9"/>
    </row>
    <row r="70" spans="1:8" x14ac:dyDescent="0.2">
      <c r="A70" s="58"/>
      <c r="B70" s="90" t="s">
        <v>144</v>
      </c>
      <c r="C70" s="90" t="s">
        <v>143</v>
      </c>
      <c r="D70" s="237" t="str">
        <f>_xll.qlECBNextCode(_xll.qlECBdate(D69))</f>
        <v>JAN15</v>
      </c>
      <c r="E70" s="110" t="str">
        <f t="shared" si="4"/>
        <v>USDFEDOISJAN15_Quote</v>
      </c>
      <c r="F70" s="110" t="str">
        <f>_xll.qlSimpleQuote(Currency&amp;$B70&amp;$C70&amp;$D70&amp;QuoteSuffix,,RateTickValue,Permanent,Trigger,ObjectOverwrite)</f>
        <v>USDFEDOISJAN15_Quote#0009</v>
      </c>
      <c r="G70" s="10" t="str">
        <f>_xll.ohRangeRetrieveError(F70)</f>
        <v/>
      </c>
      <c r="H70" s="9"/>
    </row>
    <row r="71" spans="1:8" x14ac:dyDescent="0.2">
      <c r="A71" s="58"/>
      <c r="B71" s="90" t="s">
        <v>144</v>
      </c>
      <c r="C71" s="90" t="s">
        <v>143</v>
      </c>
      <c r="D71" s="237" t="str">
        <f>_xll.qlECBNextCode(_xll.qlECBdate(D70))</f>
        <v>MAR15</v>
      </c>
      <c r="E71" s="110" t="str">
        <f t="shared" si="4"/>
        <v>USDFEDOISMAR15_Quote</v>
      </c>
      <c r="F71" s="110" t="str">
        <f>_xll.qlSimpleQuote(Currency&amp;$B71&amp;$C71&amp;$D71&amp;QuoteSuffix,,RateTickValue,Permanent,Trigger,ObjectOverwrite)</f>
        <v>USDFEDOISMAR15_Quote#0009</v>
      </c>
      <c r="G71" s="10" t="str">
        <f>_xll.ohRangeRetrieveError(F71)</f>
        <v/>
      </c>
      <c r="H71" s="9"/>
    </row>
    <row r="72" spans="1:8" x14ac:dyDescent="0.2">
      <c r="A72" s="58"/>
      <c r="B72" s="90" t="s">
        <v>144</v>
      </c>
      <c r="C72" s="90" t="s">
        <v>143</v>
      </c>
      <c r="D72" s="237" t="str">
        <f>_xll.qlECBNextCode(_xll.qlECBdate(D71))</f>
        <v>APR15</v>
      </c>
      <c r="E72" s="110" t="str">
        <f t="shared" si="4"/>
        <v>USDFEDOISAPR15_Quote</v>
      </c>
      <c r="F72" s="110" t="str">
        <f>_xll.qlSimpleQuote(Currency&amp;$B72&amp;$C72&amp;$D72&amp;QuoteSuffix,,RateTickValue,Permanent,Trigger,ObjectOverwrite)</f>
        <v>USDFEDOISAPR15_Quote#0009</v>
      </c>
      <c r="G72" s="10" t="str">
        <f>_xll.ohRangeRetrieveError(F72)</f>
        <v/>
      </c>
      <c r="H72" s="9"/>
    </row>
    <row r="73" spans="1:8" x14ac:dyDescent="0.2">
      <c r="A73" s="58"/>
      <c r="B73" s="90" t="s">
        <v>144</v>
      </c>
      <c r="C73" s="90" t="s">
        <v>143</v>
      </c>
      <c r="D73" s="237" t="str">
        <f>_xll.qlECBNextCode(_xll.qlECBdate(D72))</f>
        <v>JUN15</v>
      </c>
      <c r="E73" s="110" t="str">
        <f t="shared" si="4"/>
        <v>USDFEDOISJUN15_Quote</v>
      </c>
      <c r="F73" s="110" t="str">
        <f>_xll.qlSimpleQuote(Currency&amp;$B73&amp;$C73&amp;$D73&amp;QuoteSuffix,,RateTickValue,Permanent,Trigger,ObjectOverwrite)</f>
        <v>USDFEDOISJUN15_Quote#0009</v>
      </c>
      <c r="G73" s="10" t="str">
        <f>_xll.ohRangeRetrieveError(F73)</f>
        <v/>
      </c>
      <c r="H73" s="9"/>
    </row>
    <row r="74" spans="1:8" x14ac:dyDescent="0.2">
      <c r="A74" s="58"/>
      <c r="B74" s="90" t="s">
        <v>144</v>
      </c>
      <c r="C74" s="90" t="s">
        <v>143</v>
      </c>
      <c r="D74" s="237" t="str">
        <f>_xll.qlECBNextCode(_xll.qlECBdate(D73))</f>
        <v>JUL15</v>
      </c>
      <c r="E74" s="110" t="str">
        <f t="shared" si="4"/>
        <v>USDFEDOISJUL15_Quote</v>
      </c>
      <c r="F74" s="110" t="str">
        <f>_xll.qlSimpleQuote(Currency&amp;$B74&amp;$C74&amp;$D74&amp;QuoteSuffix,,RateTickValue,Permanent,Trigger,ObjectOverwrite)</f>
        <v>USDFEDOISJUL15_Quote#0009</v>
      </c>
      <c r="G74" s="10" t="str">
        <f>_xll.ohRangeRetrieveError(F74)</f>
        <v/>
      </c>
      <c r="H74" s="9"/>
    </row>
    <row r="75" spans="1:8" x14ac:dyDescent="0.2">
      <c r="A75" s="58"/>
      <c r="B75" s="90" t="s">
        <v>144</v>
      </c>
      <c r="C75" s="90" t="s">
        <v>143</v>
      </c>
      <c r="D75" s="237" t="str">
        <f>_xll.qlECBNextCode(_xll.qlECBdate(D74))</f>
        <v>SEP15</v>
      </c>
      <c r="E75" s="110" t="str">
        <f t="shared" si="4"/>
        <v>USDFEDOISSEP15_Quote</v>
      </c>
      <c r="F75" s="110" t="str">
        <f>_xll.qlSimpleQuote(Currency&amp;$B75&amp;$C75&amp;$D75&amp;QuoteSuffix,,RateTickValue,Permanent,Trigger,ObjectOverwrite)</f>
        <v>USDFEDOISSEP15_Quote#0009</v>
      </c>
      <c r="G75" s="10" t="str">
        <f>_xll.ohRangeRetrieveError(F75)</f>
        <v/>
      </c>
      <c r="H75" s="9"/>
    </row>
    <row r="76" spans="1:8" x14ac:dyDescent="0.2">
      <c r="A76" s="58"/>
      <c r="B76" s="90" t="s">
        <v>144</v>
      </c>
      <c r="C76" s="90" t="s">
        <v>143</v>
      </c>
      <c r="D76" s="237" t="str">
        <f>_xll.qlECBNextCode(_xll.qlECBdate(D75))</f>
        <v>OCT15</v>
      </c>
      <c r="E76" s="110" t="str">
        <f t="shared" si="4"/>
        <v>USDFEDOISOCT15_Quote</v>
      </c>
      <c r="F76" s="110" t="str">
        <f>_xll.qlSimpleQuote(Currency&amp;$B76&amp;$C76&amp;$D76&amp;QuoteSuffix,,RateTickValue,Permanent,Trigger,ObjectOverwrite)</f>
        <v>USDFEDOISOCT15_Quote#0009</v>
      </c>
      <c r="G76" s="10" t="str">
        <f>_xll.ohRangeRetrieveError(F76)</f>
        <v/>
      </c>
      <c r="H76" s="9"/>
    </row>
    <row r="77" spans="1:8" x14ac:dyDescent="0.2">
      <c r="A77" s="58"/>
      <c r="B77" s="90" t="s">
        <v>144</v>
      </c>
      <c r="C77" s="90" t="s">
        <v>143</v>
      </c>
      <c r="D77" s="237" t="str">
        <f>_xll.qlECBNextCode(_xll.qlECBdate(D76))</f>
        <v>DEC15</v>
      </c>
      <c r="E77" s="110" t="str">
        <f t="shared" si="4"/>
        <v>USDFEDOISDEC15_Quote</v>
      </c>
      <c r="F77" s="110" t="str">
        <f>_xll.qlSimpleQuote(Currency&amp;$B77&amp;$C77&amp;$D77&amp;QuoteSuffix,,RateTickValue,Permanent,Trigger,ObjectOverwrite)</f>
        <v>USDFEDOISDEC15_Quote#0009</v>
      </c>
      <c r="G77" s="10" t="str">
        <f>_xll.ohRangeRetrieveError(F77)</f>
        <v/>
      </c>
      <c r="H77" s="9"/>
    </row>
    <row r="78" spans="1:8" x14ac:dyDescent="0.2">
      <c r="A78" s="58"/>
      <c r="B78" s="90" t="s">
        <v>144</v>
      </c>
      <c r="C78" s="90" t="s">
        <v>143</v>
      </c>
      <c r="D78" s="237" t="str">
        <f>_xll.qlECBNextCode(_xll.qlECBdate(D77))</f>
        <v>JAN16</v>
      </c>
      <c r="E78" s="110" t="str">
        <f t="shared" si="4"/>
        <v>USDFEDOISJAN16_Quote</v>
      </c>
      <c r="F78" s="110" t="str">
        <f>_xll.qlSimpleQuote(Currency&amp;$B78&amp;$C78&amp;$D78&amp;QuoteSuffix,,RateTickValue,Permanent,Trigger,ObjectOverwrite)</f>
        <v>USDFEDOISJAN16_Quote#0009</v>
      </c>
      <c r="G78" s="10" t="str">
        <f>_xll.ohRangeRetrieveError(F78)</f>
        <v/>
      </c>
      <c r="H78" s="9"/>
    </row>
    <row r="79" spans="1:8" x14ac:dyDescent="0.2">
      <c r="A79" s="58"/>
      <c r="B79" s="90" t="s">
        <v>144</v>
      </c>
      <c r="C79" s="90" t="s">
        <v>143</v>
      </c>
      <c r="D79" s="237" t="str">
        <f>_xll.qlECBNextCode(_xll.qlECBdate(D78))</f>
        <v>MAR16</v>
      </c>
      <c r="E79" s="110" t="str">
        <f t="shared" si="4"/>
        <v>USDFEDOISMAR16_Quote</v>
      </c>
      <c r="F79" s="110" t="str">
        <f>_xll.qlSimpleQuote(Currency&amp;$B79&amp;$C79&amp;$D79&amp;QuoteSuffix,,RateTickValue,Permanent,Trigger,ObjectOverwrite)</f>
        <v>USDFEDOISMAR16_Quote#0009</v>
      </c>
      <c r="G79" s="10" t="str">
        <f>_xll.ohRangeRetrieveError(F79)</f>
        <v/>
      </c>
      <c r="H79" s="9"/>
    </row>
    <row r="80" spans="1:8" x14ac:dyDescent="0.2">
      <c r="A80" s="58"/>
      <c r="B80" s="90" t="s">
        <v>144</v>
      </c>
      <c r="C80" s="90" t="s">
        <v>143</v>
      </c>
      <c r="D80" s="237" t="str">
        <f>_xll.qlECBNextCode(_xll.qlECBdate(D79))</f>
        <v>APR16</v>
      </c>
      <c r="E80" s="110" t="str">
        <f t="shared" si="4"/>
        <v>USDFEDOISAPR16_Quote</v>
      </c>
      <c r="F80" s="110" t="str">
        <f>_xll.qlSimpleQuote(Currency&amp;$B80&amp;$C80&amp;$D80&amp;QuoteSuffix,,RateTickValue,Permanent,Trigger,ObjectOverwrite)</f>
        <v>USDFEDOISAPR16_Quote#0008</v>
      </c>
      <c r="G80" s="10" t="str">
        <f>_xll.ohRangeRetrieveError(F80)</f>
        <v/>
      </c>
      <c r="H80" s="9"/>
    </row>
    <row r="81" spans="1:8" x14ac:dyDescent="0.2">
      <c r="A81" s="58"/>
      <c r="B81" s="90" t="s">
        <v>144</v>
      </c>
      <c r="C81" s="90" t="s">
        <v>143</v>
      </c>
      <c r="D81" s="237" t="e">
        <f>_xll.qlECBNextCode(_xll.qlECBdate(D80))</f>
        <v>#NUM!</v>
      </c>
      <c r="E81" s="110" t="e">
        <f t="shared" si="4"/>
        <v>#NUM!</v>
      </c>
      <c r="F81" s="110" t="e">
        <f>_xll.qlSimpleQuote(Currency&amp;$B81&amp;$C81&amp;$D81&amp;QuoteSuffix,,RateTickValue,Permanent,Trigger,ObjectOverwrite)</f>
        <v>#VALUE!</v>
      </c>
      <c r="G81" s="10" t="str">
        <f ca="1">_xll.ohRangeRetrieveError(F81)</f>
        <v/>
      </c>
      <c r="H81" s="9"/>
    </row>
    <row r="82" spans="1:8" x14ac:dyDescent="0.2">
      <c r="A82" s="58"/>
      <c r="B82" s="90" t="s">
        <v>144</v>
      </c>
      <c r="C82" s="90" t="s">
        <v>143</v>
      </c>
      <c r="D82" s="237" t="e">
        <f>_xll.qlECBNextCode(_xll.qlECBdate(D81))</f>
        <v>#NUM!</v>
      </c>
      <c r="E82" s="110" t="e">
        <f t="shared" si="4"/>
        <v>#NUM!</v>
      </c>
      <c r="F82" s="110" t="e">
        <f>_xll.qlSimpleQuote(Currency&amp;$B82&amp;$C82&amp;$D82&amp;QuoteSuffix,,RateTickValue,Permanent,Trigger,ObjectOverwrite)</f>
        <v>#VALUE!</v>
      </c>
      <c r="G82" s="10" t="str">
        <f ca="1">_xll.ohRangeRetrieveError(F82)</f>
        <v/>
      </c>
      <c r="H82" s="9"/>
    </row>
    <row r="83" spans="1:8" x14ac:dyDescent="0.2">
      <c r="A83" s="58"/>
      <c r="B83" s="90" t="s">
        <v>144</v>
      </c>
      <c r="C83" s="90" t="s">
        <v>143</v>
      </c>
      <c r="D83" s="237" t="e">
        <f>_xll.qlECBNextCode(_xll.qlECBdate(D82))</f>
        <v>#NUM!</v>
      </c>
      <c r="E83" s="110" t="e">
        <f t="shared" si="4"/>
        <v>#NUM!</v>
      </c>
      <c r="F83" s="110" t="e">
        <f>_xll.qlSimpleQuote(Currency&amp;$B83&amp;$C83&amp;$D83&amp;QuoteSuffix,,RateTickValue,Permanent,Trigger,ObjectOverwrite)</f>
        <v>#VALUE!</v>
      </c>
      <c r="G83" s="10" t="str">
        <f ca="1">_xll.ohRangeRetrieveError(F83)</f>
        <v/>
      </c>
      <c r="H83" s="9"/>
    </row>
    <row r="84" spans="1:8" x14ac:dyDescent="0.2">
      <c r="A84" s="58"/>
      <c r="B84" s="90" t="s">
        <v>144</v>
      </c>
      <c r="C84" s="90" t="s">
        <v>143</v>
      </c>
      <c r="D84" s="237" t="e">
        <f>_xll.qlECBNextCode(_xll.qlECBdate(D83))</f>
        <v>#NUM!</v>
      </c>
      <c r="E84" s="110" t="e">
        <f t="shared" si="4"/>
        <v>#NUM!</v>
      </c>
      <c r="F84" s="110" t="e">
        <f>_xll.qlSimpleQuote(Currency&amp;$B84&amp;$C84&amp;$D84&amp;QuoteSuffix,,RateTickValue,Permanent,Trigger,ObjectOverwrite)</f>
        <v>#VALUE!</v>
      </c>
      <c r="G84" s="10" t="str">
        <f ca="1">_xll.ohRangeRetrieveError(F84)</f>
        <v/>
      </c>
      <c r="H84" s="9"/>
    </row>
    <row r="85" spans="1:8" x14ac:dyDescent="0.2">
      <c r="A85" s="58"/>
      <c r="B85" s="90" t="s">
        <v>144</v>
      </c>
      <c r="C85" s="90" t="s">
        <v>143</v>
      </c>
      <c r="D85" s="237" t="e">
        <f>_xll.qlECBNextCode(_xll.qlECBdate(D84))</f>
        <v>#NUM!</v>
      </c>
      <c r="E85" s="110" t="e">
        <f t="shared" si="4"/>
        <v>#NUM!</v>
      </c>
      <c r="F85" s="110" t="e">
        <f>_xll.qlSimpleQuote(Currency&amp;$B85&amp;$C85&amp;$D85&amp;QuoteSuffix,,RateTickValue,Permanent,Trigger,ObjectOverwrite)</f>
        <v>#VALUE!</v>
      </c>
      <c r="G85" s="10" t="str">
        <f ca="1">_xll.ohRangeRetrieveError(F85)</f>
        <v/>
      </c>
      <c r="H85" s="9"/>
    </row>
    <row r="86" spans="1:8" x14ac:dyDescent="0.2">
      <c r="A86" s="58"/>
      <c r="B86" s="90" t="s">
        <v>144</v>
      </c>
      <c r="C86" s="90" t="s">
        <v>143</v>
      </c>
      <c r="D86" s="237" t="e">
        <f>_xll.qlECBNextCode(_xll.qlECBdate(D85))</f>
        <v>#NUM!</v>
      </c>
      <c r="E86" s="110" t="e">
        <f t="shared" si="4"/>
        <v>#NUM!</v>
      </c>
      <c r="F86" s="110" t="e">
        <f>_xll.qlSimpleQuote(Currency&amp;$B86&amp;$C86&amp;$D86&amp;QuoteSuffix,,RateTickValue,Permanent,Trigger,ObjectOverwrite)</f>
        <v>#VALUE!</v>
      </c>
      <c r="G86" s="10" t="str">
        <f ca="1">_xll.ohRangeRetrieveError(F86)</f>
        <v/>
      </c>
      <c r="H86" s="9"/>
    </row>
    <row r="87" spans="1:8" x14ac:dyDescent="0.2">
      <c r="A87" s="58"/>
      <c r="B87" s="90" t="s">
        <v>144</v>
      </c>
      <c r="C87" s="90" t="s">
        <v>143</v>
      </c>
      <c r="D87" s="237" t="e">
        <f>_xll.qlECBNextCode(_xll.qlECBdate(D86))</f>
        <v>#NUM!</v>
      </c>
      <c r="E87" s="110" t="e">
        <f t="shared" si="4"/>
        <v>#NUM!</v>
      </c>
      <c r="F87" s="110" t="e">
        <f>_xll.qlSimpleQuote(Currency&amp;$B87&amp;$C87&amp;$D87&amp;QuoteSuffix,,RateTickValue,Permanent,Trigger,ObjectOverwrite)</f>
        <v>#VALUE!</v>
      </c>
      <c r="G87" s="10" t="str">
        <f ca="1">_xll.ohRangeRetrieveError(F87)</f>
        <v/>
      </c>
      <c r="H87" s="9"/>
    </row>
    <row r="88" spans="1:8" x14ac:dyDescent="0.2">
      <c r="A88" s="58"/>
      <c r="B88" s="90" t="s">
        <v>144</v>
      </c>
      <c r="C88" s="90" t="s">
        <v>143</v>
      </c>
      <c r="D88" s="237" t="e">
        <f>_xll.qlECBNextCode(_xll.qlECBdate(D87))</f>
        <v>#NUM!</v>
      </c>
      <c r="E88" s="110" t="e">
        <f t="shared" si="4"/>
        <v>#NUM!</v>
      </c>
      <c r="F88" s="110" t="e">
        <f>_xll.qlSimpleQuote(Currency&amp;$B88&amp;$C88&amp;$D88&amp;QuoteSuffix,,RateTickValue,Permanent,Trigger,ObjectOverwrite)</f>
        <v>#VALUE!</v>
      </c>
      <c r="G88" s="10" t="str">
        <f ca="1">_xll.ohRangeRetrieveError(F88)</f>
        <v/>
      </c>
      <c r="H88" s="9"/>
    </row>
    <row r="89" spans="1:8" x14ac:dyDescent="0.2">
      <c r="A89" s="58"/>
      <c r="B89" s="90" t="s">
        <v>144</v>
      </c>
      <c r="C89" s="90" t="s">
        <v>143</v>
      </c>
      <c r="D89" s="237" t="e">
        <f>_xll.qlECBNextCode(_xll.qlECBdate(D88))</f>
        <v>#NUM!</v>
      </c>
      <c r="E89" s="110" t="e">
        <f t="shared" si="4"/>
        <v>#NUM!</v>
      </c>
      <c r="F89" s="110" t="e">
        <f>_xll.qlSimpleQuote(Currency&amp;$B89&amp;$C89&amp;$D89&amp;QuoteSuffix,,RateTickValue,Permanent,Trigger,ObjectOverwrite)</f>
        <v>#VALUE!</v>
      </c>
      <c r="G89" s="10" t="str">
        <f ca="1">_xll.ohRangeRetrieveError(F89)</f>
        <v/>
      </c>
      <c r="H89" s="9"/>
    </row>
    <row r="90" spans="1:8" x14ac:dyDescent="0.2">
      <c r="A90" s="58"/>
      <c r="B90" s="90" t="s">
        <v>144</v>
      </c>
      <c r="C90" s="90" t="s">
        <v>143</v>
      </c>
      <c r="D90" s="237" t="e">
        <f>_xll.qlECBNextCode(_xll.qlECBdate(D89))</f>
        <v>#NUM!</v>
      </c>
      <c r="E90" s="110" t="e">
        <f t="shared" si="4"/>
        <v>#NUM!</v>
      </c>
      <c r="F90" s="110" t="e">
        <f>_xll.qlSimpleQuote(Currency&amp;$B90&amp;$C90&amp;$D90&amp;QuoteSuffix,,RateTickValue,Permanent,Trigger,ObjectOverwrite)</f>
        <v>#VALUE!</v>
      </c>
      <c r="G90" s="10" t="str">
        <f ca="1">_xll.ohRangeRetrieveError(F90)</f>
        <v/>
      </c>
      <c r="H90" s="9"/>
    </row>
    <row r="91" spans="1:8" x14ac:dyDescent="0.2">
      <c r="A91" s="58"/>
      <c r="B91" s="90" t="s">
        <v>144</v>
      </c>
      <c r="C91" s="90" t="s">
        <v>143</v>
      </c>
      <c r="D91" s="237" t="e">
        <f>_xll.qlECBNextCode(_xll.qlECBdate(D90))</f>
        <v>#NUM!</v>
      </c>
      <c r="E91" s="110" t="e">
        <f t="shared" si="4"/>
        <v>#NUM!</v>
      </c>
      <c r="F91" s="110" t="e">
        <f>_xll.qlSimpleQuote(Currency&amp;$B91&amp;$C91&amp;$D91&amp;QuoteSuffix,,RateTickValue,Permanent,Trigger,ObjectOverwrite)</f>
        <v>#VALUE!</v>
      </c>
      <c r="G91" s="10" t="str">
        <f ca="1">_xll.ohRangeRetrieveError(F91)</f>
        <v/>
      </c>
      <c r="H91" s="9"/>
    </row>
    <row r="92" spans="1:8" x14ac:dyDescent="0.2">
      <c r="A92" s="58"/>
      <c r="B92" s="90" t="s">
        <v>144</v>
      </c>
      <c r="C92" s="90" t="s">
        <v>143</v>
      </c>
      <c r="D92" s="237" t="e">
        <f>_xll.qlECBNextCode(_xll.qlECBdate(D91))</f>
        <v>#NUM!</v>
      </c>
      <c r="E92" s="110" t="e">
        <f t="shared" si="4"/>
        <v>#NUM!</v>
      </c>
      <c r="F92" s="110" t="e">
        <f>_xll.qlSimpleQuote(Currency&amp;$B92&amp;$C92&amp;$D92&amp;QuoteSuffix,,RateTickValue,Permanent,Trigger,ObjectOverwrite)</f>
        <v>#VALUE!</v>
      </c>
      <c r="G92" s="10" t="str">
        <f ca="1">_xll.ohRangeRetrieveError(F92)</f>
        <v/>
      </c>
      <c r="H92" s="9"/>
    </row>
    <row r="93" spans="1:8" x14ac:dyDescent="0.2">
      <c r="A93" s="58"/>
      <c r="B93" s="90" t="s">
        <v>144</v>
      </c>
      <c r="C93" s="90" t="s">
        <v>143</v>
      </c>
      <c r="D93" s="237" t="e">
        <f>_xll.qlECBNextCode(_xll.qlECBdate(D92))</f>
        <v>#NUM!</v>
      </c>
      <c r="E93" s="110" t="e">
        <f t="shared" si="4"/>
        <v>#NUM!</v>
      </c>
      <c r="F93" s="110" t="e">
        <f>_xll.qlSimpleQuote(Currency&amp;$B93&amp;$C93&amp;$D93&amp;QuoteSuffix,,RateTickValue,Permanent,Trigger,ObjectOverwrite)</f>
        <v>#VALUE!</v>
      </c>
      <c r="G93" s="10" t="str">
        <f ca="1">_xll.ohRangeRetrieveError(F93)</f>
        <v/>
      </c>
      <c r="H93" s="9"/>
    </row>
    <row r="94" spans="1:8" x14ac:dyDescent="0.2">
      <c r="A94" s="58"/>
      <c r="B94" s="90" t="s">
        <v>144</v>
      </c>
      <c r="C94" s="90" t="s">
        <v>143</v>
      </c>
      <c r="D94" s="237" t="e">
        <f>_xll.qlECBNextCode(_xll.qlECBdate(D93))</f>
        <v>#NUM!</v>
      </c>
      <c r="E94" s="110" t="e">
        <f t="shared" si="4"/>
        <v>#NUM!</v>
      </c>
      <c r="F94" s="110" t="e">
        <f>_xll.qlSimpleQuote(Currency&amp;$B94&amp;$C94&amp;$D94&amp;QuoteSuffix,,RateTickValue,Permanent,Trigger,ObjectOverwrite)</f>
        <v>#VALUE!</v>
      </c>
      <c r="G94" s="10" t="str">
        <f ca="1">_xll.ohRangeRetrieveError(F94)</f>
        <v/>
      </c>
      <c r="H94" s="9"/>
    </row>
    <row r="95" spans="1:8" x14ac:dyDescent="0.2">
      <c r="A95" s="58"/>
      <c r="B95" s="90" t="s">
        <v>144</v>
      </c>
      <c r="C95" s="90" t="s">
        <v>143</v>
      </c>
      <c r="D95" s="237" t="e">
        <f>_xll.qlECBNextCode(_xll.qlECBdate(D94))</f>
        <v>#NUM!</v>
      </c>
      <c r="E95" s="110" t="e">
        <f t="shared" si="4"/>
        <v>#NUM!</v>
      </c>
      <c r="F95" s="110" t="e">
        <f>_xll.qlSimpleQuote(Currency&amp;$B95&amp;$C95&amp;$D95&amp;QuoteSuffix,,RateTickValue,Permanent,Trigger,ObjectOverwrite)</f>
        <v>#VALUE!</v>
      </c>
      <c r="G95" s="10" t="str">
        <f ca="1">_xll.ohRangeRetrieveError(F95)</f>
        <v/>
      </c>
      <c r="H95" s="9"/>
    </row>
    <row r="96" spans="1:8" ht="12" thickBot="1" x14ac:dyDescent="0.25">
      <c r="A96" s="8"/>
      <c r="B96" s="7"/>
      <c r="C96" s="7"/>
      <c r="D96" s="7"/>
      <c r="E96" s="7"/>
      <c r="F96" s="57"/>
      <c r="G96" s="57"/>
      <c r="H96" s="6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workbookViewId="0">
      <selection activeCell="O2" sqref="O2"/>
    </sheetView>
  </sheetViews>
  <sheetFormatPr defaultRowHeight="12.75" x14ac:dyDescent="0.2"/>
  <cols>
    <col min="1" max="1" width="2.7109375" style="2" customWidth="1"/>
    <col min="2" max="2" width="4.85546875" style="56" bestFit="1" customWidth="1"/>
    <col min="3" max="3" width="2.7109375" style="2" bestFit="1" customWidth="1"/>
    <col min="4" max="4" width="3.85546875" style="2" bestFit="1" customWidth="1"/>
    <col min="5" max="5" width="16.140625" style="2" bestFit="1" customWidth="1"/>
    <col min="6" max="6" width="18" style="55" bestFit="1" customWidth="1"/>
    <col min="7" max="7" width="38.28515625" style="2" customWidth="1"/>
    <col min="8" max="10" width="2.7109375" style="2" customWidth="1"/>
    <col min="11" max="14" width="9.140625" style="2"/>
    <col min="15" max="15" width="12.7109375" style="2" bestFit="1" customWidth="1"/>
    <col min="16" max="18" width="9.140625" style="2"/>
    <col min="19" max="19" width="10.5703125" style="2" customWidth="1"/>
    <col min="20" max="20" width="9.140625" style="2"/>
    <col min="21" max="21" width="2.7109375" style="2" customWidth="1"/>
    <col min="22" max="22" width="9.140625" style="2"/>
    <col min="23" max="23" width="2.7109375" style="2" customWidth="1"/>
    <col min="24" max="25" width="9.140625" style="2"/>
    <col min="26" max="26" width="2.7109375" style="2" customWidth="1"/>
    <col min="27" max="16384" width="9.140625" style="2"/>
  </cols>
  <sheetData>
    <row r="1" spans="1:28" x14ac:dyDescent="0.2">
      <c r="A1" s="2" t="s">
        <v>315</v>
      </c>
      <c r="J1" s="159" t="s">
        <v>233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6"/>
    </row>
    <row r="2" spans="1:28" ht="13.5" thickBot="1" x14ac:dyDescent="0.25">
      <c r="J2" s="146"/>
      <c r="K2" s="122"/>
      <c r="L2" s="122"/>
      <c r="M2" s="122"/>
      <c r="N2" s="122"/>
      <c r="O2" s="67" t="str">
        <f>VLOOKUP($A$1,AreaTable,AreaIndex,0)</f>
        <v>ICAP LN</v>
      </c>
      <c r="P2" s="122"/>
      <c r="Q2" s="122"/>
      <c r="R2" s="122"/>
      <c r="S2" s="122"/>
      <c r="T2" s="60"/>
      <c r="U2" s="122"/>
      <c r="V2" s="122"/>
      <c r="W2" s="122"/>
      <c r="X2" s="122"/>
      <c r="Y2" s="60"/>
      <c r="Z2" s="9"/>
    </row>
    <row r="3" spans="1:28" x14ac:dyDescent="0.2">
      <c r="A3" s="108" t="s">
        <v>173</v>
      </c>
      <c r="B3" s="99"/>
      <c r="C3" s="99"/>
      <c r="D3" s="99"/>
      <c r="E3" s="97"/>
      <c r="F3" s="98"/>
      <c r="G3" s="97"/>
      <c r="H3" s="96"/>
      <c r="J3" s="58"/>
      <c r="K3" s="122"/>
      <c r="L3" s="60"/>
      <c r="M3" s="60"/>
      <c r="N3" s="60"/>
      <c r="O3" s="60"/>
      <c r="P3" s="60"/>
      <c r="Q3" s="60"/>
      <c r="R3" s="60"/>
      <c r="S3" s="60"/>
      <c r="T3" s="60"/>
      <c r="U3" s="122"/>
      <c r="V3" s="122"/>
      <c r="W3" s="122"/>
      <c r="X3" s="60"/>
      <c r="Y3" s="143">
        <f>_xll.ohTrigger(Y5:Y15)</f>
        <v>11</v>
      </c>
      <c r="Z3" s="109"/>
    </row>
    <row r="4" spans="1:28" ht="22.5" x14ac:dyDescent="0.2">
      <c r="A4" s="58"/>
      <c r="B4" s="95"/>
      <c r="C4" s="94"/>
      <c r="D4" s="35"/>
      <c r="E4" s="34" t="str">
        <f>Currency&amp;"_010_Sw"&amp;"1M.xml"</f>
        <v>USD_010_Sw1M.xml</v>
      </c>
      <c r="F4" s="33" t="str">
        <f>IF(Serialize,_xll.ohObjectSave(F5:F15,SerializationPath&amp;E4,FileOverwrite,Serialize),"---")</f>
        <v>---</v>
      </c>
      <c r="G4" s="17" t="str">
        <f>_xll.ohRangeRetrieveError(F4)</f>
        <v/>
      </c>
      <c r="H4" s="9"/>
      <c r="J4" s="58"/>
      <c r="K4" s="158"/>
      <c r="L4" s="94"/>
      <c r="M4" s="94"/>
      <c r="N4" s="94"/>
      <c r="O4" s="117" t="str">
        <f>_xll.RData(O5:O18,P4:S4,"RTFEED:IDN",ReutersRtMode,,P5)</f>
        <v>Updated at 17:01:22</v>
      </c>
      <c r="P4" s="157" t="s">
        <v>179</v>
      </c>
      <c r="Q4" s="157" t="s">
        <v>178</v>
      </c>
      <c r="R4" s="157" t="s">
        <v>189</v>
      </c>
      <c r="S4" s="157" t="s">
        <v>199</v>
      </c>
      <c r="T4" s="139" t="s">
        <v>198</v>
      </c>
      <c r="U4" s="122"/>
      <c r="V4" s="141" t="s">
        <v>195</v>
      </c>
      <c r="W4" s="122"/>
      <c r="X4" s="220" t="s">
        <v>194</v>
      </c>
      <c r="Y4" s="36" t="s">
        <v>193</v>
      </c>
      <c r="Z4" s="109"/>
      <c r="AB4" s="156" t="s">
        <v>197</v>
      </c>
    </row>
    <row r="5" spans="1:28" x14ac:dyDescent="0.2">
      <c r="A5" s="58"/>
      <c r="B5" s="93"/>
      <c r="C5" s="20">
        <v>2</v>
      </c>
      <c r="D5" s="19" t="s">
        <v>162</v>
      </c>
      <c r="E5" s="18" t="str">
        <f t="shared" ref="E5:E15" si="0">Currency&amp;$C5&amp;$D5&amp;$B5&amp;QuoteSuffix</f>
        <v>USD2X1S_Quote</v>
      </c>
      <c r="F5" s="18" t="str">
        <f>_xll.qlSimpleQuote(Currency&amp;$C5&amp;$D5&amp;$B5&amp;QuoteSuffix,,RateTickValue,Permanent,Trigger,ObjectOverwrite)</f>
        <v>USD2X1S_Quote#0009</v>
      </c>
      <c r="G5" s="4" t="str">
        <f>_xll.ohRangeRetrieveError(F5)</f>
        <v/>
      </c>
      <c r="H5" s="9"/>
      <c r="J5" s="58"/>
      <c r="K5" s="121"/>
      <c r="L5" s="153">
        <v>2</v>
      </c>
      <c r="M5" s="153" t="s">
        <v>162</v>
      </c>
      <c r="N5" s="125" t="str">
        <f t="shared" ref="N5:N18" si="1">Currency&amp;$L5&amp;$M5&amp;$K5</f>
        <v>USD2X1S</v>
      </c>
      <c r="O5" s="125" t="str">
        <f t="array" ref="O5:O18">Instruments&amp;"="&amp;VLOOKUP($O$2,ContributorTable,2,FALSE)</f>
        <v>USD2X1S=ICAP</v>
      </c>
      <c r="P5" s="120">
        <v>0.14799999999999999</v>
      </c>
      <c r="Q5" s="120">
        <v>0.19800000000000001</v>
      </c>
      <c r="R5" s="120">
        <v>0</v>
      </c>
      <c r="S5" s="120">
        <v>0</v>
      </c>
      <c r="T5" s="124">
        <f>_xll.qlMidSafe($P5,$Q5)</f>
        <v>0.17299999999999999</v>
      </c>
      <c r="U5" s="122"/>
      <c r="V5" s="123">
        <v>0.152</v>
      </c>
      <c r="W5" s="122"/>
      <c r="X5" s="168">
        <f t="array" ref="X5:X18">QuoteLive</f>
        <v>0.17299999999999999</v>
      </c>
      <c r="Y5" s="119">
        <f>_xll.qlSimpleQuoteSetValue(F5,X5/100,Trigger)</f>
        <v>0</v>
      </c>
      <c r="Z5" s="109"/>
      <c r="AB5" s="148">
        <f t="shared" ref="AB5:AB15" si="2">(Q5-T5)/50</f>
        <v>5.0000000000000044E-4</v>
      </c>
    </row>
    <row r="6" spans="1:28" x14ac:dyDescent="0.2">
      <c r="A6" s="58"/>
      <c r="B6" s="92"/>
      <c r="C6" s="91">
        <v>3</v>
      </c>
      <c r="D6" s="90" t="s">
        <v>162</v>
      </c>
      <c r="E6" s="18" t="str">
        <f t="shared" si="0"/>
        <v>USD3X1S_Quote</v>
      </c>
      <c r="F6" s="18" t="str">
        <f>_xll.qlSimpleQuote(Currency&amp;$C6&amp;$D6&amp;$B6&amp;QuoteSuffix,,RateTickValue,Permanent,Trigger,ObjectOverwrite)</f>
        <v>USD3X1S_Quote#0009</v>
      </c>
      <c r="G6" s="89" t="str">
        <f>_xll.ohRangeRetrieveError(F6)</f>
        <v/>
      </c>
      <c r="H6" s="9"/>
      <c r="J6" s="58"/>
      <c r="K6" s="121"/>
      <c r="L6" s="153">
        <v>3</v>
      </c>
      <c r="M6" s="153" t="s">
        <v>162</v>
      </c>
      <c r="N6" s="125" t="str">
        <f t="shared" si="1"/>
        <v>USD3X1S</v>
      </c>
      <c r="O6" s="125" t="str">
        <v>USD3X1S=ICAP</v>
      </c>
      <c r="P6" s="120">
        <v>0.152</v>
      </c>
      <c r="Q6" s="120">
        <v>0.20200000000000001</v>
      </c>
      <c r="R6" s="120">
        <v>0</v>
      </c>
      <c r="S6" s="120">
        <v>0</v>
      </c>
      <c r="T6" s="124">
        <f>_xll.qlMidSafe($P6,$Q6)</f>
        <v>0.17699999999999999</v>
      </c>
      <c r="U6" s="122"/>
      <c r="V6" s="123">
        <v>0.152</v>
      </c>
      <c r="W6" s="122"/>
      <c r="X6" s="168">
        <v>0.17699999999999999</v>
      </c>
      <c r="Y6" s="119">
        <f>_xll.qlSimpleQuoteSetValue(F6,X6/100,Trigger)</f>
        <v>0</v>
      </c>
      <c r="Z6" s="109"/>
      <c r="AB6" s="148">
        <f t="shared" si="2"/>
        <v>5.0000000000000044E-4</v>
      </c>
    </row>
    <row r="7" spans="1:28" x14ac:dyDescent="0.2">
      <c r="A7" s="58"/>
      <c r="B7" s="92"/>
      <c r="C7" s="91">
        <v>4</v>
      </c>
      <c r="D7" s="90" t="s">
        <v>162</v>
      </c>
      <c r="E7" s="18" t="str">
        <f t="shared" si="0"/>
        <v>USD4X1S_Quote</v>
      </c>
      <c r="F7" s="18" t="str">
        <f>_xll.qlSimpleQuote(Currency&amp;$C7&amp;$D7&amp;$B7&amp;QuoteSuffix,,RateTickValue,Permanent,Trigger,ObjectOverwrite)</f>
        <v>USD4X1S_Quote#0009</v>
      </c>
      <c r="G7" s="89" t="str">
        <f>_xll.ohRangeRetrieveError(F7)</f>
        <v/>
      </c>
      <c r="H7" s="9"/>
      <c r="J7" s="58"/>
      <c r="K7" s="121"/>
      <c r="L7" s="153">
        <v>4</v>
      </c>
      <c r="M7" s="153" t="s">
        <v>162</v>
      </c>
      <c r="N7" s="125" t="str">
        <f t="shared" si="1"/>
        <v>USD4X1S</v>
      </c>
      <c r="O7" s="125" t="str">
        <v>USD4X1S=ICAP</v>
      </c>
      <c r="P7" s="120">
        <v>0.16300000000000001</v>
      </c>
      <c r="Q7" s="120">
        <v>0.21299999999999999</v>
      </c>
      <c r="R7" s="120">
        <v>0</v>
      </c>
      <c r="S7" s="120">
        <v>0</v>
      </c>
      <c r="T7" s="124">
        <f>_xll.qlMidSafe($P7,$Q7)</f>
        <v>0.188</v>
      </c>
      <c r="U7" s="122"/>
      <c r="V7" s="123">
        <v>0.152</v>
      </c>
      <c r="W7" s="122"/>
      <c r="X7" s="168">
        <v>0.188</v>
      </c>
      <c r="Y7" s="119">
        <f>_xll.qlSimpleQuoteSetValue(F7,X7/100,Trigger)</f>
        <v>0</v>
      </c>
      <c r="Z7" s="109"/>
      <c r="AB7" s="148">
        <f t="shared" si="2"/>
        <v>4.999999999999999E-4</v>
      </c>
    </row>
    <row r="8" spans="1:28" x14ac:dyDescent="0.2">
      <c r="A8" s="58"/>
      <c r="B8" s="92"/>
      <c r="C8" s="91">
        <v>5</v>
      </c>
      <c r="D8" s="90" t="s">
        <v>162</v>
      </c>
      <c r="E8" s="18" t="str">
        <f t="shared" si="0"/>
        <v>USD5X1S_Quote</v>
      </c>
      <c r="F8" s="18" t="str">
        <f>_xll.qlSimpleQuote(Currency&amp;$C8&amp;$D8&amp;$B8&amp;QuoteSuffix,,RateTickValue,Permanent,Trigger,ObjectOverwrite)</f>
        <v>USD5X1S_Quote#0009</v>
      </c>
      <c r="G8" s="89" t="str">
        <f>_xll.ohRangeRetrieveError(F8)</f>
        <v/>
      </c>
      <c r="H8" s="9"/>
      <c r="J8" s="58"/>
      <c r="K8" s="121"/>
      <c r="L8" s="153">
        <v>5</v>
      </c>
      <c r="M8" s="153" t="s">
        <v>162</v>
      </c>
      <c r="N8" s="125" t="str">
        <f t="shared" si="1"/>
        <v>USD5X1S</v>
      </c>
      <c r="O8" s="125" t="str">
        <v>USD5X1S=ICAP</v>
      </c>
      <c r="P8" s="120">
        <v>0.18099999999999999</v>
      </c>
      <c r="Q8" s="120">
        <v>0.23100000000000001</v>
      </c>
      <c r="R8" s="120">
        <v>0</v>
      </c>
      <c r="S8" s="120">
        <v>0</v>
      </c>
      <c r="T8" s="124">
        <f>_xll.qlMidSafe($P8,$Q8)</f>
        <v>0.20600000000000002</v>
      </c>
      <c r="U8" s="122"/>
      <c r="V8" s="123">
        <v>0.153</v>
      </c>
      <c r="W8" s="122"/>
      <c r="X8" s="168">
        <v>0.20600000000000002</v>
      </c>
      <c r="Y8" s="119">
        <f>_xll.qlSimpleQuoteSetValue(F8,X8/100,Trigger)</f>
        <v>0</v>
      </c>
      <c r="Z8" s="109"/>
      <c r="AB8" s="148">
        <f t="shared" si="2"/>
        <v>4.999999999999999E-4</v>
      </c>
    </row>
    <row r="9" spans="1:28" x14ac:dyDescent="0.2">
      <c r="A9" s="58"/>
      <c r="B9" s="92"/>
      <c r="C9" s="91">
        <v>6</v>
      </c>
      <c r="D9" s="90" t="s">
        <v>162</v>
      </c>
      <c r="E9" s="18" t="str">
        <f t="shared" si="0"/>
        <v>USD6X1S_Quote</v>
      </c>
      <c r="F9" s="18" t="str">
        <f>_xll.qlSimpleQuote(Currency&amp;$C9&amp;$D9&amp;$B9&amp;QuoteSuffix,,RateTickValue,Permanent,Trigger,ObjectOverwrite)</f>
        <v>USD6X1S_Quote#0009</v>
      </c>
      <c r="G9" s="89" t="str">
        <f>_xll.ohRangeRetrieveError(F9)</f>
        <v/>
      </c>
      <c r="H9" s="9"/>
      <c r="J9" s="58"/>
      <c r="K9" s="121"/>
      <c r="L9" s="153">
        <v>6</v>
      </c>
      <c r="M9" s="153" t="s">
        <v>162</v>
      </c>
      <c r="N9" s="125" t="str">
        <f t="shared" si="1"/>
        <v>USD6X1S</v>
      </c>
      <c r="O9" s="125" t="str">
        <v>USD6X1S=ICAP</v>
      </c>
      <c r="P9" s="120">
        <v>0.2</v>
      </c>
      <c r="Q9" s="120">
        <v>0.25</v>
      </c>
      <c r="R9" s="120">
        <v>0</v>
      </c>
      <c r="S9" s="120">
        <v>0</v>
      </c>
      <c r="T9" s="124">
        <f>_xll.qlMidSafe($P9,$Q9)</f>
        <v>0.22500000000000001</v>
      </c>
      <c r="U9" s="122"/>
      <c r="V9" s="123">
        <v>0.155</v>
      </c>
      <c r="W9" s="122"/>
      <c r="X9" s="168">
        <v>0.22500000000000001</v>
      </c>
      <c r="Y9" s="119">
        <f>_xll.qlSimpleQuoteSetValue(F9,X9/100,Trigger)</f>
        <v>0</v>
      </c>
      <c r="Z9" s="109"/>
      <c r="AB9" s="148">
        <f t="shared" si="2"/>
        <v>4.999999999999999E-4</v>
      </c>
    </row>
    <row r="10" spans="1:28" x14ac:dyDescent="0.2">
      <c r="A10" s="58"/>
      <c r="B10" s="92"/>
      <c r="C10" s="91">
        <v>7</v>
      </c>
      <c r="D10" s="90" t="s">
        <v>162</v>
      </c>
      <c r="E10" s="18" t="str">
        <f t="shared" si="0"/>
        <v>USD7X1S_Quote</v>
      </c>
      <c r="F10" s="18" t="str">
        <f>_xll.qlSimpleQuote(Currency&amp;$C10&amp;$D10&amp;$B10&amp;QuoteSuffix,,RateTickValue,Permanent,Trigger,ObjectOverwrite)</f>
        <v>USD7X1S_Quote#0009</v>
      </c>
      <c r="G10" s="89" t="str">
        <f>_xll.ohRangeRetrieveError(F10)</f>
        <v/>
      </c>
      <c r="H10" s="9"/>
      <c r="J10" s="58"/>
      <c r="K10" s="121"/>
      <c r="L10" s="153">
        <v>7</v>
      </c>
      <c r="M10" s="153" t="s">
        <v>162</v>
      </c>
      <c r="N10" s="125" t="str">
        <f t="shared" si="1"/>
        <v>USD7X1S</v>
      </c>
      <c r="O10" s="125" t="str">
        <v>USD7X1S=ICAP</v>
      </c>
      <c r="P10" s="120">
        <v>0.218</v>
      </c>
      <c r="Q10" s="120">
        <v>0.26800000000000002</v>
      </c>
      <c r="R10" s="120">
        <v>0</v>
      </c>
      <c r="S10" s="120">
        <v>0</v>
      </c>
      <c r="T10" s="124">
        <f>_xll.qlMidSafe($P10,$Q10)</f>
        <v>0.24299999999999999</v>
      </c>
      <c r="U10" s="122"/>
      <c r="V10" s="123">
        <v>0.158</v>
      </c>
      <c r="W10" s="122"/>
      <c r="X10" s="168">
        <v>0.24299999999999999</v>
      </c>
      <c r="Y10" s="119">
        <f>_xll.qlSimpleQuoteSetValue(F10,X10/100,Trigger)</f>
        <v>0</v>
      </c>
      <c r="Z10" s="109"/>
      <c r="AB10" s="148">
        <f t="shared" si="2"/>
        <v>5.0000000000000044E-4</v>
      </c>
    </row>
    <row r="11" spans="1:28" x14ac:dyDescent="0.2">
      <c r="A11" s="58"/>
      <c r="B11" s="92"/>
      <c r="C11" s="91">
        <v>8</v>
      </c>
      <c r="D11" s="90" t="s">
        <v>162</v>
      </c>
      <c r="E11" s="18" t="str">
        <f t="shared" si="0"/>
        <v>USD8X1S_Quote</v>
      </c>
      <c r="F11" s="18" t="str">
        <f>_xll.qlSimpleQuote(Currency&amp;$C11&amp;$D11&amp;$B11&amp;QuoteSuffix,,RateTickValue,Permanent,Trigger,ObjectOverwrite)</f>
        <v>USD8X1S_Quote#0009</v>
      </c>
      <c r="G11" s="89" t="str">
        <f>_xll.ohRangeRetrieveError(F11)</f>
        <v/>
      </c>
      <c r="H11" s="9"/>
      <c r="J11" s="58"/>
      <c r="K11" s="121"/>
      <c r="L11" s="153">
        <v>8</v>
      </c>
      <c r="M11" s="153" t="s">
        <v>162</v>
      </c>
      <c r="N11" s="125" t="str">
        <f t="shared" si="1"/>
        <v>USD8X1S</v>
      </c>
      <c r="O11" s="125" t="str">
        <v>USD8X1S=ICAP</v>
      </c>
      <c r="P11" s="120">
        <v>0.24199999999999999</v>
      </c>
      <c r="Q11" s="120">
        <v>0.29199999999999998</v>
      </c>
      <c r="R11" s="120">
        <v>0</v>
      </c>
      <c r="S11" s="120">
        <v>0</v>
      </c>
      <c r="T11" s="124">
        <f>_xll.qlMidSafe($P11,$Q11)</f>
        <v>0.26700000000000002</v>
      </c>
      <c r="U11" s="122"/>
      <c r="V11" s="123">
        <v>0.16400000000000001</v>
      </c>
      <c r="W11" s="122"/>
      <c r="X11" s="168">
        <v>0.26700000000000002</v>
      </c>
      <c r="Y11" s="119">
        <f>_xll.qlSimpleQuoteSetValue(F11,X11/100,Trigger)</f>
        <v>0</v>
      </c>
      <c r="Z11" s="109"/>
      <c r="AB11" s="148">
        <f t="shared" si="2"/>
        <v>4.9999999999999936E-4</v>
      </c>
    </row>
    <row r="12" spans="1:28" x14ac:dyDescent="0.2">
      <c r="A12" s="58"/>
      <c r="B12" s="92"/>
      <c r="C12" s="91">
        <v>9</v>
      </c>
      <c r="D12" s="90" t="s">
        <v>162</v>
      </c>
      <c r="E12" s="18" t="str">
        <f t="shared" si="0"/>
        <v>USD9X1S_Quote</v>
      </c>
      <c r="F12" s="18" t="str">
        <f>_xll.qlSimpleQuote(Currency&amp;$C12&amp;$D12&amp;$B12&amp;QuoteSuffix,,RateTickValue,Permanent,Trigger,ObjectOverwrite)</f>
        <v>USD9X1S_Quote#0009</v>
      </c>
      <c r="G12" s="89" t="str">
        <f>_xll.ohRangeRetrieveError(F12)</f>
        <v/>
      </c>
      <c r="H12" s="9"/>
      <c r="J12" s="58"/>
      <c r="K12" s="121"/>
      <c r="L12" s="153">
        <v>9</v>
      </c>
      <c r="M12" s="153" t="s">
        <v>162</v>
      </c>
      <c r="N12" s="125" t="str">
        <f t="shared" si="1"/>
        <v>USD9X1S</v>
      </c>
      <c r="O12" s="125" t="str">
        <v>USD9X1S=ICAP</v>
      </c>
      <c r="P12" s="120">
        <v>0.26900000000000002</v>
      </c>
      <c r="Q12" s="120">
        <v>0.31900000000000001</v>
      </c>
      <c r="R12" s="120">
        <v>0</v>
      </c>
      <c r="S12" s="120">
        <v>0</v>
      </c>
      <c r="T12" s="124">
        <f>_xll.qlMidSafe($P12,$Q12)</f>
        <v>0.29400000000000004</v>
      </c>
      <c r="U12" s="122"/>
      <c r="V12" s="123">
        <v>0.17599999999999999</v>
      </c>
      <c r="W12" s="122"/>
      <c r="X12" s="168">
        <v>0.29400000000000004</v>
      </c>
      <c r="Y12" s="119">
        <f>_xll.qlSimpleQuoteSetValue(F12,X12/100,Trigger)</f>
        <v>0</v>
      </c>
      <c r="Z12" s="109"/>
      <c r="AB12" s="148">
        <f t="shared" si="2"/>
        <v>4.9999999999999936E-4</v>
      </c>
    </row>
    <row r="13" spans="1:28" x14ac:dyDescent="0.2">
      <c r="A13" s="58"/>
      <c r="B13" s="92"/>
      <c r="C13" s="91">
        <v>10</v>
      </c>
      <c r="D13" s="90" t="s">
        <v>162</v>
      </c>
      <c r="E13" s="18" t="str">
        <f t="shared" si="0"/>
        <v>USD10X1S_Quote</v>
      </c>
      <c r="F13" s="18" t="str">
        <f>_xll.qlSimpleQuote(Currency&amp;$C13&amp;$D13&amp;$B13&amp;QuoteSuffix,,RateTickValue,Permanent,Trigger,ObjectOverwrite)</f>
        <v>USD10X1S_Quote#0009</v>
      </c>
      <c r="G13" s="89" t="str">
        <f>_xll.ohRangeRetrieveError(F13)</f>
        <v/>
      </c>
      <c r="H13" s="9"/>
      <c r="J13" s="58"/>
      <c r="K13" s="121"/>
      <c r="L13" s="153">
        <v>10</v>
      </c>
      <c r="M13" s="153" t="s">
        <v>162</v>
      </c>
      <c r="N13" s="125" t="str">
        <f t="shared" si="1"/>
        <v>USD10X1S</v>
      </c>
      <c r="O13" s="125" t="str">
        <v>USD10X1S=ICAP</v>
      </c>
      <c r="P13" s="120">
        <v>0.29899999999999999</v>
      </c>
      <c r="Q13" s="120">
        <v>0.34900000000000003</v>
      </c>
      <c r="R13" s="120">
        <v>0</v>
      </c>
      <c r="S13" s="120">
        <v>0</v>
      </c>
      <c r="T13" s="124">
        <f>_xll.qlMidSafe($P13,$Q13)</f>
        <v>0.32400000000000001</v>
      </c>
      <c r="U13" s="122"/>
      <c r="V13" s="123">
        <v>0.191</v>
      </c>
      <c r="W13" s="122"/>
      <c r="X13" s="168">
        <v>0.32400000000000001</v>
      </c>
      <c r="Y13" s="119">
        <f>_xll.qlSimpleQuoteSetValue(F13,X13/100,Trigger)</f>
        <v>0</v>
      </c>
      <c r="Z13" s="109"/>
      <c r="AB13" s="148">
        <f t="shared" si="2"/>
        <v>5.0000000000000044E-4</v>
      </c>
    </row>
    <row r="14" spans="1:28" x14ac:dyDescent="0.2">
      <c r="A14" s="58"/>
      <c r="B14" s="92"/>
      <c r="C14" s="91">
        <v>11</v>
      </c>
      <c r="D14" s="90" t="s">
        <v>162</v>
      </c>
      <c r="E14" s="18" t="str">
        <f t="shared" si="0"/>
        <v>USD11X1S_Quote</v>
      </c>
      <c r="F14" s="18" t="str">
        <f>_xll.qlSimpleQuote(Currency&amp;$C14&amp;$D14&amp;$B14&amp;QuoteSuffix,,RateTickValue,Permanent,Trigger,ObjectOverwrite)</f>
        <v>USD11X1S_Quote#0009</v>
      </c>
      <c r="G14" s="89" t="str">
        <f>_xll.ohRangeRetrieveError(F14)</f>
        <v/>
      </c>
      <c r="H14" s="9"/>
      <c r="J14" s="58"/>
      <c r="K14" s="121"/>
      <c r="L14" s="153">
        <v>11</v>
      </c>
      <c r="M14" s="153" t="s">
        <v>162</v>
      </c>
      <c r="N14" s="125" t="str">
        <f t="shared" si="1"/>
        <v>USD11X1S</v>
      </c>
      <c r="O14" s="125" t="str">
        <v>USD11X1S=ICAP</v>
      </c>
      <c r="P14" s="120">
        <v>0.32600000000000001</v>
      </c>
      <c r="Q14" s="120">
        <v>0.376</v>
      </c>
      <c r="R14" s="120">
        <v>0</v>
      </c>
      <c r="S14" s="120">
        <v>0</v>
      </c>
      <c r="T14" s="124">
        <f>_xll.qlMidSafe($P14,$Q14)</f>
        <v>0.35099999999999998</v>
      </c>
      <c r="U14" s="122"/>
      <c r="V14" s="123">
        <v>0.20600000000000002</v>
      </c>
      <c r="W14" s="122"/>
      <c r="X14" s="168">
        <v>0.35099999999999998</v>
      </c>
      <c r="Y14" s="119">
        <f>_xll.qlSimpleQuoteSetValue(F14,X14/100,Trigger)</f>
        <v>0</v>
      </c>
      <c r="Z14" s="109"/>
      <c r="AB14" s="148">
        <f t="shared" si="2"/>
        <v>5.0000000000000044E-4</v>
      </c>
    </row>
    <row r="15" spans="1:28" x14ac:dyDescent="0.2">
      <c r="A15" s="58"/>
      <c r="B15" s="92"/>
      <c r="C15" s="91">
        <v>12</v>
      </c>
      <c r="D15" s="90" t="s">
        <v>162</v>
      </c>
      <c r="E15" s="18" t="str">
        <f t="shared" si="0"/>
        <v>USD12X1S_Quote</v>
      </c>
      <c r="F15" s="18" t="str">
        <f>_xll.qlSimpleQuote(Currency&amp;$C15&amp;$D15&amp;$B15&amp;QuoteSuffix,,RateTickValue,Permanent,Trigger,ObjectOverwrite)</f>
        <v>USD12X1S_Quote#0009</v>
      </c>
      <c r="G15" s="89" t="str">
        <f>_xll.ohRangeRetrieveError(F15)</f>
        <v/>
      </c>
      <c r="H15" s="9"/>
      <c r="J15" s="58"/>
      <c r="K15" s="121"/>
      <c r="L15" s="153">
        <v>12</v>
      </c>
      <c r="M15" s="153" t="s">
        <v>162</v>
      </c>
      <c r="N15" s="125" t="str">
        <f t="shared" si="1"/>
        <v>USD12X1S</v>
      </c>
      <c r="O15" s="125" t="str">
        <v>USD12X1S=ICAP</v>
      </c>
      <c r="P15" s="120">
        <v>0.35899999999999999</v>
      </c>
      <c r="Q15" s="120">
        <v>0.40900000000000003</v>
      </c>
      <c r="R15" s="120">
        <v>0</v>
      </c>
      <c r="S15" s="120">
        <v>0</v>
      </c>
      <c r="T15" s="124">
        <f>_xll.qlMidSafe($P15,$Q15)</f>
        <v>0.38400000000000001</v>
      </c>
      <c r="U15" s="122"/>
      <c r="V15" s="123">
        <v>0.22899999999999998</v>
      </c>
      <c r="W15" s="122"/>
      <c r="X15" s="168">
        <v>0.38400000000000001</v>
      </c>
      <c r="Y15" s="119">
        <f>_xll.qlSimpleQuoteSetValue(F15,X15/100,Trigger)</f>
        <v>0</v>
      </c>
      <c r="Z15" s="109"/>
      <c r="AB15" s="148">
        <f t="shared" si="2"/>
        <v>5.0000000000000044E-4</v>
      </c>
    </row>
    <row r="16" spans="1:28" ht="13.5" thickBot="1" x14ac:dyDescent="0.25">
      <c r="A16" s="8"/>
      <c r="B16" s="7"/>
      <c r="C16" s="7"/>
      <c r="D16" s="7"/>
      <c r="E16" s="7"/>
      <c r="F16" s="57"/>
      <c r="G16" s="57"/>
      <c r="H16" s="6"/>
      <c r="J16" s="58"/>
      <c r="K16" s="121"/>
      <c r="L16" s="153">
        <v>15</v>
      </c>
      <c r="M16" s="153" t="s">
        <v>162</v>
      </c>
      <c r="N16" s="125" t="str">
        <f t="shared" si="1"/>
        <v>USD15X1S</v>
      </c>
      <c r="O16" s="125" t="str">
        <v>USD15X1S=ICAP</v>
      </c>
      <c r="P16" s="120">
        <v>0.45400000000000001</v>
      </c>
      <c r="Q16" s="120">
        <v>0.504</v>
      </c>
      <c r="R16" s="120">
        <v>0</v>
      </c>
      <c r="S16" s="120">
        <v>0</v>
      </c>
      <c r="T16" s="124">
        <f>_xll.qlMidSafe($P16,$Q16)</f>
        <v>0.47899999999999998</v>
      </c>
      <c r="U16" s="122"/>
      <c r="V16" s="123">
        <v>0.30500000000000005</v>
      </c>
      <c r="W16" s="122"/>
      <c r="X16" s="168">
        <v>0.47899999999999998</v>
      </c>
      <c r="Y16" s="119" t="e">
        <f>_xll.qlSimpleQuoteSetValue(F16,X16/100,Trigger)</f>
        <v>#NUM!</v>
      </c>
      <c r="Z16" s="109"/>
    </row>
    <row r="17" spans="10:26" x14ac:dyDescent="0.2">
      <c r="J17" s="58"/>
      <c r="K17" s="121"/>
      <c r="L17" s="153">
        <v>18</v>
      </c>
      <c r="M17" s="153" t="s">
        <v>162</v>
      </c>
      <c r="N17" s="125" t="str">
        <f t="shared" si="1"/>
        <v>USD18X1S</v>
      </c>
      <c r="O17" s="125" t="str">
        <v>USD18X1S=ICAP</v>
      </c>
      <c r="P17" s="120">
        <v>0.55600000000000005</v>
      </c>
      <c r="Q17" s="120">
        <v>0.60599999999999998</v>
      </c>
      <c r="R17" s="120">
        <v>0</v>
      </c>
      <c r="S17" s="120">
        <v>0</v>
      </c>
      <c r="T17" s="124">
        <f>_xll.qlMidSafe($P17,$Q17)</f>
        <v>0.58099999999999996</v>
      </c>
      <c r="U17" s="122"/>
      <c r="V17" s="123">
        <v>0.39700000000000002</v>
      </c>
      <c r="W17" s="122"/>
      <c r="X17" s="168">
        <v>0.58099999999999996</v>
      </c>
      <c r="Y17" s="119" t="e">
        <f>_xll.qlSimpleQuoteSetValue(F17,X17/100,Trigger)</f>
        <v>#NUM!</v>
      </c>
      <c r="Z17" s="109"/>
    </row>
    <row r="18" spans="10:26" x14ac:dyDescent="0.2">
      <c r="J18" s="58"/>
      <c r="K18" s="121"/>
      <c r="L18" s="153">
        <v>24</v>
      </c>
      <c r="M18" s="153" t="s">
        <v>162</v>
      </c>
      <c r="N18" s="125" t="str">
        <f t="shared" si="1"/>
        <v>USD24X1S</v>
      </c>
      <c r="O18" s="125" t="str">
        <v>USD24X1S=ICAP</v>
      </c>
      <c r="P18" s="120">
        <v>0.75700000000000001</v>
      </c>
      <c r="Q18" s="120">
        <v>0.80700000000000005</v>
      </c>
      <c r="R18" s="120">
        <v>0</v>
      </c>
      <c r="S18" s="120">
        <v>0</v>
      </c>
      <c r="T18" s="124">
        <f>_xll.qlMidSafe($P18,$Q18)</f>
        <v>0.78200000000000003</v>
      </c>
      <c r="U18" s="122"/>
      <c r="V18" s="130">
        <v>0.60399999999999998</v>
      </c>
      <c r="W18" s="122"/>
      <c r="X18" s="161">
        <v>0.78200000000000003</v>
      </c>
      <c r="Y18" s="128" t="e">
        <f>_xll.qlSimpleQuoteSetValue(F18,X18/100,Trigger)</f>
        <v>#NUM!</v>
      </c>
      <c r="Z18" s="109"/>
    </row>
    <row r="19" spans="10:26" ht="13.5" thickBot="1" x14ac:dyDescent="0.25">
      <c r="J19" s="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7"/>
      <c r="V19" s="118"/>
      <c r="W19" s="7"/>
      <c r="X19" s="118"/>
      <c r="Y19" s="118"/>
      <c r="Z19" s="149"/>
    </row>
    <row r="26" spans="10:26" ht="15" x14ac:dyDescent="0.25">
      <c r="M26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2" customWidth="1"/>
    <col min="2" max="2" width="6.5703125" style="56" bestFit="1" customWidth="1"/>
    <col min="3" max="3" width="3.140625" style="2" bestFit="1" customWidth="1"/>
    <col min="4" max="4" width="2.7109375" style="2" bestFit="1" customWidth="1"/>
    <col min="5" max="5" width="18" style="2" bestFit="1" customWidth="1"/>
    <col min="6" max="6" width="20.140625" style="55" bestFit="1" customWidth="1"/>
    <col min="7" max="7" width="38.28515625" style="2" customWidth="1"/>
    <col min="8" max="9" width="2.7109375" style="2" customWidth="1"/>
    <col min="10" max="10" width="4.140625" style="2" bestFit="1" customWidth="1"/>
    <col min="11" max="11" width="3.28515625" style="2" bestFit="1" customWidth="1"/>
    <col min="12" max="12" width="9.5703125" style="2" bestFit="1" customWidth="1"/>
    <col min="13" max="14" width="2.7109375" style="2" customWidth="1"/>
    <col min="15" max="17" width="9.140625" style="221"/>
    <col min="18" max="18" width="10.85546875" style="2" bestFit="1" customWidth="1"/>
    <col min="19" max="19" width="16.5703125" style="2" customWidth="1"/>
    <col min="20" max="24" width="9.140625" style="2"/>
    <col min="25" max="25" width="2.7109375" style="2" customWidth="1"/>
    <col min="26" max="26" width="9.140625" style="2"/>
    <col min="27" max="27" width="2.7109375" style="2" customWidth="1"/>
    <col min="28" max="29" width="9.140625" style="2"/>
    <col min="30" max="31" width="2.7109375" style="2" customWidth="1"/>
    <col min="32" max="16384" width="9.140625" style="2"/>
  </cols>
  <sheetData>
    <row r="1" spans="1:36" x14ac:dyDescent="0.2">
      <c r="A1" s="2" t="s">
        <v>316</v>
      </c>
      <c r="N1" s="159" t="s">
        <v>233</v>
      </c>
      <c r="O1" s="184"/>
      <c r="P1" s="184"/>
      <c r="Q1" s="184"/>
      <c r="R1" s="99"/>
      <c r="S1" s="99" t="s">
        <v>216</v>
      </c>
      <c r="T1" s="99"/>
      <c r="U1" s="99"/>
      <c r="V1" s="99"/>
      <c r="W1" s="99"/>
      <c r="X1" s="99"/>
      <c r="Y1" s="99"/>
      <c r="Z1" s="99"/>
      <c r="AA1" s="99"/>
      <c r="AB1" s="99"/>
      <c r="AC1" s="99"/>
      <c r="AD1" s="96"/>
      <c r="AE1" s="3"/>
      <c r="AF1" s="3"/>
      <c r="AG1" s="3"/>
      <c r="AH1" s="3"/>
      <c r="AI1" s="3"/>
      <c r="AJ1" s="3"/>
    </row>
    <row r="2" spans="1:36" x14ac:dyDescent="0.2">
      <c r="N2" s="146"/>
      <c r="O2" s="122"/>
      <c r="P2" s="122"/>
      <c r="Q2" s="122"/>
      <c r="R2" s="122"/>
      <c r="S2" s="67" t="str">
        <f>VLOOKUP($A$1,AreaTable,AreaIndex,0)</f>
        <v>ICAP LN</v>
      </c>
      <c r="T2" s="122"/>
      <c r="U2" s="122"/>
      <c r="V2" s="122"/>
      <c r="W2" s="122"/>
      <c r="X2" s="60"/>
      <c r="Y2" s="122"/>
      <c r="Z2" s="122"/>
      <c r="AA2" s="122"/>
      <c r="AB2" s="122"/>
      <c r="AC2" s="60"/>
      <c r="AD2" s="9"/>
      <c r="AE2" s="3"/>
      <c r="AF2" s="3"/>
      <c r="AG2" s="3"/>
      <c r="AH2" s="3"/>
      <c r="AI2" s="3"/>
      <c r="AJ2" s="3"/>
    </row>
    <row r="3" spans="1:36" ht="13.5" thickBot="1" x14ac:dyDescent="0.25">
      <c r="N3" s="58"/>
      <c r="O3" s="122"/>
      <c r="P3" s="122"/>
      <c r="Q3" s="122"/>
      <c r="R3" s="60"/>
      <c r="S3" s="60"/>
      <c r="T3" s="60"/>
      <c r="U3" s="60"/>
      <c r="V3" s="60"/>
      <c r="W3" s="60"/>
      <c r="X3" s="60"/>
      <c r="Y3" s="122"/>
      <c r="Z3" s="122"/>
      <c r="AA3" s="122"/>
      <c r="AB3" s="60"/>
      <c r="AC3" s="143">
        <f>_xll.ohTrigger(AC5:AC42)</f>
        <v>530</v>
      </c>
      <c r="AD3" s="109"/>
      <c r="AE3" s="3"/>
      <c r="AF3" s="3"/>
      <c r="AG3" s="3"/>
      <c r="AH3" s="3"/>
      <c r="AI3" s="3"/>
      <c r="AJ3" s="3"/>
    </row>
    <row r="4" spans="1:36" ht="23.25" thickBot="1" x14ac:dyDescent="0.25">
      <c r="A4" s="108" t="s">
        <v>173</v>
      </c>
      <c r="B4" s="99"/>
      <c r="C4" s="99"/>
      <c r="D4" s="99"/>
      <c r="E4" s="97"/>
      <c r="F4" s="98"/>
      <c r="G4" s="97"/>
      <c r="H4" s="96"/>
      <c r="N4" s="58"/>
      <c r="O4" s="158"/>
      <c r="P4" s="94"/>
      <c r="Q4" s="94"/>
      <c r="R4" s="94"/>
      <c r="S4" s="117" t="str">
        <f>_xll.RData(S5:S42,T4:W4,"RTFEED:IDN",ReutersRtMode,,T5)</f>
        <v>Updated at 17:01:59</v>
      </c>
      <c r="T4" s="157" t="s">
        <v>179</v>
      </c>
      <c r="U4" s="157" t="s">
        <v>178</v>
      </c>
      <c r="V4" s="157" t="s">
        <v>189</v>
      </c>
      <c r="W4" s="157" t="s">
        <v>199</v>
      </c>
      <c r="X4" s="139" t="s">
        <v>198</v>
      </c>
      <c r="Y4" s="122"/>
      <c r="Z4" s="141" t="s">
        <v>195</v>
      </c>
      <c r="AA4" s="122"/>
      <c r="AB4" s="220" t="s">
        <v>194</v>
      </c>
      <c r="AC4" s="36" t="s">
        <v>193</v>
      </c>
      <c r="AD4" s="109"/>
      <c r="AE4" s="3"/>
      <c r="AF4" s="3"/>
      <c r="AG4" s="3"/>
      <c r="AH4" s="3"/>
      <c r="AI4" s="3"/>
      <c r="AJ4" s="156" t="s">
        <v>197</v>
      </c>
    </row>
    <row r="5" spans="1:36" x14ac:dyDescent="0.2">
      <c r="A5" s="58"/>
      <c r="B5" s="35" t="s">
        <v>105</v>
      </c>
      <c r="C5" s="35"/>
      <c r="D5" s="35"/>
      <c r="E5" s="34" t="str">
        <f>Currency&amp;"_010_Sw"&amp;$C$6&amp;$D$6&amp;".xml"</f>
        <v>USD_010_SwAM3L.xml</v>
      </c>
      <c r="F5" s="33" t="str">
        <f>IF(Serialize,_xll.ohObjectSave(F6:F42,SerializationPath&amp;E5,FileOverwrite,Serialize),"---")</f>
        <v>---</v>
      </c>
      <c r="G5" s="17" t="str">
        <f>_xll.ohRangeRetrieveError(F5)</f>
        <v/>
      </c>
      <c r="H5" s="9"/>
      <c r="J5" s="105" t="s">
        <v>172</v>
      </c>
      <c r="K5" s="104" t="s">
        <v>171</v>
      </c>
      <c r="L5" s="103" t="s">
        <v>170</v>
      </c>
      <c r="N5" s="58"/>
      <c r="O5" s="126" t="s">
        <v>14</v>
      </c>
      <c r="P5" s="153" t="str">
        <f t="array" ref="P5:P42">VLOOKUP(Currency,Conventions,2)</f>
        <v>AM</v>
      </c>
      <c r="Q5" s="153" t="str">
        <f t="array" ref="Q5:Q42">VLOOKUP(Currency,Conventions,3)</f>
        <v>3L</v>
      </c>
      <c r="R5" s="152" t="str">
        <f t="shared" ref="R5:R42" si="0">Currency&amp;$P5&amp;$Q5&amp;$O5</f>
        <v>USDAM3L6M</v>
      </c>
      <c r="S5" s="152" t="str">
        <f t="array" ref="S5:S42">Instruments&amp;"="&amp;VLOOKUP(Contributor,ContributorTable,2,FALSE)</f>
        <v>USDAM3L6M=ICAP</v>
      </c>
      <c r="T5" s="120" t="s">
        <v>184</v>
      </c>
      <c r="U5" s="120" t="s">
        <v>184</v>
      </c>
      <c r="V5" s="120" t="s">
        <v>184</v>
      </c>
      <c r="W5" s="120" t="s">
        <v>184</v>
      </c>
      <c r="X5" s="124" t="e">
        <f>_xll.qlMidSafe($T5,$U5)</f>
        <v>#NUM!</v>
      </c>
      <c r="Y5" s="122"/>
      <c r="Z5" s="123" t="e">
        <v>#NUM!</v>
      </c>
      <c r="AA5" s="122"/>
      <c r="AB5" s="168" t="e">
        <f t="array" ref="AB5:AB42">QuoteLive</f>
        <v>#NUM!</v>
      </c>
      <c r="AC5" s="224" t="e">
        <f>_xll.qlSimpleQuoteSetValue(F5,AB5/100,Trigger)</f>
        <v>#NUM!</v>
      </c>
      <c r="AD5" s="109"/>
      <c r="AE5" s="3"/>
      <c r="AF5" s="209" t="s">
        <v>101</v>
      </c>
      <c r="AG5" s="30" t="s">
        <v>169</v>
      </c>
      <c r="AH5" s="29" t="s">
        <v>94</v>
      </c>
      <c r="AI5" s="3"/>
      <c r="AJ5" s="148" t="e">
        <f t="shared" ref="AJ5:AJ42" si="1">(U5-X5)/50</f>
        <v>#VALUE!</v>
      </c>
    </row>
    <row r="6" spans="1:36" x14ac:dyDescent="0.2">
      <c r="A6" s="58"/>
      <c r="B6" s="93" t="s">
        <v>8</v>
      </c>
      <c r="C6" s="20" t="str">
        <f t="array" ref="C6:C42">VLOOKUP(Currency,SwapMainSetConventions,2)</f>
        <v>AM</v>
      </c>
      <c r="D6" s="20" t="str">
        <f t="array" ref="D6:D42">VLOOKUP(Currency,SwapMainSetConventions,3)</f>
        <v>3L</v>
      </c>
      <c r="E6" s="18" t="str">
        <f t="shared" ref="E6:E42" si="2">Currency&amp;$C6&amp;$D6&amp;$B6&amp;QuoteSuffix</f>
        <v>USDAM3L1Y_Quote</v>
      </c>
      <c r="F6" s="18" t="str">
        <f>_xll.qlSimpleQuote(Currency&amp;$C6&amp;$D6&amp;$B6&amp;QuoteSuffix,,RateTickValue,Permanent,Trigger,ObjectOverwrite)</f>
        <v>USDAM3L1Y_Quote#0009</v>
      </c>
      <c r="G6" s="4" t="str">
        <f>_xll.ohRangeRetrieveError(F6)</f>
        <v/>
      </c>
      <c r="H6" s="9"/>
      <c r="J6" s="102" t="s">
        <v>101</v>
      </c>
      <c r="K6" s="27" t="s">
        <v>169</v>
      </c>
      <c r="L6" s="26" t="s">
        <v>94</v>
      </c>
      <c r="N6" s="58"/>
      <c r="O6" s="126" t="s">
        <v>8</v>
      </c>
      <c r="P6" s="153" t="str">
        <v>AM</v>
      </c>
      <c r="Q6" s="153" t="str">
        <v>3L</v>
      </c>
      <c r="R6" s="152" t="str">
        <f t="shared" si="0"/>
        <v>USDAM3L1Y</v>
      </c>
      <c r="S6" s="152" t="str">
        <v>USDAM3L1Y=ICAP</v>
      </c>
      <c r="T6" s="120">
        <v>0.46200000000000002</v>
      </c>
      <c r="U6" s="120">
        <v>0.49199999999999999</v>
      </c>
      <c r="V6" s="120">
        <v>0</v>
      </c>
      <c r="W6" s="120">
        <v>0</v>
      </c>
      <c r="X6" s="124">
        <f>_xll.qlMidSafe($T6,$U6)</f>
        <v>0.47699999999999998</v>
      </c>
      <c r="Y6" s="122"/>
      <c r="Z6" s="123">
        <v>0.314</v>
      </c>
      <c r="AA6" s="122"/>
      <c r="AB6" s="168">
        <v>0.47699999999999998</v>
      </c>
      <c r="AC6" s="119">
        <f>_xll.qlSimpleQuoteSetValue(F6,AB6/100,Trigger)</f>
        <v>0</v>
      </c>
      <c r="AD6" s="109"/>
      <c r="AE6" s="3"/>
      <c r="AF6" s="102" t="s">
        <v>100</v>
      </c>
      <c r="AG6" s="27" t="s">
        <v>169</v>
      </c>
      <c r="AH6" s="26" t="s">
        <v>106</v>
      </c>
      <c r="AI6" s="3"/>
      <c r="AJ6" s="148">
        <f t="shared" si="1"/>
        <v>3.0000000000000024E-4</v>
      </c>
    </row>
    <row r="7" spans="1:36" x14ac:dyDescent="0.2">
      <c r="A7" s="58"/>
      <c r="B7" s="92" t="s">
        <v>104</v>
      </c>
      <c r="C7" s="20" t="str">
        <v>AM</v>
      </c>
      <c r="D7" s="20" t="str">
        <v>3L</v>
      </c>
      <c r="E7" s="18" t="str">
        <f t="shared" si="2"/>
        <v>USDAM3L15M_Quote</v>
      </c>
      <c r="F7" s="18" t="str">
        <f>_xll.qlSimpleQuote(Currency&amp;$C7&amp;$D7&amp;$B7&amp;QuoteSuffix,,RateTickValue,Permanent,Trigger,ObjectOverwrite)</f>
        <v>USDAM3L15M_Quote#0009</v>
      </c>
      <c r="G7" s="89" t="str">
        <f>_xll.ohRangeRetrieveError(F7)</f>
        <v/>
      </c>
      <c r="H7" s="9"/>
      <c r="J7" s="102" t="s">
        <v>100</v>
      </c>
      <c r="K7" s="27" t="s">
        <v>169</v>
      </c>
      <c r="L7" s="26" t="s">
        <v>106</v>
      </c>
      <c r="N7" s="58"/>
      <c r="O7" s="126" t="s">
        <v>104</v>
      </c>
      <c r="P7" s="153" t="str">
        <v>AM</v>
      </c>
      <c r="Q7" s="153" t="str">
        <v>3L</v>
      </c>
      <c r="R7" s="152" t="str">
        <f t="shared" si="0"/>
        <v>USDAM3L15M</v>
      </c>
      <c r="S7" s="152" t="str">
        <v>USDAM3L15M=ICAP</v>
      </c>
      <c r="T7" s="120" t="s">
        <v>184</v>
      </c>
      <c r="U7" s="120" t="s">
        <v>184</v>
      </c>
      <c r="V7" s="120" t="s">
        <v>184</v>
      </c>
      <c r="W7" s="120" t="s">
        <v>184</v>
      </c>
      <c r="X7" s="124" t="e">
        <f>_xll.qlMidSafe($T7,$U7)</f>
        <v>#NUM!</v>
      </c>
      <c r="Y7" s="122"/>
      <c r="Z7" s="123" t="e">
        <v>#NUM!</v>
      </c>
      <c r="AA7" s="122"/>
      <c r="AB7" s="168" t="e">
        <v>#NUM!</v>
      </c>
      <c r="AC7" s="119">
        <f>_xll.qlSimpleQuoteSetValue(F7,AB7/100,Trigger)</f>
        <v>0</v>
      </c>
      <c r="AD7" s="109"/>
      <c r="AE7" s="3"/>
      <c r="AF7" s="102" t="s">
        <v>97</v>
      </c>
      <c r="AG7" s="27" t="s">
        <v>167</v>
      </c>
      <c r="AH7" s="26" t="s">
        <v>94</v>
      </c>
      <c r="AI7" s="3"/>
      <c r="AJ7" s="148" t="e">
        <f t="shared" si="1"/>
        <v>#VALUE!</v>
      </c>
    </row>
    <row r="8" spans="1:36" x14ac:dyDescent="0.2">
      <c r="A8" s="58"/>
      <c r="B8" s="92" t="s">
        <v>103</v>
      </c>
      <c r="C8" s="20" t="str">
        <v>AM</v>
      </c>
      <c r="D8" s="20" t="str">
        <v>3L</v>
      </c>
      <c r="E8" s="18" t="str">
        <f t="shared" si="2"/>
        <v>USDAM3L18M_Quote</v>
      </c>
      <c r="F8" s="18" t="str">
        <f>_xll.qlSimpleQuote(Currency&amp;$C8&amp;$D8&amp;$B8&amp;QuoteSuffix,,RateTickValue,Permanent,Trigger,ObjectOverwrite)</f>
        <v>USDAM3L18M_Quote#0009</v>
      </c>
      <c r="G8" s="89" t="str">
        <f>_xll.ohRangeRetrieveError(F8)</f>
        <v/>
      </c>
      <c r="H8" s="9"/>
      <c r="J8" s="102" t="s">
        <v>97</v>
      </c>
      <c r="K8" s="27" t="s">
        <v>167</v>
      </c>
      <c r="L8" s="26" t="s">
        <v>94</v>
      </c>
      <c r="N8" s="58"/>
      <c r="O8" s="126" t="s">
        <v>103</v>
      </c>
      <c r="P8" s="153" t="str">
        <v>AM</v>
      </c>
      <c r="Q8" s="153" t="str">
        <v>3L</v>
      </c>
      <c r="R8" s="152" t="str">
        <f t="shared" si="0"/>
        <v>USDAM3L18M</v>
      </c>
      <c r="S8" s="152" t="str">
        <v>USDAM3L18M=ICAP</v>
      </c>
      <c r="T8" s="120" t="s">
        <v>184</v>
      </c>
      <c r="U8" s="120" t="s">
        <v>184</v>
      </c>
      <c r="V8" s="120" t="s">
        <v>184</v>
      </c>
      <c r="W8" s="120" t="s">
        <v>184</v>
      </c>
      <c r="X8" s="124" t="e">
        <f>_xll.qlMidSafe($T8,$U8)</f>
        <v>#NUM!</v>
      </c>
      <c r="Y8" s="122"/>
      <c r="Z8" s="123" t="e">
        <v>#NUM!</v>
      </c>
      <c r="AA8" s="122"/>
      <c r="AB8" s="168" t="e">
        <v>#NUM!</v>
      </c>
      <c r="AC8" s="119">
        <f>_xll.qlSimpleQuoteSetValue(F8,AB8/100,Trigger)</f>
        <v>0</v>
      </c>
      <c r="AD8" s="109"/>
      <c r="AE8" s="3"/>
      <c r="AF8" s="102" t="s">
        <v>96</v>
      </c>
      <c r="AG8" s="27" t="s">
        <v>168</v>
      </c>
      <c r="AH8" s="26" t="s">
        <v>94</v>
      </c>
      <c r="AI8" s="3"/>
      <c r="AJ8" s="148" t="e">
        <f t="shared" si="1"/>
        <v>#VALUE!</v>
      </c>
    </row>
    <row r="9" spans="1:36" ht="13.5" thickBot="1" x14ac:dyDescent="0.25">
      <c r="A9" s="58"/>
      <c r="B9" s="92" t="s">
        <v>102</v>
      </c>
      <c r="C9" s="20" t="str">
        <v>AM</v>
      </c>
      <c r="D9" s="20" t="str">
        <v>3L</v>
      </c>
      <c r="E9" s="18" t="str">
        <f t="shared" si="2"/>
        <v>USDAM3L21M_Quote</v>
      </c>
      <c r="F9" s="18" t="str">
        <f>_xll.qlSimpleQuote(Currency&amp;$C9&amp;$D9&amp;$B9&amp;QuoteSuffix,,RateTickValue,Permanent,Trigger,ObjectOverwrite)</f>
        <v>USDAM3L21M_Quote#0009</v>
      </c>
      <c r="G9" s="89" t="str">
        <f>_xll.ohRangeRetrieveError(F9)</f>
        <v/>
      </c>
      <c r="H9" s="9"/>
      <c r="J9" s="102" t="s">
        <v>96</v>
      </c>
      <c r="K9" s="27" t="s">
        <v>168</v>
      </c>
      <c r="L9" s="26" t="s">
        <v>94</v>
      </c>
      <c r="N9" s="58"/>
      <c r="O9" s="126" t="s">
        <v>102</v>
      </c>
      <c r="P9" s="153" t="str">
        <v>AM</v>
      </c>
      <c r="Q9" s="153" t="str">
        <v>3L</v>
      </c>
      <c r="R9" s="152" t="str">
        <f t="shared" si="0"/>
        <v>USDAM3L21M</v>
      </c>
      <c r="S9" s="152" t="str">
        <v>USDAM3L21M=ICAP</v>
      </c>
      <c r="T9" s="120" t="s">
        <v>184</v>
      </c>
      <c r="U9" s="120" t="s">
        <v>184</v>
      </c>
      <c r="V9" s="120" t="s">
        <v>184</v>
      </c>
      <c r="W9" s="120" t="s">
        <v>184</v>
      </c>
      <c r="X9" s="124" t="e">
        <f>_xll.qlMidSafe($T9,$U9)</f>
        <v>#NUM!</v>
      </c>
      <c r="Y9" s="122"/>
      <c r="Z9" s="123" t="e">
        <v>#NUM!</v>
      </c>
      <c r="AA9" s="122"/>
      <c r="AB9" s="168" t="e">
        <v>#NUM!</v>
      </c>
      <c r="AC9" s="119">
        <f>_xll.qlSimpleQuoteSetValue(F9,AB9/100,Trigger)</f>
        <v>0</v>
      </c>
      <c r="AD9" s="109"/>
      <c r="AE9" s="3"/>
      <c r="AF9" s="101" t="s">
        <v>91</v>
      </c>
      <c r="AG9" s="24" t="s">
        <v>167</v>
      </c>
      <c r="AH9" s="23" t="s">
        <v>94</v>
      </c>
      <c r="AI9" s="3"/>
      <c r="AJ9" s="148" t="e">
        <f t="shared" si="1"/>
        <v>#VALUE!</v>
      </c>
    </row>
    <row r="10" spans="1:36" ht="13.5" thickBot="1" x14ac:dyDescent="0.25">
      <c r="A10" s="58"/>
      <c r="B10" s="92" t="s">
        <v>84</v>
      </c>
      <c r="C10" s="20" t="str">
        <v>AM</v>
      </c>
      <c r="D10" s="20" t="str">
        <v>3L</v>
      </c>
      <c r="E10" s="18" t="str">
        <f t="shared" si="2"/>
        <v>USDAM3L2Y_Quote</v>
      </c>
      <c r="F10" s="18" t="str">
        <f>_xll.qlSimpleQuote(Currency&amp;$C10&amp;$D10&amp;$B10&amp;QuoteSuffix,,RateTickValue,Permanent,Trigger,ObjectOverwrite)</f>
        <v>USDAM3L2Y_Quote#0009</v>
      </c>
      <c r="G10" s="89" t="str">
        <f>_xll.ohRangeRetrieveError(F10)</f>
        <v/>
      </c>
      <c r="H10" s="9"/>
      <c r="J10" s="101" t="s">
        <v>91</v>
      </c>
      <c r="K10" s="24" t="s">
        <v>167</v>
      </c>
      <c r="L10" s="23" t="s">
        <v>94</v>
      </c>
      <c r="N10" s="58"/>
      <c r="O10" s="126" t="s">
        <v>84</v>
      </c>
      <c r="P10" s="153" t="str">
        <v>AM</v>
      </c>
      <c r="Q10" s="153" t="str">
        <v>3L</v>
      </c>
      <c r="R10" s="152" t="str">
        <f t="shared" si="0"/>
        <v>USDAM3L2Y</v>
      </c>
      <c r="S10" s="152" t="str">
        <v>USDAM3L2Y=ICAP</v>
      </c>
      <c r="T10" s="120">
        <v>0.873</v>
      </c>
      <c r="U10" s="120">
        <v>0.90300000000000002</v>
      </c>
      <c r="V10" s="120">
        <v>0</v>
      </c>
      <c r="W10" s="120">
        <v>0</v>
      </c>
      <c r="X10" s="124">
        <f>_xll.qlMidSafe($T10,$U10)</f>
        <v>0.88800000000000001</v>
      </c>
      <c r="Y10" s="122"/>
      <c r="Z10" s="123">
        <v>0.70100000000000007</v>
      </c>
      <c r="AA10" s="122"/>
      <c r="AB10" s="168">
        <v>0.88800000000000001</v>
      </c>
      <c r="AC10" s="119">
        <f>_xll.qlSimpleQuoteSetValue(F10,AB10/100,Trigger)</f>
        <v>0</v>
      </c>
      <c r="AD10" s="109"/>
      <c r="AE10" s="3"/>
      <c r="AF10" s="3"/>
      <c r="AG10" s="3"/>
      <c r="AH10" s="3"/>
      <c r="AI10" s="3"/>
      <c r="AJ10" s="148">
        <f t="shared" si="1"/>
        <v>3.0000000000000024E-4</v>
      </c>
    </row>
    <row r="11" spans="1:36" x14ac:dyDescent="0.2">
      <c r="A11" s="58"/>
      <c r="B11" s="92" t="s">
        <v>83</v>
      </c>
      <c r="C11" s="20" t="str">
        <v>AM</v>
      </c>
      <c r="D11" s="20" t="str">
        <v>3L</v>
      </c>
      <c r="E11" s="18" t="str">
        <f t="shared" si="2"/>
        <v>USDAM3L3Y_Quote</v>
      </c>
      <c r="F11" s="18" t="str">
        <f>_xll.qlSimpleQuote(Currency&amp;$C11&amp;$D11&amp;$B11&amp;QuoteSuffix,,RateTickValue,Permanent,Trigger,ObjectOverwrite)</f>
        <v>USDAM3L3Y_Quote#0009</v>
      </c>
      <c r="G11" s="89" t="str">
        <f>_xll.ohRangeRetrieveError(F11)</f>
        <v/>
      </c>
      <c r="H11" s="9"/>
      <c r="N11" s="58"/>
      <c r="O11" s="126" t="s">
        <v>83</v>
      </c>
      <c r="P11" s="27" t="str">
        <v>AM</v>
      </c>
      <c r="Q11" s="27" t="str">
        <v>3L</v>
      </c>
      <c r="R11" s="152" t="str">
        <f t="shared" si="0"/>
        <v>USDAM3L3Y</v>
      </c>
      <c r="S11" s="152" t="str">
        <v>USDAM3L3Y=ICAP</v>
      </c>
      <c r="T11" s="120">
        <v>1.2270000000000001</v>
      </c>
      <c r="U11" s="120">
        <v>1.2570000000000001</v>
      </c>
      <c r="V11" s="120">
        <v>0</v>
      </c>
      <c r="W11" s="120">
        <v>0</v>
      </c>
      <c r="X11" s="124">
        <f>_xll.qlMidSafe($T11,$U11)</f>
        <v>1.242</v>
      </c>
      <c r="Y11" s="122"/>
      <c r="Z11" s="123">
        <v>1.129</v>
      </c>
      <c r="AA11" s="122"/>
      <c r="AB11" s="168">
        <v>1.242</v>
      </c>
      <c r="AC11" s="119">
        <f>_xll.qlSimpleQuoteSetValue(F11,AB11/100,Trigger)</f>
        <v>0</v>
      </c>
      <c r="AD11" s="109"/>
      <c r="AE11" s="3"/>
      <c r="AF11" s="3"/>
      <c r="AG11" s="3"/>
      <c r="AH11" s="3"/>
      <c r="AI11" s="3"/>
      <c r="AJ11" s="148">
        <f t="shared" si="1"/>
        <v>3.0000000000000247E-4</v>
      </c>
    </row>
    <row r="12" spans="1:36" x14ac:dyDescent="0.2">
      <c r="A12" s="58"/>
      <c r="B12" s="92" t="s">
        <v>82</v>
      </c>
      <c r="C12" s="20" t="str">
        <v>AM</v>
      </c>
      <c r="D12" s="20" t="str">
        <v>3L</v>
      </c>
      <c r="E12" s="18" t="str">
        <f t="shared" si="2"/>
        <v>USDAM3L4Y_Quote</v>
      </c>
      <c r="F12" s="18" t="str">
        <f>_xll.qlSimpleQuote(Currency&amp;$C12&amp;$D12&amp;$B12&amp;QuoteSuffix,,RateTickValue,Permanent,Trigger,ObjectOverwrite)</f>
        <v>USDAM3L4Y_Quote#0009</v>
      </c>
      <c r="G12" s="89" t="str">
        <f>_xll.ohRangeRetrieveError(F12)</f>
        <v/>
      </c>
      <c r="H12" s="9"/>
      <c r="N12" s="58"/>
      <c r="O12" s="126" t="s">
        <v>82</v>
      </c>
      <c r="P12" s="27" t="str">
        <v>AM</v>
      </c>
      <c r="Q12" s="27" t="str">
        <v>3L</v>
      </c>
      <c r="R12" s="152" t="str">
        <f t="shared" si="0"/>
        <v>USDAM3L4Y</v>
      </c>
      <c r="S12" s="152" t="str">
        <v>USDAM3L4Y=ICAP</v>
      </c>
      <c r="T12" s="120">
        <v>1.4890000000000001</v>
      </c>
      <c r="U12" s="120">
        <v>1.5190000000000001</v>
      </c>
      <c r="V12" s="120">
        <v>0</v>
      </c>
      <c r="W12" s="120">
        <v>0</v>
      </c>
      <c r="X12" s="124">
        <f>_xll.qlMidSafe($T12,$U12)</f>
        <v>1.504</v>
      </c>
      <c r="Y12" s="122"/>
      <c r="Z12" s="123">
        <v>1.468</v>
      </c>
      <c r="AA12" s="122"/>
      <c r="AB12" s="168">
        <v>1.504</v>
      </c>
      <c r="AC12" s="119">
        <f>_xll.qlSimpleQuoteSetValue(F12,AB12/100,Trigger)</f>
        <v>0</v>
      </c>
      <c r="AD12" s="109"/>
      <c r="AE12" s="3"/>
      <c r="AF12" s="3"/>
      <c r="AG12" s="3"/>
      <c r="AH12" s="3"/>
      <c r="AI12" s="3"/>
      <c r="AJ12" s="148">
        <f t="shared" si="1"/>
        <v>3.0000000000000247E-4</v>
      </c>
    </row>
    <row r="13" spans="1:36" x14ac:dyDescent="0.2">
      <c r="A13" s="58"/>
      <c r="B13" s="92" t="s">
        <v>81</v>
      </c>
      <c r="C13" s="20" t="str">
        <v>AM</v>
      </c>
      <c r="D13" s="20" t="str">
        <v>3L</v>
      </c>
      <c r="E13" s="18" t="str">
        <f t="shared" si="2"/>
        <v>USDAM3L5Y_Quote</v>
      </c>
      <c r="F13" s="18" t="str">
        <f>_xll.qlSimpleQuote(Currency&amp;$C13&amp;$D13&amp;$B13&amp;QuoteSuffix,,RateTickValue,Permanent,Trigger,ObjectOverwrite)</f>
        <v>USDAM3L5Y_Quote#0009</v>
      </c>
      <c r="G13" s="89" t="str">
        <f>_xll.ohRangeRetrieveError(F13)</f>
        <v/>
      </c>
      <c r="H13" s="9"/>
      <c r="N13" s="58"/>
      <c r="O13" s="126" t="s">
        <v>81</v>
      </c>
      <c r="P13" s="27" t="str">
        <v>AM</v>
      </c>
      <c r="Q13" s="27" t="str">
        <v>3L</v>
      </c>
      <c r="R13" s="152" t="str">
        <f t="shared" si="0"/>
        <v>USDAM3L5Y</v>
      </c>
      <c r="S13" s="152" t="str">
        <v>USDAM3L5Y=ICAP</v>
      </c>
      <c r="T13" s="120">
        <v>1.6819999999999999</v>
      </c>
      <c r="U13" s="120">
        <v>1.712</v>
      </c>
      <c r="V13" s="120">
        <v>0</v>
      </c>
      <c r="W13" s="120">
        <v>0</v>
      </c>
      <c r="X13" s="124">
        <f>_xll.qlMidSafe($T13,$U13)</f>
        <v>1.6970000000000001</v>
      </c>
      <c r="Y13" s="122"/>
      <c r="Z13" s="123">
        <v>1.7229999999999999</v>
      </c>
      <c r="AA13" s="122"/>
      <c r="AB13" s="168">
        <v>1.6970000000000001</v>
      </c>
      <c r="AC13" s="119">
        <f>_xll.qlSimpleQuoteSetValue(F13,AB13/100,Trigger)</f>
        <v>0</v>
      </c>
      <c r="AD13" s="109"/>
      <c r="AE13" s="3"/>
      <c r="AF13" s="3"/>
      <c r="AG13" s="3"/>
      <c r="AH13" s="3"/>
      <c r="AI13" s="3"/>
      <c r="AJ13" s="148">
        <f t="shared" si="1"/>
        <v>2.9999999999999802E-4</v>
      </c>
    </row>
    <row r="14" spans="1:36" x14ac:dyDescent="0.2">
      <c r="A14" s="58"/>
      <c r="B14" s="92" t="s">
        <v>80</v>
      </c>
      <c r="C14" s="20" t="str">
        <v>AM</v>
      </c>
      <c r="D14" s="20" t="str">
        <v>3L</v>
      </c>
      <c r="E14" s="18" t="str">
        <f t="shared" si="2"/>
        <v>USDAM3L6Y_Quote</v>
      </c>
      <c r="F14" s="18" t="str">
        <f>_xll.qlSimpleQuote(Currency&amp;$C14&amp;$D14&amp;$B14&amp;QuoteSuffix,,RateTickValue,Permanent,Trigger,ObjectOverwrite)</f>
        <v>USDAM3L6Y_Quote#0009</v>
      </c>
      <c r="G14" s="89" t="str">
        <f>_xll.ohRangeRetrieveError(F14)</f>
        <v/>
      </c>
      <c r="H14" s="9"/>
      <c r="N14" s="58"/>
      <c r="O14" s="126" t="s">
        <v>80</v>
      </c>
      <c r="P14" s="27" t="str">
        <v>AM</v>
      </c>
      <c r="Q14" s="27" t="str">
        <v>3L</v>
      </c>
      <c r="R14" s="152" t="str">
        <f t="shared" si="0"/>
        <v>USDAM3L6Y</v>
      </c>
      <c r="S14" s="152" t="str">
        <v>USDAM3L6Y=ICAP</v>
      </c>
      <c r="T14" s="120">
        <v>1.829</v>
      </c>
      <c r="U14" s="120">
        <v>1.859</v>
      </c>
      <c r="V14" s="120">
        <v>0</v>
      </c>
      <c r="W14" s="120">
        <v>0</v>
      </c>
      <c r="X14" s="124">
        <f>_xll.qlMidSafe($T14,$U14)</f>
        <v>1.8439999999999999</v>
      </c>
      <c r="Y14" s="122"/>
      <c r="Z14" s="123">
        <v>1.9209999999999998</v>
      </c>
      <c r="AA14" s="122"/>
      <c r="AB14" s="168">
        <v>1.8439999999999999</v>
      </c>
      <c r="AC14" s="119">
        <f>_xll.qlSimpleQuoteSetValue(F14,AB14/100,Trigger)</f>
        <v>0</v>
      </c>
      <c r="AD14" s="109"/>
      <c r="AE14" s="3"/>
      <c r="AF14" s="3"/>
      <c r="AG14" s="3"/>
      <c r="AH14" s="3"/>
      <c r="AI14" s="3"/>
      <c r="AJ14" s="148">
        <f t="shared" si="1"/>
        <v>3.0000000000000247E-4</v>
      </c>
    </row>
    <row r="15" spans="1:36" x14ac:dyDescent="0.2">
      <c r="A15" s="58"/>
      <c r="B15" s="92" t="s">
        <v>79</v>
      </c>
      <c r="C15" s="20" t="str">
        <v>AM</v>
      </c>
      <c r="D15" s="20" t="str">
        <v>3L</v>
      </c>
      <c r="E15" s="18" t="str">
        <f t="shared" si="2"/>
        <v>USDAM3L7Y_Quote</v>
      </c>
      <c r="F15" s="18" t="str">
        <f>_xll.qlSimpleQuote(Currency&amp;$C15&amp;$D15&amp;$B15&amp;QuoteSuffix,,RateTickValue,Permanent,Trigger,ObjectOverwrite)</f>
        <v>USDAM3L7Y_Quote#0009</v>
      </c>
      <c r="G15" s="89" t="str">
        <f>_xll.ohRangeRetrieveError(F15)</f>
        <v/>
      </c>
      <c r="H15" s="9"/>
      <c r="N15" s="58"/>
      <c r="O15" s="126" t="s">
        <v>79</v>
      </c>
      <c r="P15" s="27" t="str">
        <v>AM</v>
      </c>
      <c r="Q15" s="27" t="str">
        <v>3L</v>
      </c>
      <c r="R15" s="152" t="str">
        <f t="shared" si="0"/>
        <v>USDAM3L7Y</v>
      </c>
      <c r="S15" s="152" t="str">
        <v>USDAM3L7Y=ICAP</v>
      </c>
      <c r="T15" s="120">
        <v>1.9450000000000001</v>
      </c>
      <c r="U15" s="120">
        <v>1.9750000000000001</v>
      </c>
      <c r="V15" s="120">
        <v>0</v>
      </c>
      <c r="W15" s="120">
        <v>0</v>
      </c>
      <c r="X15" s="124">
        <f>_xll.qlMidSafe($T15,$U15)</f>
        <v>1.96</v>
      </c>
      <c r="Y15" s="122"/>
      <c r="Z15" s="123">
        <v>2.0840000000000001</v>
      </c>
      <c r="AA15" s="122"/>
      <c r="AB15" s="168">
        <v>1.96</v>
      </c>
      <c r="AC15" s="119">
        <f>_xll.qlSimpleQuoteSetValue(F15,AB15/100,Trigger)</f>
        <v>0</v>
      </c>
      <c r="AD15" s="109"/>
      <c r="AE15" s="3"/>
      <c r="AF15" s="3"/>
      <c r="AG15" s="3"/>
      <c r="AH15" s="3"/>
      <c r="AI15" s="3"/>
      <c r="AJ15" s="148">
        <f t="shared" si="1"/>
        <v>3.0000000000000247E-4</v>
      </c>
    </row>
    <row r="16" spans="1:36" x14ac:dyDescent="0.2">
      <c r="A16" s="58"/>
      <c r="B16" s="92" t="s">
        <v>78</v>
      </c>
      <c r="C16" s="20" t="str">
        <v>AM</v>
      </c>
      <c r="D16" s="20" t="str">
        <v>3L</v>
      </c>
      <c r="E16" s="18" t="str">
        <f t="shared" si="2"/>
        <v>USDAM3L8Y_Quote</v>
      </c>
      <c r="F16" s="18" t="str">
        <f>_xll.qlSimpleQuote(Currency&amp;$C16&amp;$D16&amp;$B16&amp;QuoteSuffix,,RateTickValue,Permanent,Trigger,ObjectOverwrite)</f>
        <v>USDAM3L8Y_Quote#0009</v>
      </c>
      <c r="G16" s="89" t="str">
        <f>_xll.ohRangeRetrieveError(F16)</f>
        <v/>
      </c>
      <c r="H16" s="9"/>
      <c r="N16" s="58"/>
      <c r="O16" s="126" t="s">
        <v>78</v>
      </c>
      <c r="P16" s="27" t="str">
        <v>AM</v>
      </c>
      <c r="Q16" s="27" t="str">
        <v>3L</v>
      </c>
      <c r="R16" s="152" t="str">
        <f t="shared" si="0"/>
        <v>USDAM3L8Y</v>
      </c>
      <c r="S16" s="152" t="str">
        <v>USDAM3L8Y=ICAP</v>
      </c>
      <c r="T16" s="120">
        <v>2.0380000000000003</v>
      </c>
      <c r="U16" s="120">
        <v>2.0680000000000001</v>
      </c>
      <c r="V16" s="120">
        <v>0</v>
      </c>
      <c r="W16" s="120">
        <v>0</v>
      </c>
      <c r="X16" s="124">
        <f>_xll.qlMidSafe($T16,$U16)</f>
        <v>2.0529999999999999</v>
      </c>
      <c r="Y16" s="122"/>
      <c r="Z16" s="123">
        <v>2.2170000000000001</v>
      </c>
      <c r="AA16" s="122"/>
      <c r="AB16" s="168">
        <v>2.0529999999999999</v>
      </c>
      <c r="AC16" s="119">
        <f>_xll.qlSimpleQuoteSetValue(F16,AB16/100,Trigger)</f>
        <v>9.9999999999995925E-6</v>
      </c>
      <c r="AD16" s="109"/>
      <c r="AE16" s="3"/>
      <c r="AF16" s="3"/>
      <c r="AG16" s="3"/>
      <c r="AH16" s="3"/>
      <c r="AI16" s="3"/>
      <c r="AJ16" s="148">
        <f t="shared" si="1"/>
        <v>3.0000000000000247E-4</v>
      </c>
    </row>
    <row r="17" spans="1:36" x14ac:dyDescent="0.2">
      <c r="A17" s="58"/>
      <c r="B17" s="92" t="s">
        <v>77</v>
      </c>
      <c r="C17" s="20" t="str">
        <v>AM</v>
      </c>
      <c r="D17" s="20" t="str">
        <v>3L</v>
      </c>
      <c r="E17" s="18" t="str">
        <f t="shared" si="2"/>
        <v>USDAM3L9Y_Quote</v>
      </c>
      <c r="F17" s="18" t="str">
        <f>_xll.qlSimpleQuote(Currency&amp;$C17&amp;$D17&amp;$B17&amp;QuoteSuffix,,RateTickValue,Permanent,Trigger,ObjectOverwrite)</f>
        <v>USDAM3L9Y_Quote#0009</v>
      </c>
      <c r="G17" s="89" t="str">
        <f>_xll.ohRangeRetrieveError(F17)</f>
        <v/>
      </c>
      <c r="H17" s="9"/>
      <c r="N17" s="58"/>
      <c r="O17" s="126" t="s">
        <v>77</v>
      </c>
      <c r="P17" s="27" t="str">
        <v>AM</v>
      </c>
      <c r="Q17" s="27" t="str">
        <v>3L</v>
      </c>
      <c r="R17" s="152" t="str">
        <f t="shared" si="0"/>
        <v>USDAM3L9Y</v>
      </c>
      <c r="S17" s="152" t="str">
        <v>USDAM3L9Y=ICAP</v>
      </c>
      <c r="T17" s="120">
        <v>2.113</v>
      </c>
      <c r="U17" s="120">
        <v>2.1430000000000002</v>
      </c>
      <c r="V17" s="120">
        <v>0</v>
      </c>
      <c r="W17" s="120">
        <v>0</v>
      </c>
      <c r="X17" s="124">
        <f>_xll.qlMidSafe($T17,$U17)</f>
        <v>2.1280000000000001</v>
      </c>
      <c r="Y17" s="122"/>
      <c r="Z17" s="123">
        <v>2.331</v>
      </c>
      <c r="AA17" s="122"/>
      <c r="AB17" s="168">
        <v>2.1280000000000001</v>
      </c>
      <c r="AC17" s="119">
        <f>_xll.qlSimpleQuoteSetValue(F17,AB17/100,Trigger)</f>
        <v>1.0000000000003062E-5</v>
      </c>
      <c r="AD17" s="109"/>
      <c r="AE17" s="3"/>
      <c r="AF17" s="3"/>
      <c r="AG17" s="3"/>
      <c r="AH17" s="3"/>
      <c r="AI17" s="3"/>
      <c r="AJ17" s="148">
        <f t="shared" si="1"/>
        <v>3.0000000000000247E-4</v>
      </c>
    </row>
    <row r="18" spans="1:36" x14ac:dyDescent="0.2">
      <c r="A18" s="58"/>
      <c r="B18" s="92" t="s">
        <v>76</v>
      </c>
      <c r="C18" s="20" t="str">
        <v>AM</v>
      </c>
      <c r="D18" s="20" t="str">
        <v>3L</v>
      </c>
      <c r="E18" s="18" t="str">
        <f t="shared" si="2"/>
        <v>USDAM3L10Y_Quote</v>
      </c>
      <c r="F18" s="18" t="str">
        <f>_xll.qlSimpleQuote(Currency&amp;$C18&amp;$D18&amp;$B18&amp;QuoteSuffix,,RateTickValue,Permanent,Trigger,ObjectOverwrite)</f>
        <v>USDAM3L10Y_Quote#0009</v>
      </c>
      <c r="G18" s="89" t="str">
        <f>_xll.ohRangeRetrieveError(F18)</f>
        <v/>
      </c>
      <c r="H18" s="9"/>
      <c r="N18" s="58"/>
      <c r="O18" s="126" t="s">
        <v>76</v>
      </c>
      <c r="P18" s="27" t="str">
        <v>AM</v>
      </c>
      <c r="Q18" s="27" t="str">
        <v>3L</v>
      </c>
      <c r="R18" s="152" t="str">
        <f t="shared" si="0"/>
        <v>USDAM3L10Y</v>
      </c>
      <c r="S18" s="152" t="str">
        <v>USDAM3L10Y=ICAP</v>
      </c>
      <c r="T18" s="120">
        <v>2.1760000000000002</v>
      </c>
      <c r="U18" s="120">
        <v>2.206</v>
      </c>
      <c r="V18" s="120">
        <v>0</v>
      </c>
      <c r="W18" s="120">
        <v>0</v>
      </c>
      <c r="X18" s="124">
        <f>_xll.qlMidSafe($T18,$U18)</f>
        <v>2.1909999999999998</v>
      </c>
      <c r="Y18" s="122"/>
      <c r="Z18" s="123">
        <v>2.427</v>
      </c>
      <c r="AA18" s="122"/>
      <c r="AB18" s="168">
        <v>2.1909999999999998</v>
      </c>
      <c r="AC18" s="119">
        <f>_xll.qlSimpleQuoteSetValue(F18,AB18/100,Trigger)</f>
        <v>9.9999999999961231E-6</v>
      </c>
      <c r="AD18" s="109"/>
      <c r="AE18" s="3"/>
      <c r="AF18" s="3"/>
      <c r="AG18" s="3"/>
      <c r="AH18" s="3"/>
      <c r="AI18" s="3"/>
      <c r="AJ18" s="148">
        <f t="shared" si="1"/>
        <v>3.0000000000000247E-4</v>
      </c>
    </row>
    <row r="19" spans="1:36" x14ac:dyDescent="0.2">
      <c r="A19" s="58"/>
      <c r="B19" s="92" t="s">
        <v>75</v>
      </c>
      <c r="C19" s="20" t="str">
        <v>AM</v>
      </c>
      <c r="D19" s="20" t="str">
        <v>3L</v>
      </c>
      <c r="E19" s="18" t="str">
        <f t="shared" si="2"/>
        <v>USDAM3L11Y_Quote</v>
      </c>
      <c r="F19" s="18" t="str">
        <f>_xll.qlSimpleQuote(Currency&amp;$C19&amp;$D19&amp;$B19&amp;QuoteSuffix,,RateTickValue,Permanent,Trigger,ObjectOverwrite)</f>
        <v>USDAM3L11Y_Quote#0009</v>
      </c>
      <c r="G19" s="89" t="str">
        <f>_xll.ohRangeRetrieveError(F19)</f>
        <v/>
      </c>
      <c r="H19" s="9"/>
      <c r="N19" s="58"/>
      <c r="O19" s="126" t="s">
        <v>75</v>
      </c>
      <c r="P19" s="27" t="str">
        <v>AM</v>
      </c>
      <c r="Q19" s="27" t="str">
        <v>3L</v>
      </c>
      <c r="R19" s="152" t="str">
        <f t="shared" si="0"/>
        <v>USDAM3L11Y</v>
      </c>
      <c r="S19" s="152" t="str">
        <v>USDAM3L11Y=ICAP</v>
      </c>
      <c r="T19" s="120" t="s">
        <v>184</v>
      </c>
      <c r="U19" s="120" t="s">
        <v>184</v>
      </c>
      <c r="V19" s="120" t="s">
        <v>184</v>
      </c>
      <c r="W19" s="120" t="s">
        <v>184</v>
      </c>
      <c r="X19" s="124" t="e">
        <f>_xll.qlMidSafe($T19,$U19)</f>
        <v>#NUM!</v>
      </c>
      <c r="Y19" s="122"/>
      <c r="Z19" s="123" t="e">
        <v>#NUM!</v>
      </c>
      <c r="AA19" s="122"/>
      <c r="AB19" s="168" t="e">
        <v>#NUM!</v>
      </c>
      <c r="AC19" s="119">
        <f>_xll.qlSimpleQuoteSetValue(F19,AB19/100,Trigger)</f>
        <v>0</v>
      </c>
      <c r="AD19" s="109"/>
      <c r="AE19" s="3"/>
      <c r="AF19" s="3"/>
      <c r="AG19" s="3"/>
      <c r="AH19" s="3"/>
      <c r="AI19" s="3"/>
      <c r="AJ19" s="148" t="e">
        <f t="shared" si="1"/>
        <v>#VALUE!</v>
      </c>
    </row>
    <row r="20" spans="1:36" x14ac:dyDescent="0.2">
      <c r="A20" s="58"/>
      <c r="B20" s="92" t="s">
        <v>74</v>
      </c>
      <c r="C20" s="20" t="str">
        <v>AM</v>
      </c>
      <c r="D20" s="20" t="str">
        <v>3L</v>
      </c>
      <c r="E20" s="18" t="str">
        <f t="shared" si="2"/>
        <v>USDAM3L12Y_Quote</v>
      </c>
      <c r="F20" s="18" t="str">
        <f>_xll.qlSimpleQuote(Currency&amp;$C20&amp;$D20&amp;$B20&amp;QuoteSuffix,,RateTickValue,Permanent,Trigger,ObjectOverwrite)</f>
        <v>USDAM3L12Y_Quote#0009</v>
      </c>
      <c r="G20" s="89" t="str">
        <f>_xll.ohRangeRetrieveError(F20)</f>
        <v/>
      </c>
      <c r="H20" s="9"/>
      <c r="N20" s="58"/>
      <c r="O20" s="126" t="s">
        <v>74</v>
      </c>
      <c r="P20" s="27" t="str">
        <v>AM</v>
      </c>
      <c r="Q20" s="27" t="str">
        <v>3L</v>
      </c>
      <c r="R20" s="152" t="str">
        <f t="shared" si="0"/>
        <v>USDAM3L12Y</v>
      </c>
      <c r="S20" s="152" t="str">
        <v>USDAM3L12Y=ICAP</v>
      </c>
      <c r="T20" s="120">
        <v>2.2800000000000002</v>
      </c>
      <c r="U20" s="120">
        <v>2.31</v>
      </c>
      <c r="V20" s="120">
        <v>0</v>
      </c>
      <c r="W20" s="120">
        <v>0</v>
      </c>
      <c r="X20" s="124">
        <f>_xll.qlMidSafe($T20,$U20)</f>
        <v>2.2949999999999999</v>
      </c>
      <c r="Y20" s="122"/>
      <c r="Z20" s="123">
        <v>2.585</v>
      </c>
      <c r="AA20" s="122"/>
      <c r="AB20" s="168">
        <v>2.2949999999999999</v>
      </c>
      <c r="AC20" s="119">
        <f>_xll.qlSimpleQuoteSetValue(F20,AB20/100,Trigger)</f>
        <v>9.9999999999961231E-6</v>
      </c>
      <c r="AD20" s="109"/>
      <c r="AE20" s="3"/>
      <c r="AF20" s="3"/>
      <c r="AG20" s="3"/>
      <c r="AH20" s="3"/>
      <c r="AI20" s="3"/>
      <c r="AJ20" s="148">
        <f t="shared" si="1"/>
        <v>3.0000000000000247E-4</v>
      </c>
    </row>
    <row r="21" spans="1:36" x14ac:dyDescent="0.2">
      <c r="A21" s="58"/>
      <c r="B21" s="92" t="s">
        <v>73</v>
      </c>
      <c r="C21" s="20" t="str">
        <v>AM</v>
      </c>
      <c r="D21" s="20" t="str">
        <v>3L</v>
      </c>
      <c r="E21" s="18" t="str">
        <f t="shared" si="2"/>
        <v>USDAM3L13Y_Quote</v>
      </c>
      <c r="F21" s="18" t="str">
        <f>_xll.qlSimpleQuote(Currency&amp;$C21&amp;$D21&amp;$B21&amp;QuoteSuffix,,RateTickValue,Permanent,Trigger,ObjectOverwrite)</f>
        <v>USDAM3L13Y_Quote#0009</v>
      </c>
      <c r="G21" s="89" t="str">
        <f>_xll.ohRangeRetrieveError(F21)</f>
        <v/>
      </c>
      <c r="H21" s="9"/>
      <c r="N21" s="58"/>
      <c r="O21" s="126" t="s">
        <v>73</v>
      </c>
      <c r="P21" s="27" t="str">
        <v>AM</v>
      </c>
      <c r="Q21" s="27" t="str">
        <v>3L</v>
      </c>
      <c r="R21" s="152" t="str">
        <f t="shared" si="0"/>
        <v>USDAM3L13Y</v>
      </c>
      <c r="S21" s="152" t="str">
        <v>USDAM3L13Y=ICAP</v>
      </c>
      <c r="T21" s="120" t="s">
        <v>184</v>
      </c>
      <c r="U21" s="120" t="s">
        <v>184</v>
      </c>
      <c r="V21" s="120" t="s">
        <v>184</v>
      </c>
      <c r="W21" s="120" t="s">
        <v>184</v>
      </c>
      <c r="X21" s="124" t="e">
        <f>_xll.qlMidSafe($T21,$U21)</f>
        <v>#NUM!</v>
      </c>
      <c r="Y21" s="122"/>
      <c r="Z21" s="123" t="e">
        <v>#NUM!</v>
      </c>
      <c r="AA21" s="122"/>
      <c r="AB21" s="168" t="e">
        <v>#NUM!</v>
      </c>
      <c r="AC21" s="119">
        <f>_xll.qlSimpleQuoteSetValue(F21,AB21/100,Trigger)</f>
        <v>0</v>
      </c>
      <c r="AD21" s="109"/>
      <c r="AE21" s="3"/>
      <c r="AF21" s="3"/>
      <c r="AG21" s="3"/>
      <c r="AH21" s="3"/>
      <c r="AI21" s="3"/>
      <c r="AJ21" s="148" t="e">
        <f t="shared" si="1"/>
        <v>#VALUE!</v>
      </c>
    </row>
    <row r="22" spans="1:36" x14ac:dyDescent="0.2">
      <c r="A22" s="58"/>
      <c r="B22" s="92" t="s">
        <v>72</v>
      </c>
      <c r="C22" s="20" t="str">
        <v>AM</v>
      </c>
      <c r="D22" s="20" t="str">
        <v>3L</v>
      </c>
      <c r="E22" s="18" t="str">
        <f t="shared" si="2"/>
        <v>USDAM3L14Y_Quote</v>
      </c>
      <c r="F22" s="18" t="str">
        <f>_xll.qlSimpleQuote(Currency&amp;$C22&amp;$D22&amp;$B22&amp;QuoteSuffix,,RateTickValue,Permanent,Trigger,ObjectOverwrite)</f>
        <v>USDAM3L14Y_Quote#0009</v>
      </c>
      <c r="G22" s="89" t="str">
        <f>_xll.ohRangeRetrieveError(F22)</f>
        <v/>
      </c>
      <c r="H22" s="9"/>
      <c r="N22" s="58"/>
      <c r="O22" s="126" t="s">
        <v>72</v>
      </c>
      <c r="P22" s="27" t="str">
        <v>AM</v>
      </c>
      <c r="Q22" s="27" t="str">
        <v>3L</v>
      </c>
      <c r="R22" s="152" t="str">
        <f t="shared" si="0"/>
        <v>USDAM3L14Y</v>
      </c>
      <c r="S22" s="152" t="str">
        <v>USDAM3L14Y=ICAP</v>
      </c>
      <c r="T22" s="120" t="s">
        <v>184</v>
      </c>
      <c r="U22" s="120" t="s">
        <v>184</v>
      </c>
      <c r="V22" s="120" t="s">
        <v>184</v>
      </c>
      <c r="W22" s="120" t="s">
        <v>184</v>
      </c>
      <c r="X22" s="124" t="e">
        <f>_xll.qlMidSafe($T22,$U22)</f>
        <v>#NUM!</v>
      </c>
      <c r="Y22" s="122"/>
      <c r="Z22" s="123" t="e">
        <v>#NUM!</v>
      </c>
      <c r="AA22" s="122"/>
      <c r="AB22" s="168" t="e">
        <v>#NUM!</v>
      </c>
      <c r="AC22" s="119">
        <f>_xll.qlSimpleQuoteSetValue(F22,AB22/100,Trigger)</f>
        <v>0</v>
      </c>
      <c r="AD22" s="109"/>
      <c r="AE22" s="3"/>
      <c r="AF22" s="3"/>
      <c r="AG22" s="3"/>
      <c r="AH22" s="3"/>
      <c r="AI22" s="3"/>
      <c r="AJ22" s="148" t="e">
        <f t="shared" si="1"/>
        <v>#VALUE!</v>
      </c>
    </row>
    <row r="23" spans="1:36" x14ac:dyDescent="0.2">
      <c r="A23" s="58"/>
      <c r="B23" s="92" t="s">
        <v>71</v>
      </c>
      <c r="C23" s="20" t="str">
        <v>AM</v>
      </c>
      <c r="D23" s="20" t="str">
        <v>3L</v>
      </c>
      <c r="E23" s="18" t="str">
        <f t="shared" si="2"/>
        <v>USDAM3L15Y_Quote</v>
      </c>
      <c r="F23" s="18" t="str">
        <f>_xll.qlSimpleQuote(Currency&amp;$C23&amp;$D23&amp;$B23&amp;QuoteSuffix,,RateTickValue,Permanent,Trigger,ObjectOverwrite)</f>
        <v>USDAM3L15Y_Quote#0009</v>
      </c>
      <c r="G23" s="89" t="str">
        <f>_xll.ohRangeRetrieveError(F23)</f>
        <v/>
      </c>
      <c r="H23" s="9"/>
      <c r="N23" s="58"/>
      <c r="O23" s="126" t="s">
        <v>71</v>
      </c>
      <c r="P23" s="27" t="str">
        <v>AM</v>
      </c>
      <c r="Q23" s="27" t="str">
        <v>3L</v>
      </c>
      <c r="R23" s="152" t="str">
        <f t="shared" si="0"/>
        <v>USDAM3L15Y</v>
      </c>
      <c r="S23" s="152" t="str">
        <v>USDAM3L15Y=ICAP</v>
      </c>
      <c r="T23" s="120">
        <v>2.3839999999999999</v>
      </c>
      <c r="U23" s="120">
        <v>2.4140000000000001</v>
      </c>
      <c r="V23" s="120">
        <v>0</v>
      </c>
      <c r="W23" s="120">
        <v>0</v>
      </c>
      <c r="X23" s="124">
        <f>_xll.qlMidSafe($T23,$U23)</f>
        <v>2.399</v>
      </c>
      <c r="Y23" s="122"/>
      <c r="Z23" s="123">
        <v>2.7489999999999997</v>
      </c>
      <c r="AA23" s="122"/>
      <c r="AB23" s="168">
        <v>2.399</v>
      </c>
      <c r="AC23" s="119">
        <f>_xll.qlSimpleQuoteSetValue(F23,AB23/100,Trigger)</f>
        <v>0</v>
      </c>
      <c r="AD23" s="109"/>
      <c r="AE23" s="3"/>
      <c r="AF23" s="3"/>
      <c r="AG23" s="3"/>
      <c r="AH23" s="3"/>
      <c r="AI23" s="3"/>
      <c r="AJ23" s="148">
        <f t="shared" si="1"/>
        <v>3.0000000000000247E-4</v>
      </c>
    </row>
    <row r="24" spans="1:36" x14ac:dyDescent="0.2">
      <c r="A24" s="58"/>
      <c r="B24" s="92" t="s">
        <v>70</v>
      </c>
      <c r="C24" s="20" t="str">
        <v>AM</v>
      </c>
      <c r="D24" s="20" t="str">
        <v>3L</v>
      </c>
      <c r="E24" s="18" t="str">
        <f t="shared" si="2"/>
        <v>USDAM3L16Y_Quote</v>
      </c>
      <c r="F24" s="18" t="str">
        <f>_xll.qlSimpleQuote(Currency&amp;$C24&amp;$D24&amp;$B24&amp;QuoteSuffix,,RateTickValue,Permanent,Trigger,ObjectOverwrite)</f>
        <v>USDAM3L16Y_Quote#0009</v>
      </c>
      <c r="G24" s="89" t="str">
        <f>_xll.ohRangeRetrieveError(F24)</f>
        <v/>
      </c>
      <c r="H24" s="9"/>
      <c r="N24" s="58"/>
      <c r="O24" s="126" t="s">
        <v>70</v>
      </c>
      <c r="P24" s="27" t="str">
        <v>AM</v>
      </c>
      <c r="Q24" s="27" t="str">
        <v>3L</v>
      </c>
      <c r="R24" s="152" t="str">
        <f t="shared" si="0"/>
        <v>USDAM3L16Y</v>
      </c>
      <c r="S24" s="152" t="str">
        <v>USDAM3L16Y=ICAP</v>
      </c>
      <c r="T24" s="120" t="s">
        <v>184</v>
      </c>
      <c r="U24" s="120" t="s">
        <v>184</v>
      </c>
      <c r="V24" s="120" t="s">
        <v>184</v>
      </c>
      <c r="W24" s="120" t="s">
        <v>184</v>
      </c>
      <c r="X24" s="124" t="e">
        <f>_xll.qlMidSafe($T24,$U24)</f>
        <v>#NUM!</v>
      </c>
      <c r="Y24" s="122"/>
      <c r="Z24" s="123" t="e">
        <v>#NUM!</v>
      </c>
      <c r="AA24" s="122"/>
      <c r="AB24" s="168" t="e">
        <v>#NUM!</v>
      </c>
      <c r="AC24" s="119">
        <f>_xll.qlSimpleQuoteSetValue(F24,AB24/100,Trigger)</f>
        <v>0</v>
      </c>
      <c r="AD24" s="109"/>
      <c r="AE24" s="3"/>
      <c r="AF24" s="3"/>
      <c r="AG24" s="3"/>
      <c r="AH24" s="3"/>
      <c r="AI24" s="3"/>
      <c r="AJ24" s="148" t="e">
        <f t="shared" si="1"/>
        <v>#VALUE!</v>
      </c>
    </row>
    <row r="25" spans="1:36" x14ac:dyDescent="0.2">
      <c r="A25" s="58"/>
      <c r="B25" s="92" t="s">
        <v>69</v>
      </c>
      <c r="C25" s="20" t="str">
        <v>AM</v>
      </c>
      <c r="D25" s="20" t="str">
        <v>3L</v>
      </c>
      <c r="E25" s="18" t="str">
        <f t="shared" si="2"/>
        <v>USDAM3L17Y_Quote</v>
      </c>
      <c r="F25" s="18" t="str">
        <f>_xll.qlSimpleQuote(Currency&amp;$C25&amp;$D25&amp;$B25&amp;QuoteSuffix,,RateTickValue,Permanent,Trigger,ObjectOverwrite)</f>
        <v>USDAM3L17Y_Quote#0009</v>
      </c>
      <c r="G25" s="89" t="str">
        <f>_xll.ohRangeRetrieveError(F25)</f>
        <v/>
      </c>
      <c r="H25" s="9"/>
      <c r="N25" s="58"/>
      <c r="O25" s="126" t="s">
        <v>69</v>
      </c>
      <c r="P25" s="27" t="str">
        <v>AM</v>
      </c>
      <c r="Q25" s="27" t="str">
        <v>3L</v>
      </c>
      <c r="R25" s="152" t="str">
        <f t="shared" si="0"/>
        <v>USDAM3L17Y</v>
      </c>
      <c r="S25" s="152" t="str">
        <v>USDAM3L17Y=ICAP</v>
      </c>
      <c r="T25" s="120" t="s">
        <v>184</v>
      </c>
      <c r="U25" s="120" t="s">
        <v>184</v>
      </c>
      <c r="V25" s="120" t="s">
        <v>184</v>
      </c>
      <c r="W25" s="120" t="s">
        <v>184</v>
      </c>
      <c r="X25" s="124" t="e">
        <f>_xll.qlMidSafe($T25,$U25)</f>
        <v>#NUM!</v>
      </c>
      <c r="Y25" s="122"/>
      <c r="Z25" s="123" t="e">
        <v>#NUM!</v>
      </c>
      <c r="AA25" s="122"/>
      <c r="AB25" s="168" t="e">
        <v>#NUM!</v>
      </c>
      <c r="AC25" s="119">
        <f>_xll.qlSimpleQuoteSetValue(F25,AB25/100,Trigger)</f>
        <v>0</v>
      </c>
      <c r="AD25" s="109"/>
      <c r="AE25" s="3"/>
      <c r="AF25" s="3"/>
      <c r="AG25" s="3"/>
      <c r="AH25" s="3"/>
      <c r="AI25" s="3"/>
      <c r="AJ25" s="148" t="e">
        <f t="shared" si="1"/>
        <v>#VALUE!</v>
      </c>
    </row>
    <row r="26" spans="1:36" x14ac:dyDescent="0.2">
      <c r="A26" s="58"/>
      <c r="B26" s="92" t="s">
        <v>68</v>
      </c>
      <c r="C26" s="20" t="str">
        <v>AM</v>
      </c>
      <c r="D26" s="20" t="str">
        <v>3L</v>
      </c>
      <c r="E26" s="18" t="str">
        <f t="shared" si="2"/>
        <v>USDAM3L18Y_Quote</v>
      </c>
      <c r="F26" s="18" t="str">
        <f>_xll.qlSimpleQuote(Currency&amp;$C26&amp;$D26&amp;$B26&amp;QuoteSuffix,,RateTickValue,Permanent,Trigger,ObjectOverwrite)</f>
        <v>USDAM3L18Y_Quote#0009</v>
      </c>
      <c r="G26" s="89" t="str">
        <f>_xll.ohRangeRetrieveError(F26)</f>
        <v/>
      </c>
      <c r="H26" s="9"/>
      <c r="N26" s="58"/>
      <c r="O26" s="126" t="s">
        <v>68</v>
      </c>
      <c r="P26" s="27" t="str">
        <v>AM</v>
      </c>
      <c r="Q26" s="27" t="str">
        <v>3L</v>
      </c>
      <c r="R26" s="152" t="str">
        <f t="shared" si="0"/>
        <v>USDAM3L18Y</v>
      </c>
      <c r="S26" s="152" t="str">
        <v>USDAM3L18Y=ICAP</v>
      </c>
      <c r="T26" s="120" t="s">
        <v>184</v>
      </c>
      <c r="U26" s="120" t="s">
        <v>184</v>
      </c>
      <c r="V26" s="120" t="s">
        <v>184</v>
      </c>
      <c r="W26" s="120" t="s">
        <v>184</v>
      </c>
      <c r="X26" s="124" t="e">
        <f>_xll.qlMidSafe($T26,$U26)</f>
        <v>#NUM!</v>
      </c>
      <c r="Y26" s="122"/>
      <c r="Z26" s="123" t="e">
        <v>#NUM!</v>
      </c>
      <c r="AA26" s="122"/>
      <c r="AB26" s="168" t="e">
        <v>#NUM!</v>
      </c>
      <c r="AC26" s="119">
        <f>_xll.qlSimpleQuoteSetValue(F26,AB26/100,Trigger)</f>
        <v>0</v>
      </c>
      <c r="AD26" s="109"/>
      <c r="AE26" s="3"/>
      <c r="AF26" s="3"/>
      <c r="AG26" s="3"/>
      <c r="AH26" s="3"/>
      <c r="AI26" s="3"/>
      <c r="AJ26" s="148" t="e">
        <f t="shared" si="1"/>
        <v>#VALUE!</v>
      </c>
    </row>
    <row r="27" spans="1:36" x14ac:dyDescent="0.2">
      <c r="A27" s="58"/>
      <c r="B27" s="92" t="s">
        <v>67</v>
      </c>
      <c r="C27" s="20" t="str">
        <v>AM</v>
      </c>
      <c r="D27" s="20" t="str">
        <v>3L</v>
      </c>
      <c r="E27" s="18" t="str">
        <f t="shared" si="2"/>
        <v>USDAM3L19Y_Quote</v>
      </c>
      <c r="F27" s="18" t="str">
        <f>_xll.qlSimpleQuote(Currency&amp;$C27&amp;$D27&amp;$B27&amp;QuoteSuffix,,RateTickValue,Permanent,Trigger,ObjectOverwrite)</f>
        <v>USDAM3L19Y_Quote#0009</v>
      </c>
      <c r="G27" s="89" t="str">
        <f>_xll.ohRangeRetrieveError(F27)</f>
        <v/>
      </c>
      <c r="H27" s="9"/>
      <c r="N27" s="58"/>
      <c r="O27" s="126" t="s">
        <v>67</v>
      </c>
      <c r="P27" s="27" t="str">
        <v>AM</v>
      </c>
      <c r="Q27" s="27" t="str">
        <v>3L</v>
      </c>
      <c r="R27" s="152" t="str">
        <f t="shared" si="0"/>
        <v>USDAM3L19Y</v>
      </c>
      <c r="S27" s="152" t="str">
        <v>USDAM3L19Y=ICAP</v>
      </c>
      <c r="T27" s="120" t="s">
        <v>184</v>
      </c>
      <c r="U27" s="120" t="s">
        <v>184</v>
      </c>
      <c r="V27" s="120" t="s">
        <v>184</v>
      </c>
      <c r="W27" s="120" t="s">
        <v>184</v>
      </c>
      <c r="X27" s="124" t="e">
        <f>_xll.qlMidSafe($T27,$U27)</f>
        <v>#NUM!</v>
      </c>
      <c r="Y27" s="122"/>
      <c r="Z27" s="123" t="e">
        <v>#NUM!</v>
      </c>
      <c r="AA27" s="122"/>
      <c r="AB27" s="168" t="e">
        <v>#NUM!</v>
      </c>
      <c r="AC27" s="119">
        <f>_xll.qlSimpleQuoteSetValue(F27,AB27/100,Trigger)</f>
        <v>0</v>
      </c>
      <c r="AD27" s="109"/>
      <c r="AE27" s="3"/>
      <c r="AF27" s="3"/>
      <c r="AG27" s="3"/>
      <c r="AH27" s="3"/>
      <c r="AI27" s="3"/>
      <c r="AJ27" s="148" t="e">
        <f t="shared" si="1"/>
        <v>#VALUE!</v>
      </c>
    </row>
    <row r="28" spans="1:36" x14ac:dyDescent="0.2">
      <c r="A28" s="58"/>
      <c r="B28" s="92" t="s">
        <v>66</v>
      </c>
      <c r="C28" s="20" t="str">
        <v>AM</v>
      </c>
      <c r="D28" s="20" t="str">
        <v>3L</v>
      </c>
      <c r="E28" s="18" t="str">
        <f t="shared" si="2"/>
        <v>USDAM3L20Y_Quote</v>
      </c>
      <c r="F28" s="18" t="str">
        <f>_xll.qlSimpleQuote(Currency&amp;$C28&amp;$D28&amp;$B28&amp;QuoteSuffix,,RateTickValue,Permanent,Trigger,ObjectOverwrite)</f>
        <v>USDAM3L20Y_Quote#0009</v>
      </c>
      <c r="G28" s="89" t="str">
        <f>_xll.ohRangeRetrieveError(F28)</f>
        <v/>
      </c>
      <c r="H28" s="9"/>
      <c r="N28" s="58"/>
      <c r="O28" s="126" t="s">
        <v>66</v>
      </c>
      <c r="P28" s="27" t="str">
        <v>AM</v>
      </c>
      <c r="Q28" s="27" t="str">
        <v>3L</v>
      </c>
      <c r="R28" s="152" t="str">
        <f t="shared" si="0"/>
        <v>USDAM3L20Y</v>
      </c>
      <c r="S28" s="152" t="str">
        <v>USDAM3L20Y=ICAP</v>
      </c>
      <c r="T28" s="120">
        <v>2.4809999999999999</v>
      </c>
      <c r="U28" s="120">
        <v>2.5110000000000001</v>
      </c>
      <c r="V28" s="120">
        <v>0</v>
      </c>
      <c r="W28" s="120">
        <v>0</v>
      </c>
      <c r="X28" s="124">
        <f>_xll.qlMidSafe($T28,$U28)</f>
        <v>2.496</v>
      </c>
      <c r="Y28" s="122"/>
      <c r="Z28" s="123">
        <v>2.9039999999999999</v>
      </c>
      <c r="AA28" s="122"/>
      <c r="AB28" s="168">
        <v>2.496</v>
      </c>
      <c r="AC28" s="119">
        <f>_xll.qlSimpleQuoteSetValue(F28,AB28/100,Trigger)</f>
        <v>0</v>
      </c>
      <c r="AD28" s="109"/>
      <c r="AE28" s="3"/>
      <c r="AF28" s="3"/>
      <c r="AG28" s="3"/>
      <c r="AH28" s="3"/>
      <c r="AI28" s="3"/>
      <c r="AJ28" s="148">
        <f t="shared" si="1"/>
        <v>3.0000000000000247E-4</v>
      </c>
    </row>
    <row r="29" spans="1:36" x14ac:dyDescent="0.2">
      <c r="A29" s="58"/>
      <c r="B29" s="92" t="s">
        <v>65</v>
      </c>
      <c r="C29" s="20" t="str">
        <v>AM</v>
      </c>
      <c r="D29" s="20" t="str">
        <v>3L</v>
      </c>
      <c r="E29" s="18" t="str">
        <f t="shared" si="2"/>
        <v>USDAM3L21Y_Quote</v>
      </c>
      <c r="F29" s="18" t="str">
        <f>_xll.qlSimpleQuote(Currency&amp;$C29&amp;$D29&amp;$B29&amp;QuoteSuffix,,RateTickValue,Permanent,Trigger,ObjectOverwrite)</f>
        <v>USDAM3L21Y_Quote#0009</v>
      </c>
      <c r="G29" s="89" t="str">
        <f>_xll.ohRangeRetrieveError(F29)</f>
        <v/>
      </c>
      <c r="H29" s="9"/>
      <c r="N29" s="58"/>
      <c r="O29" s="126" t="s">
        <v>65</v>
      </c>
      <c r="P29" s="122" t="str">
        <v>AM</v>
      </c>
      <c r="Q29" s="122" t="str">
        <v>3L</v>
      </c>
      <c r="R29" s="152" t="str">
        <f t="shared" si="0"/>
        <v>USDAM3L21Y</v>
      </c>
      <c r="S29" s="152" t="str">
        <v>USDAM3L21Y=ICAP</v>
      </c>
      <c r="T29" s="120" t="s">
        <v>184</v>
      </c>
      <c r="U29" s="120" t="s">
        <v>184</v>
      </c>
      <c r="V29" s="120" t="s">
        <v>184</v>
      </c>
      <c r="W29" s="120" t="s">
        <v>184</v>
      </c>
      <c r="X29" s="124" t="e">
        <f>_xll.qlMidSafe($T29,$U29)</f>
        <v>#NUM!</v>
      </c>
      <c r="Y29" s="122"/>
      <c r="Z29" s="123" t="e">
        <v>#NUM!</v>
      </c>
      <c r="AA29" s="122"/>
      <c r="AB29" s="168" t="e">
        <v>#NUM!</v>
      </c>
      <c r="AC29" s="119">
        <f>_xll.qlSimpleQuoteSetValue(F29,AB29/100,Trigger)</f>
        <v>0</v>
      </c>
      <c r="AD29" s="109"/>
      <c r="AE29" s="3"/>
      <c r="AF29" s="3"/>
      <c r="AG29" s="3"/>
      <c r="AH29" s="3"/>
      <c r="AI29" s="3"/>
      <c r="AJ29" s="148" t="e">
        <f t="shared" si="1"/>
        <v>#VALUE!</v>
      </c>
    </row>
    <row r="30" spans="1:36" x14ac:dyDescent="0.2">
      <c r="A30" s="58"/>
      <c r="B30" s="92" t="s">
        <v>64</v>
      </c>
      <c r="C30" s="20" t="str">
        <v>AM</v>
      </c>
      <c r="D30" s="20" t="str">
        <v>3L</v>
      </c>
      <c r="E30" s="18" t="str">
        <f t="shared" si="2"/>
        <v>USDAM3L22Y_Quote</v>
      </c>
      <c r="F30" s="18" t="str">
        <f>_xll.qlSimpleQuote(Currency&amp;$C30&amp;$D30&amp;$B30&amp;QuoteSuffix,,RateTickValue,Permanent,Trigger,ObjectOverwrite)</f>
        <v>USDAM3L22Y_Quote#0009</v>
      </c>
      <c r="G30" s="89" t="str">
        <f>_xll.ohRangeRetrieveError(F30)</f>
        <v/>
      </c>
      <c r="H30" s="9"/>
      <c r="N30" s="58"/>
      <c r="O30" s="126" t="s">
        <v>64</v>
      </c>
      <c r="P30" s="27" t="str">
        <v>AM</v>
      </c>
      <c r="Q30" s="27" t="str">
        <v>3L</v>
      </c>
      <c r="R30" s="152" t="str">
        <f t="shared" si="0"/>
        <v>USDAM3L22Y</v>
      </c>
      <c r="S30" s="152" t="str">
        <v>USDAM3L22Y=ICAP</v>
      </c>
      <c r="T30" s="120" t="s">
        <v>184</v>
      </c>
      <c r="U30" s="120" t="s">
        <v>184</v>
      </c>
      <c r="V30" s="120" t="s">
        <v>184</v>
      </c>
      <c r="W30" s="120" t="s">
        <v>184</v>
      </c>
      <c r="X30" s="124" t="e">
        <f>_xll.qlMidSafe($T30,$U30)</f>
        <v>#NUM!</v>
      </c>
      <c r="Y30" s="122"/>
      <c r="Z30" s="123" t="e">
        <v>#NUM!</v>
      </c>
      <c r="AA30" s="122"/>
      <c r="AB30" s="168" t="e">
        <v>#NUM!</v>
      </c>
      <c r="AC30" s="119">
        <f>_xll.qlSimpleQuoteSetValue(F30,AB30/100,Trigger)</f>
        <v>0</v>
      </c>
      <c r="AD30" s="109"/>
      <c r="AE30" s="3"/>
      <c r="AF30" s="3"/>
      <c r="AG30" s="3"/>
      <c r="AH30" s="3"/>
      <c r="AI30" s="3"/>
      <c r="AJ30" s="148" t="e">
        <f t="shared" si="1"/>
        <v>#VALUE!</v>
      </c>
    </row>
    <row r="31" spans="1:36" x14ac:dyDescent="0.2">
      <c r="A31" s="58"/>
      <c r="B31" s="92" t="s">
        <v>63</v>
      </c>
      <c r="C31" s="20" t="str">
        <v>AM</v>
      </c>
      <c r="D31" s="20" t="str">
        <v>3L</v>
      </c>
      <c r="E31" s="18" t="str">
        <f t="shared" si="2"/>
        <v>USDAM3L23Y_Quote</v>
      </c>
      <c r="F31" s="18" t="str">
        <f>_xll.qlSimpleQuote(Currency&amp;$C31&amp;$D31&amp;$B31&amp;QuoteSuffix,,RateTickValue,Permanent,Trigger,ObjectOverwrite)</f>
        <v>USDAM3L23Y_Quote#0009</v>
      </c>
      <c r="G31" s="89" t="str">
        <f>_xll.ohRangeRetrieveError(F31)</f>
        <v/>
      </c>
      <c r="H31" s="9"/>
      <c r="N31" s="58"/>
      <c r="O31" s="126" t="s">
        <v>63</v>
      </c>
      <c r="P31" s="27" t="str">
        <v>AM</v>
      </c>
      <c r="Q31" s="27" t="str">
        <v>3L</v>
      </c>
      <c r="R31" s="152" t="str">
        <f t="shared" si="0"/>
        <v>USDAM3L23Y</v>
      </c>
      <c r="S31" s="152" t="str">
        <v>USDAM3L23Y=ICAP</v>
      </c>
      <c r="T31" s="120" t="s">
        <v>184</v>
      </c>
      <c r="U31" s="120" t="s">
        <v>184</v>
      </c>
      <c r="V31" s="120" t="s">
        <v>184</v>
      </c>
      <c r="W31" s="120" t="s">
        <v>184</v>
      </c>
      <c r="X31" s="124" t="e">
        <f>_xll.qlMidSafe($T31,$U31)</f>
        <v>#NUM!</v>
      </c>
      <c r="Y31" s="122"/>
      <c r="Z31" s="123" t="e">
        <v>#NUM!</v>
      </c>
      <c r="AA31" s="122"/>
      <c r="AB31" s="168" t="e">
        <v>#NUM!</v>
      </c>
      <c r="AC31" s="119">
        <f>_xll.qlSimpleQuoteSetValue(F31,AB31/100,Trigger)</f>
        <v>0</v>
      </c>
      <c r="AD31" s="109"/>
      <c r="AE31" s="3"/>
      <c r="AF31" s="3"/>
      <c r="AG31" s="3"/>
      <c r="AH31" s="3"/>
      <c r="AI31" s="3"/>
      <c r="AJ31" s="148" t="e">
        <f t="shared" si="1"/>
        <v>#VALUE!</v>
      </c>
    </row>
    <row r="32" spans="1:36" x14ac:dyDescent="0.2">
      <c r="A32" s="58"/>
      <c r="B32" s="92" t="s">
        <v>62</v>
      </c>
      <c r="C32" s="20" t="str">
        <v>AM</v>
      </c>
      <c r="D32" s="20" t="str">
        <v>3L</v>
      </c>
      <c r="E32" s="18" t="str">
        <f t="shared" si="2"/>
        <v>USDAM3L24Y_Quote</v>
      </c>
      <c r="F32" s="18" t="str">
        <f>_xll.qlSimpleQuote(Currency&amp;$C32&amp;$D32&amp;$B32&amp;QuoteSuffix,,RateTickValue,Permanent,Trigger,ObjectOverwrite)</f>
        <v>USDAM3L24Y_Quote#0009</v>
      </c>
      <c r="G32" s="89" t="str">
        <f>_xll.ohRangeRetrieveError(F32)</f>
        <v/>
      </c>
      <c r="H32" s="9"/>
      <c r="N32" s="58"/>
      <c r="O32" s="126" t="s">
        <v>62</v>
      </c>
      <c r="P32" s="27" t="str">
        <v>AM</v>
      </c>
      <c r="Q32" s="27" t="str">
        <v>3L</v>
      </c>
      <c r="R32" s="152" t="str">
        <f t="shared" si="0"/>
        <v>USDAM3L24Y</v>
      </c>
      <c r="S32" s="152" t="str">
        <v>USDAM3L24Y=ICAP</v>
      </c>
      <c r="T32" s="120" t="s">
        <v>184</v>
      </c>
      <c r="U32" s="120" t="s">
        <v>184</v>
      </c>
      <c r="V32" s="120" t="s">
        <v>184</v>
      </c>
      <c r="W32" s="120" t="s">
        <v>184</v>
      </c>
      <c r="X32" s="124" t="e">
        <f>_xll.qlMidSafe($T32,$U32)</f>
        <v>#NUM!</v>
      </c>
      <c r="Y32" s="122"/>
      <c r="Z32" s="123" t="e">
        <v>#NUM!</v>
      </c>
      <c r="AA32" s="122"/>
      <c r="AB32" s="168" t="e">
        <v>#NUM!</v>
      </c>
      <c r="AC32" s="119">
        <f>_xll.qlSimpleQuoteSetValue(F32,AB32/100,Trigger)</f>
        <v>0</v>
      </c>
      <c r="AD32" s="109"/>
      <c r="AE32" s="3"/>
      <c r="AF32" s="3"/>
      <c r="AG32" s="3"/>
      <c r="AH32" s="3"/>
      <c r="AI32" s="3"/>
      <c r="AJ32" s="148" t="e">
        <f t="shared" si="1"/>
        <v>#VALUE!</v>
      </c>
    </row>
    <row r="33" spans="1:36" x14ac:dyDescent="0.2">
      <c r="A33" s="58"/>
      <c r="B33" s="92" t="s">
        <v>61</v>
      </c>
      <c r="C33" s="20" t="str">
        <v>AM</v>
      </c>
      <c r="D33" s="20" t="str">
        <v>3L</v>
      </c>
      <c r="E33" s="18" t="str">
        <f t="shared" si="2"/>
        <v>USDAM3L25Y_Quote</v>
      </c>
      <c r="F33" s="18" t="str">
        <f>_xll.qlSimpleQuote(Currency&amp;$C33&amp;$D33&amp;$B33&amp;QuoteSuffix,,RateTickValue,Permanent,Trigger,ObjectOverwrite)</f>
        <v>USDAM3L25Y_Quote#0009</v>
      </c>
      <c r="G33" s="89" t="str">
        <f>_xll.ohRangeRetrieveError(F33)</f>
        <v/>
      </c>
      <c r="H33" s="9"/>
      <c r="N33" s="58"/>
      <c r="O33" s="126" t="s">
        <v>61</v>
      </c>
      <c r="P33" s="27" t="str">
        <v>AM</v>
      </c>
      <c r="Q33" s="27" t="str">
        <v>3L</v>
      </c>
      <c r="R33" s="152" t="str">
        <f t="shared" si="0"/>
        <v>USDAM3L25Y</v>
      </c>
      <c r="S33" s="152" t="str">
        <v>USDAM3L25Y=ICAP</v>
      </c>
      <c r="T33" s="120">
        <v>2.524</v>
      </c>
      <c r="U33" s="120">
        <v>2.5540000000000003</v>
      </c>
      <c r="V33" s="120">
        <v>0</v>
      </c>
      <c r="W33" s="120">
        <v>0</v>
      </c>
      <c r="X33" s="124">
        <f>_xll.qlMidSafe($T33,$U33)</f>
        <v>2.5390000000000001</v>
      </c>
      <c r="Y33" s="122"/>
      <c r="Z33" s="123">
        <v>2.9779999999999998</v>
      </c>
      <c r="AA33" s="122"/>
      <c r="AB33" s="168">
        <v>2.5390000000000001</v>
      </c>
      <c r="AC33" s="119">
        <f>_xll.qlSimpleQuoteSetValue(F33,AB33/100,Trigger)</f>
        <v>0</v>
      </c>
      <c r="AD33" s="109"/>
      <c r="AE33" s="3"/>
      <c r="AF33" s="3"/>
      <c r="AG33" s="3"/>
      <c r="AH33" s="3"/>
      <c r="AI33" s="3"/>
      <c r="AJ33" s="148">
        <f t="shared" si="1"/>
        <v>3.0000000000000247E-4</v>
      </c>
    </row>
    <row r="34" spans="1:36" x14ac:dyDescent="0.2">
      <c r="A34" s="58"/>
      <c r="B34" s="92" t="s">
        <v>60</v>
      </c>
      <c r="C34" s="20" t="str">
        <v>AM</v>
      </c>
      <c r="D34" s="20" t="str">
        <v>3L</v>
      </c>
      <c r="E34" s="18" t="str">
        <f t="shared" si="2"/>
        <v>USDAM3L26Y_Quote</v>
      </c>
      <c r="F34" s="18" t="str">
        <f>_xll.qlSimpleQuote(Currency&amp;$C34&amp;$D34&amp;$B34&amp;QuoteSuffix,,RateTickValue,Permanent,Trigger,ObjectOverwrite)</f>
        <v>USDAM3L26Y_Quote#0009</v>
      </c>
      <c r="G34" s="89" t="str">
        <f>_xll.ohRangeRetrieveError(F34)</f>
        <v/>
      </c>
      <c r="H34" s="9"/>
      <c r="N34" s="58"/>
      <c r="O34" s="126" t="s">
        <v>60</v>
      </c>
      <c r="P34" s="27" t="str">
        <v>AM</v>
      </c>
      <c r="Q34" s="27" t="str">
        <v>3L</v>
      </c>
      <c r="R34" s="152" t="str">
        <f t="shared" si="0"/>
        <v>USDAM3L26Y</v>
      </c>
      <c r="S34" s="152" t="str">
        <v>USDAM3L26Y=ICAP</v>
      </c>
      <c r="T34" s="120" t="s">
        <v>184</v>
      </c>
      <c r="U34" s="120" t="s">
        <v>184</v>
      </c>
      <c r="V34" s="120" t="s">
        <v>184</v>
      </c>
      <c r="W34" s="120" t="s">
        <v>184</v>
      </c>
      <c r="X34" s="124" t="e">
        <f>_xll.qlMidSafe($T34,$U34)</f>
        <v>#NUM!</v>
      </c>
      <c r="Y34" s="122"/>
      <c r="Z34" s="123" t="e">
        <v>#NUM!</v>
      </c>
      <c r="AA34" s="122"/>
      <c r="AB34" s="168" t="e">
        <v>#NUM!</v>
      </c>
      <c r="AC34" s="119">
        <f>_xll.qlSimpleQuoteSetValue(F34,AB34/100,Trigger)</f>
        <v>0</v>
      </c>
      <c r="AD34" s="109"/>
      <c r="AE34" s="3"/>
      <c r="AF34" s="3"/>
      <c r="AG34" s="3"/>
      <c r="AH34" s="3"/>
      <c r="AI34" s="3"/>
      <c r="AJ34" s="148" t="e">
        <f t="shared" si="1"/>
        <v>#VALUE!</v>
      </c>
    </row>
    <row r="35" spans="1:36" x14ac:dyDescent="0.2">
      <c r="A35" s="58"/>
      <c r="B35" s="92" t="s">
        <v>59</v>
      </c>
      <c r="C35" s="20" t="str">
        <v>AM</v>
      </c>
      <c r="D35" s="20" t="str">
        <v>3L</v>
      </c>
      <c r="E35" s="18" t="str">
        <f t="shared" si="2"/>
        <v>USDAM3L27Y_Quote</v>
      </c>
      <c r="F35" s="18" t="str">
        <f>_xll.qlSimpleQuote(Currency&amp;$C35&amp;$D35&amp;$B35&amp;QuoteSuffix,,RateTickValue,Permanent,Trigger,ObjectOverwrite)</f>
        <v>USDAM3L27Y_Quote#0009</v>
      </c>
      <c r="G35" s="89" t="str">
        <f>_xll.ohRangeRetrieveError(F35)</f>
        <v/>
      </c>
      <c r="H35" s="9"/>
      <c r="N35" s="58"/>
      <c r="O35" s="126" t="s">
        <v>59</v>
      </c>
      <c r="P35" s="27" t="str">
        <v>AM</v>
      </c>
      <c r="Q35" s="27" t="str">
        <v>3L</v>
      </c>
      <c r="R35" s="152" t="str">
        <f t="shared" si="0"/>
        <v>USDAM3L27Y</v>
      </c>
      <c r="S35" s="152" t="str">
        <v>USDAM3L27Y=ICAP</v>
      </c>
      <c r="T35" s="120" t="s">
        <v>184</v>
      </c>
      <c r="U35" s="120" t="s">
        <v>184</v>
      </c>
      <c r="V35" s="120" t="s">
        <v>184</v>
      </c>
      <c r="W35" s="120" t="s">
        <v>184</v>
      </c>
      <c r="X35" s="124" t="e">
        <f>_xll.qlMidSafe($T35,$U35)</f>
        <v>#NUM!</v>
      </c>
      <c r="Y35" s="122"/>
      <c r="Z35" s="123" t="e">
        <v>#NUM!</v>
      </c>
      <c r="AA35" s="122"/>
      <c r="AB35" s="168" t="e">
        <v>#NUM!</v>
      </c>
      <c r="AC35" s="119">
        <f>_xll.qlSimpleQuoteSetValue(F35,AB35/100,Trigger)</f>
        <v>0</v>
      </c>
      <c r="AD35" s="109"/>
      <c r="AE35" s="3"/>
      <c r="AF35" s="3"/>
      <c r="AG35" s="3"/>
      <c r="AH35" s="3"/>
      <c r="AI35" s="3"/>
      <c r="AJ35" s="148" t="e">
        <f t="shared" si="1"/>
        <v>#VALUE!</v>
      </c>
    </row>
    <row r="36" spans="1:36" x14ac:dyDescent="0.2">
      <c r="A36" s="58"/>
      <c r="B36" s="92" t="s">
        <v>58</v>
      </c>
      <c r="C36" s="20" t="str">
        <v>AM</v>
      </c>
      <c r="D36" s="20" t="str">
        <v>3L</v>
      </c>
      <c r="E36" s="18" t="str">
        <f t="shared" si="2"/>
        <v>USDAM3L28Y_Quote</v>
      </c>
      <c r="F36" s="18" t="str">
        <f>_xll.qlSimpleQuote(Currency&amp;$C36&amp;$D36&amp;$B36&amp;QuoteSuffix,,RateTickValue,Permanent,Trigger,ObjectOverwrite)</f>
        <v>USDAM3L28Y_Quote#0009</v>
      </c>
      <c r="G36" s="89" t="str">
        <f>_xll.ohRangeRetrieveError(F36)</f>
        <v/>
      </c>
      <c r="H36" s="9"/>
      <c r="N36" s="58"/>
      <c r="O36" s="126" t="s">
        <v>58</v>
      </c>
      <c r="P36" s="27" t="str">
        <v>AM</v>
      </c>
      <c r="Q36" s="27" t="str">
        <v>3L</v>
      </c>
      <c r="R36" s="152" t="str">
        <f t="shared" si="0"/>
        <v>USDAM3L28Y</v>
      </c>
      <c r="S36" s="152" t="str">
        <v>USDAM3L28Y=ICAP</v>
      </c>
      <c r="T36" s="120" t="s">
        <v>184</v>
      </c>
      <c r="U36" s="120" t="s">
        <v>184</v>
      </c>
      <c r="V36" s="120" t="s">
        <v>184</v>
      </c>
      <c r="W36" s="120" t="s">
        <v>184</v>
      </c>
      <c r="X36" s="124" t="e">
        <f>_xll.qlMidSafe($T36,$U36)</f>
        <v>#NUM!</v>
      </c>
      <c r="Y36" s="122"/>
      <c r="Z36" s="123" t="e">
        <v>#NUM!</v>
      </c>
      <c r="AA36" s="122"/>
      <c r="AB36" s="168" t="e">
        <v>#NUM!</v>
      </c>
      <c r="AC36" s="119">
        <f>_xll.qlSimpleQuoteSetValue(F36,AB36/100,Trigger)</f>
        <v>0</v>
      </c>
      <c r="AD36" s="109"/>
      <c r="AE36" s="3"/>
      <c r="AF36" s="3"/>
      <c r="AG36" s="3"/>
      <c r="AH36" s="3"/>
      <c r="AI36" s="3"/>
      <c r="AJ36" s="148" t="e">
        <f t="shared" si="1"/>
        <v>#VALUE!</v>
      </c>
    </row>
    <row r="37" spans="1:36" x14ac:dyDescent="0.2">
      <c r="A37" s="58"/>
      <c r="B37" s="92" t="s">
        <v>57</v>
      </c>
      <c r="C37" s="20" t="str">
        <v>AM</v>
      </c>
      <c r="D37" s="20" t="str">
        <v>3L</v>
      </c>
      <c r="E37" s="18" t="str">
        <f t="shared" si="2"/>
        <v>USDAM3L29Y_Quote</v>
      </c>
      <c r="F37" s="18" t="str">
        <f>_xll.qlSimpleQuote(Currency&amp;$C37&amp;$D37&amp;$B37&amp;QuoteSuffix,,RateTickValue,Permanent,Trigger,ObjectOverwrite)</f>
        <v>USDAM3L29Y_Quote#0009</v>
      </c>
      <c r="G37" s="89" t="str">
        <f>_xll.ohRangeRetrieveError(F37)</f>
        <v/>
      </c>
      <c r="H37" s="9"/>
      <c r="N37" s="58"/>
      <c r="O37" s="126" t="s">
        <v>57</v>
      </c>
      <c r="P37" s="27" t="str">
        <v>AM</v>
      </c>
      <c r="Q37" s="27" t="str">
        <v>3L</v>
      </c>
      <c r="R37" s="152" t="str">
        <f t="shared" si="0"/>
        <v>USDAM3L29Y</v>
      </c>
      <c r="S37" s="152" t="str">
        <v>USDAM3L29Y=ICAP</v>
      </c>
      <c r="T37" s="120" t="s">
        <v>184</v>
      </c>
      <c r="U37" s="120" t="s">
        <v>184</v>
      </c>
      <c r="V37" s="120" t="s">
        <v>184</v>
      </c>
      <c r="W37" s="120" t="s">
        <v>184</v>
      </c>
      <c r="X37" s="124" t="e">
        <f>_xll.qlMidSafe($T37,$U37)</f>
        <v>#NUM!</v>
      </c>
      <c r="Y37" s="122"/>
      <c r="Z37" s="123" t="e">
        <v>#NUM!</v>
      </c>
      <c r="AA37" s="122"/>
      <c r="AB37" s="168" t="e">
        <v>#NUM!</v>
      </c>
      <c r="AC37" s="119">
        <f>_xll.qlSimpleQuoteSetValue(F37,AB37/100,Trigger)</f>
        <v>0</v>
      </c>
      <c r="AD37" s="109"/>
      <c r="AE37" s="3"/>
      <c r="AF37" s="3"/>
      <c r="AG37" s="3"/>
      <c r="AH37" s="3"/>
      <c r="AI37" s="3"/>
      <c r="AJ37" s="148" t="e">
        <f t="shared" si="1"/>
        <v>#VALUE!</v>
      </c>
    </row>
    <row r="38" spans="1:36" x14ac:dyDescent="0.2">
      <c r="A38" s="58"/>
      <c r="B38" s="92" t="s">
        <v>56</v>
      </c>
      <c r="C38" s="20" t="str">
        <v>AM</v>
      </c>
      <c r="D38" s="20" t="str">
        <v>3L</v>
      </c>
      <c r="E38" s="18" t="str">
        <f t="shared" si="2"/>
        <v>USDAM3L30Y_Quote</v>
      </c>
      <c r="F38" s="18" t="str">
        <f>_xll.qlSimpleQuote(Currency&amp;$C38&amp;$D38&amp;$B38&amp;QuoteSuffix,,RateTickValue,Permanent,Trigger,ObjectOverwrite)</f>
        <v>USDAM3L30Y_Quote#0009</v>
      </c>
      <c r="G38" s="89" t="str">
        <f>_xll.ohRangeRetrieveError(F38)</f>
        <v/>
      </c>
      <c r="H38" s="9"/>
      <c r="N38" s="58"/>
      <c r="O38" s="126" t="s">
        <v>56</v>
      </c>
      <c r="P38" s="27" t="str">
        <v>AM</v>
      </c>
      <c r="Q38" s="27" t="str">
        <v>3L</v>
      </c>
      <c r="R38" s="152" t="str">
        <f t="shared" si="0"/>
        <v>USDAM3L30Y</v>
      </c>
      <c r="S38" s="152" t="str">
        <v>USDAM3L30Y=ICAP</v>
      </c>
      <c r="T38" s="120">
        <v>2.5489999999999999</v>
      </c>
      <c r="U38" s="120">
        <v>2.5790000000000002</v>
      </c>
      <c r="V38" s="120">
        <v>0</v>
      </c>
      <c r="W38" s="120">
        <v>0</v>
      </c>
      <c r="X38" s="124">
        <f>_xll.qlMidSafe($T38,$U38)</f>
        <v>2.5640000000000001</v>
      </c>
      <c r="Y38" s="122"/>
      <c r="Z38" s="123">
        <v>3.0190000000000001</v>
      </c>
      <c r="AA38" s="122"/>
      <c r="AB38" s="168">
        <v>2.5640000000000001</v>
      </c>
      <c r="AC38" s="119">
        <f>_xll.qlSimpleQuoteSetValue(F38,AB38/100,Trigger)</f>
        <v>0</v>
      </c>
      <c r="AD38" s="109"/>
      <c r="AE38" s="3"/>
      <c r="AF38" s="3"/>
      <c r="AG38" s="3"/>
      <c r="AH38" s="3"/>
      <c r="AI38" s="3"/>
      <c r="AJ38" s="148">
        <f t="shared" si="1"/>
        <v>3.0000000000000247E-4</v>
      </c>
    </row>
    <row r="39" spans="1:36" x14ac:dyDescent="0.2">
      <c r="A39" s="58"/>
      <c r="B39" s="92" t="s">
        <v>51</v>
      </c>
      <c r="C39" s="20" t="str">
        <v>AM</v>
      </c>
      <c r="D39" s="20" t="str">
        <v>3L</v>
      </c>
      <c r="E39" s="18" t="str">
        <f t="shared" si="2"/>
        <v>USDAM3L35Y_Quote</v>
      </c>
      <c r="F39" s="18" t="str">
        <f>_xll.qlSimpleQuote(Currency&amp;$C39&amp;$D39&amp;$B39&amp;QuoteSuffix,,RateTickValue,Permanent,Trigger,ObjectOverwrite)</f>
        <v>USDAM3L35Y_Quote#0009</v>
      </c>
      <c r="G39" s="89" t="str">
        <f>_xll.ohRangeRetrieveError(F39)</f>
        <v/>
      </c>
      <c r="H39" s="9"/>
      <c r="N39" s="58"/>
      <c r="O39" s="126" t="s">
        <v>51</v>
      </c>
      <c r="P39" s="27" t="str">
        <v>AM</v>
      </c>
      <c r="Q39" s="27" t="str">
        <v>3L</v>
      </c>
      <c r="R39" s="152" t="str">
        <f t="shared" si="0"/>
        <v>USDAM3L35Y</v>
      </c>
      <c r="S39" s="152" t="str">
        <v>USDAM3L35Y=ICAP</v>
      </c>
      <c r="T39" s="120" t="s">
        <v>184</v>
      </c>
      <c r="U39" s="120" t="s">
        <v>184</v>
      </c>
      <c r="V39" s="120" t="s">
        <v>184</v>
      </c>
      <c r="W39" s="120" t="s">
        <v>184</v>
      </c>
      <c r="X39" s="124" t="e">
        <f>_xll.qlMidSafe($T39,$U39)</f>
        <v>#NUM!</v>
      </c>
      <c r="Y39" s="122"/>
      <c r="Z39" s="123" t="e">
        <v>#NUM!</v>
      </c>
      <c r="AA39" s="122"/>
      <c r="AB39" s="168" t="e">
        <v>#NUM!</v>
      </c>
      <c r="AC39" s="119">
        <f>_xll.qlSimpleQuoteSetValue(F39,AB39/100,Trigger)</f>
        <v>0</v>
      </c>
      <c r="AD39" s="109"/>
      <c r="AE39" s="3"/>
      <c r="AF39" s="3"/>
      <c r="AG39" s="3"/>
      <c r="AH39" s="3"/>
      <c r="AI39" s="3"/>
      <c r="AJ39" s="148" t="e">
        <f t="shared" si="1"/>
        <v>#VALUE!</v>
      </c>
    </row>
    <row r="40" spans="1:36" x14ac:dyDescent="0.2">
      <c r="A40" s="58"/>
      <c r="B40" s="92" t="s">
        <v>46</v>
      </c>
      <c r="C40" s="20" t="str">
        <v>AM</v>
      </c>
      <c r="D40" s="20" t="str">
        <v>3L</v>
      </c>
      <c r="E40" s="18" t="str">
        <f t="shared" si="2"/>
        <v>USDAM3L40Y_Quote</v>
      </c>
      <c r="F40" s="18" t="str">
        <f>_xll.qlSimpleQuote(Currency&amp;$C40&amp;$D40&amp;$B40&amp;QuoteSuffix,,RateTickValue,Permanent,Trigger,ObjectOverwrite)</f>
        <v>USDAM3L40Y_Quote#0009</v>
      </c>
      <c r="G40" s="89" t="str">
        <f>_xll.ohRangeRetrieveError(F40)</f>
        <v/>
      </c>
      <c r="H40" s="9"/>
      <c r="N40" s="58"/>
      <c r="O40" s="126" t="s">
        <v>46</v>
      </c>
      <c r="P40" s="27" t="str">
        <v>AM</v>
      </c>
      <c r="Q40" s="27" t="str">
        <v>3L</v>
      </c>
      <c r="R40" s="152" t="str">
        <f t="shared" si="0"/>
        <v>USDAM3L40Y</v>
      </c>
      <c r="S40" s="152" t="str">
        <v>USDAM3L40Y=ICAP</v>
      </c>
      <c r="T40" s="120">
        <v>2.5710000000000002</v>
      </c>
      <c r="U40" s="120">
        <v>2.601</v>
      </c>
      <c r="V40" s="120">
        <v>0</v>
      </c>
      <c r="W40" s="120">
        <v>0</v>
      </c>
      <c r="X40" s="124">
        <f>_xll.qlMidSafe($T40,$U40)</f>
        <v>2.5860000000000003</v>
      </c>
      <c r="Y40" s="122"/>
      <c r="Z40" s="123">
        <v>3.04</v>
      </c>
      <c r="AA40" s="122"/>
      <c r="AB40" s="168">
        <v>2.5860000000000003</v>
      </c>
      <c r="AC40" s="119">
        <f>_xll.qlSimpleQuoteSetValue(F40,AB40/100,Trigger)</f>
        <v>0</v>
      </c>
      <c r="AD40" s="109"/>
      <c r="AE40" s="3"/>
      <c r="AF40" s="3"/>
      <c r="AG40" s="3"/>
      <c r="AH40" s="3"/>
      <c r="AI40" s="3"/>
      <c r="AJ40" s="148">
        <f t="shared" si="1"/>
        <v>2.9999999999999363E-4</v>
      </c>
    </row>
    <row r="41" spans="1:36" x14ac:dyDescent="0.2">
      <c r="A41" s="58"/>
      <c r="B41" s="92" t="s">
        <v>36</v>
      </c>
      <c r="C41" s="20" t="str">
        <v>AM</v>
      </c>
      <c r="D41" s="20" t="str">
        <v>3L</v>
      </c>
      <c r="E41" s="18" t="str">
        <f t="shared" si="2"/>
        <v>USDAM3L50Y_Quote</v>
      </c>
      <c r="F41" s="18" t="str">
        <f>_xll.qlSimpleQuote(Currency&amp;$C41&amp;$D41&amp;$B41&amp;QuoteSuffix,,RateTickValue,Permanent,Trigger,ObjectOverwrite)</f>
        <v>USDAM3L50Y_Quote#0009</v>
      </c>
      <c r="G41" s="89" t="str">
        <f>_xll.ohRangeRetrieveError(F41)</f>
        <v/>
      </c>
      <c r="H41" s="9"/>
      <c r="N41" s="58"/>
      <c r="O41" s="126" t="s">
        <v>36</v>
      </c>
      <c r="P41" s="27" t="str">
        <v>AM</v>
      </c>
      <c r="Q41" s="27" t="str">
        <v>3L</v>
      </c>
      <c r="R41" s="152" t="str">
        <f t="shared" si="0"/>
        <v>USDAM3L50Y</v>
      </c>
      <c r="S41" s="152" t="str">
        <v>USDAM3L50Y=ICAP</v>
      </c>
      <c r="T41" s="120">
        <v>2.5489999999999999</v>
      </c>
      <c r="U41" s="120">
        <v>2.5790000000000002</v>
      </c>
      <c r="V41" s="120">
        <v>0</v>
      </c>
      <c r="W41" s="120">
        <v>0</v>
      </c>
      <c r="X41" s="124">
        <f>_xll.qlMidSafe($T41,$U41)</f>
        <v>2.5640000000000001</v>
      </c>
      <c r="Y41" s="122"/>
      <c r="Z41" s="123">
        <v>3.0190000000000001</v>
      </c>
      <c r="AA41" s="122"/>
      <c r="AB41" s="168">
        <v>2.5640000000000001</v>
      </c>
      <c r="AC41" s="119">
        <f>_xll.qlSimpleQuoteSetValue(F41,AB41/100,Trigger)</f>
        <v>0</v>
      </c>
      <c r="AD41" s="109"/>
      <c r="AE41" s="3"/>
      <c r="AF41" s="3"/>
      <c r="AG41" s="3"/>
      <c r="AH41" s="3"/>
      <c r="AI41" s="3"/>
      <c r="AJ41" s="148">
        <f t="shared" si="1"/>
        <v>3.0000000000000247E-4</v>
      </c>
    </row>
    <row r="42" spans="1:36" x14ac:dyDescent="0.2">
      <c r="A42" s="58"/>
      <c r="B42" s="92" t="s">
        <v>26</v>
      </c>
      <c r="C42" s="20" t="str">
        <v>AM</v>
      </c>
      <c r="D42" s="20" t="str">
        <v>3L</v>
      </c>
      <c r="E42" s="18" t="str">
        <f t="shared" si="2"/>
        <v>USDAM3L60Y_Quote</v>
      </c>
      <c r="F42" s="18" t="str">
        <f>_xll.qlSimpleQuote(Currency&amp;$C42&amp;$D42&amp;$B42&amp;QuoteSuffix,,RateTickValue,Permanent,Trigger,ObjectOverwrite)</f>
        <v>USDAM3L60Y_Quote#0009</v>
      </c>
      <c r="G42" s="89" t="str">
        <f>_xll.ohRangeRetrieveError(F42)</f>
        <v/>
      </c>
      <c r="H42" s="9"/>
      <c r="N42" s="58"/>
      <c r="O42" s="133" t="s">
        <v>26</v>
      </c>
      <c r="P42" s="127" t="str">
        <v>AM</v>
      </c>
      <c r="Q42" s="127" t="str">
        <v>3L</v>
      </c>
      <c r="R42" s="150" t="str">
        <f t="shared" si="0"/>
        <v>USDAM3L60Y</v>
      </c>
      <c r="S42" s="150" t="str">
        <v>USDAM3L60Y=ICAP</v>
      </c>
      <c r="T42" s="129" t="s">
        <v>184</v>
      </c>
      <c r="U42" s="129" t="s">
        <v>184</v>
      </c>
      <c r="V42" s="129" t="s">
        <v>184</v>
      </c>
      <c r="W42" s="129" t="s">
        <v>184</v>
      </c>
      <c r="X42" s="131" t="e">
        <f>_xll.qlMidSafe($T42,$U42)</f>
        <v>#NUM!</v>
      </c>
      <c r="Y42" s="122"/>
      <c r="Z42" s="130" t="e">
        <v>#NUM!</v>
      </c>
      <c r="AA42" s="122"/>
      <c r="AB42" s="161" t="e">
        <v>#NUM!</v>
      </c>
      <c r="AC42" s="128">
        <f>_xll.qlSimpleQuoteSetValue(F42,AB42/100,Trigger)</f>
        <v>0</v>
      </c>
      <c r="AD42" s="109"/>
      <c r="AE42" s="3"/>
      <c r="AF42" s="3"/>
      <c r="AG42" s="3"/>
      <c r="AH42" s="3"/>
      <c r="AI42" s="3"/>
      <c r="AJ42" s="148" t="e">
        <f t="shared" si="1"/>
        <v>#VALUE!</v>
      </c>
    </row>
    <row r="43" spans="1:36" ht="13.5" thickBot="1" x14ac:dyDescent="0.25">
      <c r="A43" s="8"/>
      <c r="B43" s="7"/>
      <c r="C43" s="7"/>
      <c r="D43" s="7"/>
      <c r="E43" s="7"/>
      <c r="F43" s="57"/>
      <c r="G43" s="57"/>
      <c r="H43" s="6"/>
      <c r="N43" s="107"/>
      <c r="O43" s="106"/>
      <c r="P43" s="106"/>
      <c r="Q43" s="106"/>
      <c r="R43" s="7"/>
      <c r="S43" s="7"/>
      <c r="T43" s="7"/>
      <c r="U43" s="7"/>
      <c r="V43" s="7"/>
      <c r="W43" s="7"/>
      <c r="X43" s="7"/>
      <c r="Y43" s="106"/>
      <c r="Z43" s="106"/>
      <c r="AA43" s="106"/>
      <c r="AB43" s="106"/>
      <c r="AC43" s="106"/>
      <c r="AD43" s="149"/>
      <c r="AE43" s="3"/>
      <c r="AF43" s="3"/>
      <c r="AG43" s="3"/>
      <c r="AH43" s="3"/>
      <c r="AI43" s="3"/>
      <c r="AJ43" s="3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Z12"/>
  <sheetViews>
    <sheetView workbookViewId="0">
      <selection activeCell="M4" sqref="M4"/>
    </sheetView>
  </sheetViews>
  <sheetFormatPr defaultRowHeight="12.75" x14ac:dyDescent="0.2"/>
  <cols>
    <col min="1" max="1" width="2.7109375" style="2" customWidth="1"/>
    <col min="2" max="2" width="2.85546875" style="2" bestFit="1" customWidth="1"/>
    <col min="3" max="3" width="2.7109375" style="2" bestFit="1" customWidth="1"/>
    <col min="4" max="4" width="17" style="2" bestFit="1" customWidth="1"/>
    <col min="5" max="5" width="16.85546875" style="55" bestFit="1" customWidth="1"/>
    <col min="6" max="6" width="38.28515625" style="2" customWidth="1"/>
    <col min="7" max="8" width="2.7109375" style="2" customWidth="1"/>
    <col min="9" max="9" width="3.42578125" style="2" customWidth="1"/>
    <col min="10" max="10" width="2.85546875" style="2" bestFit="1" customWidth="1"/>
    <col min="11" max="11" width="2.7109375" style="2" bestFit="1" customWidth="1"/>
    <col min="12" max="12" width="7.5703125" style="2" bestFit="1" customWidth="1"/>
    <col min="13" max="13" width="12.7109375" style="2" bestFit="1" customWidth="1"/>
    <col min="14" max="18" width="7.28515625" style="2" customWidth="1"/>
    <col min="19" max="19" width="2.7109375" style="2" customWidth="1"/>
    <col min="20" max="20" width="7.28515625" style="2" customWidth="1"/>
    <col min="21" max="21" width="2.7109375" style="2" customWidth="1"/>
    <col min="22" max="22" width="8.140625" style="2" customWidth="1"/>
    <col min="23" max="23" width="7.85546875" style="2" customWidth="1"/>
    <col min="24" max="24" width="2.7109375" style="2" customWidth="1"/>
    <col min="25" max="16384" width="9.140625" style="2"/>
  </cols>
  <sheetData>
    <row r="1" spans="1:26" x14ac:dyDescent="0.2">
      <c r="A1" s="2" t="s">
        <v>317</v>
      </c>
      <c r="I1" s="15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6"/>
    </row>
    <row r="2" spans="1:26" ht="13.5" thickBot="1" x14ac:dyDescent="0.25">
      <c r="I2" s="146"/>
      <c r="J2" s="122"/>
      <c r="K2" s="122"/>
      <c r="L2" s="122"/>
      <c r="M2" s="67" t="str">
        <f>VLOOKUP($A$1,AreaTable,AreaIndex,0)</f>
        <v>ICAP LN</v>
      </c>
      <c r="N2" s="122"/>
      <c r="O2" s="122"/>
      <c r="P2" s="122"/>
      <c r="Q2" s="122"/>
      <c r="R2" s="60"/>
      <c r="S2" s="122"/>
      <c r="T2" s="122"/>
      <c r="U2" s="122"/>
      <c r="V2" s="122"/>
      <c r="W2" s="60"/>
      <c r="X2" s="9"/>
    </row>
    <row r="3" spans="1:26" x14ac:dyDescent="0.2">
      <c r="A3" s="108"/>
      <c r="B3" s="99"/>
      <c r="C3" s="99"/>
      <c r="D3" s="97"/>
      <c r="E3" s="98"/>
      <c r="F3" s="97"/>
      <c r="G3" s="96"/>
      <c r="I3" s="58"/>
      <c r="J3" s="60"/>
      <c r="K3" s="60"/>
      <c r="L3" s="60"/>
      <c r="M3" s="60"/>
      <c r="N3" s="60"/>
      <c r="O3" s="60"/>
      <c r="P3" s="60"/>
      <c r="Q3" s="60"/>
      <c r="R3" s="60"/>
      <c r="S3" s="122"/>
      <c r="T3" s="122"/>
      <c r="U3" s="122"/>
      <c r="V3" s="60"/>
      <c r="W3" s="143">
        <f>_xll.ohTrigger(W5:W11)</f>
        <v>9</v>
      </c>
      <c r="X3" s="109"/>
    </row>
    <row r="4" spans="1:26" ht="22.5" x14ac:dyDescent="0.2">
      <c r="A4" s="58"/>
      <c r="B4" s="100"/>
      <c r="C4" s="35"/>
      <c r="D4" s="34" t="str">
        <f>Currency&amp;"_010_Sw"&amp;"IMM.xml"</f>
        <v>USD_010_SwIMM.xml</v>
      </c>
      <c r="E4" s="33" t="str">
        <f>IF(Serialize,_xll.ohObjectSave(E5:E11,SerializationPath&amp;D4,FileOverwrite,Serialize),"---")</f>
        <v>---</v>
      </c>
      <c r="F4" s="17" t="str">
        <f>_xll.ohRangeRetrieveError(E4)</f>
        <v/>
      </c>
      <c r="G4" s="9"/>
      <c r="I4" s="58"/>
      <c r="J4" s="334"/>
      <c r="K4" s="334"/>
      <c r="L4" s="334"/>
      <c r="M4" s="334" t="str">
        <f>_xll.RData(M5:M11,N4:Q4,"RTFEED:IDN",ReutersRtMode,,N5)</f>
        <v>Updated at 17:01:28</v>
      </c>
      <c r="N4" s="326" t="s">
        <v>179</v>
      </c>
      <c r="O4" s="326" t="s">
        <v>178</v>
      </c>
      <c r="P4" s="326" t="s">
        <v>189</v>
      </c>
      <c r="Q4" s="326" t="s">
        <v>199</v>
      </c>
      <c r="R4" s="335" t="s">
        <v>198</v>
      </c>
      <c r="S4" s="325"/>
      <c r="T4" s="326" t="s">
        <v>195</v>
      </c>
      <c r="U4" s="325"/>
      <c r="V4" s="324" t="s">
        <v>194</v>
      </c>
      <c r="W4" s="327" t="s">
        <v>193</v>
      </c>
      <c r="X4" s="109"/>
      <c r="Z4" s="156"/>
    </row>
    <row r="5" spans="1:26" x14ac:dyDescent="0.2">
      <c r="A5" s="58"/>
      <c r="B5" s="19" t="s">
        <v>163</v>
      </c>
      <c r="C5" s="19">
        <v>12</v>
      </c>
      <c r="D5" s="18" t="str">
        <f t="shared" ref="D5:D11" si="0">Currency&amp;$B5&amp;$C5&amp;QuoteSuffix</f>
        <v>USD1S12_Quote</v>
      </c>
      <c r="E5" s="18" t="str">
        <f>_xll.qlSimpleQuote(Currency&amp;$B5&amp;$C5&amp;QuoteSuffix,,RateTickValue,Permanent,Trigger,ObjectOverwrite)</f>
        <v>USD1S12_Quote#0012</v>
      </c>
      <c r="F5" s="4" t="str">
        <f>_xll.ohRangeRetrieveError(E5)</f>
        <v/>
      </c>
      <c r="G5" s="9"/>
      <c r="I5" s="58"/>
      <c r="J5" s="336" t="s">
        <v>163</v>
      </c>
      <c r="K5" s="336">
        <v>12</v>
      </c>
      <c r="L5" s="337" t="str">
        <f t="shared" ref="L5:L11" si="1">Currency&amp;$J5&amp;$K5</f>
        <v>USD1S12</v>
      </c>
      <c r="M5" s="337" t="str">
        <f t="array" ref="M5:M11">Instruments&amp;"="&amp;VLOOKUP($M$2,ContributorTable,2,FALSE)</f>
        <v>USD1S12=ICAP</v>
      </c>
      <c r="N5" s="338">
        <v>0.48899999999999999</v>
      </c>
      <c r="O5" s="338">
        <v>0.53900000000000003</v>
      </c>
      <c r="P5" s="338">
        <v>0</v>
      </c>
      <c r="Q5" s="338">
        <v>0</v>
      </c>
      <c r="R5" s="338">
        <f>_xll.qlMidSafe($N5,$O5)</f>
        <v>0.51400000000000001</v>
      </c>
      <c r="S5" s="325"/>
      <c r="T5" s="328">
        <v>0.317</v>
      </c>
      <c r="U5" s="325"/>
      <c r="V5" s="329">
        <f t="array" ref="V5:V11">QuoteLive</f>
        <v>0.51400000000000001</v>
      </c>
      <c r="W5" s="330">
        <f>_xll.qlSimpleQuoteSetValue(E5,V5/100,Trigger)</f>
        <v>0</v>
      </c>
      <c r="X5" s="109"/>
      <c r="Z5" s="148"/>
    </row>
    <row r="6" spans="1:26" x14ac:dyDescent="0.2">
      <c r="A6" s="58"/>
      <c r="B6" s="90" t="s">
        <v>164</v>
      </c>
      <c r="C6" s="90">
        <v>12</v>
      </c>
      <c r="D6" s="18" t="str">
        <f t="shared" si="0"/>
        <v>USD2S12_Quote</v>
      </c>
      <c r="E6" s="18" t="str">
        <f>_xll.qlSimpleQuote(Currency&amp;$B6&amp;$C6&amp;QuoteSuffix,,RateTickValue,Permanent,Trigger,ObjectOverwrite)</f>
        <v>USD2S12_Quote#0012</v>
      </c>
      <c r="F6" s="89" t="str">
        <f>_xll.ohRangeRetrieveError(E6)</f>
        <v/>
      </c>
      <c r="G6" s="9"/>
      <c r="I6" s="58"/>
      <c r="J6" s="336" t="s">
        <v>164</v>
      </c>
      <c r="K6" s="336">
        <v>12</v>
      </c>
      <c r="L6" s="337" t="str">
        <f t="shared" si="1"/>
        <v>USD2S12</v>
      </c>
      <c r="M6" s="337" t="str">
        <v>USD2S12=ICAP</v>
      </c>
      <c r="N6" s="338">
        <v>0.67800000000000005</v>
      </c>
      <c r="O6" s="338">
        <v>0.72799999999999998</v>
      </c>
      <c r="P6" s="338">
        <v>0</v>
      </c>
      <c r="Q6" s="338">
        <v>0</v>
      </c>
      <c r="R6" s="338">
        <f>_xll.qlMidSafe($N6,$O6)</f>
        <v>0.70300000000000007</v>
      </c>
      <c r="S6" s="325"/>
      <c r="T6" s="328">
        <v>0.36899999999999999</v>
      </c>
      <c r="U6" s="325"/>
      <c r="V6" s="329">
        <v>0.70300000000000007</v>
      </c>
      <c r="W6" s="330">
        <f>_xll.qlSimpleQuoteSetValue(E6,V6/100,Trigger)</f>
        <v>2.0000000000000052E-5</v>
      </c>
      <c r="X6" s="109"/>
      <c r="Z6" s="148"/>
    </row>
    <row r="7" spans="1:26" x14ac:dyDescent="0.2">
      <c r="A7" s="58"/>
      <c r="B7" s="90" t="s">
        <v>166</v>
      </c>
      <c r="C7" s="90">
        <v>12</v>
      </c>
      <c r="D7" s="18" t="str">
        <f t="shared" si="0"/>
        <v>USD3S12_Quote</v>
      </c>
      <c r="E7" s="18" t="str">
        <f>_xll.qlSimpleQuote(Currency&amp;$B7&amp;$C7&amp;QuoteSuffix,,RateTickValue,Permanent,Trigger,ObjectOverwrite)</f>
        <v>USD3S12_Quote#0012</v>
      </c>
      <c r="F7" s="89" t="str">
        <f>_xll.ohRangeRetrieveError(E7)</f>
        <v/>
      </c>
      <c r="G7" s="9"/>
      <c r="I7" s="58"/>
      <c r="J7" s="336" t="s">
        <v>166</v>
      </c>
      <c r="K7" s="336">
        <v>12</v>
      </c>
      <c r="L7" s="337" t="str">
        <f t="shared" si="1"/>
        <v>USD3S12</v>
      </c>
      <c r="M7" s="337" t="str">
        <v>USD3S12=ICAP</v>
      </c>
      <c r="N7" s="338">
        <v>0.89800000000000002</v>
      </c>
      <c r="O7" s="338">
        <v>0.94800000000000006</v>
      </c>
      <c r="P7" s="338">
        <v>0</v>
      </c>
      <c r="Q7" s="338">
        <v>0</v>
      </c>
      <c r="R7" s="338">
        <f>_xll.qlMidSafe($N7,$O7)</f>
        <v>0.92300000000000004</v>
      </c>
      <c r="S7" s="325"/>
      <c r="T7" s="328">
        <v>0.434</v>
      </c>
      <c r="U7" s="325"/>
      <c r="V7" s="329">
        <v>0.92300000000000004</v>
      </c>
      <c r="W7" s="330">
        <f>_xll.qlSimpleQuoteSetValue(E7,V7/100,Trigger)</f>
        <v>1.9999999999999185E-5</v>
      </c>
      <c r="X7" s="109"/>
      <c r="Z7" s="148"/>
    </row>
    <row r="8" spans="1:26" x14ac:dyDescent="0.2">
      <c r="A8" s="58"/>
      <c r="B8" s="90" t="s">
        <v>165</v>
      </c>
      <c r="C8" s="90">
        <v>12</v>
      </c>
      <c r="D8" s="18" t="str">
        <f t="shared" si="0"/>
        <v>USD4S12_Quote</v>
      </c>
      <c r="E8" s="18" t="str">
        <f>_xll.qlSimpleQuote(Currency&amp;$B8&amp;$C8&amp;QuoteSuffix,,RateTickValue,Permanent,Trigger,ObjectOverwrite)</f>
        <v>USD4S12_Quote#0012</v>
      </c>
      <c r="F8" s="89" t="str">
        <f>_xll.ohRangeRetrieveError(E8)</f>
        <v/>
      </c>
      <c r="G8" s="9"/>
      <c r="I8" s="58"/>
      <c r="J8" s="336" t="s">
        <v>165</v>
      </c>
      <c r="K8" s="336">
        <v>12</v>
      </c>
      <c r="L8" s="337" t="str">
        <f t="shared" si="1"/>
        <v>USD4S12</v>
      </c>
      <c r="M8" s="337" t="str">
        <v>USD4S12=ICAP</v>
      </c>
      <c r="N8" s="338">
        <v>1.113</v>
      </c>
      <c r="O8" s="338">
        <v>1.163</v>
      </c>
      <c r="P8" s="338">
        <v>0</v>
      </c>
      <c r="Q8" s="338">
        <v>0</v>
      </c>
      <c r="R8" s="338">
        <f>_xll.qlMidSafe($N8,$O8)</f>
        <v>1.1379999999999999</v>
      </c>
      <c r="S8" s="325"/>
      <c r="T8" s="328">
        <v>0.51900000000000002</v>
      </c>
      <c r="U8" s="325"/>
      <c r="V8" s="329">
        <v>1.1379999999999999</v>
      </c>
      <c r="W8" s="330">
        <f>_xll.qlSimpleQuoteSetValue(E8,V8/100,Trigger)</f>
        <v>9.9999999999995925E-6</v>
      </c>
      <c r="X8" s="109"/>
      <c r="Z8" s="148"/>
    </row>
    <row r="9" spans="1:26" x14ac:dyDescent="0.2">
      <c r="A9" s="58"/>
      <c r="B9" s="90" t="s">
        <v>222</v>
      </c>
      <c r="C9" s="90">
        <v>12</v>
      </c>
      <c r="D9" s="18" t="str">
        <f t="shared" si="0"/>
        <v>USD5S12_Quote</v>
      </c>
      <c r="E9" s="18" t="str">
        <f>_xll.qlSimpleQuote(Currency&amp;$B9&amp;$C9&amp;QuoteSuffix,,RateTickValue,Permanent,Trigger,ObjectOverwrite)</f>
        <v>USD5S12_Quote#0012</v>
      </c>
      <c r="F9" s="89" t="str">
        <f>_xll.ohRangeRetrieveError(E9)</f>
        <v/>
      </c>
      <c r="G9" s="9"/>
      <c r="I9" s="58"/>
      <c r="J9" s="336" t="s">
        <v>222</v>
      </c>
      <c r="K9" s="336">
        <v>12</v>
      </c>
      <c r="L9" s="337" t="str">
        <f t="shared" si="1"/>
        <v>USD5S12</v>
      </c>
      <c r="M9" s="337" t="str">
        <v>USD5S12=ICAP</v>
      </c>
      <c r="N9" s="338">
        <v>1.3149999999999999</v>
      </c>
      <c r="O9" s="338">
        <v>1.365</v>
      </c>
      <c r="P9" s="338">
        <v>0</v>
      </c>
      <c r="Q9" s="338">
        <v>0</v>
      </c>
      <c r="R9" s="338">
        <f>_xll.qlMidSafe($N9,$O9)</f>
        <v>1.3399999999999999</v>
      </c>
      <c r="S9" s="325"/>
      <c r="T9" s="328" t="e">
        <v>#NUM!</v>
      </c>
      <c r="U9" s="325"/>
      <c r="V9" s="329">
        <v>1.3399999999999999</v>
      </c>
      <c r="W9" s="330">
        <f>_xll.qlSimpleQuoteSetValue(E9,V9/100,Trigger)</f>
        <v>9.9999999999995925E-6</v>
      </c>
      <c r="X9" s="109"/>
      <c r="Z9" s="148"/>
    </row>
    <row r="10" spans="1:26" x14ac:dyDescent="0.2">
      <c r="A10" s="58"/>
      <c r="B10" s="90" t="s">
        <v>221</v>
      </c>
      <c r="C10" s="90">
        <v>12</v>
      </c>
      <c r="D10" s="18" t="str">
        <f t="shared" si="0"/>
        <v>USD6S12_Quote</v>
      </c>
      <c r="E10" s="18" t="str">
        <f>_xll.qlSimpleQuote(Currency&amp;$B10&amp;$C10&amp;QuoteSuffix,,RateTickValue,Permanent,Trigger,ObjectOverwrite)</f>
        <v>USD6S12_Quote#0012</v>
      </c>
      <c r="F10" s="89" t="str">
        <f>_xll.ohRangeRetrieveError(E10)</f>
        <v/>
      </c>
      <c r="G10" s="9"/>
      <c r="I10" s="58"/>
      <c r="J10" s="336" t="s">
        <v>221</v>
      </c>
      <c r="K10" s="336">
        <v>12</v>
      </c>
      <c r="L10" s="337" t="str">
        <f t="shared" si="1"/>
        <v>USD6S12</v>
      </c>
      <c r="M10" s="337" t="str">
        <v>USD6S12=ICAP</v>
      </c>
      <c r="N10" s="338" t="s">
        <v>184</v>
      </c>
      <c r="O10" s="338" t="s">
        <v>184</v>
      </c>
      <c r="P10" s="338" t="s">
        <v>184</v>
      </c>
      <c r="Q10" s="338" t="s">
        <v>184</v>
      </c>
      <c r="R10" s="338" t="e">
        <f>_xll.qlMidSafe($N10,$O10)</f>
        <v>#NUM!</v>
      </c>
      <c r="S10" s="325"/>
      <c r="T10" s="328" t="e">
        <v>#NUM!</v>
      </c>
      <c r="U10" s="325"/>
      <c r="V10" s="329" t="e">
        <v>#NUM!</v>
      </c>
      <c r="W10" s="330">
        <f>_xll.qlSimpleQuoteSetValue(E10,V10/100,Trigger)</f>
        <v>0</v>
      </c>
      <c r="X10" s="109"/>
      <c r="Z10" s="148"/>
    </row>
    <row r="11" spans="1:26" x14ac:dyDescent="0.2">
      <c r="A11" s="58"/>
      <c r="B11" s="90" t="s">
        <v>163</v>
      </c>
      <c r="C11" s="90">
        <v>24</v>
      </c>
      <c r="D11" s="18" t="str">
        <f t="shared" si="0"/>
        <v>USD1S24_Quote</v>
      </c>
      <c r="E11" s="18" t="str">
        <f>_xll.qlSimpleQuote(Currency&amp;$B11&amp;$C11&amp;QuoteSuffix,,RateTickValue,Permanent,Trigger,ObjectOverwrite)</f>
        <v>USD1S24_Quote#0012</v>
      </c>
      <c r="F11" s="89" t="str">
        <f>_xll.ohRangeRetrieveError(E11)</f>
        <v/>
      </c>
      <c r="G11" s="9" t="s">
        <v>276</v>
      </c>
      <c r="I11" s="58"/>
      <c r="J11" s="339" t="s">
        <v>163</v>
      </c>
      <c r="K11" s="339">
        <v>24</v>
      </c>
      <c r="L11" s="340" t="str">
        <f t="shared" si="1"/>
        <v>USD1S24</v>
      </c>
      <c r="M11" s="340" t="str">
        <v>USD1S24=ICAP</v>
      </c>
      <c r="N11" s="341" t="s">
        <v>184</v>
      </c>
      <c r="O11" s="341" t="s">
        <v>184</v>
      </c>
      <c r="P11" s="341" t="s">
        <v>184</v>
      </c>
      <c r="Q11" s="341" t="s">
        <v>184</v>
      </c>
      <c r="R11" s="341" t="e">
        <f>_xll.qlMidSafe($N11,$O11)</f>
        <v>#NUM!</v>
      </c>
      <c r="S11" s="325"/>
      <c r="T11" s="331" t="e">
        <v>#NUM!</v>
      </c>
      <c r="U11" s="325"/>
      <c r="V11" s="332" t="e">
        <v>#NUM!</v>
      </c>
      <c r="W11" s="333">
        <f>_xll.qlSimpleQuoteSetValue(E11,V11/100,Trigger)</f>
        <v>0</v>
      </c>
      <c r="X11" s="109"/>
      <c r="Z11" s="148"/>
    </row>
    <row r="12" spans="1:26" ht="13.5" thickBot="1" x14ac:dyDescent="0.25">
      <c r="A12" s="8"/>
      <c r="B12" s="7"/>
      <c r="C12" s="7"/>
      <c r="D12" s="7"/>
      <c r="E12" s="57"/>
      <c r="F12" s="57"/>
      <c r="G12" s="6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49"/>
    </row>
  </sheetData>
  <conditionalFormatting sqref="W5:W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workbookViewId="0">
      <selection activeCell="S3" sqref="S3"/>
    </sheetView>
  </sheetViews>
  <sheetFormatPr defaultRowHeight="11.25" x14ac:dyDescent="0.2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7.85546875" style="3" bestFit="1" customWidth="1"/>
    <col min="6" max="6" width="19.7109375" style="11" bestFit="1" customWidth="1"/>
    <col min="7" max="7" width="38.28515625" style="3" customWidth="1"/>
    <col min="8" max="9" width="2.7109375" style="3" customWidth="1"/>
    <col min="10" max="12" width="3.5703125" style="3" customWidth="1"/>
    <col min="13" max="13" width="2.7109375" style="3" customWidth="1"/>
    <col min="14" max="18" width="9.140625" style="3"/>
    <col min="19" max="19" width="15.5703125" style="3" bestFit="1" customWidth="1"/>
    <col min="20" max="24" width="9.140625" style="3"/>
    <col min="25" max="25" width="2.7109375" style="3" customWidth="1"/>
    <col min="26" max="26" width="9.140625" style="3"/>
    <col min="27" max="27" width="2.7109375" style="3" customWidth="1"/>
    <col min="28" max="29" width="9.140625" style="3"/>
    <col min="30" max="31" width="2.7109375" style="3" customWidth="1"/>
    <col min="32" max="16384" width="9.140625" style="3"/>
  </cols>
  <sheetData>
    <row r="1" spans="1:34" x14ac:dyDescent="0.2">
      <c r="A1" s="3" t="s">
        <v>318</v>
      </c>
      <c r="N1" s="159" t="s">
        <v>233</v>
      </c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6"/>
    </row>
    <row r="2" spans="1:34" x14ac:dyDescent="0.2">
      <c r="N2" s="146"/>
      <c r="O2" s="122"/>
      <c r="P2" s="122"/>
      <c r="Q2" s="122"/>
      <c r="R2" s="122"/>
      <c r="S2" s="67" t="str">
        <f>VLOOKUP($A$1,AreaTable,AreaIndex,0)</f>
        <v>ICAP LN</v>
      </c>
      <c r="T2" s="122"/>
      <c r="U2" s="122"/>
      <c r="V2" s="122"/>
      <c r="W2" s="122"/>
      <c r="X2" s="60"/>
      <c r="Y2" s="122"/>
      <c r="Z2" s="122"/>
      <c r="AA2" s="122"/>
      <c r="AB2" s="122"/>
      <c r="AC2" s="60"/>
      <c r="AD2" s="9"/>
    </row>
    <row r="3" spans="1:34" x14ac:dyDescent="0.2">
      <c r="A3" s="43" t="s">
        <v>113</v>
      </c>
      <c r="B3" s="40"/>
      <c r="C3" s="40"/>
      <c r="D3" s="40"/>
      <c r="E3" s="38"/>
      <c r="F3" s="39"/>
      <c r="G3" s="38"/>
      <c r="H3" s="37"/>
      <c r="N3" s="58"/>
      <c r="O3" s="122"/>
      <c r="P3" s="60"/>
      <c r="Q3" s="60"/>
      <c r="R3" s="60"/>
      <c r="S3" s="60" t="str">
        <f>_xll.qlInterpolation(,InterpolationType,_xll.ohFilter(N5:N42,W5:W42),_xll.ohFilter(V5:V42,W5:W42))</f>
        <v>obj_004e3#0003</v>
      </c>
      <c r="T3" s="60"/>
      <c r="U3" s="60"/>
      <c r="V3" s="60"/>
      <c r="W3" s="60"/>
      <c r="X3" s="60"/>
      <c r="Y3" s="122"/>
      <c r="Z3" s="122"/>
      <c r="AA3" s="122"/>
      <c r="AB3" s="60"/>
      <c r="AC3" s="143">
        <f>_xll.ohTrigger(AC5:AC42)</f>
        <v>13</v>
      </c>
      <c r="AD3" s="109"/>
    </row>
    <row r="4" spans="1:34" ht="23.25" thickBot="1" x14ac:dyDescent="0.25">
      <c r="A4" s="22"/>
      <c r="B4" s="35" t="s">
        <v>105</v>
      </c>
      <c r="C4" s="36"/>
      <c r="D4" s="35"/>
      <c r="E4" s="34" t="str">
        <f>Currency&amp;"_010_Sw"&amp;$C$6&amp;$D$6&amp;".xml"</f>
        <v>USD_010_Sw3L1L.xml</v>
      </c>
      <c r="F4" s="33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N4" s="58"/>
      <c r="O4" s="158"/>
      <c r="P4" s="94"/>
      <c r="Q4" s="94"/>
      <c r="R4" s="94"/>
      <c r="S4" s="117" t="str">
        <f>_xll.RData(S5:S42,T4:U4,"RTFEED:IDN",ReutersRtMode,,T5)</f>
        <v>Updated at 17:01:31</v>
      </c>
      <c r="T4" s="157" t="s">
        <v>179</v>
      </c>
      <c r="U4" s="157" t="s">
        <v>178</v>
      </c>
      <c r="V4" s="157" t="s">
        <v>218</v>
      </c>
      <c r="W4" s="157"/>
      <c r="X4" s="139" t="s">
        <v>217</v>
      </c>
      <c r="Y4" s="122"/>
      <c r="Z4" s="141" t="s">
        <v>195</v>
      </c>
      <c r="AA4" s="122"/>
      <c r="AB4" s="220" t="s">
        <v>194</v>
      </c>
      <c r="AC4" s="36" t="s">
        <v>193</v>
      </c>
      <c r="AD4" s="109"/>
    </row>
    <row r="5" spans="1:34" s="2" customFormat="1" ht="12.75" x14ac:dyDescent="0.2">
      <c r="A5" s="22"/>
      <c r="B5" s="32" t="s">
        <v>14</v>
      </c>
      <c r="C5" s="20" t="str">
        <f>VLOOKUP(Currency,$J$10:$L$14,2)</f>
        <v>3L</v>
      </c>
      <c r="D5" s="19" t="str">
        <f>VLOOKUP(Currency,$J$10:$L$14,3)</f>
        <v>1L</v>
      </c>
      <c r="E5" s="18" t="str">
        <f t="shared" ref="E5:E42" si="0">IF(ISBLANK(C5),"#",Currency&amp;$C5&amp;$D5&amp;$B5&amp;QuoteSuffix)</f>
        <v>USD3L1L6M_Quote</v>
      </c>
      <c r="F5" s="18" t="str">
        <f>_xll.qlSimpleQuote(E5,,RateTickValue,Permanent,Trigger,ObjectOverwrite)</f>
        <v>USD3L1L6M_Quote#0007</v>
      </c>
      <c r="G5" s="17" t="str">
        <f>_xll.ohRangeRetrieveError(F5)</f>
        <v/>
      </c>
      <c r="H5" s="16"/>
      <c r="I5" s="3"/>
      <c r="J5" s="3"/>
      <c r="K5" s="3"/>
      <c r="L5" s="3"/>
      <c r="N5" s="218">
        <v>0.5</v>
      </c>
      <c r="O5" s="126" t="s">
        <v>14</v>
      </c>
      <c r="P5" s="153" t="str">
        <f t="array" ref="P5:P42">VLOOKUP(Currency,Conventions,2)</f>
        <v>3L</v>
      </c>
      <c r="Q5" s="153" t="str">
        <f t="array" ref="Q5:Q42">VLOOKUP(Currency,Conventions,3)</f>
        <v>1L</v>
      </c>
      <c r="R5" s="152" t="str">
        <f t="shared" ref="R5:R42" si="1">Currency&amp;$P5&amp;$Q5&amp;$O5</f>
        <v>USD3L1L6M</v>
      </c>
      <c r="S5" s="125" t="str">
        <f t="array" ref="S5:S42">Instruments&amp;"="&amp;VLOOKUP($S$2,ContributorTable,2,FALSE)</f>
        <v>USD3L1L6M=ICAP</v>
      </c>
      <c r="T5" s="216">
        <v>8.6</v>
      </c>
      <c r="U5" s="216">
        <v>0</v>
      </c>
      <c r="V5" s="216">
        <f>_xll.qlMidEquivalent(T5,U5)</f>
        <v>8.6</v>
      </c>
      <c r="W5" s="120" t="b">
        <f t="shared" ref="W5:W42" si="2">IF(ISNUMBER(V5),TRUE,FALSE)</f>
        <v>1</v>
      </c>
      <c r="X5" s="217">
        <f t="array" ref="X5:X38">_xll.qlInterpolationInterpolate(S3,N5:N42)</f>
        <v>8.6</v>
      </c>
      <c r="Y5" s="122"/>
      <c r="Z5" s="214">
        <v>7.9</v>
      </c>
      <c r="AA5" s="122"/>
      <c r="AB5" s="222">
        <f t="array" ref="AB5:AB42">QuoteLive</f>
        <v>8.6</v>
      </c>
      <c r="AC5" s="119">
        <f>_xll.qlSimpleQuoteSetValue(F5,AB5/10000,Trigger)</f>
        <v>0</v>
      </c>
      <c r="AD5" s="109"/>
      <c r="AE5" s="3"/>
      <c r="AF5" s="31" t="s">
        <v>101</v>
      </c>
      <c r="AG5" s="30" t="s">
        <v>93</v>
      </c>
      <c r="AH5" s="29" t="s">
        <v>95</v>
      </c>
    </row>
    <row r="6" spans="1:34" s="2" customFormat="1" ht="12.75" x14ac:dyDescent="0.2">
      <c r="A6" s="22"/>
      <c r="B6" s="32" t="s">
        <v>8</v>
      </c>
      <c r="C6" s="20" t="str">
        <f t="shared" ref="C6:C42" si="3">C5</f>
        <v>3L</v>
      </c>
      <c r="D6" s="19" t="str">
        <f t="shared" ref="D6:D42" si="4">D5</f>
        <v>1L</v>
      </c>
      <c r="E6" s="18" t="str">
        <f t="shared" si="0"/>
        <v>USD3L1L1Y_Quote</v>
      </c>
      <c r="F6" s="18" t="str">
        <f>_xll.qlSimpleQuote(E6,,RateTickValue,Permanent,Trigger,ObjectOverwrite)</f>
        <v>USD3L1L1Y_Quote#0007</v>
      </c>
      <c r="G6" s="17" t="str">
        <f>_xll.ohRangeRetrieveError(F6)</f>
        <v/>
      </c>
      <c r="H6" s="16"/>
      <c r="I6" s="3"/>
      <c r="J6" s="3"/>
      <c r="K6" s="3"/>
      <c r="L6" s="3"/>
      <c r="N6" s="218">
        <v>1</v>
      </c>
      <c r="O6" s="126" t="s">
        <v>8</v>
      </c>
      <c r="P6" s="153" t="str">
        <v>3L</v>
      </c>
      <c r="Q6" s="153" t="str">
        <v>1L</v>
      </c>
      <c r="R6" s="152" t="str">
        <f t="shared" si="1"/>
        <v>USD3L1L1Y</v>
      </c>
      <c r="S6" s="125" t="str">
        <v>USD3L1L1Y=ICAP</v>
      </c>
      <c r="T6" s="216">
        <v>9.1</v>
      </c>
      <c r="U6" s="216">
        <v>0</v>
      </c>
      <c r="V6" s="216">
        <f>_xll.qlMidEquivalent(T6,U6)</f>
        <v>9.1</v>
      </c>
      <c r="W6" s="120" t="b">
        <f t="shared" si="2"/>
        <v>1</v>
      </c>
      <c r="X6" s="217">
        <v>9.1</v>
      </c>
      <c r="Y6" s="122"/>
      <c r="Z6" s="214">
        <v>8.6</v>
      </c>
      <c r="AA6" s="122"/>
      <c r="AB6" s="222">
        <v>9.1</v>
      </c>
      <c r="AC6" s="119">
        <f>_xll.qlSimpleQuoteSetValue(F6,AB6/10000,Trigger)</f>
        <v>-1.0000000000000135E-5</v>
      </c>
      <c r="AD6" s="109"/>
      <c r="AE6" s="3"/>
      <c r="AF6" s="28" t="s">
        <v>100</v>
      </c>
      <c r="AG6" s="27" t="s">
        <v>99</v>
      </c>
      <c r="AH6" s="26" t="s">
        <v>98</v>
      </c>
    </row>
    <row r="7" spans="1:34" s="2" customFormat="1" ht="12.75" x14ac:dyDescent="0.2">
      <c r="A7" s="22"/>
      <c r="B7" s="32" t="s">
        <v>104</v>
      </c>
      <c r="C7" s="20" t="str">
        <f t="shared" si="3"/>
        <v>3L</v>
      </c>
      <c r="D7" s="19" t="str">
        <f t="shared" si="4"/>
        <v>1L</v>
      </c>
      <c r="E7" s="18" t="str">
        <f t="shared" si="0"/>
        <v>USD3L1L15M_Quote</v>
      </c>
      <c r="F7" s="18" t="str">
        <f>_xll.qlSimpleQuote(E7,,RateTickValue,Permanent,Trigger,ObjectOverwrite)</f>
        <v>USD3L1L15M_Quote#0007</v>
      </c>
      <c r="G7" s="17" t="str">
        <f>_xll.ohRangeRetrieveError(F7)</f>
        <v/>
      </c>
      <c r="H7" s="16"/>
      <c r="N7" s="218">
        <v>1.25</v>
      </c>
      <c r="O7" s="126" t="s">
        <v>104</v>
      </c>
      <c r="P7" s="153" t="str">
        <v>3L</v>
      </c>
      <c r="Q7" s="153" t="str">
        <v>1L</v>
      </c>
      <c r="R7" s="152" t="str">
        <f t="shared" si="1"/>
        <v>USD3L1L15M</v>
      </c>
      <c r="S7" s="125" t="str">
        <v>USD3L1L15M=ICAP</v>
      </c>
      <c r="T7" s="216" t="s">
        <v>184</v>
      </c>
      <c r="U7" s="216" t="s">
        <v>184</v>
      </c>
      <c r="V7" s="216" t="e">
        <f>_xll.qlMidEquivalent(T7,U7)</f>
        <v>#NUM!</v>
      </c>
      <c r="W7" s="120" t="b">
        <f t="shared" si="2"/>
        <v>0</v>
      </c>
      <c r="X7" s="217">
        <v>9.3777457695628854</v>
      </c>
      <c r="Y7" s="122"/>
      <c r="Z7" s="214">
        <v>8.9010816116263882</v>
      </c>
      <c r="AA7" s="122"/>
      <c r="AB7" s="222">
        <v>9.3777457695628854</v>
      </c>
      <c r="AC7" s="119">
        <f>_xll.qlSimpleQuoteSetValue(F7,AB7/10000,Trigger)</f>
        <v>-1.0045678415033978E-5</v>
      </c>
      <c r="AD7" s="109"/>
      <c r="AE7" s="3"/>
      <c r="AF7" s="28" t="s">
        <v>97</v>
      </c>
      <c r="AG7" s="27" t="s">
        <v>93</v>
      </c>
      <c r="AH7" s="26" t="s">
        <v>95</v>
      </c>
    </row>
    <row r="8" spans="1:34" ht="12.75" x14ac:dyDescent="0.2">
      <c r="A8" s="22"/>
      <c r="B8" s="32" t="s">
        <v>103</v>
      </c>
      <c r="C8" s="20" t="str">
        <f t="shared" si="3"/>
        <v>3L</v>
      </c>
      <c r="D8" s="19" t="str">
        <f t="shared" si="4"/>
        <v>1L</v>
      </c>
      <c r="E8" s="18" t="str">
        <f t="shared" si="0"/>
        <v>USD3L1L18M_Quote</v>
      </c>
      <c r="F8" s="18" t="str">
        <f>_xll.qlSimpleQuote(E8,,RateTickValue,Permanent,Trigger,ObjectOverwrite)</f>
        <v>USD3L1L18M_Quote#0007</v>
      </c>
      <c r="G8" s="17" t="str">
        <f>_xll.ohRangeRetrieveError(F8)</f>
        <v/>
      </c>
      <c r="H8" s="16"/>
      <c r="I8" s="2"/>
      <c r="J8" s="2"/>
      <c r="K8" s="2"/>
      <c r="L8" s="2"/>
      <c r="N8" s="218">
        <v>1.5</v>
      </c>
      <c r="O8" s="126" t="s">
        <v>103</v>
      </c>
      <c r="P8" s="153" t="str">
        <v>3L</v>
      </c>
      <c r="Q8" s="153" t="str">
        <v>1L</v>
      </c>
      <c r="R8" s="152" t="str">
        <f t="shared" si="1"/>
        <v>USD3L1L18M</v>
      </c>
      <c r="S8" s="125" t="str">
        <v>USD3L1L18M=ICAP</v>
      </c>
      <c r="T8" s="216" t="s">
        <v>184</v>
      </c>
      <c r="U8" s="216" t="s">
        <v>184</v>
      </c>
      <c r="V8" s="216" t="e">
        <f>_xll.qlMidEquivalent(T8,U8)</f>
        <v>#NUM!</v>
      </c>
      <c r="W8" s="120" t="b">
        <f t="shared" si="2"/>
        <v>0</v>
      </c>
      <c r="X8" s="217">
        <v>9.6742415391257719</v>
      </c>
      <c r="Y8" s="122"/>
      <c r="Z8" s="214">
        <v>9.1740382232527775</v>
      </c>
      <c r="AA8" s="122"/>
      <c r="AB8" s="222">
        <v>9.6742415391257719</v>
      </c>
      <c r="AC8" s="119">
        <f>_xll.qlSimpleQuoteSetValue(F8,AB8/10000,Trigger)</f>
        <v>-7.2788568300678281E-6</v>
      </c>
      <c r="AD8" s="109"/>
      <c r="AF8" s="28" t="s">
        <v>96</v>
      </c>
      <c r="AG8" s="27" t="s">
        <v>93</v>
      </c>
      <c r="AH8" s="26" t="s">
        <v>95</v>
      </c>
    </row>
    <row r="9" spans="1:34" ht="13.5" thickBot="1" x14ac:dyDescent="0.25">
      <c r="A9" s="22"/>
      <c r="B9" s="32" t="s">
        <v>102</v>
      </c>
      <c r="C9" s="20" t="str">
        <f t="shared" si="3"/>
        <v>3L</v>
      </c>
      <c r="D9" s="19" t="str">
        <f t="shared" si="4"/>
        <v>1L</v>
      </c>
      <c r="E9" s="18" t="str">
        <f t="shared" si="0"/>
        <v>USD3L1L21M_Quote</v>
      </c>
      <c r="F9" s="18" t="str">
        <f>_xll.qlSimpleQuote(E9,,RateTickValue,Permanent,Trigger,ObjectOverwrite)</f>
        <v>USD3L1L21M_Quote#0007</v>
      </c>
      <c r="G9" s="17" t="str">
        <f>_xll.ohRangeRetrieveError(F9)</f>
        <v/>
      </c>
      <c r="H9" s="16"/>
      <c r="I9" s="2"/>
      <c r="J9" s="2"/>
      <c r="K9" s="2"/>
      <c r="L9" s="2"/>
      <c r="N9" s="218">
        <v>1.75</v>
      </c>
      <c r="O9" s="126" t="s">
        <v>102</v>
      </c>
      <c r="P9" s="153" t="str">
        <v>3L</v>
      </c>
      <c r="Q9" s="153" t="str">
        <v>1L</v>
      </c>
      <c r="R9" s="152" t="str">
        <f t="shared" si="1"/>
        <v>USD3L1L21M</v>
      </c>
      <c r="S9" s="125" t="str">
        <v>USD3L1L21M=ICAP</v>
      </c>
      <c r="T9" s="216" t="s">
        <v>184</v>
      </c>
      <c r="U9" s="216" t="s">
        <v>184</v>
      </c>
      <c r="V9" s="216" t="e">
        <f>_xll.qlMidEquivalent(T9,U9)</f>
        <v>#NUM!</v>
      </c>
      <c r="W9" s="120" t="b">
        <f t="shared" si="2"/>
        <v>0</v>
      </c>
      <c r="X9" s="217">
        <v>9.983616539125773</v>
      </c>
      <c r="Y9" s="122"/>
      <c r="Z9" s="214">
        <v>9.4349757232527782</v>
      </c>
      <c r="AA9" s="122"/>
      <c r="AB9" s="222">
        <v>9.983616539125773</v>
      </c>
      <c r="AC9" s="119">
        <f>_xll.qlSimpleQuoteSetValue(F9,AB9/10000,Trigger)</f>
        <v>-3.3726068300677162E-6</v>
      </c>
      <c r="AD9" s="109"/>
      <c r="AF9" s="25" t="s">
        <v>91</v>
      </c>
      <c r="AG9" s="24" t="s">
        <v>94</v>
      </c>
      <c r="AH9" s="23" t="s">
        <v>93</v>
      </c>
    </row>
    <row r="10" spans="1:34" x14ac:dyDescent="0.2">
      <c r="A10" s="22"/>
      <c r="B10" s="21" t="s">
        <v>84</v>
      </c>
      <c r="C10" s="20" t="str">
        <f t="shared" si="3"/>
        <v>3L</v>
      </c>
      <c r="D10" s="19" t="str">
        <f t="shared" si="4"/>
        <v>1L</v>
      </c>
      <c r="E10" s="18" t="str">
        <f t="shared" si="0"/>
        <v>USD3L1L2Y_Quote</v>
      </c>
      <c r="F10" s="18" t="str">
        <f>_xll.qlSimpleQuote(E10,,RateTickValue,Permanent,Trigger,ObjectOverwrite)</f>
        <v>USD3L1L2Y_Quote#0007</v>
      </c>
      <c r="G10" s="17" t="str">
        <f>_xll.ohRangeRetrieveError(F10)</f>
        <v/>
      </c>
      <c r="H10" s="16"/>
      <c r="J10" s="31" t="s">
        <v>101</v>
      </c>
      <c r="K10" s="30" t="s">
        <v>93</v>
      </c>
      <c r="L10" s="29" t="s">
        <v>95</v>
      </c>
      <c r="N10" s="58">
        <v>2</v>
      </c>
      <c r="O10" s="126" t="s">
        <v>84</v>
      </c>
      <c r="P10" s="153" t="str">
        <v>3L</v>
      </c>
      <c r="Q10" s="153" t="str">
        <v>1L</v>
      </c>
      <c r="R10" s="152" t="str">
        <f t="shared" si="1"/>
        <v>USD3L1L2Y</v>
      </c>
      <c r="S10" s="125" t="str">
        <v>USD3L1L2Y=ICAP</v>
      </c>
      <c r="T10" s="216">
        <v>10.3</v>
      </c>
      <c r="U10" s="216">
        <v>0</v>
      </c>
      <c r="V10" s="216">
        <f>_xll.qlMidEquivalent(T10,U10)</f>
        <v>10.3</v>
      </c>
      <c r="W10" s="120" t="b">
        <f t="shared" si="2"/>
        <v>1</v>
      </c>
      <c r="X10" s="217">
        <v>10.3</v>
      </c>
      <c r="Y10" s="122"/>
      <c r="Z10" s="214">
        <v>9.6999999999999993</v>
      </c>
      <c r="AA10" s="122"/>
      <c r="AB10" s="222">
        <v>10.3</v>
      </c>
      <c r="AC10" s="119">
        <f>_xll.qlSimpleQuoteSetValue(F10,AB10/10000,Trigger)</f>
        <v>0</v>
      </c>
      <c r="AD10" s="109"/>
    </row>
    <row r="11" spans="1:34" x14ac:dyDescent="0.2">
      <c r="A11" s="22"/>
      <c r="B11" s="21" t="s">
        <v>83</v>
      </c>
      <c r="C11" s="20" t="str">
        <f t="shared" si="3"/>
        <v>3L</v>
      </c>
      <c r="D11" s="19" t="str">
        <f t="shared" si="4"/>
        <v>1L</v>
      </c>
      <c r="E11" s="18" t="str">
        <f t="shared" si="0"/>
        <v>USD3L1L3Y_Quote</v>
      </c>
      <c r="F11" s="18" t="str">
        <f>_xll.qlSimpleQuote(E11,,RateTickValue,Permanent,Trigger,ObjectOverwrite)</f>
        <v>USD3L1L3Y_Quote#0007</v>
      </c>
      <c r="G11" s="17" t="str">
        <f>_xll.ohRangeRetrieveError(F11)</f>
        <v/>
      </c>
      <c r="H11" s="16"/>
      <c r="J11" s="28" t="s">
        <v>100</v>
      </c>
      <c r="K11" s="27" t="s">
        <v>99</v>
      </c>
      <c r="L11" s="26" t="s">
        <v>98</v>
      </c>
      <c r="N11" s="58">
        <v>3</v>
      </c>
      <c r="O11" s="126" t="s">
        <v>83</v>
      </c>
      <c r="P11" s="153" t="str">
        <v>3L</v>
      </c>
      <c r="Q11" s="153" t="str">
        <v>1L</v>
      </c>
      <c r="R11" s="152" t="str">
        <f t="shared" si="1"/>
        <v>USD3L1L3Y</v>
      </c>
      <c r="S11" s="125" t="str">
        <v>USD3L1L3Y=ICAP</v>
      </c>
      <c r="T11" s="216">
        <v>11.5</v>
      </c>
      <c r="U11" s="216">
        <v>0</v>
      </c>
      <c r="V11" s="216">
        <f>_xll.qlMidEquivalent(T11,U11)</f>
        <v>11.5</v>
      </c>
      <c r="W11" s="120" t="b">
        <f t="shared" si="2"/>
        <v>1</v>
      </c>
      <c r="X11" s="217">
        <v>11.5</v>
      </c>
      <c r="Y11" s="122"/>
      <c r="Z11" s="214">
        <v>10.8</v>
      </c>
      <c r="AA11" s="122"/>
      <c r="AB11" s="222">
        <v>11.5</v>
      </c>
      <c r="AC11" s="119">
        <f>_xll.qlSimpleQuoteSetValue(F11,AB11/10000,Trigger)</f>
        <v>0</v>
      </c>
      <c r="AD11" s="109"/>
    </row>
    <row r="12" spans="1:34" x14ac:dyDescent="0.2">
      <c r="A12" s="22"/>
      <c r="B12" s="21" t="s">
        <v>82</v>
      </c>
      <c r="C12" s="20" t="str">
        <f t="shared" si="3"/>
        <v>3L</v>
      </c>
      <c r="D12" s="19" t="str">
        <f t="shared" si="4"/>
        <v>1L</v>
      </c>
      <c r="E12" s="18" t="str">
        <f t="shared" si="0"/>
        <v>USD3L1L4Y_Quote</v>
      </c>
      <c r="F12" s="18" t="str">
        <f>_xll.qlSimpleQuote(E12,,RateTickValue,Permanent,Trigger,ObjectOverwrite)</f>
        <v>USD3L1L4Y_Quote#0007</v>
      </c>
      <c r="G12" s="17" t="str">
        <f>_xll.ohRangeRetrieveError(F12)</f>
        <v/>
      </c>
      <c r="H12" s="16"/>
      <c r="J12" s="28" t="s">
        <v>97</v>
      </c>
      <c r="K12" s="27" t="s">
        <v>93</v>
      </c>
      <c r="L12" s="26" t="s">
        <v>95</v>
      </c>
      <c r="N12" s="58">
        <v>4</v>
      </c>
      <c r="O12" s="126" t="s">
        <v>82</v>
      </c>
      <c r="P12" s="153" t="str">
        <v>3L</v>
      </c>
      <c r="Q12" s="153" t="str">
        <v>1L</v>
      </c>
      <c r="R12" s="152" t="str">
        <f t="shared" si="1"/>
        <v>USD3L1L4Y</v>
      </c>
      <c r="S12" s="125" t="str">
        <v>USD3L1L4Y=ICAP</v>
      </c>
      <c r="T12" s="216">
        <v>12.3</v>
      </c>
      <c r="U12" s="216">
        <v>0</v>
      </c>
      <c r="V12" s="216">
        <f>_xll.qlMidEquivalent(T12,U12)</f>
        <v>12.3</v>
      </c>
      <c r="W12" s="120" t="b">
        <f t="shared" si="2"/>
        <v>1</v>
      </c>
      <c r="X12" s="217">
        <v>12.3</v>
      </c>
      <c r="Y12" s="122"/>
      <c r="Z12" s="214">
        <v>11.5</v>
      </c>
      <c r="AA12" s="122"/>
      <c r="AB12" s="222">
        <v>12.3</v>
      </c>
      <c r="AC12" s="119">
        <f>_xll.qlSimpleQuoteSetValue(F12,AB12/10000,Trigger)</f>
        <v>0</v>
      </c>
      <c r="AD12" s="109"/>
    </row>
    <row r="13" spans="1:34" x14ac:dyDescent="0.2">
      <c r="A13" s="22"/>
      <c r="B13" s="21" t="s">
        <v>81</v>
      </c>
      <c r="C13" s="20" t="str">
        <f t="shared" si="3"/>
        <v>3L</v>
      </c>
      <c r="D13" s="19" t="str">
        <f t="shared" si="4"/>
        <v>1L</v>
      </c>
      <c r="E13" s="18" t="str">
        <f t="shared" si="0"/>
        <v>USD3L1L5Y_Quote</v>
      </c>
      <c r="F13" s="18" t="str">
        <f>_xll.qlSimpleQuote(E13,,RateTickValue,Permanent,Trigger,ObjectOverwrite)</f>
        <v>USD3L1L5Y_Quote#0007</v>
      </c>
      <c r="G13" s="17" t="str">
        <f>_xll.ohRangeRetrieveError(F13)</f>
        <v/>
      </c>
      <c r="H13" s="16"/>
      <c r="J13" s="28" t="s">
        <v>96</v>
      </c>
      <c r="K13" s="27" t="s">
        <v>93</v>
      </c>
      <c r="L13" s="26" t="s">
        <v>95</v>
      </c>
      <c r="N13" s="58">
        <v>5</v>
      </c>
      <c r="O13" s="126" t="s">
        <v>81</v>
      </c>
      <c r="P13" s="153" t="str">
        <v>3L</v>
      </c>
      <c r="Q13" s="153" t="str">
        <v>1L</v>
      </c>
      <c r="R13" s="152" t="str">
        <f t="shared" si="1"/>
        <v>USD3L1L5Y</v>
      </c>
      <c r="S13" s="125" t="str">
        <v>USD3L1L5Y=ICAP</v>
      </c>
      <c r="T13" s="216">
        <v>12.600000000000001</v>
      </c>
      <c r="U13" s="216">
        <v>0</v>
      </c>
      <c r="V13" s="216">
        <f>_xll.qlMidEquivalent(T13,U13)</f>
        <v>12.600000000000001</v>
      </c>
      <c r="W13" s="120" t="b">
        <f t="shared" si="2"/>
        <v>1</v>
      </c>
      <c r="X13" s="217">
        <v>12.600000000000001</v>
      </c>
      <c r="Y13" s="122"/>
      <c r="Z13" s="214">
        <v>11.8</v>
      </c>
      <c r="AA13" s="122"/>
      <c r="AB13" s="222">
        <v>12.600000000000001</v>
      </c>
      <c r="AC13" s="119">
        <f>_xll.qlSimpleQuoteSetValue(F13,AB13/10000,Trigger)</f>
        <v>0</v>
      </c>
      <c r="AD13" s="109"/>
    </row>
    <row r="14" spans="1:34" ht="12" thickBot="1" x14ac:dyDescent="0.25">
      <c r="A14" s="22"/>
      <c r="B14" s="21" t="s">
        <v>80</v>
      </c>
      <c r="C14" s="20" t="str">
        <f t="shared" si="3"/>
        <v>3L</v>
      </c>
      <c r="D14" s="19" t="str">
        <f t="shared" si="4"/>
        <v>1L</v>
      </c>
      <c r="E14" s="18" t="str">
        <f t="shared" si="0"/>
        <v>USD3L1L6Y_Quote</v>
      </c>
      <c r="F14" s="18" t="str">
        <f>_xll.qlSimpleQuote(E14,,RateTickValue,Permanent,Trigger,ObjectOverwrite)</f>
        <v>USD3L1L6Y_Quote#0007</v>
      </c>
      <c r="G14" s="17" t="str">
        <f>_xll.ohRangeRetrieveError(F14)</f>
        <v/>
      </c>
      <c r="H14" s="16"/>
      <c r="J14" s="25" t="s">
        <v>91</v>
      </c>
      <c r="K14" s="24" t="s">
        <v>94</v>
      </c>
      <c r="L14" s="23" t="s">
        <v>93</v>
      </c>
      <c r="N14" s="58">
        <v>6</v>
      </c>
      <c r="O14" s="126" t="s">
        <v>80</v>
      </c>
      <c r="P14" s="153" t="str">
        <v>3L</v>
      </c>
      <c r="Q14" s="153" t="str">
        <v>1L</v>
      </c>
      <c r="R14" s="152" t="str">
        <f t="shared" si="1"/>
        <v>USD3L1L6Y</v>
      </c>
      <c r="S14" s="125" t="str">
        <v>USD3L1L6Y=ICAP</v>
      </c>
      <c r="T14" s="216">
        <v>12.600000000000001</v>
      </c>
      <c r="U14" s="216">
        <v>0</v>
      </c>
      <c r="V14" s="216">
        <f>_xll.qlMidEquivalent(T14,U14)</f>
        <v>12.600000000000001</v>
      </c>
      <c r="W14" s="120" t="b">
        <f t="shared" si="2"/>
        <v>1</v>
      </c>
      <c r="X14" s="217">
        <v>12.600000000000001</v>
      </c>
      <c r="Y14" s="122"/>
      <c r="Z14" s="214">
        <v>11.8</v>
      </c>
      <c r="AA14" s="122"/>
      <c r="AB14" s="222">
        <v>12.600000000000001</v>
      </c>
      <c r="AC14" s="119">
        <f>_xll.qlSimpleQuoteSetValue(F14,AB14/10000,Trigger)</f>
        <v>0</v>
      </c>
      <c r="AD14" s="109"/>
    </row>
    <row r="15" spans="1:34" x14ac:dyDescent="0.2">
      <c r="A15" s="22"/>
      <c r="B15" s="21" t="s">
        <v>79</v>
      </c>
      <c r="C15" s="20" t="str">
        <f t="shared" si="3"/>
        <v>3L</v>
      </c>
      <c r="D15" s="19" t="str">
        <f t="shared" si="4"/>
        <v>1L</v>
      </c>
      <c r="E15" s="18" t="str">
        <f t="shared" si="0"/>
        <v>USD3L1L7Y_Quote</v>
      </c>
      <c r="F15" s="18" t="str">
        <f>_xll.qlSimpleQuote(E15,,RateTickValue,Permanent,Trigger,ObjectOverwrite)</f>
        <v>USD3L1L7Y_Quote#0007</v>
      </c>
      <c r="G15" s="17" t="str">
        <f>_xll.ohRangeRetrieveError(F15)</f>
        <v/>
      </c>
      <c r="H15" s="16"/>
      <c r="N15" s="58">
        <v>7</v>
      </c>
      <c r="O15" s="126" t="s">
        <v>79</v>
      </c>
      <c r="P15" s="153" t="str">
        <v>3L</v>
      </c>
      <c r="Q15" s="153" t="str">
        <v>1L</v>
      </c>
      <c r="R15" s="152" t="str">
        <f t="shared" si="1"/>
        <v>USD3L1L7Y</v>
      </c>
      <c r="S15" s="125" t="str">
        <v>USD3L1L7Y=ICAP</v>
      </c>
      <c r="T15" s="216">
        <v>12.5</v>
      </c>
      <c r="U15" s="216">
        <v>0</v>
      </c>
      <c r="V15" s="216">
        <f>_xll.qlMidEquivalent(T15,U15)</f>
        <v>12.5</v>
      </c>
      <c r="W15" s="120" t="b">
        <f t="shared" si="2"/>
        <v>1</v>
      </c>
      <c r="X15" s="217">
        <v>12.5</v>
      </c>
      <c r="Y15" s="122"/>
      <c r="Z15" s="214">
        <v>11.5</v>
      </c>
      <c r="AA15" s="122"/>
      <c r="AB15" s="222">
        <v>12.5</v>
      </c>
      <c r="AC15" s="119">
        <f>_xll.qlSimpleQuoteSetValue(F15,AB15/10000,Trigger)</f>
        <v>0</v>
      </c>
      <c r="AD15" s="109"/>
    </row>
    <row r="16" spans="1:34" x14ac:dyDescent="0.2">
      <c r="A16" s="22"/>
      <c r="B16" s="21" t="s">
        <v>78</v>
      </c>
      <c r="C16" s="20" t="str">
        <f t="shared" si="3"/>
        <v>3L</v>
      </c>
      <c r="D16" s="19" t="str">
        <f t="shared" si="4"/>
        <v>1L</v>
      </c>
      <c r="E16" s="18" t="str">
        <f t="shared" si="0"/>
        <v>USD3L1L8Y_Quote</v>
      </c>
      <c r="F16" s="18" t="str">
        <f>_xll.qlSimpleQuote(E16,,RateTickValue,Permanent,Trigger,ObjectOverwrite)</f>
        <v>USD3L1L8Y_Quote#0007</v>
      </c>
      <c r="G16" s="17" t="str">
        <f>_xll.ohRangeRetrieveError(F16)</f>
        <v/>
      </c>
      <c r="H16" s="16"/>
      <c r="N16" s="58">
        <v>8</v>
      </c>
      <c r="O16" s="126" t="s">
        <v>78</v>
      </c>
      <c r="P16" s="153" t="str">
        <v>3L</v>
      </c>
      <c r="Q16" s="153" t="str">
        <v>1L</v>
      </c>
      <c r="R16" s="152" t="str">
        <f t="shared" si="1"/>
        <v>USD3L1L8Y</v>
      </c>
      <c r="S16" s="125" t="str">
        <v>USD3L1L8Y=ICAP</v>
      </c>
      <c r="T16" s="216">
        <v>12.100000000000001</v>
      </c>
      <c r="U16" s="216">
        <v>0</v>
      </c>
      <c r="V16" s="216">
        <f>_xll.qlMidEquivalent(T16,U16)</f>
        <v>12.100000000000001</v>
      </c>
      <c r="W16" s="120" t="b">
        <f t="shared" si="2"/>
        <v>1</v>
      </c>
      <c r="X16" s="217">
        <v>12.100000000000001</v>
      </c>
      <c r="Y16" s="122"/>
      <c r="Z16" s="214">
        <v>11</v>
      </c>
      <c r="AA16" s="122"/>
      <c r="AB16" s="222">
        <v>12.100000000000001</v>
      </c>
      <c r="AC16" s="119">
        <f>_xll.qlSimpleQuoteSetValue(F16,AB16/10000,Trigger)</f>
        <v>0</v>
      </c>
      <c r="AD16" s="109"/>
    </row>
    <row r="17" spans="1:30" x14ac:dyDescent="0.2">
      <c r="A17" s="22"/>
      <c r="B17" s="21" t="s">
        <v>77</v>
      </c>
      <c r="C17" s="20" t="str">
        <f t="shared" si="3"/>
        <v>3L</v>
      </c>
      <c r="D17" s="19" t="str">
        <f t="shared" si="4"/>
        <v>1L</v>
      </c>
      <c r="E17" s="18" t="str">
        <f t="shared" si="0"/>
        <v>USD3L1L9Y_Quote</v>
      </c>
      <c r="F17" s="18" t="str">
        <f>_xll.qlSimpleQuote(E17,,RateTickValue,Permanent,Trigger,ObjectOverwrite)</f>
        <v>USD3L1L9Y_Quote#0007</v>
      </c>
      <c r="G17" s="17" t="str">
        <f>_xll.ohRangeRetrieveError(F17)</f>
        <v/>
      </c>
      <c r="H17" s="16"/>
      <c r="N17" s="58">
        <v>9</v>
      </c>
      <c r="O17" s="126" t="s">
        <v>77</v>
      </c>
      <c r="P17" s="153" t="str">
        <v>3L</v>
      </c>
      <c r="Q17" s="153" t="str">
        <v>1L</v>
      </c>
      <c r="R17" s="152" t="str">
        <f t="shared" si="1"/>
        <v>USD3L1L9Y</v>
      </c>
      <c r="S17" s="125" t="str">
        <v>USD3L1L9Y=ICAP</v>
      </c>
      <c r="T17" s="216">
        <v>11.8</v>
      </c>
      <c r="U17" s="216">
        <v>0</v>
      </c>
      <c r="V17" s="216">
        <f>_xll.qlMidEquivalent(T17,U17)</f>
        <v>11.8</v>
      </c>
      <c r="W17" s="120" t="b">
        <f t="shared" si="2"/>
        <v>1</v>
      </c>
      <c r="X17" s="217">
        <v>11.8</v>
      </c>
      <c r="Y17" s="122"/>
      <c r="Z17" s="214">
        <v>10.6</v>
      </c>
      <c r="AA17" s="122"/>
      <c r="AB17" s="222">
        <v>11.8</v>
      </c>
      <c r="AC17" s="119">
        <f>_xll.qlSimpleQuoteSetValue(F17,AB17/10000,Trigger)</f>
        <v>0</v>
      </c>
      <c r="AD17" s="109"/>
    </row>
    <row r="18" spans="1:30" x14ac:dyDescent="0.2">
      <c r="A18" s="22"/>
      <c r="B18" s="21" t="s">
        <v>76</v>
      </c>
      <c r="C18" s="20" t="str">
        <f t="shared" si="3"/>
        <v>3L</v>
      </c>
      <c r="D18" s="19" t="str">
        <f t="shared" si="4"/>
        <v>1L</v>
      </c>
      <c r="E18" s="18" t="str">
        <f t="shared" si="0"/>
        <v>USD3L1L10Y_Quote</v>
      </c>
      <c r="F18" s="18" t="str">
        <f>_xll.qlSimpleQuote(E18,,RateTickValue,Permanent,Trigger,ObjectOverwrite)</f>
        <v>USD3L1L10Y_Quote#0007</v>
      </c>
      <c r="G18" s="17" t="str">
        <f>_xll.ohRangeRetrieveError(F18)</f>
        <v/>
      </c>
      <c r="H18" s="16"/>
      <c r="N18" s="58">
        <v>10</v>
      </c>
      <c r="O18" s="126" t="s">
        <v>76</v>
      </c>
      <c r="P18" s="153" t="str">
        <v>3L</v>
      </c>
      <c r="Q18" s="153" t="str">
        <v>1L</v>
      </c>
      <c r="R18" s="152" t="str">
        <f t="shared" si="1"/>
        <v>USD3L1L10Y</v>
      </c>
      <c r="S18" s="125" t="str">
        <v>USD3L1L10Y=ICAP</v>
      </c>
      <c r="T18" s="216">
        <v>11.600000000000001</v>
      </c>
      <c r="U18" s="216">
        <v>0</v>
      </c>
      <c r="V18" s="216">
        <f>_xll.qlMidEquivalent(T18,U18)</f>
        <v>11.600000000000001</v>
      </c>
      <c r="W18" s="120" t="b">
        <f t="shared" si="2"/>
        <v>1</v>
      </c>
      <c r="X18" s="217">
        <v>11.600000000000001</v>
      </c>
      <c r="Y18" s="122"/>
      <c r="Z18" s="214">
        <v>10.1</v>
      </c>
      <c r="AA18" s="122"/>
      <c r="AB18" s="222">
        <v>11.600000000000001</v>
      </c>
      <c r="AC18" s="119">
        <f>_xll.qlSimpleQuoteSetValue(F18,AB18/10000,Trigger)</f>
        <v>0</v>
      </c>
      <c r="AD18" s="109"/>
    </row>
    <row r="19" spans="1:30" x14ac:dyDescent="0.2">
      <c r="A19" s="22"/>
      <c r="B19" s="21" t="s">
        <v>75</v>
      </c>
      <c r="C19" s="20" t="str">
        <f t="shared" si="3"/>
        <v>3L</v>
      </c>
      <c r="D19" s="19" t="str">
        <f t="shared" si="4"/>
        <v>1L</v>
      </c>
      <c r="E19" s="18" t="str">
        <f t="shared" si="0"/>
        <v>USD3L1L11Y_Quote</v>
      </c>
      <c r="F19" s="18" t="str">
        <f>_xll.qlSimpleQuote(E19,,RateTickValue,Permanent,Trigger,ObjectOverwrite)</f>
        <v>USD3L1L11Y_Quote#0007</v>
      </c>
      <c r="G19" s="17" t="str">
        <f>_xll.ohRangeRetrieveError(F19)</f>
        <v/>
      </c>
      <c r="H19" s="16"/>
      <c r="N19" s="58">
        <v>11</v>
      </c>
      <c r="O19" s="126" t="s">
        <v>75</v>
      </c>
      <c r="P19" s="153" t="str">
        <v>3L</v>
      </c>
      <c r="Q19" s="153" t="str">
        <v>1L</v>
      </c>
      <c r="R19" s="152" t="str">
        <f t="shared" si="1"/>
        <v>USD3L1L11Y</v>
      </c>
      <c r="S19" s="125" t="str">
        <v>USD3L1L11Y=ICAP</v>
      </c>
      <c r="T19" s="216" t="s">
        <v>184</v>
      </c>
      <c r="U19" s="216" t="s">
        <v>184</v>
      </c>
      <c r="V19" s="216" t="e">
        <f>_xll.qlMidEquivalent(T19,U19)</f>
        <v>#NUM!</v>
      </c>
      <c r="W19" s="120" t="b">
        <f t="shared" si="2"/>
        <v>0</v>
      </c>
      <c r="X19" s="217">
        <v>11.362500788371054</v>
      </c>
      <c r="Y19" s="122"/>
      <c r="Z19" s="214">
        <v>9.7013926315039392</v>
      </c>
      <c r="AA19" s="122"/>
      <c r="AB19" s="222">
        <v>11.362500788371054</v>
      </c>
      <c r="AC19" s="119">
        <f>_xll.qlSimpleQuoteSetValue(F19,AB19/10000,Trigger)</f>
        <v>1.2050099286453619E-10</v>
      </c>
      <c r="AD19" s="109"/>
    </row>
    <row r="20" spans="1:30" x14ac:dyDescent="0.2">
      <c r="A20" s="22"/>
      <c r="B20" s="21" t="s">
        <v>74</v>
      </c>
      <c r="C20" s="20" t="str">
        <f t="shared" si="3"/>
        <v>3L</v>
      </c>
      <c r="D20" s="19" t="str">
        <f t="shared" si="4"/>
        <v>1L</v>
      </c>
      <c r="E20" s="18" t="str">
        <f t="shared" si="0"/>
        <v>USD3L1L12Y_Quote</v>
      </c>
      <c r="F20" s="18" t="str">
        <f>_xll.qlSimpleQuote(E20,,RateTickValue,Permanent,Trigger,ObjectOverwrite)</f>
        <v>USD3L1L12Y_Quote#0007</v>
      </c>
      <c r="G20" s="17" t="str">
        <f>_xll.ohRangeRetrieveError(F20)</f>
        <v/>
      </c>
      <c r="H20" s="16"/>
      <c r="N20" s="58">
        <v>12</v>
      </c>
      <c r="O20" s="126" t="s">
        <v>74</v>
      </c>
      <c r="P20" s="153" t="str">
        <v>3L</v>
      </c>
      <c r="Q20" s="153" t="str">
        <v>1L</v>
      </c>
      <c r="R20" s="152" t="str">
        <f t="shared" si="1"/>
        <v>USD3L1L12Y</v>
      </c>
      <c r="S20" s="125" t="str">
        <v>USD3L1L12Y=ICAP</v>
      </c>
      <c r="T20" s="216">
        <v>11.100000000000001</v>
      </c>
      <c r="U20" s="216">
        <v>0</v>
      </c>
      <c r="V20" s="216">
        <f>_xll.qlMidEquivalent(T20,U20)</f>
        <v>11.100000000000001</v>
      </c>
      <c r="W20" s="120" t="b">
        <f t="shared" si="2"/>
        <v>1</v>
      </c>
      <c r="X20" s="217">
        <v>11.100000000000001</v>
      </c>
      <c r="Y20" s="122"/>
      <c r="Z20" s="214">
        <v>9.4</v>
      </c>
      <c r="AA20" s="122"/>
      <c r="AB20" s="222">
        <v>11.100000000000001</v>
      </c>
      <c r="AC20" s="119">
        <f>_xll.qlSimpleQuoteSetValue(F20,AB20/10000,Trigger)</f>
        <v>0</v>
      </c>
      <c r="AD20" s="109"/>
    </row>
    <row r="21" spans="1:30" x14ac:dyDescent="0.2">
      <c r="A21" s="22"/>
      <c r="B21" s="21" t="s">
        <v>73</v>
      </c>
      <c r="C21" s="20" t="str">
        <f t="shared" si="3"/>
        <v>3L</v>
      </c>
      <c r="D21" s="19" t="str">
        <f t="shared" si="4"/>
        <v>1L</v>
      </c>
      <c r="E21" s="18" t="str">
        <f t="shared" si="0"/>
        <v>USD3L1L13Y_Quote</v>
      </c>
      <c r="F21" s="18" t="str">
        <f>_xll.qlSimpleQuote(E21,,RateTickValue,Permanent,Trigger,ObjectOverwrite)</f>
        <v>USD3L1L13Y_Quote#0007</v>
      </c>
      <c r="G21" s="17" t="str">
        <f>_xll.ohRangeRetrieveError(F21)</f>
        <v/>
      </c>
      <c r="H21" s="16"/>
      <c r="N21" s="58">
        <v>13</v>
      </c>
      <c r="O21" s="126" t="s">
        <v>73</v>
      </c>
      <c r="P21" s="153" t="str">
        <v>3L</v>
      </c>
      <c r="Q21" s="153" t="str">
        <v>1L</v>
      </c>
      <c r="R21" s="152" t="str">
        <f t="shared" si="1"/>
        <v>USD3L1L13Y</v>
      </c>
      <c r="S21" s="125" t="str">
        <v>USD3L1L13Y=ICAP</v>
      </c>
      <c r="T21" s="216" t="s">
        <v>184</v>
      </c>
      <c r="U21" s="216" t="s">
        <v>184</v>
      </c>
      <c r="V21" s="216" t="e">
        <f>_xll.qlMidEquivalent(T21,U21)</f>
        <v>#NUM!</v>
      </c>
      <c r="W21" s="120" t="b">
        <f t="shared" si="2"/>
        <v>0</v>
      </c>
      <c r="X21" s="217">
        <v>10.843146325982561</v>
      </c>
      <c r="Y21" s="122"/>
      <c r="Z21" s="214">
        <v>9.1160198449320351</v>
      </c>
      <c r="AA21" s="122"/>
      <c r="AB21" s="222">
        <v>10.843146325982561</v>
      </c>
      <c r="AC21" s="119">
        <f>_xll.qlSimpleQuoteSetValue(F21,AB21/10000,Trigger)</f>
        <v>-5.2072907617828346E-11</v>
      </c>
      <c r="AD21" s="109"/>
    </row>
    <row r="22" spans="1:30" x14ac:dyDescent="0.2">
      <c r="A22" s="22"/>
      <c r="B22" s="21" t="s">
        <v>72</v>
      </c>
      <c r="C22" s="20" t="str">
        <f t="shared" si="3"/>
        <v>3L</v>
      </c>
      <c r="D22" s="19" t="str">
        <f t="shared" si="4"/>
        <v>1L</v>
      </c>
      <c r="E22" s="18" t="str">
        <f t="shared" si="0"/>
        <v>USD3L1L14Y_Quote</v>
      </c>
      <c r="F22" s="18" t="str">
        <f>_xll.qlSimpleQuote(E22,,RateTickValue,Permanent,Trigger,ObjectOverwrite)</f>
        <v>USD3L1L14Y_Quote#0007</v>
      </c>
      <c r="G22" s="17" t="str">
        <f>_xll.ohRangeRetrieveError(F22)</f>
        <v/>
      </c>
      <c r="H22" s="16"/>
      <c r="N22" s="58">
        <v>14</v>
      </c>
      <c r="O22" s="126" t="s">
        <v>72</v>
      </c>
      <c r="P22" s="153" t="str">
        <v>3L</v>
      </c>
      <c r="Q22" s="153" t="str">
        <v>1L</v>
      </c>
      <c r="R22" s="152" t="str">
        <f t="shared" si="1"/>
        <v>USD3L1L14Y</v>
      </c>
      <c r="S22" s="125" t="str">
        <v>USD3L1L14Y=ICAP</v>
      </c>
      <c r="T22" s="216" t="s">
        <v>184</v>
      </c>
      <c r="U22" s="216" t="s">
        <v>184</v>
      </c>
      <c r="V22" s="216" t="e">
        <f>_xll.qlMidEquivalent(T22,U22)</f>
        <v>#NUM!</v>
      </c>
      <c r="W22" s="120" t="b">
        <f t="shared" si="2"/>
        <v>0</v>
      </c>
      <c r="X22" s="217">
        <v>10.624906496324614</v>
      </c>
      <c r="Y22" s="122"/>
      <c r="Z22" s="214">
        <v>8.8446880417722635</v>
      </c>
      <c r="AA22" s="122"/>
      <c r="AB22" s="222">
        <v>10.624906496324614</v>
      </c>
      <c r="AC22" s="119">
        <f>_xll.qlSimpleQuoteSetValue(F22,AB22/10000,Trigger)</f>
        <v>-2.6036453808914173E-11</v>
      </c>
      <c r="AD22" s="109"/>
    </row>
    <row r="23" spans="1:30" x14ac:dyDescent="0.2">
      <c r="A23" s="22"/>
      <c r="B23" s="21" t="s">
        <v>71</v>
      </c>
      <c r="C23" s="20" t="str">
        <f t="shared" si="3"/>
        <v>3L</v>
      </c>
      <c r="D23" s="19" t="str">
        <f t="shared" si="4"/>
        <v>1L</v>
      </c>
      <c r="E23" s="18" t="str">
        <f t="shared" si="0"/>
        <v>USD3L1L15Y_Quote</v>
      </c>
      <c r="F23" s="18" t="str">
        <f>_xll.qlSimpleQuote(E23,,RateTickValue,Permanent,Trigger,ObjectOverwrite)</f>
        <v>USD3L1L15Y_Quote#0007</v>
      </c>
      <c r="G23" s="17" t="str">
        <f>_xll.ohRangeRetrieveError(F23)</f>
        <v/>
      </c>
      <c r="H23" s="16"/>
      <c r="N23" s="58">
        <v>15</v>
      </c>
      <c r="O23" s="126" t="s">
        <v>71</v>
      </c>
      <c r="P23" s="153" t="str">
        <v>3L</v>
      </c>
      <c r="Q23" s="153" t="str">
        <v>1L</v>
      </c>
      <c r="R23" s="152" t="str">
        <f t="shared" si="1"/>
        <v>USD3L1L15Y</v>
      </c>
      <c r="S23" s="125" t="str">
        <v>USD3L1L15Y=ICAP</v>
      </c>
      <c r="T23" s="216">
        <v>10.5</v>
      </c>
      <c r="U23" s="216">
        <v>0</v>
      </c>
      <c r="V23" s="216">
        <f>_xll.qlMidEquivalent(T23,U23)</f>
        <v>10.5</v>
      </c>
      <c r="W23" s="120" t="b">
        <f t="shared" si="2"/>
        <v>1</v>
      </c>
      <c r="X23" s="217">
        <v>10.5</v>
      </c>
      <c r="Y23" s="122"/>
      <c r="Z23" s="214">
        <v>8.6</v>
      </c>
      <c r="AA23" s="122"/>
      <c r="AB23" s="222">
        <v>10.5</v>
      </c>
      <c r="AC23" s="119">
        <f>_xll.qlSimpleQuoteSetValue(F23,AB23/10000,Trigger)</f>
        <v>0</v>
      </c>
      <c r="AD23" s="109"/>
    </row>
    <row r="24" spans="1:30" x14ac:dyDescent="0.2">
      <c r="A24" s="22"/>
      <c r="B24" s="21" t="s">
        <v>70</v>
      </c>
      <c r="C24" s="20" t="str">
        <f t="shared" si="3"/>
        <v>3L</v>
      </c>
      <c r="D24" s="19" t="str">
        <f t="shared" si="4"/>
        <v>1L</v>
      </c>
      <c r="E24" s="18" t="str">
        <f t="shared" si="0"/>
        <v>USD3L1L16Y_Quote</v>
      </c>
      <c r="F24" s="18" t="str">
        <f>_xll.qlSimpleQuote(E24,,RateTickValue,Permanent,Trigger,ObjectOverwrite)</f>
        <v>USD3L1L16Y_Quote#0007</v>
      </c>
      <c r="G24" s="17" t="str">
        <f>_xll.ohRangeRetrieveError(F24)</f>
        <v/>
      </c>
      <c r="H24" s="16"/>
      <c r="N24" s="58">
        <v>16</v>
      </c>
      <c r="O24" s="126" t="s">
        <v>70</v>
      </c>
      <c r="P24" s="153" t="str">
        <v>3L</v>
      </c>
      <c r="Q24" s="153" t="str">
        <v>1L</v>
      </c>
      <c r="R24" s="152" t="str">
        <f t="shared" si="1"/>
        <v>USD3L1L16Y</v>
      </c>
      <c r="S24" s="125" t="str">
        <v>USD3L1L16Y=ICAP</v>
      </c>
      <c r="T24" s="216" t="s">
        <v>184</v>
      </c>
      <c r="U24" s="216" t="s">
        <v>184</v>
      </c>
      <c r="V24" s="216" t="e">
        <f>_xll.qlMidEquivalent(T24,U24)</f>
        <v>#NUM!</v>
      </c>
      <c r="W24" s="120" t="b">
        <f t="shared" si="2"/>
        <v>0</v>
      </c>
      <c r="X24" s="217">
        <v>10.4512</v>
      </c>
      <c r="Y24" s="122"/>
      <c r="Z24" s="214">
        <v>8.3922226847447376</v>
      </c>
      <c r="AA24" s="122"/>
      <c r="AB24" s="222">
        <v>10.4512</v>
      </c>
      <c r="AC24" s="119">
        <f>_xll.qlSimpleQuoteSetValue(F24,AB24/10000,Trigger)</f>
        <v>0</v>
      </c>
      <c r="AD24" s="109"/>
    </row>
    <row r="25" spans="1:30" x14ac:dyDescent="0.2">
      <c r="A25" s="22"/>
      <c r="B25" s="21" t="s">
        <v>69</v>
      </c>
      <c r="C25" s="20" t="str">
        <f t="shared" si="3"/>
        <v>3L</v>
      </c>
      <c r="D25" s="19" t="str">
        <f t="shared" si="4"/>
        <v>1L</v>
      </c>
      <c r="E25" s="18" t="str">
        <f t="shared" si="0"/>
        <v>USD3L1L17Y_Quote</v>
      </c>
      <c r="F25" s="18" t="str">
        <f>_xll.qlSimpleQuote(E25,,RateTickValue,Permanent,Trigger,ObjectOverwrite)</f>
        <v>USD3L1L17Y_Quote#0007</v>
      </c>
      <c r="G25" s="17" t="str">
        <f>_xll.ohRangeRetrieveError(F25)</f>
        <v/>
      </c>
      <c r="H25" s="16"/>
      <c r="N25" s="58">
        <v>17</v>
      </c>
      <c r="O25" s="126" t="s">
        <v>69</v>
      </c>
      <c r="P25" s="153" t="str">
        <v>3L</v>
      </c>
      <c r="Q25" s="153" t="str">
        <v>1L</v>
      </c>
      <c r="R25" s="152" t="str">
        <f t="shared" si="1"/>
        <v>USD3L1L17Y</v>
      </c>
      <c r="S25" s="125" t="str">
        <v>USD3L1L17Y=ICAP</v>
      </c>
      <c r="T25" s="216" t="s">
        <v>184</v>
      </c>
      <c r="U25" s="216" t="s">
        <v>184</v>
      </c>
      <c r="V25" s="216" t="e">
        <f>_xll.qlMidEquivalent(T25,U25)</f>
        <v>#NUM!</v>
      </c>
      <c r="W25" s="120" t="b">
        <f t="shared" si="2"/>
        <v>0</v>
      </c>
      <c r="X25" s="217">
        <v>10.4216</v>
      </c>
      <c r="Y25" s="122"/>
      <c r="Z25" s="214">
        <v>8.2167092837366997</v>
      </c>
      <c r="AA25" s="122"/>
      <c r="AB25" s="222">
        <v>10.4216</v>
      </c>
      <c r="AC25" s="119">
        <f>_xll.qlSimpleQuoteSetValue(F25,AB25/10000,Trigger)</f>
        <v>0</v>
      </c>
      <c r="AD25" s="109"/>
    </row>
    <row r="26" spans="1:30" x14ac:dyDescent="0.2">
      <c r="A26" s="22"/>
      <c r="B26" s="21" t="s">
        <v>68</v>
      </c>
      <c r="C26" s="20" t="str">
        <f t="shared" si="3"/>
        <v>3L</v>
      </c>
      <c r="D26" s="19" t="str">
        <f t="shared" si="4"/>
        <v>1L</v>
      </c>
      <c r="E26" s="18" t="str">
        <f t="shared" si="0"/>
        <v>USD3L1L18Y_Quote</v>
      </c>
      <c r="F26" s="18" t="str">
        <f>_xll.qlSimpleQuote(E26,,RateTickValue,Permanent,Trigger,ObjectOverwrite)</f>
        <v>USD3L1L18Y_Quote#0007</v>
      </c>
      <c r="G26" s="17" t="str">
        <f>_xll.ohRangeRetrieveError(F26)</f>
        <v/>
      </c>
      <c r="H26" s="16"/>
      <c r="N26" s="58">
        <v>18</v>
      </c>
      <c r="O26" s="126" t="s">
        <v>68</v>
      </c>
      <c r="P26" s="153" t="str">
        <v>3L</v>
      </c>
      <c r="Q26" s="153" t="str">
        <v>1L</v>
      </c>
      <c r="R26" s="152" t="str">
        <f t="shared" si="1"/>
        <v>USD3L1L18Y</v>
      </c>
      <c r="S26" s="125" t="str">
        <v>USD3L1L18Y=ICAP</v>
      </c>
      <c r="T26" s="216" t="s">
        <v>184</v>
      </c>
      <c r="U26" s="216" t="s">
        <v>184</v>
      </c>
      <c r="V26" s="216" t="e">
        <f>_xll.qlMidEquivalent(T26,U26)</f>
        <v>#NUM!</v>
      </c>
      <c r="W26" s="120" t="b">
        <f t="shared" si="2"/>
        <v>0</v>
      </c>
      <c r="X26" s="217">
        <v>10.4064</v>
      </c>
      <c r="Y26" s="122"/>
      <c r="Z26" s="214">
        <v>8.0650845403562954</v>
      </c>
      <c r="AA26" s="122"/>
      <c r="AB26" s="222">
        <v>10.4064</v>
      </c>
      <c r="AC26" s="119">
        <f>_xll.qlSimpleQuoteSetValue(F26,AB26/10000,Trigger)</f>
        <v>0</v>
      </c>
      <c r="AD26" s="109"/>
    </row>
    <row r="27" spans="1:30" x14ac:dyDescent="0.2">
      <c r="A27" s="22"/>
      <c r="B27" s="21" t="s">
        <v>67</v>
      </c>
      <c r="C27" s="20" t="str">
        <f t="shared" si="3"/>
        <v>3L</v>
      </c>
      <c r="D27" s="19" t="str">
        <f t="shared" si="4"/>
        <v>1L</v>
      </c>
      <c r="E27" s="18" t="str">
        <f t="shared" si="0"/>
        <v>USD3L1L19Y_Quote</v>
      </c>
      <c r="F27" s="18" t="str">
        <f>_xll.qlSimpleQuote(E27,,RateTickValue,Permanent,Trigger,ObjectOverwrite)</f>
        <v>USD3L1L19Y_Quote#0007</v>
      </c>
      <c r="G27" s="17" t="str">
        <f>_xll.ohRangeRetrieveError(F27)</f>
        <v/>
      </c>
      <c r="H27" s="16"/>
      <c r="N27" s="58">
        <v>19</v>
      </c>
      <c r="O27" s="126" t="s">
        <v>67</v>
      </c>
      <c r="P27" s="153" t="str">
        <v>3L</v>
      </c>
      <c r="Q27" s="153" t="str">
        <v>1L</v>
      </c>
      <c r="R27" s="152" t="str">
        <f t="shared" si="1"/>
        <v>USD3L1L19Y</v>
      </c>
      <c r="S27" s="125" t="str">
        <v>USD3L1L19Y=ICAP</v>
      </c>
      <c r="T27" s="216" t="s">
        <v>184</v>
      </c>
      <c r="U27" s="216" t="s">
        <v>184</v>
      </c>
      <c r="V27" s="216" t="e">
        <f>_xll.qlMidEquivalent(T27,U27)</f>
        <v>#NUM!</v>
      </c>
      <c r="W27" s="120" t="b">
        <f t="shared" si="2"/>
        <v>0</v>
      </c>
      <c r="X27" s="217">
        <v>10.4008</v>
      </c>
      <c r="Y27" s="122"/>
      <c r="Z27" s="214">
        <v>7.9289731979839262</v>
      </c>
      <c r="AA27" s="122"/>
      <c r="AB27" s="222">
        <v>10.4008</v>
      </c>
      <c r="AC27" s="119">
        <f>_xll.qlSimpleQuoteSetValue(F27,AB27/10000,Trigger)</f>
        <v>0</v>
      </c>
      <c r="AD27" s="109"/>
    </row>
    <row r="28" spans="1:30" x14ac:dyDescent="0.2">
      <c r="A28" s="22"/>
      <c r="B28" s="21" t="s">
        <v>66</v>
      </c>
      <c r="C28" s="20" t="str">
        <f t="shared" si="3"/>
        <v>3L</v>
      </c>
      <c r="D28" s="19" t="str">
        <f t="shared" si="4"/>
        <v>1L</v>
      </c>
      <c r="E28" s="18" t="str">
        <f t="shared" si="0"/>
        <v>USD3L1L20Y_Quote</v>
      </c>
      <c r="F28" s="18" t="str">
        <f>_xll.qlSimpleQuote(E28,,RateTickValue,Permanent,Trigger,ObjectOverwrite)</f>
        <v>USD3L1L20Y_Quote#0007</v>
      </c>
      <c r="G28" s="17" t="str">
        <f>_xll.ohRangeRetrieveError(F28)</f>
        <v/>
      </c>
      <c r="H28" s="16"/>
      <c r="N28" s="58">
        <v>20</v>
      </c>
      <c r="O28" s="126" t="s">
        <v>66</v>
      </c>
      <c r="P28" s="153" t="str">
        <v>3L</v>
      </c>
      <c r="Q28" s="153" t="str">
        <v>1L</v>
      </c>
      <c r="R28" s="152" t="str">
        <f t="shared" si="1"/>
        <v>USD3L1L20Y</v>
      </c>
      <c r="S28" s="125" t="str">
        <v>USD3L1L20Y=ICAP</v>
      </c>
      <c r="T28" s="216">
        <v>10.4</v>
      </c>
      <c r="U28" s="216">
        <v>0</v>
      </c>
      <c r="V28" s="216">
        <f>_xll.qlMidEquivalent(T28,U28)</f>
        <v>10.4</v>
      </c>
      <c r="W28" s="120" t="b">
        <f t="shared" si="2"/>
        <v>1</v>
      </c>
      <c r="X28" s="217">
        <v>10.4</v>
      </c>
      <c r="Y28" s="122"/>
      <c r="Z28" s="214">
        <v>7.8</v>
      </c>
      <c r="AA28" s="122"/>
      <c r="AB28" s="222">
        <v>10.4</v>
      </c>
      <c r="AC28" s="119">
        <f>_xll.qlSimpleQuoteSetValue(F28,AB28/10000,Trigger)</f>
        <v>0</v>
      </c>
      <c r="AD28" s="109"/>
    </row>
    <row r="29" spans="1:30" x14ac:dyDescent="0.2">
      <c r="A29" s="22"/>
      <c r="B29" s="21" t="s">
        <v>65</v>
      </c>
      <c r="C29" s="20" t="str">
        <f t="shared" si="3"/>
        <v>3L</v>
      </c>
      <c r="D29" s="19" t="str">
        <f t="shared" si="4"/>
        <v>1L</v>
      </c>
      <c r="E29" s="18" t="str">
        <f t="shared" si="0"/>
        <v>USD3L1L21Y_Quote</v>
      </c>
      <c r="F29" s="18" t="str">
        <f>_xll.qlSimpleQuote(E29,,RateTickValue,Permanent,Trigger,ObjectOverwrite)</f>
        <v>USD3L1L21Y_Quote#0007</v>
      </c>
      <c r="G29" s="17" t="str">
        <f>_xll.ohRangeRetrieveError(F29)</f>
        <v/>
      </c>
      <c r="H29" s="16"/>
      <c r="N29" s="58">
        <v>21</v>
      </c>
      <c r="O29" s="126" t="s">
        <v>65</v>
      </c>
      <c r="P29" s="153" t="str">
        <v>3L</v>
      </c>
      <c r="Q29" s="153" t="str">
        <v>1L</v>
      </c>
      <c r="R29" s="152" t="str">
        <f t="shared" si="1"/>
        <v>USD3L1L21Y</v>
      </c>
      <c r="S29" s="125" t="str">
        <v>USD3L1L21Y=ICAP</v>
      </c>
      <c r="T29" s="216" t="s">
        <v>184</v>
      </c>
      <c r="U29" s="216" t="s">
        <v>184</v>
      </c>
      <c r="V29" s="216" t="e">
        <f>_xll.qlMidEquivalent(T29,U29)</f>
        <v>#NUM!</v>
      </c>
      <c r="W29" s="120" t="b">
        <f t="shared" si="2"/>
        <v>0</v>
      </c>
      <c r="X29" s="217">
        <v>10.410400000000001</v>
      </c>
      <c r="Y29" s="122"/>
      <c r="Z29" s="214">
        <v>7.671637112231152</v>
      </c>
      <c r="AA29" s="122"/>
      <c r="AB29" s="222">
        <v>10.410400000000001</v>
      </c>
      <c r="AC29" s="119">
        <f>_xll.qlSimpleQuoteSetValue(F29,AB29/10000,Trigger)</f>
        <v>0</v>
      </c>
      <c r="AD29" s="109"/>
    </row>
    <row r="30" spans="1:30" x14ac:dyDescent="0.2">
      <c r="A30" s="22"/>
      <c r="B30" s="21" t="s">
        <v>64</v>
      </c>
      <c r="C30" s="20" t="str">
        <f t="shared" si="3"/>
        <v>3L</v>
      </c>
      <c r="D30" s="19" t="str">
        <f t="shared" si="4"/>
        <v>1L</v>
      </c>
      <c r="E30" s="18" t="str">
        <f t="shared" si="0"/>
        <v>USD3L1L22Y_Quote</v>
      </c>
      <c r="F30" s="18" t="str">
        <f>_xll.qlSimpleQuote(E30,,RateTickValue,Permanent,Trigger,ObjectOverwrite)</f>
        <v>USD3L1L22Y_Quote#0007</v>
      </c>
      <c r="G30" s="17" t="str">
        <f>_xll.ohRangeRetrieveError(F30)</f>
        <v/>
      </c>
      <c r="H30" s="16"/>
      <c r="N30" s="58">
        <v>22</v>
      </c>
      <c r="O30" s="126" t="s">
        <v>64</v>
      </c>
      <c r="P30" s="153" t="str">
        <v>3L</v>
      </c>
      <c r="Q30" s="153" t="str">
        <v>1L</v>
      </c>
      <c r="R30" s="152" t="str">
        <f t="shared" si="1"/>
        <v>USD3L1L22Y</v>
      </c>
      <c r="S30" s="125" t="str">
        <v>USD3L1L22Y=ICAP</v>
      </c>
      <c r="T30" s="216" t="s">
        <v>184</v>
      </c>
      <c r="U30" s="216" t="s">
        <v>184</v>
      </c>
      <c r="V30" s="216" t="e">
        <f>_xll.qlMidEquivalent(T30,U30)</f>
        <v>#NUM!</v>
      </c>
      <c r="W30" s="120" t="b">
        <f t="shared" si="2"/>
        <v>0</v>
      </c>
      <c r="X30" s="217">
        <v>10.4352</v>
      </c>
      <c r="Y30" s="122"/>
      <c r="Z30" s="214">
        <v>7.5447463902889398</v>
      </c>
      <c r="AA30" s="122"/>
      <c r="AB30" s="222">
        <v>10.4352</v>
      </c>
      <c r="AC30" s="119">
        <f>_xll.qlSimpleQuoteSetValue(F30,AB30/10000,Trigger)</f>
        <v>0</v>
      </c>
      <c r="AD30" s="109"/>
    </row>
    <row r="31" spans="1:30" x14ac:dyDescent="0.2">
      <c r="A31" s="22"/>
      <c r="B31" s="21" t="s">
        <v>63</v>
      </c>
      <c r="C31" s="20" t="str">
        <f t="shared" si="3"/>
        <v>3L</v>
      </c>
      <c r="D31" s="19" t="str">
        <f t="shared" si="4"/>
        <v>1L</v>
      </c>
      <c r="E31" s="18" t="str">
        <f t="shared" si="0"/>
        <v>USD3L1L23Y_Quote</v>
      </c>
      <c r="F31" s="18" t="str">
        <f>_xll.qlSimpleQuote(E31,,RateTickValue,Permanent,Trigger,ObjectOverwrite)</f>
        <v>USD3L1L23Y_Quote#0007</v>
      </c>
      <c r="G31" s="17" t="str">
        <f>_xll.ohRangeRetrieveError(F31)</f>
        <v/>
      </c>
      <c r="H31" s="16"/>
      <c r="N31" s="58">
        <v>23</v>
      </c>
      <c r="O31" s="126" t="s">
        <v>63</v>
      </c>
      <c r="P31" s="153" t="str">
        <v>3L</v>
      </c>
      <c r="Q31" s="153" t="str">
        <v>1L</v>
      </c>
      <c r="R31" s="152" t="str">
        <f t="shared" si="1"/>
        <v>USD3L1L23Y</v>
      </c>
      <c r="S31" s="125" t="str">
        <v>USD3L1L23Y=ICAP</v>
      </c>
      <c r="T31" s="216" t="s">
        <v>184</v>
      </c>
      <c r="U31" s="216" t="s">
        <v>184</v>
      </c>
      <c r="V31" s="216" t="e">
        <f>_xll.qlMidEquivalent(T31,U31)</f>
        <v>#NUM!</v>
      </c>
      <c r="W31" s="120" t="b">
        <f t="shared" si="2"/>
        <v>0</v>
      </c>
      <c r="X31" s="217">
        <v>10.4648</v>
      </c>
      <c r="Y31" s="122"/>
      <c r="Z31" s="214">
        <v>7.4220371122311519</v>
      </c>
      <c r="AA31" s="122"/>
      <c r="AB31" s="222">
        <v>10.4648</v>
      </c>
      <c r="AC31" s="119">
        <f>_xll.qlSimpleQuoteSetValue(F31,AB31/10000,Trigger)</f>
        <v>0</v>
      </c>
      <c r="AD31" s="109"/>
    </row>
    <row r="32" spans="1:30" x14ac:dyDescent="0.2">
      <c r="A32" s="22"/>
      <c r="B32" s="21" t="s">
        <v>62</v>
      </c>
      <c r="C32" s="20" t="str">
        <f t="shared" si="3"/>
        <v>3L</v>
      </c>
      <c r="D32" s="19" t="str">
        <f t="shared" si="4"/>
        <v>1L</v>
      </c>
      <c r="E32" s="18" t="str">
        <f t="shared" si="0"/>
        <v>USD3L1L24Y_Quote</v>
      </c>
      <c r="F32" s="18" t="str">
        <f>_xll.qlSimpleQuote(E32,,RateTickValue,Permanent,Trigger,ObjectOverwrite)</f>
        <v>USD3L1L24Y_Quote#0007</v>
      </c>
      <c r="G32" s="17" t="str">
        <f>_xll.ohRangeRetrieveError(F32)</f>
        <v/>
      </c>
      <c r="H32" s="16"/>
      <c r="N32" s="58">
        <v>24</v>
      </c>
      <c r="O32" s="126" t="s">
        <v>62</v>
      </c>
      <c r="P32" s="153" t="str">
        <v>3L</v>
      </c>
      <c r="Q32" s="153" t="str">
        <v>1L</v>
      </c>
      <c r="R32" s="152" t="str">
        <f t="shared" si="1"/>
        <v>USD3L1L24Y</v>
      </c>
      <c r="S32" s="125" t="str">
        <v>USD3L1L24Y=ICAP</v>
      </c>
      <c r="T32" s="216" t="s">
        <v>184</v>
      </c>
      <c r="U32" s="216" t="s">
        <v>184</v>
      </c>
      <c r="V32" s="216" t="e">
        <f>_xll.qlMidEquivalent(T32,U32)</f>
        <v>#NUM!</v>
      </c>
      <c r="W32" s="120" t="b">
        <f t="shared" si="2"/>
        <v>0</v>
      </c>
      <c r="X32" s="217">
        <v>10.489599999999999</v>
      </c>
      <c r="Y32" s="122"/>
      <c r="Z32" s="214">
        <v>7.3062185561155761</v>
      </c>
      <c r="AA32" s="122"/>
      <c r="AB32" s="222">
        <v>10.489599999999999</v>
      </c>
      <c r="AC32" s="119">
        <f>_xll.qlSimpleQuoteSetValue(F32,AB32/10000,Trigger)</f>
        <v>0</v>
      </c>
      <c r="AD32" s="109"/>
    </row>
    <row r="33" spans="1:30" x14ac:dyDescent="0.2">
      <c r="A33" s="22"/>
      <c r="B33" s="21" t="s">
        <v>61</v>
      </c>
      <c r="C33" s="20" t="str">
        <f t="shared" si="3"/>
        <v>3L</v>
      </c>
      <c r="D33" s="19" t="str">
        <f t="shared" si="4"/>
        <v>1L</v>
      </c>
      <c r="E33" s="18" t="str">
        <f t="shared" si="0"/>
        <v>USD3L1L25Y_Quote</v>
      </c>
      <c r="F33" s="18" t="str">
        <f>_xll.qlSimpleQuote(E33,,RateTickValue,Permanent,Trigger,ObjectOverwrite)</f>
        <v>USD3L1L25Y_Quote#0007</v>
      </c>
      <c r="G33" s="17" t="str">
        <f>_xll.ohRangeRetrieveError(F33)</f>
        <v/>
      </c>
      <c r="H33" s="16"/>
      <c r="N33" s="58">
        <v>25</v>
      </c>
      <c r="O33" s="126" t="s">
        <v>61</v>
      </c>
      <c r="P33" s="153" t="str">
        <v>3L</v>
      </c>
      <c r="Q33" s="153" t="str">
        <v>1L</v>
      </c>
      <c r="R33" s="152" t="str">
        <f t="shared" si="1"/>
        <v>USD3L1L25Y</v>
      </c>
      <c r="S33" s="125" t="str">
        <v>USD3L1L25Y=ICAP</v>
      </c>
      <c r="T33" s="216">
        <v>10.5</v>
      </c>
      <c r="U33" s="216">
        <v>0</v>
      </c>
      <c r="V33" s="216">
        <f>_xll.qlMidEquivalent(T33,U33)</f>
        <v>10.5</v>
      </c>
      <c r="W33" s="120" t="b">
        <f t="shared" si="2"/>
        <v>1</v>
      </c>
      <c r="X33" s="217">
        <v>10.5</v>
      </c>
      <c r="Y33" s="122"/>
      <c r="Z33" s="214">
        <v>7.2</v>
      </c>
      <c r="AA33" s="122"/>
      <c r="AB33" s="222">
        <v>10.5</v>
      </c>
      <c r="AC33" s="119">
        <f>_xll.qlSimpleQuoteSetValue(F33,AB33/10000,Trigger)</f>
        <v>0</v>
      </c>
      <c r="AD33" s="109"/>
    </row>
    <row r="34" spans="1:30" x14ac:dyDescent="0.2">
      <c r="A34" s="22"/>
      <c r="B34" s="21" t="s">
        <v>60</v>
      </c>
      <c r="C34" s="20" t="str">
        <f t="shared" si="3"/>
        <v>3L</v>
      </c>
      <c r="D34" s="19" t="str">
        <f t="shared" si="4"/>
        <v>1L</v>
      </c>
      <c r="E34" s="18" t="str">
        <f t="shared" si="0"/>
        <v>USD3L1L26Y_Quote</v>
      </c>
      <c r="F34" s="18" t="str">
        <f>_xll.qlSimpleQuote(E34,,RateTickValue,Permanent,Trigger,ObjectOverwrite)</f>
        <v>USD3L1L26Y_Quote#0007</v>
      </c>
      <c r="G34" s="17" t="str">
        <f>_xll.ohRangeRetrieveError(F34)</f>
        <v/>
      </c>
      <c r="H34" s="16"/>
      <c r="N34" s="58">
        <v>26</v>
      </c>
      <c r="O34" s="126" t="s">
        <v>60</v>
      </c>
      <c r="P34" s="153" t="str">
        <v>3L</v>
      </c>
      <c r="Q34" s="153" t="str">
        <v>1L</v>
      </c>
      <c r="R34" s="152" t="str">
        <f t="shared" si="1"/>
        <v>USD3L1L26Y</v>
      </c>
      <c r="S34" s="125" t="str">
        <v>USD3L1L26Y=ICAP</v>
      </c>
      <c r="T34" s="216" t="s">
        <v>184</v>
      </c>
      <c r="U34" s="216" t="s">
        <v>184</v>
      </c>
      <c r="V34" s="216" t="e">
        <f>_xll.qlMidEquivalent(T34,U34)</f>
        <v>#NUM!</v>
      </c>
      <c r="W34" s="120" t="b">
        <f t="shared" si="2"/>
        <v>0</v>
      </c>
      <c r="X34" s="217">
        <v>10.5</v>
      </c>
      <c r="Y34" s="122"/>
      <c r="Z34" s="214">
        <v>7.1052288663306546</v>
      </c>
      <c r="AA34" s="122"/>
      <c r="AB34" s="222">
        <v>10.5</v>
      </c>
      <c r="AC34" s="119">
        <f>_xll.qlSimpleQuoteSetValue(F34,AB34/10000,Trigger)</f>
        <v>0</v>
      </c>
      <c r="AD34" s="109"/>
    </row>
    <row r="35" spans="1:30" x14ac:dyDescent="0.2">
      <c r="A35" s="22"/>
      <c r="B35" s="21" t="s">
        <v>59</v>
      </c>
      <c r="C35" s="20" t="str">
        <f t="shared" si="3"/>
        <v>3L</v>
      </c>
      <c r="D35" s="19" t="str">
        <f t="shared" si="4"/>
        <v>1L</v>
      </c>
      <c r="E35" s="18" t="str">
        <f t="shared" si="0"/>
        <v>USD3L1L27Y_Quote</v>
      </c>
      <c r="F35" s="18" t="str">
        <f>_xll.qlSimpleQuote(E35,,RateTickValue,Permanent,Trigger,ObjectOverwrite)</f>
        <v>USD3L1L27Y_Quote#0007</v>
      </c>
      <c r="G35" s="17" t="str">
        <f>_xll.ohRangeRetrieveError(F35)</f>
        <v/>
      </c>
      <c r="H35" s="16"/>
      <c r="N35" s="58">
        <v>27</v>
      </c>
      <c r="O35" s="126" t="s">
        <v>59</v>
      </c>
      <c r="P35" s="153" t="str">
        <v>3L</v>
      </c>
      <c r="Q35" s="153" t="str">
        <v>1L</v>
      </c>
      <c r="R35" s="152" t="str">
        <f t="shared" si="1"/>
        <v>USD3L1L27Y</v>
      </c>
      <c r="S35" s="125" t="str">
        <v>USD3L1L27Y=ICAP</v>
      </c>
      <c r="T35" s="216" t="s">
        <v>184</v>
      </c>
      <c r="U35" s="216" t="s">
        <v>184</v>
      </c>
      <c r="V35" s="216" t="e">
        <f>_xll.qlMidEquivalent(T35,U35)</f>
        <v>#NUM!</v>
      </c>
      <c r="W35" s="120" t="b">
        <f t="shared" si="2"/>
        <v>0</v>
      </c>
      <c r="X35" s="217">
        <v>10.5</v>
      </c>
      <c r="Y35" s="122"/>
      <c r="Z35" s="214">
        <v>7.0203051551075397</v>
      </c>
      <c r="AA35" s="122"/>
      <c r="AB35" s="222">
        <v>10.5</v>
      </c>
      <c r="AC35" s="119">
        <f>_xll.qlSimpleQuoteSetValue(F35,AB35/10000,Trigger)</f>
        <v>0</v>
      </c>
      <c r="AD35" s="109"/>
    </row>
    <row r="36" spans="1:30" x14ac:dyDescent="0.2">
      <c r="A36" s="22"/>
      <c r="B36" s="21" t="s">
        <v>58</v>
      </c>
      <c r="C36" s="20" t="str">
        <f t="shared" si="3"/>
        <v>3L</v>
      </c>
      <c r="D36" s="19" t="str">
        <f t="shared" si="4"/>
        <v>1L</v>
      </c>
      <c r="E36" s="18" t="str">
        <f t="shared" si="0"/>
        <v>USD3L1L28Y_Quote</v>
      </c>
      <c r="F36" s="18" t="str">
        <f>_xll.qlSimpleQuote(E36,,RateTickValue,Permanent,Trigger,ObjectOverwrite)</f>
        <v>USD3L1L28Y_Quote#0007</v>
      </c>
      <c r="G36" s="17" t="str">
        <f>_xll.ohRangeRetrieveError(F36)</f>
        <v/>
      </c>
      <c r="H36" s="16"/>
      <c r="N36" s="58">
        <v>28</v>
      </c>
      <c r="O36" s="126" t="s">
        <v>58</v>
      </c>
      <c r="P36" s="153" t="str">
        <v>3L</v>
      </c>
      <c r="Q36" s="153" t="str">
        <v>1L</v>
      </c>
      <c r="R36" s="152" t="str">
        <f t="shared" si="1"/>
        <v>USD3L1L28Y</v>
      </c>
      <c r="S36" s="125" t="str">
        <v>USD3L1L28Y=ICAP</v>
      </c>
      <c r="T36" s="216" t="s">
        <v>184</v>
      </c>
      <c r="U36" s="216" t="s">
        <v>184</v>
      </c>
      <c r="V36" s="216" t="e">
        <f>_xll.qlMidEquivalent(T36,U36)</f>
        <v>#NUM!</v>
      </c>
      <c r="W36" s="120" t="b">
        <f t="shared" si="2"/>
        <v>0</v>
      </c>
      <c r="X36" s="217">
        <v>10.5</v>
      </c>
      <c r="Y36" s="122"/>
      <c r="Z36" s="214">
        <v>6.9427670107190966</v>
      </c>
      <c r="AA36" s="122"/>
      <c r="AB36" s="222">
        <v>10.5</v>
      </c>
      <c r="AC36" s="119">
        <f>_xll.qlSimpleQuoteSetValue(F36,AB36/10000,Trigger)</f>
        <v>0</v>
      </c>
      <c r="AD36" s="109"/>
    </row>
    <row r="37" spans="1:30" x14ac:dyDescent="0.2">
      <c r="A37" s="22"/>
      <c r="B37" s="21" t="s">
        <v>57</v>
      </c>
      <c r="C37" s="20" t="str">
        <f t="shared" si="3"/>
        <v>3L</v>
      </c>
      <c r="D37" s="19" t="str">
        <f t="shared" si="4"/>
        <v>1L</v>
      </c>
      <c r="E37" s="18" t="str">
        <f t="shared" si="0"/>
        <v>USD3L1L29Y_Quote</v>
      </c>
      <c r="F37" s="18" t="str">
        <f>_xll.qlSimpleQuote(E37,,RateTickValue,Permanent,Trigger,ObjectOverwrite)</f>
        <v>USD3L1L29Y_Quote#0007</v>
      </c>
      <c r="G37" s="17" t="str">
        <f>_xll.ohRangeRetrieveError(F37)</f>
        <v/>
      </c>
      <c r="H37" s="16"/>
      <c r="N37" s="58">
        <v>29</v>
      </c>
      <c r="O37" s="126" t="s">
        <v>57</v>
      </c>
      <c r="P37" s="153" t="str">
        <v>3L</v>
      </c>
      <c r="Q37" s="153" t="str">
        <v>1L</v>
      </c>
      <c r="R37" s="152" t="str">
        <f t="shared" si="1"/>
        <v>USD3L1L29Y</v>
      </c>
      <c r="S37" s="125" t="str">
        <v>USD3L1L29Y=ICAP</v>
      </c>
      <c r="T37" s="216" t="s">
        <v>184</v>
      </c>
      <c r="U37" s="216" t="s">
        <v>184</v>
      </c>
      <c r="V37" s="216" t="e">
        <f>_xll.qlMidEquivalent(T37,U37)</f>
        <v>#NUM!</v>
      </c>
      <c r="W37" s="120" t="b">
        <f t="shared" si="2"/>
        <v>0</v>
      </c>
      <c r="X37" s="217">
        <v>10.5</v>
      </c>
      <c r="Y37" s="122"/>
      <c r="Z37" s="214">
        <v>6.8701525775537693</v>
      </c>
      <c r="AA37" s="122"/>
      <c r="AB37" s="222">
        <v>10.5</v>
      </c>
      <c r="AC37" s="119">
        <f>_xll.qlSimpleQuoteSetValue(F37,AB37/10000,Trigger)</f>
        <v>0</v>
      </c>
      <c r="AD37" s="109"/>
    </row>
    <row r="38" spans="1:30" x14ac:dyDescent="0.2">
      <c r="A38" s="22"/>
      <c r="B38" s="21" t="s">
        <v>56</v>
      </c>
      <c r="C38" s="20" t="str">
        <f t="shared" si="3"/>
        <v>3L</v>
      </c>
      <c r="D38" s="19" t="str">
        <f t="shared" si="4"/>
        <v>1L</v>
      </c>
      <c r="E38" s="18" t="str">
        <f t="shared" si="0"/>
        <v>USD3L1L30Y_Quote</v>
      </c>
      <c r="F38" s="18" t="str">
        <f>_xll.qlSimpleQuote(E38,,RateTickValue,Permanent,Trigger,ObjectOverwrite)</f>
        <v>USD3L1L30Y_Quote#0007</v>
      </c>
      <c r="G38" s="17" t="str">
        <f>_xll.ohRangeRetrieveError(F38)</f>
        <v/>
      </c>
      <c r="H38" s="16"/>
      <c r="N38" s="58">
        <v>30</v>
      </c>
      <c r="O38" s="126" t="s">
        <v>56</v>
      </c>
      <c r="P38" s="153" t="str">
        <v>3L</v>
      </c>
      <c r="Q38" s="153" t="str">
        <v>1L</v>
      </c>
      <c r="R38" s="152" t="str">
        <f t="shared" si="1"/>
        <v>USD3L1L30Y</v>
      </c>
      <c r="S38" s="125" t="str">
        <v>USD3L1L30Y=ICAP</v>
      </c>
      <c r="T38" s="216">
        <v>10.5</v>
      </c>
      <c r="U38" s="216">
        <v>0</v>
      </c>
      <c r="V38" s="216">
        <f>_xll.qlMidEquivalent(T38,U38)</f>
        <v>10.5</v>
      </c>
      <c r="W38" s="120" t="b">
        <f t="shared" si="2"/>
        <v>1</v>
      </c>
      <c r="X38" s="217">
        <v>10.5</v>
      </c>
      <c r="Y38" s="122"/>
      <c r="Z38" s="214">
        <v>6.8</v>
      </c>
      <c r="AA38" s="122"/>
      <c r="AB38" s="222">
        <v>10.5</v>
      </c>
      <c r="AC38" s="119">
        <f>_xll.qlSimpleQuoteSetValue(F38,AB38/10000,Trigger)</f>
        <v>0</v>
      </c>
      <c r="AD38" s="109"/>
    </row>
    <row r="39" spans="1:30" x14ac:dyDescent="0.2">
      <c r="A39" s="22"/>
      <c r="B39" s="21" t="s">
        <v>51</v>
      </c>
      <c r="C39" s="20" t="str">
        <f t="shared" si="3"/>
        <v>3L</v>
      </c>
      <c r="D39" s="19" t="str">
        <f t="shared" si="4"/>
        <v>1L</v>
      </c>
      <c r="E39" s="18" t="str">
        <f t="shared" si="0"/>
        <v>USD3L1L35Y_Quote</v>
      </c>
      <c r="F39" s="18" t="str">
        <f>_xll.qlSimpleQuote(E39,,RateTickValue,Permanent,Trigger,ObjectOverwrite)</f>
        <v>USD3L1L35Y_Quote#0007</v>
      </c>
      <c r="G39" s="17" t="str">
        <f>_xll.ohRangeRetrieveError(F39)</f>
        <v/>
      </c>
      <c r="H39" s="16"/>
      <c r="N39" s="58">
        <v>35</v>
      </c>
      <c r="O39" s="126" t="s">
        <v>51</v>
      </c>
      <c r="P39" s="153" t="str">
        <v>3L</v>
      </c>
      <c r="Q39" s="153" t="str">
        <v>1L</v>
      </c>
      <c r="R39" s="152" t="str">
        <f t="shared" si="1"/>
        <v>USD3L1L35Y</v>
      </c>
      <c r="S39" s="125" t="str">
        <v>USD3L1L35Y=ICAP</v>
      </c>
      <c r="T39" s="216" t="s">
        <v>184</v>
      </c>
      <c r="U39" s="216" t="s">
        <v>184</v>
      </c>
      <c r="V39" s="216" t="e">
        <f>_xll.qlMidEquivalent(T39,U39)</f>
        <v>#NUM!</v>
      </c>
      <c r="W39" s="120" t="b">
        <f t="shared" si="2"/>
        <v>0</v>
      </c>
      <c r="X39" s="215">
        <f>X38</f>
        <v>10.5</v>
      </c>
      <c r="Y39" s="122"/>
      <c r="Z39" s="214">
        <v>6.8</v>
      </c>
      <c r="AA39" s="122"/>
      <c r="AB39" s="222">
        <v>10.5</v>
      </c>
      <c r="AC39" s="119">
        <f>_xll.qlSimpleQuoteSetValue(F39,AB39/10000,Trigger)</f>
        <v>0</v>
      </c>
      <c r="AD39" s="109"/>
    </row>
    <row r="40" spans="1:30" x14ac:dyDescent="0.2">
      <c r="A40" s="22"/>
      <c r="B40" s="21" t="s">
        <v>46</v>
      </c>
      <c r="C40" s="20" t="str">
        <f t="shared" si="3"/>
        <v>3L</v>
      </c>
      <c r="D40" s="19" t="str">
        <f t="shared" si="4"/>
        <v>1L</v>
      </c>
      <c r="E40" s="18" t="str">
        <f t="shared" si="0"/>
        <v>USD3L1L40Y_Quote</v>
      </c>
      <c r="F40" s="18" t="str">
        <f>_xll.qlSimpleQuote(E40,,RateTickValue,Permanent,Trigger,ObjectOverwrite)</f>
        <v>USD3L1L40Y_Quote#0007</v>
      </c>
      <c r="G40" s="17" t="str">
        <f>_xll.ohRangeRetrieveError(F40)</f>
        <v/>
      </c>
      <c r="H40" s="16"/>
      <c r="N40" s="58">
        <v>40</v>
      </c>
      <c r="O40" s="126" t="s">
        <v>46</v>
      </c>
      <c r="P40" s="153" t="str">
        <v>3L</v>
      </c>
      <c r="Q40" s="153" t="str">
        <v>1L</v>
      </c>
      <c r="R40" s="152" t="str">
        <f t="shared" si="1"/>
        <v>USD3L1L40Y</v>
      </c>
      <c r="S40" s="125" t="str">
        <v>USD3L1L40Y=ICAP</v>
      </c>
      <c r="T40" s="216" t="s">
        <v>184</v>
      </c>
      <c r="U40" s="216" t="s">
        <v>184</v>
      </c>
      <c r="V40" s="216" t="e">
        <f>_xll.qlMidEquivalent(T40,U40)</f>
        <v>#NUM!</v>
      </c>
      <c r="W40" s="120" t="b">
        <f t="shared" si="2"/>
        <v>0</v>
      </c>
      <c r="X40" s="215">
        <f>X39</f>
        <v>10.5</v>
      </c>
      <c r="Y40" s="122"/>
      <c r="Z40" s="214">
        <v>6.8</v>
      </c>
      <c r="AA40" s="122"/>
      <c r="AB40" s="222">
        <v>10.5</v>
      </c>
      <c r="AC40" s="119">
        <f>_xll.qlSimpleQuoteSetValue(F40,AB40/10000,Trigger)</f>
        <v>0</v>
      </c>
      <c r="AD40" s="109"/>
    </row>
    <row r="41" spans="1:30" x14ac:dyDescent="0.2">
      <c r="A41" s="22"/>
      <c r="B41" s="21" t="s">
        <v>36</v>
      </c>
      <c r="C41" s="20" t="str">
        <f t="shared" si="3"/>
        <v>3L</v>
      </c>
      <c r="D41" s="19" t="str">
        <f t="shared" si="4"/>
        <v>1L</v>
      </c>
      <c r="E41" s="18" t="str">
        <f t="shared" si="0"/>
        <v>USD3L1L50Y_Quote</v>
      </c>
      <c r="F41" s="18" t="str">
        <f>_xll.qlSimpleQuote(E41,,RateTickValue,Permanent,Trigger,ObjectOverwrite)</f>
        <v>USD3L1L50Y_Quote#0007</v>
      </c>
      <c r="G41" s="17" t="str">
        <f>_xll.ohRangeRetrieveError(F41)</f>
        <v/>
      </c>
      <c r="H41" s="16"/>
      <c r="N41" s="58">
        <v>50</v>
      </c>
      <c r="O41" s="126" t="s">
        <v>36</v>
      </c>
      <c r="P41" s="153" t="str">
        <v>3L</v>
      </c>
      <c r="Q41" s="153" t="str">
        <v>1L</v>
      </c>
      <c r="R41" s="152" t="str">
        <f t="shared" si="1"/>
        <v>USD3L1L50Y</v>
      </c>
      <c r="S41" s="125" t="str">
        <v>USD3L1L50Y=ICAP</v>
      </c>
      <c r="T41" s="216" t="s">
        <v>184</v>
      </c>
      <c r="U41" s="216" t="s">
        <v>184</v>
      </c>
      <c r="V41" s="216" t="e">
        <f>_xll.qlMidEquivalent(T41,U41)</f>
        <v>#NUM!</v>
      </c>
      <c r="W41" s="120" t="b">
        <f t="shared" si="2"/>
        <v>0</v>
      </c>
      <c r="X41" s="215">
        <f>X40</f>
        <v>10.5</v>
      </c>
      <c r="Y41" s="122"/>
      <c r="Z41" s="214">
        <v>6.8</v>
      </c>
      <c r="AA41" s="122"/>
      <c r="AB41" s="222">
        <v>10.5</v>
      </c>
      <c r="AC41" s="119">
        <f>_xll.qlSimpleQuoteSetValue(F41,AB41/10000,Trigger)</f>
        <v>0</v>
      </c>
      <c r="AD41" s="109"/>
    </row>
    <row r="42" spans="1:30" x14ac:dyDescent="0.2">
      <c r="A42" s="22"/>
      <c r="B42" s="21" t="s">
        <v>26</v>
      </c>
      <c r="C42" s="20" t="str">
        <f t="shared" si="3"/>
        <v>3L</v>
      </c>
      <c r="D42" s="19" t="str">
        <f t="shared" si="4"/>
        <v>1L</v>
      </c>
      <c r="E42" s="18" t="str">
        <f t="shared" si="0"/>
        <v>USD3L1L60Y_Quote</v>
      </c>
      <c r="F42" s="18" t="str">
        <f>_xll.qlSimpleQuote(E42,,RateTickValue,Permanent,Trigger,ObjectOverwrite)</f>
        <v>USD3L1L60Y_Quote#0007</v>
      </c>
      <c r="G42" s="17" t="str">
        <f>_xll.ohRangeRetrieveError(F42)</f>
        <v/>
      </c>
      <c r="H42" s="16"/>
      <c r="N42" s="58">
        <v>60</v>
      </c>
      <c r="O42" s="133" t="s">
        <v>26</v>
      </c>
      <c r="P42" s="151" t="str">
        <v>3L</v>
      </c>
      <c r="Q42" s="151" t="str">
        <v>1L</v>
      </c>
      <c r="R42" s="150" t="str">
        <f t="shared" si="1"/>
        <v>USD3L1L60Y</v>
      </c>
      <c r="S42" s="132" t="str">
        <v>USD3L1L60Y=ICAP</v>
      </c>
      <c r="T42" s="213" t="s">
        <v>184</v>
      </c>
      <c r="U42" s="213" t="s">
        <v>184</v>
      </c>
      <c r="V42" s="213" t="e">
        <f>_xll.qlMidEquivalent(T42,U42)</f>
        <v>#NUM!</v>
      </c>
      <c r="W42" s="129" t="b">
        <f t="shared" si="2"/>
        <v>0</v>
      </c>
      <c r="X42" s="212">
        <f>X41</f>
        <v>10.5</v>
      </c>
      <c r="Y42" s="122"/>
      <c r="Z42" s="211">
        <v>6.8</v>
      </c>
      <c r="AA42" s="122"/>
      <c r="AB42" s="223">
        <v>10.5</v>
      </c>
      <c r="AC42" s="128">
        <f>_xll.qlSimpleQuoteSetValue(F42,AB42/10000,Trigger)</f>
        <v>0</v>
      </c>
      <c r="AD42" s="109"/>
    </row>
    <row r="43" spans="1:30" ht="12" thickBot="1" x14ac:dyDescent="0.25">
      <c r="A43" s="15"/>
      <c r="B43" s="14"/>
      <c r="C43" s="14"/>
      <c r="D43" s="14"/>
      <c r="E43" s="14"/>
      <c r="F43" s="13"/>
      <c r="G43" s="13"/>
      <c r="H43" s="12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149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2" customWidth="1"/>
    <col min="2" max="2" width="6.5703125" style="2" bestFit="1" customWidth="1"/>
    <col min="3" max="4" width="2.7109375" style="2" bestFit="1" customWidth="1"/>
    <col min="5" max="5" width="17.85546875" style="2" bestFit="1" customWidth="1"/>
    <col min="6" max="6" width="19.7109375" style="2" bestFit="1" customWidth="1"/>
    <col min="7" max="7" width="36.28515625" style="2" customWidth="1"/>
    <col min="8" max="9" width="2.7109375" style="2" customWidth="1"/>
    <col min="10" max="12" width="3.5703125" style="2" customWidth="1"/>
    <col min="13" max="13" width="2.7109375" style="2" customWidth="1"/>
    <col min="14" max="17" width="9.140625" style="2"/>
    <col min="18" max="18" width="10.28515625" style="2" bestFit="1" customWidth="1"/>
    <col min="19" max="19" width="14.5703125" style="2" bestFit="1" customWidth="1"/>
    <col min="20" max="24" width="9.140625" style="2"/>
    <col min="25" max="25" width="2.7109375" style="2" customWidth="1"/>
    <col min="26" max="26" width="9.140625" style="2"/>
    <col min="27" max="27" width="2.7109375" style="2" customWidth="1"/>
    <col min="28" max="29" width="9.140625" style="2"/>
    <col min="30" max="31" width="2.7109375" style="2" customWidth="1"/>
    <col min="32" max="16384" width="9.140625" style="2"/>
  </cols>
  <sheetData>
    <row r="1" spans="1:36" x14ac:dyDescent="0.2">
      <c r="A1" s="2" t="s">
        <v>319</v>
      </c>
      <c r="N1" s="159" t="s">
        <v>233</v>
      </c>
      <c r="O1" s="99"/>
      <c r="P1" s="99"/>
      <c r="Q1" s="99"/>
      <c r="R1" s="99"/>
      <c r="S1" s="99" t="s">
        <v>220</v>
      </c>
      <c r="T1" s="99"/>
      <c r="U1" s="99"/>
      <c r="V1" s="99"/>
      <c r="W1" s="99"/>
      <c r="X1" s="99"/>
      <c r="Y1" s="99"/>
      <c r="Z1" s="99"/>
      <c r="AA1" s="99"/>
      <c r="AB1" s="99"/>
      <c r="AC1" s="99"/>
      <c r="AD1" s="96"/>
      <c r="AE1" s="3"/>
      <c r="AF1" s="3"/>
      <c r="AG1" s="3"/>
      <c r="AH1" s="3"/>
      <c r="AI1" s="3"/>
      <c r="AJ1" s="3"/>
    </row>
    <row r="2" spans="1:36" x14ac:dyDescent="0.2">
      <c r="N2" s="146"/>
      <c r="O2" s="60"/>
      <c r="P2" s="122"/>
      <c r="Q2" s="122"/>
      <c r="R2" s="122"/>
      <c r="S2" s="67" t="str">
        <f>VLOOKUP($A$1,AreaTable,AreaIndex,0)</f>
        <v>ICAP LN</v>
      </c>
      <c r="T2" s="122"/>
      <c r="U2" s="122"/>
      <c r="V2" s="122"/>
      <c r="W2" s="122"/>
      <c r="X2" s="60"/>
      <c r="Y2" s="122"/>
      <c r="Z2" s="122"/>
      <c r="AA2" s="122"/>
      <c r="AB2" s="122"/>
      <c r="AC2" s="60"/>
      <c r="AD2" s="9"/>
      <c r="AE2" s="3"/>
      <c r="AF2" s="3"/>
      <c r="AG2" s="3"/>
      <c r="AH2" s="3"/>
      <c r="AI2" s="3"/>
      <c r="AJ2" s="3"/>
    </row>
    <row r="3" spans="1:36" x14ac:dyDescent="0.2">
      <c r="A3" s="43" t="s">
        <v>113</v>
      </c>
      <c r="B3" s="40"/>
      <c r="C3" s="40"/>
      <c r="D3" s="40"/>
      <c r="E3" s="41"/>
      <c r="F3" s="42"/>
      <c r="G3" s="41"/>
      <c r="H3" s="37"/>
      <c r="N3" s="58"/>
      <c r="O3" s="122"/>
      <c r="P3" s="60"/>
      <c r="Q3" s="60"/>
      <c r="R3" s="60"/>
      <c r="S3" s="60" t="e">
        <f>_xll.qlInterpolation(,InterpolationType,_xll.ohFilter(N5:N42,W5:W42),_xll.ohFilter(V5:V42,W5:W42))</f>
        <v>#NUM!</v>
      </c>
      <c r="T3" s="60"/>
      <c r="U3" s="60"/>
      <c r="V3" s="60"/>
      <c r="W3" s="60"/>
      <c r="X3" s="60"/>
      <c r="Y3" s="122"/>
      <c r="Z3" s="122"/>
      <c r="AA3" s="122"/>
      <c r="AB3" s="60"/>
      <c r="AC3" s="143">
        <f>_xll.ohTrigger(AC5:AC42)</f>
        <v>9</v>
      </c>
      <c r="AD3" s="109"/>
      <c r="AE3" s="3"/>
      <c r="AF3" s="3"/>
      <c r="AG3" s="3"/>
      <c r="AH3" s="3"/>
      <c r="AI3" s="3"/>
      <c r="AJ3" s="3"/>
    </row>
    <row r="4" spans="1:36" ht="23.25" thickBot="1" x14ac:dyDescent="0.25">
      <c r="A4" s="22"/>
      <c r="B4" s="35" t="s">
        <v>105</v>
      </c>
      <c r="C4" s="36"/>
      <c r="D4" s="35"/>
      <c r="E4" s="34" t="str">
        <f>Currency&amp;"_010_Sw"&amp;$C$6&amp;$D$6&amp;".xml"</f>
        <v>USD_010_Sw6L3L.xml</v>
      </c>
      <c r="F4" s="33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N4" s="58"/>
      <c r="O4" s="158"/>
      <c r="P4" s="94"/>
      <c r="Q4" s="94"/>
      <c r="R4" s="94"/>
      <c r="S4" s="117" t="str">
        <f>_xll.RData(S5:S42,T4:U4,"RTFEED:IDN",ReutersRtMode,,T5)</f>
        <v>Paused at 16:20:41</v>
      </c>
      <c r="T4" s="157" t="s">
        <v>179</v>
      </c>
      <c r="U4" s="157" t="s">
        <v>178</v>
      </c>
      <c r="V4" s="157" t="s">
        <v>218</v>
      </c>
      <c r="W4" s="157"/>
      <c r="X4" s="139" t="s">
        <v>217</v>
      </c>
      <c r="Y4" s="122"/>
      <c r="Z4" s="141" t="s">
        <v>195</v>
      </c>
      <c r="AA4" s="122"/>
      <c r="AB4" s="220" t="s">
        <v>194</v>
      </c>
      <c r="AC4" s="36" t="s">
        <v>193</v>
      </c>
      <c r="AD4" s="109"/>
      <c r="AE4" s="3"/>
      <c r="AF4" s="3"/>
      <c r="AG4" s="3"/>
      <c r="AH4" s="3"/>
      <c r="AI4" s="3"/>
      <c r="AJ4" s="156" t="s">
        <v>219</v>
      </c>
    </row>
    <row r="5" spans="1:36" x14ac:dyDescent="0.2">
      <c r="A5" s="22"/>
      <c r="B5" s="32" t="s">
        <v>14</v>
      </c>
      <c r="C5" s="20" t="str">
        <f>VLOOKUP(Currency,$J$10:$L$14,2)</f>
        <v>6L</v>
      </c>
      <c r="D5" s="19" t="str">
        <f>VLOOKUP(Currency,$J$10:$L$14,3)</f>
        <v>3L</v>
      </c>
      <c r="E5" s="18" t="str">
        <f t="shared" ref="E5:E42" si="0">IF(ISBLANK(C5),"#",Currency&amp;$C5&amp;$D5&amp;$B5&amp;QuoteSuffix)</f>
        <v>USD6L3L6M_Quote</v>
      </c>
      <c r="F5" s="18" t="str">
        <f>_xll.qlSimpleQuote(E5,,RateTickValue,Permanent,Trigger,ObjectOverwrite)</f>
        <v>USD6L3L6M_Quote#0007</v>
      </c>
      <c r="G5" s="17" t="str">
        <f>_xll.ohRangeRetrieveError(F5)</f>
        <v/>
      </c>
      <c r="H5" s="16"/>
      <c r="N5" s="218">
        <v>0.5</v>
      </c>
      <c r="O5" s="126" t="s">
        <v>14</v>
      </c>
      <c r="P5" s="153" t="str">
        <f t="array" ref="P5:P42">VLOOKUP(Currency,Conventions,2)</f>
        <v>6L</v>
      </c>
      <c r="Q5" s="153" t="str">
        <f t="array" ref="Q5:Q42">VLOOKUP(Currency,Conventions,3)</f>
        <v>3L</v>
      </c>
      <c r="R5" s="152" t="str">
        <f t="shared" ref="R5:R42" si="1">Currency&amp;$P5&amp;$Q5&amp;$O5</f>
        <v>USD6L3L6M</v>
      </c>
      <c r="S5" s="125" t="str">
        <f t="array" ref="S5:S42">IF(UPPER(Contributor)="ICAP",Currency&amp;P5:P42&amp;Q5:Q42&amp;O5:O42,Currency&amp;Q5:Q42&amp;P5:P42&amp;O5:O42)&amp;"="&amp;VLOOKUP(Contributor,ContributorTable,2,FALSE)</f>
        <v>USD3L6L6M=ICAP</v>
      </c>
      <c r="T5" s="216" t="s">
        <v>184</v>
      </c>
      <c r="U5" s="216" t="s">
        <v>184</v>
      </c>
      <c r="V5" s="216" t="e">
        <f>_xll.qlMidEquivalent(T5,U5)</f>
        <v>#NUM!</v>
      </c>
      <c r="W5" s="120" t="b">
        <f t="shared" ref="W5:W42" si="2">IF(ISNUMBER(V5),TRUE,FALSE)</f>
        <v>0</v>
      </c>
      <c r="X5" s="217" t="e">
        <f t="array" ref="X5:X38">_xll.qlInterpolationInterpolate(S3,N5:N42)</f>
        <v>#VALUE!</v>
      </c>
      <c r="Y5" s="122"/>
      <c r="Z5" s="214">
        <v>8.5</v>
      </c>
      <c r="AA5" s="122"/>
      <c r="AB5" s="222" t="e">
        <f t="array" ref="AB5:AB42">QuoteLive</f>
        <v>#VALUE!</v>
      </c>
      <c r="AC5" s="119">
        <f>_xll.qlSimpleQuoteSetValue(F5,AB5/10000,Trigger)</f>
        <v>0</v>
      </c>
      <c r="AD5" s="109"/>
      <c r="AE5" s="3"/>
      <c r="AF5" s="31" t="s">
        <v>101</v>
      </c>
      <c r="AG5" s="30" t="s">
        <v>94</v>
      </c>
      <c r="AH5" s="29" t="s">
        <v>95</v>
      </c>
      <c r="AI5" s="3" t="str">
        <f t="shared" ref="AI5:AI42" si="3">O5</f>
        <v>6M</v>
      </c>
      <c r="AJ5" s="210" t="e">
        <f>((#REF!-Swap3M!AB5)*100-AB5)/10000</f>
        <v>#REF!</v>
      </c>
    </row>
    <row r="6" spans="1:36" x14ac:dyDescent="0.2">
      <c r="A6" s="22"/>
      <c r="B6" s="32" t="s">
        <v>8</v>
      </c>
      <c r="C6" s="20" t="str">
        <f t="shared" ref="C6:C42" si="4">C5</f>
        <v>6L</v>
      </c>
      <c r="D6" s="19" t="str">
        <f t="shared" ref="D6:D42" si="5">D5</f>
        <v>3L</v>
      </c>
      <c r="E6" s="18" t="str">
        <f t="shared" si="0"/>
        <v>USD6L3L1Y_Quote</v>
      </c>
      <c r="F6" s="18" t="str">
        <f>_xll.qlSimpleQuote(E6,,RateTickValue,Permanent,Trigger,ObjectOverwrite)</f>
        <v>USD6L3L1Y_Quote#0007</v>
      </c>
      <c r="G6" s="17" t="str">
        <f>_xll.ohRangeRetrieveError(F6)</f>
        <v/>
      </c>
      <c r="H6" s="16"/>
      <c r="N6" s="218">
        <v>1</v>
      </c>
      <c r="O6" s="126" t="s">
        <v>8</v>
      </c>
      <c r="P6" s="153" t="str">
        <v>6L</v>
      </c>
      <c r="Q6" s="153" t="str">
        <v>3L</v>
      </c>
      <c r="R6" s="152" t="str">
        <f t="shared" si="1"/>
        <v>USD6L3L1Y</v>
      </c>
      <c r="S6" s="125" t="str">
        <v>USD3L6L1Y=ICAP</v>
      </c>
      <c r="T6" s="216" t="s">
        <v>184</v>
      </c>
      <c r="U6" s="216" t="s">
        <v>184</v>
      </c>
      <c r="V6" s="216" t="e">
        <f>_xll.qlMidEquivalent(T6,U6)</f>
        <v>#NUM!</v>
      </c>
      <c r="W6" s="120" t="b">
        <f t="shared" si="2"/>
        <v>0</v>
      </c>
      <c r="X6" s="217" t="e">
        <v>#VALUE!</v>
      </c>
      <c r="Y6" s="122"/>
      <c r="Z6" s="214">
        <v>8.6</v>
      </c>
      <c r="AA6" s="122"/>
      <c r="AB6" s="222" t="e">
        <v>#VALUE!</v>
      </c>
      <c r="AC6" s="119">
        <f>_xll.qlSimpleQuoteSetValue(F6,AB6/10000,Trigger)</f>
        <v>0</v>
      </c>
      <c r="AD6" s="109"/>
      <c r="AE6" s="3"/>
      <c r="AF6" s="28" t="s">
        <v>100</v>
      </c>
      <c r="AG6" s="27" t="s">
        <v>106</v>
      </c>
      <c r="AH6" s="26" t="s">
        <v>98</v>
      </c>
      <c r="AI6" s="3" t="str">
        <f t="shared" si="3"/>
        <v>1Y</v>
      </c>
      <c r="AJ6" s="210" t="e">
        <f>((#REF!-Swap3M!AB6)*100-AB6)/10000</f>
        <v>#REF!</v>
      </c>
    </row>
    <row r="7" spans="1:36" x14ac:dyDescent="0.2">
      <c r="A7" s="22"/>
      <c r="B7" s="32" t="s">
        <v>104</v>
      </c>
      <c r="C7" s="20" t="str">
        <f t="shared" si="4"/>
        <v>6L</v>
      </c>
      <c r="D7" s="19" t="str">
        <f t="shared" si="5"/>
        <v>3L</v>
      </c>
      <c r="E7" s="18" t="str">
        <f t="shared" si="0"/>
        <v>USD6L3L15M_Quote</v>
      </c>
      <c r="F7" s="18" t="str">
        <f>_xll.qlSimpleQuote(E7,,RateTickValue,Permanent,Trigger,ObjectOverwrite)</f>
        <v>USD6L3L15M_Quote#0007</v>
      </c>
      <c r="G7" s="17" t="str">
        <f>_xll.ohRangeRetrieveError(F7)</f>
        <v/>
      </c>
      <c r="H7" s="16"/>
      <c r="N7" s="218">
        <v>1.25</v>
      </c>
      <c r="O7" s="126" t="s">
        <v>104</v>
      </c>
      <c r="P7" s="153" t="str">
        <v>6L</v>
      </c>
      <c r="Q7" s="153" t="str">
        <v>3L</v>
      </c>
      <c r="R7" s="152" t="str">
        <f t="shared" si="1"/>
        <v>USD6L3L15M</v>
      </c>
      <c r="S7" s="125" t="str">
        <v>USD3L6L15M=ICAP</v>
      </c>
      <c r="T7" s="216" t="s">
        <v>184</v>
      </c>
      <c r="U7" s="216" t="s">
        <v>184</v>
      </c>
      <c r="V7" s="216" t="e">
        <f>_xll.qlMidEquivalent(T7,U7)</f>
        <v>#NUM!</v>
      </c>
      <c r="W7" s="120" t="b">
        <f t="shared" si="2"/>
        <v>0</v>
      </c>
      <c r="X7" s="217" t="e">
        <v>#VALUE!</v>
      </c>
      <c r="Y7" s="122"/>
      <c r="Z7" s="214">
        <v>8.6403417164991403</v>
      </c>
      <c r="AA7" s="122"/>
      <c r="AB7" s="222" t="e">
        <v>#VALUE!</v>
      </c>
      <c r="AC7" s="119">
        <f>_xll.qlSimpleQuoteSetValue(F7,AB7/10000,Trigger)</f>
        <v>0</v>
      </c>
      <c r="AD7" s="109"/>
      <c r="AE7" s="3"/>
      <c r="AF7" s="28" t="s">
        <v>97</v>
      </c>
      <c r="AG7" s="27" t="s">
        <v>94</v>
      </c>
      <c r="AH7" s="26" t="s">
        <v>95</v>
      </c>
      <c r="AI7" s="3" t="str">
        <f t="shared" si="3"/>
        <v>15M</v>
      </c>
      <c r="AJ7" s="210" t="e">
        <f>((#REF!-Swap3M!AB7)*100-AB7)/10000</f>
        <v>#REF!</v>
      </c>
    </row>
    <row r="8" spans="1:36" x14ac:dyDescent="0.2">
      <c r="A8" s="22"/>
      <c r="B8" s="32" t="s">
        <v>103</v>
      </c>
      <c r="C8" s="20" t="str">
        <f t="shared" si="4"/>
        <v>6L</v>
      </c>
      <c r="D8" s="19" t="str">
        <f t="shared" si="5"/>
        <v>3L</v>
      </c>
      <c r="E8" s="18" t="str">
        <f t="shared" si="0"/>
        <v>USD6L3L18M_Quote</v>
      </c>
      <c r="F8" s="18" t="str">
        <f>_xll.qlSimpleQuote(E8,,RateTickValue,Permanent,Trigger,ObjectOverwrite)</f>
        <v>USD6L3L18M_Quote#0007</v>
      </c>
      <c r="G8" s="17" t="str">
        <f>_xll.ohRangeRetrieveError(F8)</f>
        <v/>
      </c>
      <c r="H8" s="16"/>
      <c r="N8" s="218">
        <v>1.5</v>
      </c>
      <c r="O8" s="126" t="s">
        <v>103</v>
      </c>
      <c r="P8" s="153" t="str">
        <v>6L</v>
      </c>
      <c r="Q8" s="153" t="str">
        <v>3L</v>
      </c>
      <c r="R8" s="152" t="str">
        <f t="shared" si="1"/>
        <v>USD6L3L18M</v>
      </c>
      <c r="S8" s="125" t="str">
        <v>USD3L6L18M=ICAP</v>
      </c>
      <c r="T8" s="216" t="s">
        <v>184</v>
      </c>
      <c r="U8" s="216" t="s">
        <v>184</v>
      </c>
      <c r="V8" s="216" t="e">
        <f>_xll.qlMidEquivalent(T8,U8)</f>
        <v>#NUM!</v>
      </c>
      <c r="W8" s="120" t="b">
        <f t="shared" si="2"/>
        <v>0</v>
      </c>
      <c r="X8" s="217" t="e">
        <v>#VALUE!</v>
      </c>
      <c r="Y8" s="122"/>
      <c r="Z8" s="214">
        <v>8.6719704146659016</v>
      </c>
      <c r="AA8" s="122"/>
      <c r="AB8" s="222" t="e">
        <v>#VALUE!</v>
      </c>
      <c r="AC8" s="119">
        <f>_xll.qlSimpleQuoteSetValue(F8,AB8/10000,Trigger)</f>
        <v>0</v>
      </c>
      <c r="AD8" s="109"/>
      <c r="AE8" s="3"/>
      <c r="AF8" s="28" t="s">
        <v>96</v>
      </c>
      <c r="AG8" s="27" t="s">
        <v>94</v>
      </c>
      <c r="AH8" s="26" t="s">
        <v>95</v>
      </c>
      <c r="AI8" s="3" t="str">
        <f t="shared" si="3"/>
        <v>18M</v>
      </c>
      <c r="AJ8" s="210" t="e">
        <f>((#REF!-Swap3M!AB8)*100-AB8)/10000</f>
        <v>#REF!</v>
      </c>
    </row>
    <row r="9" spans="1:36" ht="13.5" thickBot="1" x14ac:dyDescent="0.25">
      <c r="A9" s="22"/>
      <c r="B9" s="32" t="s">
        <v>102</v>
      </c>
      <c r="C9" s="20" t="str">
        <f t="shared" si="4"/>
        <v>6L</v>
      </c>
      <c r="D9" s="19" t="str">
        <f t="shared" si="5"/>
        <v>3L</v>
      </c>
      <c r="E9" s="18" t="str">
        <f t="shared" si="0"/>
        <v>USD6L3L21M_Quote</v>
      </c>
      <c r="F9" s="18" t="str">
        <f>_xll.qlSimpleQuote(E9,,RateTickValue,Permanent,Trigger,ObjectOverwrite)</f>
        <v>USD6L3L21M_Quote#0007</v>
      </c>
      <c r="G9" s="17" t="str">
        <f>_xll.ohRangeRetrieveError(F9)</f>
        <v/>
      </c>
      <c r="H9" s="16"/>
      <c r="N9" s="218">
        <v>1.75</v>
      </c>
      <c r="O9" s="126" t="s">
        <v>102</v>
      </c>
      <c r="P9" s="153" t="str">
        <v>6L</v>
      </c>
      <c r="Q9" s="153" t="str">
        <v>3L</v>
      </c>
      <c r="R9" s="152" t="str">
        <f t="shared" si="1"/>
        <v>USD6L3L21M</v>
      </c>
      <c r="S9" s="125" t="str">
        <v>USD3L6L21M=ICAP</v>
      </c>
      <c r="T9" s="216" t="s">
        <v>184</v>
      </c>
      <c r="U9" s="216" t="s">
        <v>184</v>
      </c>
      <c r="V9" s="216" t="e">
        <f>_xll.qlMidEquivalent(T9,U9)</f>
        <v>#NUM!</v>
      </c>
      <c r="W9" s="120" t="b">
        <f t="shared" si="2"/>
        <v>0</v>
      </c>
      <c r="X9" s="217" t="e">
        <v>#VALUE!</v>
      </c>
      <c r="Y9" s="122"/>
      <c r="Z9" s="214">
        <v>8.6926139054997122</v>
      </c>
      <c r="AA9" s="122"/>
      <c r="AB9" s="222" t="e">
        <v>#VALUE!</v>
      </c>
      <c r="AC9" s="119">
        <f>_xll.qlSimpleQuoteSetValue(F9,AB9/10000,Trigger)</f>
        <v>0</v>
      </c>
      <c r="AD9" s="109"/>
      <c r="AE9" s="3"/>
      <c r="AF9" s="25" t="s">
        <v>91</v>
      </c>
      <c r="AG9" s="24" t="s">
        <v>95</v>
      </c>
      <c r="AH9" s="23" t="s">
        <v>94</v>
      </c>
      <c r="AI9" s="3" t="str">
        <f t="shared" si="3"/>
        <v>21M</v>
      </c>
      <c r="AJ9" s="210" t="e">
        <f>((#REF!-Swap3M!AB9)*100-AB9)/10000</f>
        <v>#REF!</v>
      </c>
    </row>
    <row r="10" spans="1:36" x14ac:dyDescent="0.2">
      <c r="A10" s="22"/>
      <c r="B10" s="21" t="s">
        <v>84</v>
      </c>
      <c r="C10" s="20" t="str">
        <f t="shared" si="4"/>
        <v>6L</v>
      </c>
      <c r="D10" s="19" t="str">
        <f t="shared" si="5"/>
        <v>3L</v>
      </c>
      <c r="E10" s="18" t="str">
        <f t="shared" si="0"/>
        <v>USD6L3L2Y_Quote</v>
      </c>
      <c r="F10" s="18" t="str">
        <f>_xll.qlSimpleQuote(E10,,RateTickValue,Permanent,Trigger,ObjectOverwrite)</f>
        <v>USD6L3L2Y_Quote#0007</v>
      </c>
      <c r="G10" s="17" t="str">
        <f>_xll.ohRangeRetrieveError(F10)</f>
        <v/>
      </c>
      <c r="H10" s="16"/>
      <c r="J10" s="31" t="s">
        <v>101</v>
      </c>
      <c r="K10" s="30" t="s">
        <v>94</v>
      </c>
      <c r="L10" s="29" t="s">
        <v>95</v>
      </c>
      <c r="N10" s="58">
        <v>2</v>
      </c>
      <c r="O10" s="126" t="s">
        <v>84</v>
      </c>
      <c r="P10" s="153" t="str">
        <v>6L</v>
      </c>
      <c r="Q10" s="153" t="str">
        <v>3L</v>
      </c>
      <c r="R10" s="152" t="str">
        <f t="shared" si="1"/>
        <v>USD6L3L2Y</v>
      </c>
      <c r="S10" s="125" t="str">
        <v>USD3L6L2Y=ICAP</v>
      </c>
      <c r="T10" s="216" t="s">
        <v>184</v>
      </c>
      <c r="U10" s="216" t="s">
        <v>184</v>
      </c>
      <c r="V10" s="216" t="e">
        <f>_xll.qlMidEquivalent(T10,U10)</f>
        <v>#NUM!</v>
      </c>
      <c r="W10" s="120" t="b">
        <f t="shared" si="2"/>
        <v>0</v>
      </c>
      <c r="X10" s="217" t="e">
        <v>#VALUE!</v>
      </c>
      <c r="Y10" s="122"/>
      <c r="Z10" s="214">
        <v>8.6999999999999993</v>
      </c>
      <c r="AA10" s="122"/>
      <c r="AB10" s="222" t="e">
        <v>#VALUE!</v>
      </c>
      <c r="AC10" s="119">
        <f>_xll.qlSimpleQuoteSetValue(F10,AB10/10000,Trigger)</f>
        <v>0</v>
      </c>
      <c r="AD10" s="109"/>
      <c r="AE10" s="3"/>
      <c r="AF10" s="3"/>
      <c r="AG10" s="3"/>
      <c r="AH10" s="3"/>
      <c r="AI10" s="3" t="str">
        <f t="shared" si="3"/>
        <v>2Y</v>
      </c>
      <c r="AJ10" s="210" t="e">
        <f>((#REF!-Swap3M!AB10)*100-AB10)/10000</f>
        <v>#REF!</v>
      </c>
    </row>
    <row r="11" spans="1:36" x14ac:dyDescent="0.2">
      <c r="A11" s="22"/>
      <c r="B11" s="21" t="s">
        <v>83</v>
      </c>
      <c r="C11" s="20" t="str">
        <f t="shared" si="4"/>
        <v>6L</v>
      </c>
      <c r="D11" s="19" t="str">
        <f t="shared" si="5"/>
        <v>3L</v>
      </c>
      <c r="E11" s="18" t="str">
        <f t="shared" si="0"/>
        <v>USD6L3L3Y_Quote</v>
      </c>
      <c r="F11" s="18" t="str">
        <f>_xll.qlSimpleQuote(E11,,RateTickValue,Permanent,Trigger,ObjectOverwrite)</f>
        <v>USD6L3L3Y_Quote#0007</v>
      </c>
      <c r="G11" s="17" t="str">
        <f>_xll.ohRangeRetrieveError(F11)</f>
        <v/>
      </c>
      <c r="H11" s="16"/>
      <c r="J11" s="28" t="s">
        <v>100</v>
      </c>
      <c r="K11" s="27" t="s">
        <v>106</v>
      </c>
      <c r="L11" s="26" t="s">
        <v>98</v>
      </c>
      <c r="N11" s="58">
        <v>3</v>
      </c>
      <c r="O11" s="126" t="s">
        <v>83</v>
      </c>
      <c r="P11" s="153" t="str">
        <v>6L</v>
      </c>
      <c r="Q11" s="153" t="str">
        <v>3L</v>
      </c>
      <c r="R11" s="152" t="str">
        <f t="shared" si="1"/>
        <v>USD6L3L3Y</v>
      </c>
      <c r="S11" s="125" t="str">
        <v>USD3L6L3Y=ICAP</v>
      </c>
      <c r="T11" s="216" t="s">
        <v>184</v>
      </c>
      <c r="U11" s="216" t="s">
        <v>184</v>
      </c>
      <c r="V11" s="216" t="e">
        <f>_xll.qlMidEquivalent(T11,U11)</f>
        <v>#NUM!</v>
      </c>
      <c r="W11" s="120" t="b">
        <f t="shared" si="2"/>
        <v>0</v>
      </c>
      <c r="X11" s="217" t="e">
        <v>#VALUE!</v>
      </c>
      <c r="Y11" s="122"/>
      <c r="Z11" s="214">
        <v>8.6999999999999993</v>
      </c>
      <c r="AA11" s="122"/>
      <c r="AB11" s="222" t="e">
        <v>#VALUE!</v>
      </c>
      <c r="AC11" s="119">
        <f>_xll.qlSimpleQuoteSetValue(F11,AB11/10000,Trigger)</f>
        <v>0</v>
      </c>
      <c r="AD11" s="109"/>
      <c r="AE11" s="3"/>
      <c r="AF11" s="3"/>
      <c r="AG11" s="3"/>
      <c r="AH11" s="3"/>
      <c r="AI11" s="3" t="str">
        <f t="shared" si="3"/>
        <v>3Y</v>
      </c>
      <c r="AJ11" s="210" t="e">
        <f>((#REF!-Swap3M!AB11)*100-AB11)/10000</f>
        <v>#REF!</v>
      </c>
    </row>
    <row r="12" spans="1:36" x14ac:dyDescent="0.2">
      <c r="A12" s="22"/>
      <c r="B12" s="21" t="s">
        <v>82</v>
      </c>
      <c r="C12" s="20" t="str">
        <f t="shared" si="4"/>
        <v>6L</v>
      </c>
      <c r="D12" s="19" t="str">
        <f t="shared" si="5"/>
        <v>3L</v>
      </c>
      <c r="E12" s="18" t="str">
        <f t="shared" si="0"/>
        <v>USD6L3L4Y_Quote</v>
      </c>
      <c r="F12" s="18" t="str">
        <f>_xll.qlSimpleQuote(E12,,RateTickValue,Permanent,Trigger,ObjectOverwrite)</f>
        <v>USD6L3L4Y_Quote#0007</v>
      </c>
      <c r="G12" s="17" t="str">
        <f>_xll.ohRangeRetrieveError(F12)</f>
        <v/>
      </c>
      <c r="H12" s="16"/>
      <c r="J12" s="28" t="s">
        <v>97</v>
      </c>
      <c r="K12" s="27" t="s">
        <v>94</v>
      </c>
      <c r="L12" s="26" t="s">
        <v>95</v>
      </c>
      <c r="N12" s="58">
        <v>4</v>
      </c>
      <c r="O12" s="126" t="s">
        <v>82</v>
      </c>
      <c r="P12" s="153" t="str">
        <v>6L</v>
      </c>
      <c r="Q12" s="153" t="str">
        <v>3L</v>
      </c>
      <c r="R12" s="152" t="str">
        <f t="shared" si="1"/>
        <v>USD6L3L4Y</v>
      </c>
      <c r="S12" s="125" t="str">
        <v>USD3L6L4Y=ICAP</v>
      </c>
      <c r="T12" s="216" t="s">
        <v>184</v>
      </c>
      <c r="U12" s="216" t="s">
        <v>184</v>
      </c>
      <c r="V12" s="216" t="e">
        <f>_xll.qlMidEquivalent(T12,U12)</f>
        <v>#NUM!</v>
      </c>
      <c r="W12" s="120" t="b">
        <f t="shared" si="2"/>
        <v>0</v>
      </c>
      <c r="X12" s="217" t="e">
        <v>#VALUE!</v>
      </c>
      <c r="Y12" s="122"/>
      <c r="Z12" s="214">
        <v>8.8000000000000007</v>
      </c>
      <c r="AA12" s="122"/>
      <c r="AB12" s="222" t="e">
        <v>#VALUE!</v>
      </c>
      <c r="AC12" s="119">
        <f>_xll.qlSimpleQuoteSetValue(F12,AB12/10000,Trigger)</f>
        <v>0</v>
      </c>
      <c r="AD12" s="109"/>
      <c r="AE12" s="3"/>
      <c r="AF12" s="3"/>
      <c r="AG12" s="3"/>
      <c r="AH12" s="3"/>
      <c r="AI12" s="3" t="str">
        <f t="shared" si="3"/>
        <v>4Y</v>
      </c>
      <c r="AJ12" s="210" t="e">
        <f>((#REF!-Swap3M!AB12)*100-AB12)/10000</f>
        <v>#REF!</v>
      </c>
    </row>
    <row r="13" spans="1:36" x14ac:dyDescent="0.2">
      <c r="A13" s="22"/>
      <c r="B13" s="21" t="s">
        <v>81</v>
      </c>
      <c r="C13" s="20" t="str">
        <f t="shared" si="4"/>
        <v>6L</v>
      </c>
      <c r="D13" s="19" t="str">
        <f t="shared" si="5"/>
        <v>3L</v>
      </c>
      <c r="E13" s="18" t="str">
        <f t="shared" si="0"/>
        <v>USD6L3L5Y_Quote</v>
      </c>
      <c r="F13" s="18" t="str">
        <f>_xll.qlSimpleQuote(E13,,RateTickValue,Permanent,Trigger,ObjectOverwrite)</f>
        <v>USD6L3L5Y_Quote#0007</v>
      </c>
      <c r="G13" s="17" t="str">
        <f>_xll.ohRangeRetrieveError(F13)</f>
        <v/>
      </c>
      <c r="H13" s="16"/>
      <c r="J13" s="28" t="s">
        <v>96</v>
      </c>
      <c r="K13" s="27" t="s">
        <v>94</v>
      </c>
      <c r="L13" s="26" t="s">
        <v>95</v>
      </c>
      <c r="N13" s="58">
        <v>5</v>
      </c>
      <c r="O13" s="126" t="s">
        <v>81</v>
      </c>
      <c r="P13" s="153" t="str">
        <v>6L</v>
      </c>
      <c r="Q13" s="153" t="str">
        <v>3L</v>
      </c>
      <c r="R13" s="152" t="str">
        <f t="shared" si="1"/>
        <v>USD6L3L5Y</v>
      </c>
      <c r="S13" s="125" t="str">
        <v>USD3L6L5Y=ICAP</v>
      </c>
      <c r="T13" s="216" t="s">
        <v>184</v>
      </c>
      <c r="U13" s="216" t="s">
        <v>184</v>
      </c>
      <c r="V13" s="216" t="e">
        <f>_xll.qlMidEquivalent(T13,U13)</f>
        <v>#NUM!</v>
      </c>
      <c r="W13" s="120" t="b">
        <f t="shared" si="2"/>
        <v>0</v>
      </c>
      <c r="X13" s="217" t="e">
        <v>#VALUE!</v>
      </c>
      <c r="Y13" s="122"/>
      <c r="Z13" s="214">
        <v>8.9</v>
      </c>
      <c r="AA13" s="122"/>
      <c r="AB13" s="222" t="e">
        <v>#VALUE!</v>
      </c>
      <c r="AC13" s="119">
        <f>_xll.qlSimpleQuoteSetValue(F13,AB13/10000,Trigger)</f>
        <v>0</v>
      </c>
      <c r="AD13" s="109"/>
      <c r="AE13" s="3"/>
      <c r="AF13" s="3"/>
      <c r="AG13" s="3"/>
      <c r="AH13" s="3"/>
      <c r="AI13" s="3" t="str">
        <f t="shared" si="3"/>
        <v>5Y</v>
      </c>
      <c r="AJ13" s="210" t="e">
        <f>((#REF!-Swap3M!AB13)*100-AB13)/10000</f>
        <v>#REF!</v>
      </c>
    </row>
    <row r="14" spans="1:36" ht="13.5" thickBot="1" x14ac:dyDescent="0.25">
      <c r="A14" s="22"/>
      <c r="B14" s="21" t="s">
        <v>80</v>
      </c>
      <c r="C14" s="20" t="str">
        <f t="shared" si="4"/>
        <v>6L</v>
      </c>
      <c r="D14" s="19" t="str">
        <f t="shared" si="5"/>
        <v>3L</v>
      </c>
      <c r="E14" s="18" t="str">
        <f t="shared" si="0"/>
        <v>USD6L3L6Y_Quote</v>
      </c>
      <c r="F14" s="18" t="str">
        <f>_xll.qlSimpleQuote(E14,,RateTickValue,Permanent,Trigger,ObjectOverwrite)</f>
        <v>USD6L3L6Y_Quote#0007</v>
      </c>
      <c r="G14" s="17" t="str">
        <f>_xll.ohRangeRetrieveError(F14)</f>
        <v/>
      </c>
      <c r="H14" s="16"/>
      <c r="J14" s="25" t="s">
        <v>91</v>
      </c>
      <c r="K14" s="24" t="s">
        <v>95</v>
      </c>
      <c r="L14" s="23" t="s">
        <v>94</v>
      </c>
      <c r="N14" s="58">
        <v>6</v>
      </c>
      <c r="O14" s="126" t="s">
        <v>80</v>
      </c>
      <c r="P14" s="153" t="str">
        <v>6L</v>
      </c>
      <c r="Q14" s="153" t="str">
        <v>3L</v>
      </c>
      <c r="R14" s="152" t="str">
        <f t="shared" si="1"/>
        <v>USD6L3L6Y</v>
      </c>
      <c r="S14" s="125" t="str">
        <v>USD3L6L6Y=ICAP</v>
      </c>
      <c r="T14" s="216" t="s">
        <v>184</v>
      </c>
      <c r="U14" s="216" t="s">
        <v>184</v>
      </c>
      <c r="V14" s="216" t="e">
        <f>_xll.qlMidEquivalent(T14,U14)</f>
        <v>#NUM!</v>
      </c>
      <c r="W14" s="120" t="b">
        <f t="shared" si="2"/>
        <v>0</v>
      </c>
      <c r="X14" s="217" t="e">
        <v>#VALUE!</v>
      </c>
      <c r="Y14" s="122"/>
      <c r="Z14" s="214">
        <v>9</v>
      </c>
      <c r="AA14" s="122"/>
      <c r="AB14" s="222" t="e">
        <v>#VALUE!</v>
      </c>
      <c r="AC14" s="119">
        <f>_xll.qlSimpleQuoteSetValue(F14,AB14/10000,Trigger)</f>
        <v>0</v>
      </c>
      <c r="AD14" s="109"/>
      <c r="AE14" s="3"/>
      <c r="AF14" s="3"/>
      <c r="AG14" s="3"/>
      <c r="AH14" s="3"/>
      <c r="AI14" s="3" t="str">
        <f t="shared" si="3"/>
        <v>6Y</v>
      </c>
      <c r="AJ14" s="210" t="e">
        <f>((#REF!-Swap3M!AB14)*100-AB14)/10000</f>
        <v>#REF!</v>
      </c>
    </row>
    <row r="15" spans="1:36" x14ac:dyDescent="0.2">
      <c r="A15" s="22"/>
      <c r="B15" s="21" t="s">
        <v>79</v>
      </c>
      <c r="C15" s="20" t="str">
        <f t="shared" si="4"/>
        <v>6L</v>
      </c>
      <c r="D15" s="19" t="str">
        <f t="shared" si="5"/>
        <v>3L</v>
      </c>
      <c r="E15" s="18" t="str">
        <f t="shared" si="0"/>
        <v>USD6L3L7Y_Quote</v>
      </c>
      <c r="F15" s="18" t="str">
        <f>_xll.qlSimpleQuote(E15,,RateTickValue,Permanent,Trigger,ObjectOverwrite)</f>
        <v>USD6L3L7Y_Quote#0007</v>
      </c>
      <c r="G15" s="17" t="str">
        <f>_xll.ohRangeRetrieveError(F15)</f>
        <v/>
      </c>
      <c r="H15" s="16"/>
      <c r="N15" s="58">
        <v>7</v>
      </c>
      <c r="O15" s="126" t="s">
        <v>79</v>
      </c>
      <c r="P15" s="153" t="str">
        <v>6L</v>
      </c>
      <c r="Q15" s="153" t="str">
        <v>3L</v>
      </c>
      <c r="R15" s="152" t="str">
        <f t="shared" si="1"/>
        <v>USD6L3L7Y</v>
      </c>
      <c r="S15" s="125" t="str">
        <v>USD3L6L7Y=ICAP</v>
      </c>
      <c r="T15" s="216" t="s">
        <v>184</v>
      </c>
      <c r="U15" s="216" t="s">
        <v>184</v>
      </c>
      <c r="V15" s="216" t="e">
        <f>_xll.qlMidEquivalent(T15,U15)</f>
        <v>#NUM!</v>
      </c>
      <c r="W15" s="120" t="b">
        <f t="shared" si="2"/>
        <v>0</v>
      </c>
      <c r="X15" s="217" t="e">
        <v>#VALUE!</v>
      </c>
      <c r="Y15" s="122"/>
      <c r="Z15" s="214">
        <v>9.1999999999999993</v>
      </c>
      <c r="AA15" s="122"/>
      <c r="AB15" s="222" t="e">
        <v>#VALUE!</v>
      </c>
      <c r="AC15" s="119">
        <f>_xll.qlSimpleQuoteSetValue(F15,AB15/10000,Trigger)</f>
        <v>0</v>
      </c>
      <c r="AD15" s="109"/>
      <c r="AE15" s="3"/>
      <c r="AF15" s="3"/>
      <c r="AG15" s="3"/>
      <c r="AH15" s="3"/>
      <c r="AI15" s="3" t="str">
        <f t="shared" si="3"/>
        <v>7Y</v>
      </c>
      <c r="AJ15" s="210" t="e">
        <f>((#REF!-Swap3M!AB15)*100-AB15)/10000</f>
        <v>#REF!</v>
      </c>
    </row>
    <row r="16" spans="1:36" x14ac:dyDescent="0.2">
      <c r="A16" s="22"/>
      <c r="B16" s="21" t="s">
        <v>78</v>
      </c>
      <c r="C16" s="20" t="str">
        <f t="shared" si="4"/>
        <v>6L</v>
      </c>
      <c r="D16" s="19" t="str">
        <f t="shared" si="5"/>
        <v>3L</v>
      </c>
      <c r="E16" s="18" t="str">
        <f t="shared" si="0"/>
        <v>USD6L3L8Y_Quote</v>
      </c>
      <c r="F16" s="18" t="str">
        <f>_xll.qlSimpleQuote(E16,,RateTickValue,Permanent,Trigger,ObjectOverwrite)</f>
        <v>USD6L3L8Y_Quote#0007</v>
      </c>
      <c r="G16" s="17" t="str">
        <f>_xll.ohRangeRetrieveError(F16)</f>
        <v/>
      </c>
      <c r="H16" s="16"/>
      <c r="N16" s="58">
        <v>8</v>
      </c>
      <c r="O16" s="126" t="s">
        <v>78</v>
      </c>
      <c r="P16" s="153" t="str">
        <v>6L</v>
      </c>
      <c r="Q16" s="153" t="str">
        <v>3L</v>
      </c>
      <c r="R16" s="152" t="str">
        <f t="shared" si="1"/>
        <v>USD6L3L8Y</v>
      </c>
      <c r="S16" s="125" t="str">
        <v>USD3L6L8Y=ICAP</v>
      </c>
      <c r="T16" s="216" t="s">
        <v>184</v>
      </c>
      <c r="U16" s="216" t="s">
        <v>184</v>
      </c>
      <c r="V16" s="216" t="e">
        <f>_xll.qlMidEquivalent(T16,U16)</f>
        <v>#NUM!</v>
      </c>
      <c r="W16" s="120" t="b">
        <f t="shared" si="2"/>
        <v>0</v>
      </c>
      <c r="X16" s="217" t="e">
        <v>#VALUE!</v>
      </c>
      <c r="Y16" s="122"/>
      <c r="Z16" s="214">
        <v>9.3000000000000007</v>
      </c>
      <c r="AA16" s="122"/>
      <c r="AB16" s="222" t="e">
        <v>#VALUE!</v>
      </c>
      <c r="AC16" s="119">
        <f>_xll.qlSimpleQuoteSetValue(F16,AB16/10000,Trigger)</f>
        <v>0</v>
      </c>
      <c r="AD16" s="109"/>
      <c r="AE16" s="3"/>
      <c r="AF16" s="3"/>
      <c r="AG16" s="3"/>
      <c r="AH16" s="3"/>
      <c r="AI16" s="3" t="str">
        <f t="shared" si="3"/>
        <v>8Y</v>
      </c>
      <c r="AJ16" s="210" t="e">
        <f>((#REF!-Swap3M!AB16)*100-AB16)/10000</f>
        <v>#REF!</v>
      </c>
    </row>
    <row r="17" spans="1:36" x14ac:dyDescent="0.2">
      <c r="A17" s="22"/>
      <c r="B17" s="21" t="s">
        <v>77</v>
      </c>
      <c r="C17" s="20" t="str">
        <f t="shared" si="4"/>
        <v>6L</v>
      </c>
      <c r="D17" s="19" t="str">
        <f t="shared" si="5"/>
        <v>3L</v>
      </c>
      <c r="E17" s="18" t="str">
        <f t="shared" si="0"/>
        <v>USD6L3L9Y_Quote</v>
      </c>
      <c r="F17" s="18" t="str">
        <f>_xll.qlSimpleQuote(E17,,RateTickValue,Permanent,Trigger,ObjectOverwrite)</f>
        <v>USD6L3L9Y_Quote#0007</v>
      </c>
      <c r="G17" s="17" t="str">
        <f>_xll.ohRangeRetrieveError(F17)</f>
        <v/>
      </c>
      <c r="H17" s="16"/>
      <c r="N17" s="58">
        <v>9</v>
      </c>
      <c r="O17" s="126" t="s">
        <v>77</v>
      </c>
      <c r="P17" s="153" t="str">
        <v>6L</v>
      </c>
      <c r="Q17" s="153" t="str">
        <v>3L</v>
      </c>
      <c r="R17" s="152" t="str">
        <f t="shared" si="1"/>
        <v>USD6L3L9Y</v>
      </c>
      <c r="S17" s="125" t="str">
        <v>USD3L6L9Y=ICAP</v>
      </c>
      <c r="T17" s="216" t="s">
        <v>184</v>
      </c>
      <c r="U17" s="216" t="s">
        <v>184</v>
      </c>
      <c r="V17" s="216" t="e">
        <f>_xll.qlMidEquivalent(T17,U17)</f>
        <v>#NUM!</v>
      </c>
      <c r="W17" s="120" t="b">
        <f t="shared" si="2"/>
        <v>0</v>
      </c>
      <c r="X17" s="217" t="e">
        <v>#VALUE!</v>
      </c>
      <c r="Y17" s="122"/>
      <c r="Z17" s="214">
        <v>9.5</v>
      </c>
      <c r="AA17" s="122"/>
      <c r="AB17" s="222" t="e">
        <v>#VALUE!</v>
      </c>
      <c r="AC17" s="119">
        <f>_xll.qlSimpleQuoteSetValue(F17,AB17/10000,Trigger)</f>
        <v>0</v>
      </c>
      <c r="AD17" s="109"/>
      <c r="AE17" s="3"/>
      <c r="AF17" s="3"/>
      <c r="AG17" s="3"/>
      <c r="AH17" s="3"/>
      <c r="AI17" s="3" t="str">
        <f t="shared" si="3"/>
        <v>9Y</v>
      </c>
      <c r="AJ17" s="210" t="e">
        <f>((#REF!-Swap3M!AB17)*100-AB17)/10000</f>
        <v>#REF!</v>
      </c>
    </row>
    <row r="18" spans="1:36" x14ac:dyDescent="0.2">
      <c r="A18" s="22"/>
      <c r="B18" s="21" t="s">
        <v>76</v>
      </c>
      <c r="C18" s="20" t="str">
        <f t="shared" si="4"/>
        <v>6L</v>
      </c>
      <c r="D18" s="19" t="str">
        <f t="shared" si="5"/>
        <v>3L</v>
      </c>
      <c r="E18" s="18" t="str">
        <f t="shared" si="0"/>
        <v>USD6L3L10Y_Quote</v>
      </c>
      <c r="F18" s="18" t="str">
        <f>_xll.qlSimpleQuote(E18,,RateTickValue,Permanent,Trigger,ObjectOverwrite)</f>
        <v>USD6L3L10Y_Quote#0007</v>
      </c>
      <c r="G18" s="17" t="str">
        <f>_xll.ohRangeRetrieveError(F18)</f>
        <v/>
      </c>
      <c r="H18" s="16"/>
      <c r="N18" s="58">
        <v>10</v>
      </c>
      <c r="O18" s="126" t="s">
        <v>76</v>
      </c>
      <c r="P18" s="153" t="str">
        <v>6L</v>
      </c>
      <c r="Q18" s="153" t="str">
        <v>3L</v>
      </c>
      <c r="R18" s="152" t="str">
        <f t="shared" si="1"/>
        <v>USD6L3L10Y</v>
      </c>
      <c r="S18" s="125" t="str">
        <v>USD3L6L10Y=ICAP</v>
      </c>
      <c r="T18" s="216" t="s">
        <v>184</v>
      </c>
      <c r="U18" s="216" t="s">
        <v>184</v>
      </c>
      <c r="V18" s="216" t="e">
        <f>_xll.qlMidEquivalent(T18,U18)</f>
        <v>#NUM!</v>
      </c>
      <c r="W18" s="120" t="b">
        <f t="shared" si="2"/>
        <v>0</v>
      </c>
      <c r="X18" s="217" t="e">
        <v>#VALUE!</v>
      </c>
      <c r="Y18" s="122"/>
      <c r="Z18" s="214">
        <v>9.5</v>
      </c>
      <c r="AA18" s="122"/>
      <c r="AB18" s="222" t="e">
        <v>#VALUE!</v>
      </c>
      <c r="AC18" s="119">
        <f>_xll.qlSimpleQuoteSetValue(F18,AB18/10000,Trigger)</f>
        <v>0</v>
      </c>
      <c r="AD18" s="109"/>
      <c r="AE18" s="3"/>
      <c r="AF18" s="3"/>
      <c r="AG18" s="3"/>
      <c r="AH18" s="3"/>
      <c r="AI18" s="3" t="str">
        <f t="shared" si="3"/>
        <v>10Y</v>
      </c>
      <c r="AJ18" s="210" t="e">
        <f>((#REF!-Swap3M!AB18)*100-AB18)/10000</f>
        <v>#REF!</v>
      </c>
    </row>
    <row r="19" spans="1:36" x14ac:dyDescent="0.2">
      <c r="A19" s="22"/>
      <c r="B19" s="21" t="s">
        <v>75</v>
      </c>
      <c r="C19" s="20" t="str">
        <f t="shared" si="4"/>
        <v>6L</v>
      </c>
      <c r="D19" s="19" t="str">
        <f t="shared" si="5"/>
        <v>3L</v>
      </c>
      <c r="E19" s="18" t="str">
        <f t="shared" si="0"/>
        <v>USD6L3L11Y_Quote</v>
      </c>
      <c r="F19" s="18" t="str">
        <f>_xll.qlSimpleQuote(E19,,RateTickValue,Permanent,Trigger,ObjectOverwrite)</f>
        <v>USD6L3L11Y_Quote#0007</v>
      </c>
      <c r="G19" s="17" t="str">
        <f>_xll.ohRangeRetrieveError(F19)</f>
        <v/>
      </c>
      <c r="H19" s="16"/>
      <c r="N19" s="58">
        <v>11</v>
      </c>
      <c r="O19" s="126" t="s">
        <v>75</v>
      </c>
      <c r="P19" s="153" t="str">
        <v>6L</v>
      </c>
      <c r="Q19" s="153" t="str">
        <v>3L</v>
      </c>
      <c r="R19" s="152" t="str">
        <f t="shared" si="1"/>
        <v>USD6L3L11Y</v>
      </c>
      <c r="S19" s="125" t="str">
        <v>USD3L6L11Y=ICAP</v>
      </c>
      <c r="T19" s="216" t="s">
        <v>184</v>
      </c>
      <c r="U19" s="216" t="s">
        <v>184</v>
      </c>
      <c r="V19" s="216" t="e">
        <f>_xll.qlMidEquivalent(T19,U19)</f>
        <v>#NUM!</v>
      </c>
      <c r="W19" s="120" t="b">
        <f t="shared" si="2"/>
        <v>0</v>
      </c>
      <c r="X19" s="217" t="e">
        <v>#VALUE!</v>
      </c>
      <c r="Y19" s="122"/>
      <c r="Z19" s="214">
        <v>9.5319516615897015</v>
      </c>
      <c r="AA19" s="122"/>
      <c r="AB19" s="222" t="e">
        <v>#VALUE!</v>
      </c>
      <c r="AC19" s="119">
        <f>_xll.qlSimpleQuoteSetValue(F19,AB19/10000,Trigger)</f>
        <v>0</v>
      </c>
      <c r="AD19" s="109"/>
      <c r="AE19" s="3"/>
      <c r="AF19" s="3"/>
      <c r="AG19" s="3"/>
      <c r="AH19" s="3"/>
      <c r="AI19" s="3" t="str">
        <f t="shared" si="3"/>
        <v>11Y</v>
      </c>
      <c r="AJ19" s="210" t="e">
        <f>((#REF!-Swap3M!AB19)*100-AB19)/10000</f>
        <v>#REF!</v>
      </c>
    </row>
    <row r="20" spans="1:36" x14ac:dyDescent="0.2">
      <c r="A20" s="22"/>
      <c r="B20" s="21" t="s">
        <v>74</v>
      </c>
      <c r="C20" s="20" t="str">
        <f t="shared" si="4"/>
        <v>6L</v>
      </c>
      <c r="D20" s="19" t="str">
        <f t="shared" si="5"/>
        <v>3L</v>
      </c>
      <c r="E20" s="18" t="str">
        <f t="shared" si="0"/>
        <v>USD6L3L12Y_Quote</v>
      </c>
      <c r="F20" s="18" t="str">
        <f>_xll.qlSimpleQuote(E20,,RateTickValue,Permanent,Trigger,ObjectOverwrite)</f>
        <v>USD6L3L12Y_Quote#0007</v>
      </c>
      <c r="G20" s="17" t="str">
        <f>_xll.ohRangeRetrieveError(F20)</f>
        <v/>
      </c>
      <c r="H20" s="16"/>
      <c r="N20" s="58">
        <v>12</v>
      </c>
      <c r="O20" s="126" t="s">
        <v>74</v>
      </c>
      <c r="P20" s="153" t="str">
        <v>6L</v>
      </c>
      <c r="Q20" s="153" t="str">
        <v>3L</v>
      </c>
      <c r="R20" s="152" t="str">
        <f t="shared" si="1"/>
        <v>USD6L3L12Y</v>
      </c>
      <c r="S20" s="125" t="str">
        <v>USD3L6L12Y=ICAP</v>
      </c>
      <c r="T20" s="216" t="s">
        <v>184</v>
      </c>
      <c r="U20" s="216" t="s">
        <v>184</v>
      </c>
      <c r="V20" s="216" t="e">
        <f>_xll.qlMidEquivalent(T20,U20)</f>
        <v>#NUM!</v>
      </c>
      <c r="W20" s="120" t="b">
        <f t="shared" si="2"/>
        <v>0</v>
      </c>
      <c r="X20" s="217" t="e">
        <v>#VALUE!</v>
      </c>
      <c r="Y20" s="122"/>
      <c r="Z20" s="214">
        <v>9.6</v>
      </c>
      <c r="AA20" s="122"/>
      <c r="AB20" s="222" t="e">
        <v>#VALUE!</v>
      </c>
      <c r="AC20" s="119">
        <f>_xll.qlSimpleQuoteSetValue(F20,AB20/10000,Trigger)</f>
        <v>0</v>
      </c>
      <c r="AD20" s="109"/>
      <c r="AE20" s="3"/>
      <c r="AF20" s="3"/>
      <c r="AG20" s="3"/>
      <c r="AH20" s="3"/>
      <c r="AI20" s="3" t="str">
        <f t="shared" si="3"/>
        <v>12Y</v>
      </c>
      <c r="AJ20" s="210" t="e">
        <f>((#REF!-Swap3M!AB20)*100-AB20)/10000</f>
        <v>#REF!</v>
      </c>
    </row>
    <row r="21" spans="1:36" x14ac:dyDescent="0.2">
      <c r="A21" s="22"/>
      <c r="B21" s="21" t="s">
        <v>73</v>
      </c>
      <c r="C21" s="20" t="str">
        <f t="shared" si="4"/>
        <v>6L</v>
      </c>
      <c r="D21" s="19" t="str">
        <f t="shared" si="5"/>
        <v>3L</v>
      </c>
      <c r="E21" s="18" t="str">
        <f t="shared" si="0"/>
        <v>USD6L3L13Y_Quote</v>
      </c>
      <c r="F21" s="18" t="str">
        <f>_xll.qlSimpleQuote(E21,,RateTickValue,Permanent,Trigger,ObjectOverwrite)</f>
        <v>USD6L3L13Y_Quote#0007</v>
      </c>
      <c r="G21" s="17" t="str">
        <f>_xll.ohRangeRetrieveError(F21)</f>
        <v/>
      </c>
      <c r="H21" s="16"/>
      <c r="N21" s="58">
        <v>13</v>
      </c>
      <c r="O21" s="126" t="s">
        <v>73</v>
      </c>
      <c r="P21" s="153" t="str">
        <v>6L</v>
      </c>
      <c r="Q21" s="153" t="str">
        <v>3L</v>
      </c>
      <c r="R21" s="152" t="str">
        <f t="shared" si="1"/>
        <v>USD6L3L13Y</v>
      </c>
      <c r="S21" s="125" t="str">
        <v>USD3L6L13Y=ICAP</v>
      </c>
      <c r="T21" s="216" t="s">
        <v>184</v>
      </c>
      <c r="U21" s="216" t="s">
        <v>184</v>
      </c>
      <c r="V21" s="216" t="e">
        <f>_xll.qlMidEquivalent(T21,U21)</f>
        <v>#NUM!</v>
      </c>
      <c r="W21" s="120" t="b">
        <f t="shared" si="2"/>
        <v>0</v>
      </c>
      <c r="X21" s="217" t="e">
        <v>#VALUE!</v>
      </c>
      <c r="Y21" s="122"/>
      <c r="Z21" s="214">
        <v>9.6573959036192569</v>
      </c>
      <c r="AA21" s="122"/>
      <c r="AB21" s="222" t="e">
        <v>#VALUE!</v>
      </c>
      <c r="AC21" s="119">
        <f>_xll.qlSimpleQuoteSetValue(F21,AB21/10000,Trigger)</f>
        <v>0</v>
      </c>
      <c r="AD21" s="109"/>
      <c r="AE21" s="3"/>
      <c r="AF21" s="3"/>
      <c r="AG21" s="3"/>
      <c r="AH21" s="3"/>
      <c r="AI21" s="3" t="str">
        <f t="shared" si="3"/>
        <v>13Y</v>
      </c>
      <c r="AJ21" s="210" t="e">
        <f>((#REF!-Swap3M!AB21)*100-AB21)/10000</f>
        <v>#REF!</v>
      </c>
    </row>
    <row r="22" spans="1:36" x14ac:dyDescent="0.2">
      <c r="A22" s="22"/>
      <c r="B22" s="21" t="s">
        <v>72</v>
      </c>
      <c r="C22" s="20" t="str">
        <f t="shared" si="4"/>
        <v>6L</v>
      </c>
      <c r="D22" s="19" t="str">
        <f t="shared" si="5"/>
        <v>3L</v>
      </c>
      <c r="E22" s="18" t="str">
        <f t="shared" si="0"/>
        <v>USD6L3L14Y_Quote</v>
      </c>
      <c r="F22" s="18" t="str">
        <f>_xll.qlSimpleQuote(E22,,RateTickValue,Permanent,Trigger,ObjectOverwrite)</f>
        <v>USD6L3L14Y_Quote#0007</v>
      </c>
      <c r="G22" s="17" t="str">
        <f>_xll.ohRangeRetrieveError(F22)</f>
        <v/>
      </c>
      <c r="H22" s="16"/>
      <c r="N22" s="58">
        <v>14</v>
      </c>
      <c r="O22" s="126" t="s">
        <v>72</v>
      </c>
      <c r="P22" s="153" t="str">
        <v>6L</v>
      </c>
      <c r="Q22" s="153" t="str">
        <v>3L</v>
      </c>
      <c r="R22" s="152" t="str">
        <f t="shared" si="1"/>
        <v>USD6L3L14Y</v>
      </c>
      <c r="S22" s="125" t="str">
        <v>USD3L6L14Y=ICAP</v>
      </c>
      <c r="T22" s="216" t="s">
        <v>184</v>
      </c>
      <c r="U22" s="216" t="s">
        <v>184</v>
      </c>
      <c r="V22" s="216" t="e">
        <f>_xll.qlMidEquivalent(T22,U22)</f>
        <v>#NUM!</v>
      </c>
      <c r="W22" s="120" t="b">
        <f t="shared" si="2"/>
        <v>0</v>
      </c>
      <c r="X22" s="217" t="e">
        <v>#VALUE!</v>
      </c>
      <c r="Y22" s="122"/>
      <c r="Z22" s="214">
        <v>9.6888851270332736</v>
      </c>
      <c r="AA22" s="122"/>
      <c r="AB22" s="222" t="e">
        <v>#VALUE!</v>
      </c>
      <c r="AC22" s="119">
        <f>_xll.qlSimpleQuoteSetValue(F22,AB22/10000,Trigger)</f>
        <v>0</v>
      </c>
      <c r="AD22" s="109"/>
      <c r="AE22" s="3"/>
      <c r="AF22" s="3"/>
      <c r="AG22" s="3"/>
      <c r="AH22" s="3"/>
      <c r="AI22" s="3" t="str">
        <f t="shared" si="3"/>
        <v>14Y</v>
      </c>
      <c r="AJ22" s="210" t="e">
        <f>((#REF!-Swap3M!AB22)*100-AB22)/10000</f>
        <v>#REF!</v>
      </c>
    </row>
    <row r="23" spans="1:36" x14ac:dyDescent="0.2">
      <c r="A23" s="22"/>
      <c r="B23" s="21" t="s">
        <v>71</v>
      </c>
      <c r="C23" s="20" t="str">
        <f t="shared" si="4"/>
        <v>6L</v>
      </c>
      <c r="D23" s="19" t="str">
        <f t="shared" si="5"/>
        <v>3L</v>
      </c>
      <c r="E23" s="18" t="str">
        <f t="shared" si="0"/>
        <v>USD6L3L15Y_Quote</v>
      </c>
      <c r="F23" s="18" t="str">
        <f>_xll.qlSimpleQuote(E23,,RateTickValue,Permanent,Trigger,ObjectOverwrite)</f>
        <v>USD6L3L15Y_Quote#0007</v>
      </c>
      <c r="G23" s="17" t="str">
        <f>_xll.ohRangeRetrieveError(F23)</f>
        <v/>
      </c>
      <c r="H23" s="16"/>
      <c r="N23" s="58">
        <v>15</v>
      </c>
      <c r="O23" s="126" t="s">
        <v>71</v>
      </c>
      <c r="P23" s="153" t="str">
        <v>6L</v>
      </c>
      <c r="Q23" s="153" t="str">
        <v>3L</v>
      </c>
      <c r="R23" s="152" t="str">
        <f t="shared" si="1"/>
        <v>USD6L3L15Y</v>
      </c>
      <c r="S23" s="125" t="str">
        <v>USD3L6L15Y=ICAP</v>
      </c>
      <c r="T23" s="216" t="s">
        <v>184</v>
      </c>
      <c r="U23" s="216" t="s">
        <v>184</v>
      </c>
      <c r="V23" s="216" t="e">
        <f>_xll.qlMidEquivalent(T23,U23)</f>
        <v>#NUM!</v>
      </c>
      <c r="W23" s="120" t="b">
        <f t="shared" si="2"/>
        <v>0</v>
      </c>
      <c r="X23" s="217" t="e">
        <v>#VALUE!</v>
      </c>
      <c r="Y23" s="122"/>
      <c r="Z23" s="214">
        <v>9.6999999999999993</v>
      </c>
      <c r="AA23" s="122"/>
      <c r="AB23" s="222" t="e">
        <v>#VALUE!</v>
      </c>
      <c r="AC23" s="119">
        <f>_xll.qlSimpleQuoteSetValue(F23,AB23/10000,Trigger)</f>
        <v>0</v>
      </c>
      <c r="AD23" s="109"/>
      <c r="AE23" s="3"/>
      <c r="AF23" s="3"/>
      <c r="AG23" s="3"/>
      <c r="AH23" s="3"/>
      <c r="AI23" s="3" t="str">
        <f t="shared" si="3"/>
        <v>15Y</v>
      </c>
      <c r="AJ23" s="210" t="e">
        <f>((#REF!-Swap3M!AB23)*100-AB23)/10000</f>
        <v>#REF!</v>
      </c>
    </row>
    <row r="24" spans="1:36" x14ac:dyDescent="0.2">
      <c r="A24" s="22"/>
      <c r="B24" s="21" t="s">
        <v>70</v>
      </c>
      <c r="C24" s="20" t="str">
        <f t="shared" si="4"/>
        <v>6L</v>
      </c>
      <c r="D24" s="19" t="str">
        <f t="shared" si="5"/>
        <v>3L</v>
      </c>
      <c r="E24" s="18" t="str">
        <f t="shared" si="0"/>
        <v>USD6L3L16Y_Quote</v>
      </c>
      <c r="F24" s="18" t="str">
        <f>_xll.qlSimpleQuote(E24,,RateTickValue,Permanent,Trigger,ObjectOverwrite)</f>
        <v>USD6L3L16Y_Quote#0007</v>
      </c>
      <c r="G24" s="17" t="str">
        <f>_xll.ohRangeRetrieveError(F24)</f>
        <v/>
      </c>
      <c r="H24" s="16"/>
      <c r="N24" s="58">
        <v>16</v>
      </c>
      <c r="O24" s="126" t="s">
        <v>70</v>
      </c>
      <c r="P24" s="153" t="str">
        <v>6L</v>
      </c>
      <c r="Q24" s="153" t="str">
        <v>3L</v>
      </c>
      <c r="R24" s="152" t="str">
        <f t="shared" si="1"/>
        <v>USD6L3L16Y</v>
      </c>
      <c r="S24" s="125" t="str">
        <v>USD3L6L16Y=ICAP</v>
      </c>
      <c r="T24" s="216" t="s">
        <v>184</v>
      </c>
      <c r="U24" s="216" t="s">
        <v>184</v>
      </c>
      <c r="V24" s="216" t="e">
        <f>_xll.qlMidEquivalent(T24,U24)</f>
        <v>#NUM!</v>
      </c>
      <c r="W24" s="120" t="b">
        <f t="shared" si="2"/>
        <v>0</v>
      </c>
      <c r="X24" s="217" t="e">
        <v>#VALUE!</v>
      </c>
      <c r="Y24" s="122"/>
      <c r="Z24" s="214">
        <v>9.6959241270801577</v>
      </c>
      <c r="AA24" s="122"/>
      <c r="AB24" s="222" t="e">
        <v>#VALUE!</v>
      </c>
      <c r="AC24" s="119">
        <f>_xll.qlSimpleQuoteSetValue(F24,AB24/10000,Trigger)</f>
        <v>0</v>
      </c>
      <c r="AD24" s="109"/>
      <c r="AE24" s="3"/>
      <c r="AF24" s="3"/>
      <c r="AG24" s="3"/>
      <c r="AH24" s="3"/>
      <c r="AI24" s="3" t="str">
        <f t="shared" si="3"/>
        <v>16Y</v>
      </c>
      <c r="AJ24" s="210" t="e">
        <f>((#REF!-Swap3M!AB24)*100-AB24)/10000</f>
        <v>#REF!</v>
      </c>
    </row>
    <row r="25" spans="1:36" x14ac:dyDescent="0.2">
      <c r="A25" s="22"/>
      <c r="B25" s="21" t="s">
        <v>69</v>
      </c>
      <c r="C25" s="20" t="str">
        <f t="shared" si="4"/>
        <v>6L</v>
      </c>
      <c r="D25" s="19" t="str">
        <f t="shared" si="5"/>
        <v>3L</v>
      </c>
      <c r="E25" s="18" t="str">
        <f t="shared" si="0"/>
        <v>USD6L3L17Y_Quote</v>
      </c>
      <c r="F25" s="18" t="str">
        <f>_xll.qlSimpleQuote(E25,,RateTickValue,Permanent,Trigger,ObjectOverwrite)</f>
        <v>USD6L3L17Y_Quote#0007</v>
      </c>
      <c r="G25" s="17" t="str">
        <f>_xll.ohRangeRetrieveError(F25)</f>
        <v/>
      </c>
      <c r="H25" s="16"/>
      <c r="N25" s="58">
        <v>17</v>
      </c>
      <c r="O25" s="126" t="s">
        <v>69</v>
      </c>
      <c r="P25" s="153" t="str">
        <v>6L</v>
      </c>
      <c r="Q25" s="153" t="str">
        <v>3L</v>
      </c>
      <c r="R25" s="152" t="str">
        <f t="shared" si="1"/>
        <v>USD6L3L17Y</v>
      </c>
      <c r="S25" s="125" t="str">
        <v>USD3L6L17Y=ICAP</v>
      </c>
      <c r="T25" s="216" t="s">
        <v>184</v>
      </c>
      <c r="U25" s="216" t="s">
        <v>184</v>
      </c>
      <c r="V25" s="216" t="e">
        <f>_xll.qlMidEquivalent(T25,U25)</f>
        <v>#NUM!</v>
      </c>
      <c r="W25" s="120" t="b">
        <f t="shared" si="2"/>
        <v>0</v>
      </c>
      <c r="X25" s="217" t="e">
        <v>#VALUE!</v>
      </c>
      <c r="Y25" s="122"/>
      <c r="Z25" s="214">
        <v>9.6804462120456005</v>
      </c>
      <c r="AA25" s="122"/>
      <c r="AB25" s="222" t="e">
        <v>#VALUE!</v>
      </c>
      <c r="AC25" s="119">
        <f>_xll.qlSimpleQuoteSetValue(F25,AB25/10000,Trigger)</f>
        <v>0</v>
      </c>
      <c r="AD25" s="109"/>
      <c r="AE25" s="3"/>
      <c r="AF25" s="3"/>
      <c r="AG25" s="3"/>
      <c r="AH25" s="3"/>
      <c r="AI25" s="3" t="str">
        <f t="shared" si="3"/>
        <v>17Y</v>
      </c>
      <c r="AJ25" s="210" t="e">
        <f>((#REF!-Swap3M!AB25)*100-AB25)/10000</f>
        <v>#REF!</v>
      </c>
    </row>
    <row r="26" spans="1:36" x14ac:dyDescent="0.2">
      <c r="A26" s="22"/>
      <c r="B26" s="21" t="s">
        <v>68</v>
      </c>
      <c r="C26" s="20" t="str">
        <f t="shared" si="4"/>
        <v>6L</v>
      </c>
      <c r="D26" s="19" t="str">
        <f t="shared" si="5"/>
        <v>3L</v>
      </c>
      <c r="E26" s="18" t="str">
        <f t="shared" si="0"/>
        <v>USD6L3L18Y_Quote</v>
      </c>
      <c r="F26" s="18" t="str">
        <f>_xll.qlSimpleQuote(E26,,RateTickValue,Permanent,Trigger,ObjectOverwrite)</f>
        <v>USD6L3L18Y_Quote#0007</v>
      </c>
      <c r="G26" s="17" t="str">
        <f>_xll.ohRangeRetrieveError(F26)</f>
        <v/>
      </c>
      <c r="H26" s="16"/>
      <c r="N26" s="58">
        <v>18</v>
      </c>
      <c r="O26" s="126" t="s">
        <v>68</v>
      </c>
      <c r="P26" s="153" t="str">
        <v>6L</v>
      </c>
      <c r="Q26" s="153" t="str">
        <v>3L</v>
      </c>
      <c r="R26" s="152" t="str">
        <f t="shared" si="1"/>
        <v>USD6L3L18Y</v>
      </c>
      <c r="S26" s="125" t="str">
        <v>USD3L6L18Y=ICAP</v>
      </c>
      <c r="T26" s="216" t="s">
        <v>184</v>
      </c>
      <c r="U26" s="216" t="s">
        <v>184</v>
      </c>
      <c r="V26" s="216" t="e">
        <f>_xll.qlMidEquivalent(T26,U26)</f>
        <v>#NUM!</v>
      </c>
      <c r="W26" s="120" t="b">
        <f t="shared" si="2"/>
        <v>0</v>
      </c>
      <c r="X26" s="217" t="e">
        <v>#VALUE!</v>
      </c>
      <c r="Y26" s="122"/>
      <c r="Z26" s="214">
        <v>9.6570062334709661</v>
      </c>
      <c r="AA26" s="122"/>
      <c r="AB26" s="222" t="e">
        <v>#VALUE!</v>
      </c>
      <c r="AC26" s="119">
        <f>_xll.qlSimpleQuoteSetValue(F26,AB26/10000,Trigger)</f>
        <v>0</v>
      </c>
      <c r="AD26" s="109"/>
      <c r="AE26" s="3"/>
      <c r="AF26" s="3"/>
      <c r="AG26" s="3"/>
      <c r="AH26" s="3"/>
      <c r="AI26" s="3" t="str">
        <f t="shared" si="3"/>
        <v>18Y</v>
      </c>
      <c r="AJ26" s="210" t="e">
        <f>((#REF!-Swap3M!AB26)*100-AB26)/10000</f>
        <v>#REF!</v>
      </c>
    </row>
    <row r="27" spans="1:36" x14ac:dyDescent="0.2">
      <c r="A27" s="22"/>
      <c r="B27" s="21" t="s">
        <v>67</v>
      </c>
      <c r="C27" s="20" t="str">
        <f t="shared" si="4"/>
        <v>6L</v>
      </c>
      <c r="D27" s="19" t="str">
        <f t="shared" si="5"/>
        <v>3L</v>
      </c>
      <c r="E27" s="18" t="str">
        <f t="shared" si="0"/>
        <v>USD6L3L19Y_Quote</v>
      </c>
      <c r="F27" s="18" t="str">
        <f>_xll.qlSimpleQuote(E27,,RateTickValue,Permanent,Trigger,ObjectOverwrite)</f>
        <v>USD6L3L19Y_Quote#0007</v>
      </c>
      <c r="G27" s="17" t="str">
        <f>_xll.ohRangeRetrieveError(F27)</f>
        <v/>
      </c>
      <c r="H27" s="16"/>
      <c r="N27" s="58">
        <v>19</v>
      </c>
      <c r="O27" s="126" t="s">
        <v>67</v>
      </c>
      <c r="P27" s="153" t="str">
        <v>6L</v>
      </c>
      <c r="Q27" s="153" t="str">
        <v>3L</v>
      </c>
      <c r="R27" s="152" t="str">
        <f t="shared" si="1"/>
        <v>USD6L3L19Y</v>
      </c>
      <c r="S27" s="125" t="str">
        <v>USD3L6L19Y=ICAP</v>
      </c>
      <c r="T27" s="216" t="s">
        <v>184</v>
      </c>
      <c r="U27" s="216" t="s">
        <v>184</v>
      </c>
      <c r="V27" s="216" t="e">
        <f>_xll.qlMidEquivalent(T27,U27)</f>
        <v>#NUM!</v>
      </c>
      <c r="W27" s="120" t="b">
        <f t="shared" si="2"/>
        <v>0</v>
      </c>
      <c r="X27" s="217" t="e">
        <v>#VALUE!</v>
      </c>
      <c r="Y27" s="122"/>
      <c r="Z27" s="214">
        <v>9.6290441699308875</v>
      </c>
      <c r="AA27" s="122"/>
      <c r="AB27" s="222" t="e">
        <v>#VALUE!</v>
      </c>
      <c r="AC27" s="119">
        <f>_xll.qlSimpleQuoteSetValue(F27,AB27/10000,Trigger)</f>
        <v>0</v>
      </c>
      <c r="AD27" s="109"/>
      <c r="AE27" s="3"/>
      <c r="AF27" s="3"/>
      <c r="AG27" s="3"/>
      <c r="AH27" s="3"/>
      <c r="AI27" s="3" t="str">
        <f t="shared" si="3"/>
        <v>19Y</v>
      </c>
      <c r="AJ27" s="210" t="e">
        <f>((#REF!-Swap3M!AB27)*100-AB27)/10000</f>
        <v>#REF!</v>
      </c>
    </row>
    <row r="28" spans="1:36" x14ac:dyDescent="0.2">
      <c r="A28" s="22"/>
      <c r="B28" s="21" t="s">
        <v>66</v>
      </c>
      <c r="C28" s="20" t="str">
        <f t="shared" si="4"/>
        <v>6L</v>
      </c>
      <c r="D28" s="19" t="str">
        <f t="shared" si="5"/>
        <v>3L</v>
      </c>
      <c r="E28" s="18" t="str">
        <f t="shared" si="0"/>
        <v>USD6L3L20Y_Quote</v>
      </c>
      <c r="F28" s="18" t="str">
        <f>_xll.qlSimpleQuote(E28,,RateTickValue,Permanent,Trigger,ObjectOverwrite)</f>
        <v>USD6L3L20Y_Quote#0007</v>
      </c>
      <c r="G28" s="17" t="str">
        <f>_xll.ohRangeRetrieveError(F28)</f>
        <v/>
      </c>
      <c r="H28" s="16"/>
      <c r="N28" s="58">
        <v>20</v>
      </c>
      <c r="O28" s="126" t="s">
        <v>66</v>
      </c>
      <c r="P28" s="153" t="str">
        <v>6L</v>
      </c>
      <c r="Q28" s="153" t="str">
        <v>3L</v>
      </c>
      <c r="R28" s="152" t="str">
        <f t="shared" si="1"/>
        <v>USD6L3L20Y</v>
      </c>
      <c r="S28" s="125" t="str">
        <v>USD3L6L20Y=ICAP</v>
      </c>
      <c r="T28" s="216" t="s">
        <v>184</v>
      </c>
      <c r="U28" s="216" t="s">
        <v>184</v>
      </c>
      <c r="V28" s="216" t="e">
        <f>_xll.qlMidEquivalent(T28,U28)</f>
        <v>#NUM!</v>
      </c>
      <c r="W28" s="120" t="b">
        <f t="shared" si="2"/>
        <v>0</v>
      </c>
      <c r="X28" s="217" t="e">
        <v>#VALUE!</v>
      </c>
      <c r="Y28" s="122"/>
      <c r="Z28" s="214">
        <v>9.6</v>
      </c>
      <c r="AA28" s="122"/>
      <c r="AB28" s="222" t="e">
        <v>#VALUE!</v>
      </c>
      <c r="AC28" s="119">
        <f>_xll.qlSimpleQuoteSetValue(F28,AB28/10000,Trigger)</f>
        <v>0</v>
      </c>
      <c r="AD28" s="109"/>
      <c r="AE28" s="3"/>
      <c r="AF28" s="3"/>
      <c r="AG28" s="3"/>
      <c r="AH28" s="3"/>
      <c r="AI28" s="3" t="str">
        <f t="shared" si="3"/>
        <v>20Y</v>
      </c>
      <c r="AJ28" s="210" t="e">
        <f>((#REF!-Swap3M!AB28)*100-AB28)/10000</f>
        <v>#REF!</v>
      </c>
    </row>
    <row r="29" spans="1:36" x14ac:dyDescent="0.2">
      <c r="A29" s="22"/>
      <c r="B29" s="21" t="s">
        <v>65</v>
      </c>
      <c r="C29" s="20" t="str">
        <f t="shared" si="4"/>
        <v>6L</v>
      </c>
      <c r="D29" s="19" t="str">
        <f t="shared" si="5"/>
        <v>3L</v>
      </c>
      <c r="E29" s="18" t="str">
        <f t="shared" si="0"/>
        <v>USD6L3L21Y_Quote</v>
      </c>
      <c r="F29" s="18" t="str">
        <f>_xll.qlSimpleQuote(E29,,RateTickValue,Permanent,Trigger,ObjectOverwrite)</f>
        <v>USD6L3L21Y_Quote#0007</v>
      </c>
      <c r="G29" s="17" t="str">
        <f>_xll.ohRangeRetrieveError(F29)</f>
        <v/>
      </c>
      <c r="H29" s="16"/>
      <c r="N29" s="58">
        <v>21</v>
      </c>
      <c r="O29" s="126" t="s">
        <v>65</v>
      </c>
      <c r="P29" s="153" t="str">
        <v>6L</v>
      </c>
      <c r="Q29" s="153" t="str">
        <v>3L</v>
      </c>
      <c r="R29" s="152" t="str">
        <f t="shared" si="1"/>
        <v>USD6L3L21Y</v>
      </c>
      <c r="S29" s="125" t="str">
        <v>USD3L6L21Y=ICAP</v>
      </c>
      <c r="T29" s="216" t="s">
        <v>184</v>
      </c>
      <c r="U29" s="216" t="s">
        <v>184</v>
      </c>
      <c r="V29" s="216" t="e">
        <f>_xll.qlMidEquivalent(T29,U29)</f>
        <v>#NUM!</v>
      </c>
      <c r="W29" s="120" t="b">
        <f t="shared" si="2"/>
        <v>0</v>
      </c>
      <c r="X29" s="217" t="e">
        <v>#VALUE!</v>
      </c>
      <c r="Y29" s="122"/>
      <c r="Z29" s="214">
        <v>9.5713993192950948</v>
      </c>
      <c r="AA29" s="122"/>
      <c r="AB29" s="222" t="e">
        <v>#VALUE!</v>
      </c>
      <c r="AC29" s="119">
        <f>_xll.qlSimpleQuoteSetValue(F29,AB29/10000,Trigger)</f>
        <v>0</v>
      </c>
      <c r="AD29" s="109"/>
      <c r="AE29" s="3"/>
      <c r="AF29" s="3"/>
      <c r="AG29" s="3"/>
      <c r="AH29" s="3"/>
      <c r="AI29" s="3" t="str">
        <f t="shared" si="3"/>
        <v>21Y</v>
      </c>
      <c r="AJ29" s="210" t="e">
        <f>((#REF!-Swap3M!AB29)*100-AB29)/10000</f>
        <v>#REF!</v>
      </c>
    </row>
    <row r="30" spans="1:36" x14ac:dyDescent="0.2">
      <c r="A30" s="22"/>
      <c r="B30" s="21" t="s">
        <v>64</v>
      </c>
      <c r="C30" s="20" t="str">
        <f t="shared" si="4"/>
        <v>6L</v>
      </c>
      <c r="D30" s="19" t="str">
        <f t="shared" si="5"/>
        <v>3L</v>
      </c>
      <c r="E30" s="18" t="str">
        <f t="shared" si="0"/>
        <v>USD6L3L22Y_Quote</v>
      </c>
      <c r="F30" s="18" t="str">
        <f>_xll.qlSimpleQuote(E30,,RateTickValue,Permanent,Trigger,ObjectOverwrite)</f>
        <v>USD6L3L22Y_Quote#0007</v>
      </c>
      <c r="G30" s="17" t="str">
        <f>_xll.ohRangeRetrieveError(F30)</f>
        <v/>
      </c>
      <c r="H30" s="16"/>
      <c r="N30" s="58">
        <v>22</v>
      </c>
      <c r="O30" s="126" t="s">
        <v>64</v>
      </c>
      <c r="P30" s="153" t="str">
        <v>6L</v>
      </c>
      <c r="Q30" s="153" t="str">
        <v>3L</v>
      </c>
      <c r="R30" s="152" t="str">
        <f t="shared" si="1"/>
        <v>USD6L3L22Y</v>
      </c>
      <c r="S30" s="125" t="str">
        <v>USD3L6L22Y=ICAP</v>
      </c>
      <c r="T30" s="216" t="s">
        <v>184</v>
      </c>
      <c r="U30" s="216" t="s">
        <v>184</v>
      </c>
      <c r="V30" s="216" t="e">
        <f>_xll.qlMidEquivalent(T30,U30)</f>
        <v>#NUM!</v>
      </c>
      <c r="W30" s="120" t="b">
        <f t="shared" si="2"/>
        <v>0</v>
      </c>
      <c r="X30" s="217" t="e">
        <v>#VALUE!</v>
      </c>
      <c r="Y30" s="122"/>
      <c r="Z30" s="214">
        <v>9.5443242342069823</v>
      </c>
      <c r="AA30" s="122"/>
      <c r="AB30" s="222" t="e">
        <v>#VALUE!</v>
      </c>
      <c r="AC30" s="119">
        <f>_xll.qlSimpleQuoteSetValue(F30,AB30/10000,Trigger)</f>
        <v>0</v>
      </c>
      <c r="AD30" s="109"/>
      <c r="AE30" s="3"/>
      <c r="AF30" s="3"/>
      <c r="AG30" s="3"/>
      <c r="AH30" s="3"/>
      <c r="AI30" s="3" t="str">
        <f t="shared" si="3"/>
        <v>22Y</v>
      </c>
      <c r="AJ30" s="210" t="e">
        <f>((#REF!-Swap3M!AB30)*100-AB30)/10000</f>
        <v>#REF!</v>
      </c>
    </row>
    <row r="31" spans="1:36" x14ac:dyDescent="0.2">
      <c r="A31" s="22"/>
      <c r="B31" s="21" t="s">
        <v>63</v>
      </c>
      <c r="C31" s="20" t="str">
        <f t="shared" si="4"/>
        <v>6L</v>
      </c>
      <c r="D31" s="19" t="str">
        <f t="shared" si="5"/>
        <v>3L</v>
      </c>
      <c r="E31" s="18" t="str">
        <f t="shared" si="0"/>
        <v>USD6L3L23Y_Quote</v>
      </c>
      <c r="F31" s="18" t="str">
        <f>_xll.qlSimpleQuote(E31,,RateTickValue,Permanent,Trigger,ObjectOverwrite)</f>
        <v>USD6L3L23Y_Quote#0007</v>
      </c>
      <c r="G31" s="17" t="str">
        <f>_xll.ohRangeRetrieveError(F31)</f>
        <v/>
      </c>
      <c r="H31" s="16"/>
      <c r="N31" s="58">
        <v>23</v>
      </c>
      <c r="O31" s="126" t="s">
        <v>63</v>
      </c>
      <c r="P31" s="153" t="str">
        <v>6L</v>
      </c>
      <c r="Q31" s="153" t="str">
        <v>3L</v>
      </c>
      <c r="R31" s="152" t="str">
        <f t="shared" si="1"/>
        <v>USD6L3L23Y</v>
      </c>
      <c r="S31" s="125" t="str">
        <v>USD3L6L23Y=ICAP</v>
      </c>
      <c r="T31" s="216" t="s">
        <v>184</v>
      </c>
      <c r="U31" s="216" t="s">
        <v>184</v>
      </c>
      <c r="V31" s="216" t="e">
        <f>_xll.qlMidEquivalent(T31,U31)</f>
        <v>#NUM!</v>
      </c>
      <c r="W31" s="120" t="b">
        <f t="shared" si="2"/>
        <v>0</v>
      </c>
      <c r="X31" s="217" t="e">
        <v>#VALUE!</v>
      </c>
      <c r="Y31" s="122"/>
      <c r="Z31" s="214">
        <v>9.5215494894713206</v>
      </c>
      <c r="AA31" s="122"/>
      <c r="AB31" s="222" t="e">
        <v>#VALUE!</v>
      </c>
      <c r="AC31" s="119">
        <f>_xll.qlSimpleQuoteSetValue(F31,AB31/10000,Trigger)</f>
        <v>0</v>
      </c>
      <c r="AD31" s="109"/>
      <c r="AE31" s="3"/>
      <c r="AF31" s="3"/>
      <c r="AG31" s="3"/>
      <c r="AH31" s="3"/>
      <c r="AI31" s="3" t="str">
        <f t="shared" si="3"/>
        <v>23Y</v>
      </c>
      <c r="AJ31" s="210" t="e">
        <f>((#REF!-Swap3M!AB31)*100-AB31)/10000</f>
        <v>#REF!</v>
      </c>
    </row>
    <row r="32" spans="1:36" x14ac:dyDescent="0.2">
      <c r="A32" s="22"/>
      <c r="B32" s="21" t="s">
        <v>62</v>
      </c>
      <c r="C32" s="20" t="str">
        <f t="shared" si="4"/>
        <v>6L</v>
      </c>
      <c r="D32" s="19" t="str">
        <f t="shared" si="5"/>
        <v>3L</v>
      </c>
      <c r="E32" s="18" t="str">
        <f t="shared" si="0"/>
        <v>USD6L3L24Y_Quote</v>
      </c>
      <c r="F32" s="18" t="str">
        <f>_xll.qlSimpleQuote(E32,,RateTickValue,Permanent,Trigger,ObjectOverwrite)</f>
        <v>USD6L3L24Y_Quote#0007</v>
      </c>
      <c r="G32" s="17" t="str">
        <f>_xll.ohRangeRetrieveError(F32)</f>
        <v/>
      </c>
      <c r="H32" s="16"/>
      <c r="N32" s="58">
        <v>24</v>
      </c>
      <c r="O32" s="126" t="s">
        <v>62</v>
      </c>
      <c r="P32" s="153" t="str">
        <v>6L</v>
      </c>
      <c r="Q32" s="153" t="str">
        <v>3L</v>
      </c>
      <c r="R32" s="152" t="str">
        <f t="shared" si="1"/>
        <v>USD6L3L24Y</v>
      </c>
      <c r="S32" s="125" t="str">
        <v>USD3L6L24Y=ICAP</v>
      </c>
      <c r="T32" s="216" t="s">
        <v>184</v>
      </c>
      <c r="U32" s="216" t="s">
        <v>184</v>
      </c>
      <c r="V32" s="216" t="e">
        <f>_xll.qlMidEquivalent(T32,U32)</f>
        <v>#NUM!</v>
      </c>
      <c r="W32" s="120" t="b">
        <f t="shared" si="2"/>
        <v>0</v>
      </c>
      <c r="X32" s="217" t="e">
        <v>#VALUE!</v>
      </c>
      <c r="Y32" s="122"/>
      <c r="Z32" s="214">
        <v>9.5058498298237737</v>
      </c>
      <c r="AA32" s="122"/>
      <c r="AB32" s="222" t="e">
        <v>#VALUE!</v>
      </c>
      <c r="AC32" s="119">
        <f>_xll.qlSimpleQuoteSetValue(F32,AB32/10000,Trigger)</f>
        <v>0</v>
      </c>
      <c r="AD32" s="109"/>
      <c r="AE32" s="3"/>
      <c r="AF32" s="3"/>
      <c r="AG32" s="3"/>
      <c r="AH32" s="3"/>
      <c r="AI32" s="3" t="str">
        <f t="shared" si="3"/>
        <v>24Y</v>
      </c>
      <c r="AJ32" s="210" t="e">
        <f>((#REF!-Swap3M!AB32)*100-AB32)/10000</f>
        <v>#REF!</v>
      </c>
    </row>
    <row r="33" spans="1:36" x14ac:dyDescent="0.2">
      <c r="A33" s="22"/>
      <c r="B33" s="21" t="s">
        <v>61</v>
      </c>
      <c r="C33" s="20" t="str">
        <f t="shared" si="4"/>
        <v>6L</v>
      </c>
      <c r="D33" s="19" t="str">
        <f t="shared" si="5"/>
        <v>3L</v>
      </c>
      <c r="E33" s="18" t="str">
        <f t="shared" si="0"/>
        <v>USD6L3L25Y_Quote</v>
      </c>
      <c r="F33" s="18" t="str">
        <f>_xll.qlSimpleQuote(E33,,RateTickValue,Permanent,Trigger,ObjectOverwrite)</f>
        <v>USD6L3L25Y_Quote#0007</v>
      </c>
      <c r="G33" s="17" t="str">
        <f>_xll.ohRangeRetrieveError(F33)</f>
        <v/>
      </c>
      <c r="H33" s="16"/>
      <c r="N33" s="58">
        <v>25</v>
      </c>
      <c r="O33" s="126" t="s">
        <v>61</v>
      </c>
      <c r="P33" s="153" t="str">
        <v>6L</v>
      </c>
      <c r="Q33" s="153" t="str">
        <v>3L</v>
      </c>
      <c r="R33" s="152" t="str">
        <f t="shared" si="1"/>
        <v>USD6L3L25Y</v>
      </c>
      <c r="S33" s="125" t="str">
        <v>USD3L6L25Y=ICAP</v>
      </c>
      <c r="T33" s="216" t="s">
        <v>184</v>
      </c>
      <c r="U33" s="216" t="s">
        <v>184</v>
      </c>
      <c r="V33" s="216" t="e">
        <f>_xll.qlMidEquivalent(T33,U33)</f>
        <v>#NUM!</v>
      </c>
      <c r="W33" s="120" t="b">
        <f t="shared" si="2"/>
        <v>0</v>
      </c>
      <c r="X33" s="217" t="e">
        <v>#VALUE!</v>
      </c>
      <c r="Y33" s="122"/>
      <c r="Z33" s="214">
        <v>9.5</v>
      </c>
      <c r="AA33" s="122"/>
      <c r="AB33" s="222" t="e">
        <v>#VALUE!</v>
      </c>
      <c r="AC33" s="119">
        <f>_xll.qlSimpleQuoteSetValue(F33,AB33/10000,Trigger)</f>
        <v>0</v>
      </c>
      <c r="AD33" s="109"/>
      <c r="AE33" s="3"/>
      <c r="AF33" s="3"/>
      <c r="AG33" s="3"/>
      <c r="AH33" s="3"/>
      <c r="AI33" s="3" t="str">
        <f t="shared" si="3"/>
        <v>25Y</v>
      </c>
      <c r="AJ33" s="210" t="e">
        <f>((#REF!-Swap3M!AB33)*100-AB33)/10000</f>
        <v>#REF!</v>
      </c>
    </row>
    <row r="34" spans="1:36" x14ac:dyDescent="0.2">
      <c r="A34" s="22"/>
      <c r="B34" s="21" t="s">
        <v>60</v>
      </c>
      <c r="C34" s="20" t="str">
        <f t="shared" si="4"/>
        <v>6L</v>
      </c>
      <c r="D34" s="19" t="str">
        <f t="shared" si="5"/>
        <v>3L</v>
      </c>
      <c r="E34" s="18" t="str">
        <f t="shared" si="0"/>
        <v>USD6L3L26Y_Quote</v>
      </c>
      <c r="F34" s="18" t="str">
        <f>_xll.qlSimpleQuote(E34,,RateTickValue,Permanent,Trigger,ObjectOverwrite)</f>
        <v>USD6L3L26Y_Quote#0007</v>
      </c>
      <c r="G34" s="17" t="str">
        <f>_xll.ohRangeRetrieveError(F34)</f>
        <v/>
      </c>
      <c r="H34" s="16"/>
      <c r="N34" s="58">
        <v>26</v>
      </c>
      <c r="O34" s="126" t="s">
        <v>60</v>
      </c>
      <c r="P34" s="153" t="str">
        <v>6L</v>
      </c>
      <c r="Q34" s="153" t="str">
        <v>3L</v>
      </c>
      <c r="R34" s="152" t="str">
        <f t="shared" si="1"/>
        <v>USD6L3L26Y</v>
      </c>
      <c r="S34" s="125" t="str">
        <v>USD3L6L26Y=ICAP</v>
      </c>
      <c r="T34" s="216" t="s">
        <v>184</v>
      </c>
      <c r="U34" s="216" t="s">
        <v>184</v>
      </c>
      <c r="V34" s="216" t="e">
        <f>_xll.qlMidEquivalent(T34,U34)</f>
        <v>#NUM!</v>
      </c>
      <c r="W34" s="120" t="b">
        <f t="shared" si="2"/>
        <v>0</v>
      </c>
      <c r="X34" s="217" t="e">
        <v>#VALUE!</v>
      </c>
      <c r="Y34" s="122"/>
      <c r="Z34" s="214">
        <v>9.5</v>
      </c>
      <c r="AA34" s="122"/>
      <c r="AB34" s="222" t="e">
        <v>#VALUE!</v>
      </c>
      <c r="AC34" s="119">
        <f>_xll.qlSimpleQuoteSetValue(F34,AB34/10000,Trigger)</f>
        <v>0</v>
      </c>
      <c r="AD34" s="109"/>
      <c r="AE34" s="3"/>
      <c r="AF34" s="3"/>
      <c r="AG34" s="3"/>
      <c r="AH34" s="3"/>
      <c r="AI34" s="3" t="str">
        <f t="shared" si="3"/>
        <v>26Y</v>
      </c>
      <c r="AJ34" s="210" t="e">
        <f>((#REF!-Swap3M!AB34)*100-AB34)/10000</f>
        <v>#REF!</v>
      </c>
    </row>
    <row r="35" spans="1:36" x14ac:dyDescent="0.2">
      <c r="A35" s="22"/>
      <c r="B35" s="21" t="s">
        <v>59</v>
      </c>
      <c r="C35" s="20" t="str">
        <f t="shared" si="4"/>
        <v>6L</v>
      </c>
      <c r="D35" s="19" t="str">
        <f t="shared" si="5"/>
        <v>3L</v>
      </c>
      <c r="E35" s="18" t="str">
        <f t="shared" si="0"/>
        <v>USD6L3L27Y_Quote</v>
      </c>
      <c r="F35" s="18" t="str">
        <f>_xll.qlSimpleQuote(E35,,RateTickValue,Permanent,Trigger,ObjectOverwrite)</f>
        <v>USD6L3L27Y_Quote#0007</v>
      </c>
      <c r="G35" s="17" t="str">
        <f>_xll.ohRangeRetrieveError(F35)</f>
        <v/>
      </c>
      <c r="H35" s="16"/>
      <c r="N35" s="58">
        <v>27</v>
      </c>
      <c r="O35" s="126" t="s">
        <v>59</v>
      </c>
      <c r="P35" s="153" t="str">
        <v>6L</v>
      </c>
      <c r="Q35" s="153" t="str">
        <v>3L</v>
      </c>
      <c r="R35" s="152" t="str">
        <f t="shared" si="1"/>
        <v>USD6L3L27Y</v>
      </c>
      <c r="S35" s="125" t="str">
        <v>USD3L6L27Y=ICAP</v>
      </c>
      <c r="T35" s="216" t="s">
        <v>184</v>
      </c>
      <c r="U35" s="216" t="s">
        <v>184</v>
      </c>
      <c r="V35" s="216" t="e">
        <f>_xll.qlMidEquivalent(T35,U35)</f>
        <v>#NUM!</v>
      </c>
      <c r="W35" s="120" t="b">
        <f t="shared" si="2"/>
        <v>0</v>
      </c>
      <c r="X35" s="217" t="e">
        <v>#VALUE!</v>
      </c>
      <c r="Y35" s="122"/>
      <c r="Z35" s="214">
        <v>9.5</v>
      </c>
      <c r="AA35" s="122"/>
      <c r="AB35" s="222" t="e">
        <v>#VALUE!</v>
      </c>
      <c r="AC35" s="119">
        <f>_xll.qlSimpleQuoteSetValue(F35,AB35/10000,Trigger)</f>
        <v>0</v>
      </c>
      <c r="AD35" s="109"/>
      <c r="AE35" s="3"/>
      <c r="AF35" s="3"/>
      <c r="AG35" s="3"/>
      <c r="AH35" s="3"/>
      <c r="AI35" s="3" t="str">
        <f t="shared" si="3"/>
        <v>27Y</v>
      </c>
      <c r="AJ35" s="210" t="e">
        <f>((#REF!-Swap3M!AB35)*100-AB35)/10000</f>
        <v>#REF!</v>
      </c>
    </row>
    <row r="36" spans="1:36" x14ac:dyDescent="0.2">
      <c r="A36" s="22"/>
      <c r="B36" s="21" t="s">
        <v>58</v>
      </c>
      <c r="C36" s="20" t="str">
        <f t="shared" si="4"/>
        <v>6L</v>
      </c>
      <c r="D36" s="19" t="str">
        <f t="shared" si="5"/>
        <v>3L</v>
      </c>
      <c r="E36" s="18" t="str">
        <f t="shared" si="0"/>
        <v>USD6L3L28Y_Quote</v>
      </c>
      <c r="F36" s="18" t="str">
        <f>_xll.qlSimpleQuote(E36,,RateTickValue,Permanent,Trigger,ObjectOverwrite)</f>
        <v>USD6L3L28Y_Quote#0007</v>
      </c>
      <c r="G36" s="17" t="str">
        <f>_xll.ohRangeRetrieveError(F36)</f>
        <v/>
      </c>
      <c r="H36" s="16"/>
      <c r="N36" s="58">
        <v>28</v>
      </c>
      <c r="O36" s="126" t="s">
        <v>58</v>
      </c>
      <c r="P36" s="153" t="str">
        <v>6L</v>
      </c>
      <c r="Q36" s="153" t="str">
        <v>3L</v>
      </c>
      <c r="R36" s="152" t="str">
        <f t="shared" si="1"/>
        <v>USD6L3L28Y</v>
      </c>
      <c r="S36" s="125" t="str">
        <v>USD3L6L28Y=ICAP</v>
      </c>
      <c r="T36" s="216" t="s">
        <v>184</v>
      </c>
      <c r="U36" s="216" t="s">
        <v>184</v>
      </c>
      <c r="V36" s="216" t="e">
        <f>_xll.qlMidEquivalent(T36,U36)</f>
        <v>#NUM!</v>
      </c>
      <c r="W36" s="120" t="b">
        <f t="shared" si="2"/>
        <v>0</v>
      </c>
      <c r="X36" s="217" t="e">
        <v>#VALUE!</v>
      </c>
      <c r="Y36" s="122"/>
      <c r="Z36" s="214">
        <v>9.5</v>
      </c>
      <c r="AA36" s="122"/>
      <c r="AB36" s="222" t="e">
        <v>#VALUE!</v>
      </c>
      <c r="AC36" s="119">
        <f>_xll.qlSimpleQuoteSetValue(F36,AB36/10000,Trigger)</f>
        <v>0</v>
      </c>
      <c r="AD36" s="109"/>
      <c r="AE36" s="3"/>
      <c r="AF36" s="3"/>
      <c r="AG36" s="3"/>
      <c r="AH36" s="3"/>
      <c r="AI36" s="3" t="str">
        <f t="shared" si="3"/>
        <v>28Y</v>
      </c>
      <c r="AJ36" s="210" t="e">
        <f>((#REF!-Swap3M!AB36)*100-AB36)/10000</f>
        <v>#REF!</v>
      </c>
    </row>
    <row r="37" spans="1:36" x14ac:dyDescent="0.2">
      <c r="A37" s="22"/>
      <c r="B37" s="21" t="s">
        <v>57</v>
      </c>
      <c r="C37" s="20" t="str">
        <f t="shared" si="4"/>
        <v>6L</v>
      </c>
      <c r="D37" s="19" t="str">
        <f t="shared" si="5"/>
        <v>3L</v>
      </c>
      <c r="E37" s="18" t="str">
        <f t="shared" si="0"/>
        <v>USD6L3L29Y_Quote</v>
      </c>
      <c r="F37" s="18" t="str">
        <f>_xll.qlSimpleQuote(E37,,RateTickValue,Permanent,Trigger,ObjectOverwrite)</f>
        <v>USD6L3L29Y_Quote#0007</v>
      </c>
      <c r="G37" s="17" t="str">
        <f>_xll.ohRangeRetrieveError(F37)</f>
        <v/>
      </c>
      <c r="H37" s="16"/>
      <c r="N37" s="58">
        <v>29</v>
      </c>
      <c r="O37" s="126" t="s">
        <v>57</v>
      </c>
      <c r="P37" s="153" t="str">
        <v>6L</v>
      </c>
      <c r="Q37" s="153" t="str">
        <v>3L</v>
      </c>
      <c r="R37" s="152" t="str">
        <f t="shared" si="1"/>
        <v>USD6L3L29Y</v>
      </c>
      <c r="S37" s="125" t="str">
        <v>USD3L6L29Y=ICAP</v>
      </c>
      <c r="T37" s="216" t="s">
        <v>184</v>
      </c>
      <c r="U37" s="216" t="s">
        <v>184</v>
      </c>
      <c r="V37" s="216" t="e">
        <f>_xll.qlMidEquivalent(T37,U37)</f>
        <v>#NUM!</v>
      </c>
      <c r="W37" s="120" t="b">
        <f t="shared" si="2"/>
        <v>0</v>
      </c>
      <c r="X37" s="217" t="e">
        <v>#VALUE!</v>
      </c>
      <c r="Y37" s="122"/>
      <c r="Z37" s="214">
        <v>9.5</v>
      </c>
      <c r="AA37" s="122"/>
      <c r="AB37" s="222" t="e">
        <v>#VALUE!</v>
      </c>
      <c r="AC37" s="119">
        <f>_xll.qlSimpleQuoteSetValue(F37,AB37/10000,Trigger)</f>
        <v>0</v>
      </c>
      <c r="AD37" s="109"/>
      <c r="AE37" s="3"/>
      <c r="AF37" s="3"/>
      <c r="AG37" s="3"/>
      <c r="AH37" s="3"/>
      <c r="AI37" s="3" t="str">
        <f t="shared" si="3"/>
        <v>29Y</v>
      </c>
      <c r="AJ37" s="210" t="e">
        <f>((#REF!-Swap3M!AB37)*100-AB37)/10000</f>
        <v>#REF!</v>
      </c>
    </row>
    <row r="38" spans="1:36" x14ac:dyDescent="0.2">
      <c r="A38" s="22"/>
      <c r="B38" s="21" t="s">
        <v>56</v>
      </c>
      <c r="C38" s="20" t="str">
        <f t="shared" si="4"/>
        <v>6L</v>
      </c>
      <c r="D38" s="19" t="str">
        <f t="shared" si="5"/>
        <v>3L</v>
      </c>
      <c r="E38" s="18" t="str">
        <f t="shared" si="0"/>
        <v>USD6L3L30Y_Quote</v>
      </c>
      <c r="F38" s="18" t="str">
        <f>_xll.qlSimpleQuote(E38,,RateTickValue,Permanent,Trigger,ObjectOverwrite)</f>
        <v>USD6L3L30Y_Quote#0007</v>
      </c>
      <c r="G38" s="17" t="str">
        <f>_xll.ohRangeRetrieveError(F38)</f>
        <v/>
      </c>
      <c r="H38" s="16"/>
      <c r="N38" s="58">
        <v>30</v>
      </c>
      <c r="O38" s="126" t="s">
        <v>56</v>
      </c>
      <c r="P38" s="153" t="str">
        <v>6L</v>
      </c>
      <c r="Q38" s="153" t="str">
        <v>3L</v>
      </c>
      <c r="R38" s="152" t="str">
        <f t="shared" si="1"/>
        <v>USD6L3L30Y</v>
      </c>
      <c r="S38" s="125" t="str">
        <v>USD3L6L30Y=ICAP</v>
      </c>
      <c r="T38" s="216" t="s">
        <v>184</v>
      </c>
      <c r="U38" s="216" t="s">
        <v>184</v>
      </c>
      <c r="V38" s="216" t="e">
        <f>_xll.qlMidEquivalent(T38,U38)</f>
        <v>#NUM!</v>
      </c>
      <c r="W38" s="120" t="b">
        <f t="shared" si="2"/>
        <v>0</v>
      </c>
      <c r="X38" s="217" t="e">
        <v>#VALUE!</v>
      </c>
      <c r="Y38" s="122"/>
      <c r="Z38" s="214">
        <v>9.5</v>
      </c>
      <c r="AA38" s="122"/>
      <c r="AB38" s="222" t="e">
        <v>#VALUE!</v>
      </c>
      <c r="AC38" s="119">
        <f>_xll.qlSimpleQuoteSetValue(F38,AB38/10000,Trigger)</f>
        <v>0</v>
      </c>
      <c r="AD38" s="109"/>
      <c r="AE38" s="3"/>
      <c r="AF38" s="3"/>
      <c r="AG38" s="3"/>
      <c r="AH38" s="3"/>
      <c r="AI38" s="3" t="str">
        <f t="shared" si="3"/>
        <v>30Y</v>
      </c>
      <c r="AJ38" s="210" t="e">
        <f>((#REF!-Swap3M!AB38)*100-AB38)/10000</f>
        <v>#REF!</v>
      </c>
    </row>
    <row r="39" spans="1:36" x14ac:dyDescent="0.2">
      <c r="A39" s="22"/>
      <c r="B39" s="21" t="s">
        <v>51</v>
      </c>
      <c r="C39" s="20" t="str">
        <f t="shared" si="4"/>
        <v>6L</v>
      </c>
      <c r="D39" s="19" t="str">
        <f t="shared" si="5"/>
        <v>3L</v>
      </c>
      <c r="E39" s="18" t="str">
        <f t="shared" si="0"/>
        <v>USD6L3L35Y_Quote</v>
      </c>
      <c r="F39" s="18" t="str">
        <f>_xll.qlSimpleQuote(E39,,RateTickValue,Permanent,Trigger,ObjectOverwrite)</f>
        <v>USD6L3L35Y_Quote#0007</v>
      </c>
      <c r="G39" s="17" t="str">
        <f>_xll.ohRangeRetrieveError(F39)</f>
        <v/>
      </c>
      <c r="H39" s="16"/>
      <c r="N39" s="58">
        <v>35</v>
      </c>
      <c r="O39" s="126" t="s">
        <v>51</v>
      </c>
      <c r="P39" s="153" t="str">
        <v>6L</v>
      </c>
      <c r="Q39" s="153" t="str">
        <v>3L</v>
      </c>
      <c r="R39" s="152" t="str">
        <f t="shared" si="1"/>
        <v>USD6L3L35Y</v>
      </c>
      <c r="S39" s="125" t="str">
        <v>USD3L6L35Y=ICAP</v>
      </c>
      <c r="T39" s="216" t="s">
        <v>184</v>
      </c>
      <c r="U39" s="216" t="s">
        <v>184</v>
      </c>
      <c r="V39" s="216" t="e">
        <f>_xll.qlMidEquivalent(T39,U39)</f>
        <v>#NUM!</v>
      </c>
      <c r="W39" s="120" t="b">
        <f t="shared" si="2"/>
        <v>0</v>
      </c>
      <c r="X39" s="215" t="e">
        <f>X38</f>
        <v>#VALUE!</v>
      </c>
      <c r="Y39" s="122"/>
      <c r="Z39" s="214">
        <v>9.5</v>
      </c>
      <c r="AA39" s="122"/>
      <c r="AB39" s="222" t="e">
        <v>#VALUE!</v>
      </c>
      <c r="AC39" s="119">
        <f>_xll.qlSimpleQuoteSetValue(F39,AB39/10000,Trigger)</f>
        <v>0</v>
      </c>
      <c r="AD39" s="109"/>
      <c r="AE39" s="3"/>
      <c r="AF39" s="3"/>
      <c r="AG39" s="3"/>
      <c r="AH39" s="3"/>
      <c r="AI39" s="3" t="str">
        <f t="shared" si="3"/>
        <v>35Y</v>
      </c>
      <c r="AJ39" s="210" t="e">
        <f>((#REF!-Swap3M!AB39)*100-AB39)/10000</f>
        <v>#REF!</v>
      </c>
    </row>
    <row r="40" spans="1:36" x14ac:dyDescent="0.2">
      <c r="A40" s="22"/>
      <c r="B40" s="21" t="s">
        <v>46</v>
      </c>
      <c r="C40" s="20" t="str">
        <f t="shared" si="4"/>
        <v>6L</v>
      </c>
      <c r="D40" s="19" t="str">
        <f t="shared" si="5"/>
        <v>3L</v>
      </c>
      <c r="E40" s="18" t="str">
        <f t="shared" si="0"/>
        <v>USD6L3L40Y_Quote</v>
      </c>
      <c r="F40" s="18" t="str">
        <f>_xll.qlSimpleQuote(E40,,RateTickValue,Permanent,Trigger,ObjectOverwrite)</f>
        <v>USD6L3L40Y_Quote#0007</v>
      </c>
      <c r="G40" s="17" t="str">
        <f>_xll.ohRangeRetrieveError(F40)</f>
        <v/>
      </c>
      <c r="H40" s="16"/>
      <c r="N40" s="58">
        <v>40</v>
      </c>
      <c r="O40" s="126" t="s">
        <v>46</v>
      </c>
      <c r="P40" s="153" t="str">
        <v>6L</v>
      </c>
      <c r="Q40" s="153" t="str">
        <v>3L</v>
      </c>
      <c r="R40" s="152" t="str">
        <f t="shared" si="1"/>
        <v>USD6L3L40Y</v>
      </c>
      <c r="S40" s="125" t="str">
        <v>USD3L6L40Y=ICAP</v>
      </c>
      <c r="T40" s="216" t="s">
        <v>184</v>
      </c>
      <c r="U40" s="216" t="s">
        <v>184</v>
      </c>
      <c r="V40" s="216" t="e">
        <f>_xll.qlMidEquivalent(T40,U40)</f>
        <v>#NUM!</v>
      </c>
      <c r="W40" s="120" t="b">
        <f t="shared" si="2"/>
        <v>0</v>
      </c>
      <c r="X40" s="215" t="e">
        <f>X39</f>
        <v>#VALUE!</v>
      </c>
      <c r="Y40" s="122"/>
      <c r="Z40" s="214">
        <v>9.5</v>
      </c>
      <c r="AA40" s="122"/>
      <c r="AB40" s="222" t="e">
        <v>#VALUE!</v>
      </c>
      <c r="AC40" s="119">
        <f>_xll.qlSimpleQuoteSetValue(F40,AB40/10000,Trigger)</f>
        <v>0</v>
      </c>
      <c r="AD40" s="109"/>
      <c r="AE40" s="3"/>
      <c r="AF40" s="3"/>
      <c r="AG40" s="3"/>
      <c r="AH40" s="3"/>
      <c r="AI40" s="3" t="str">
        <f t="shared" si="3"/>
        <v>40Y</v>
      </c>
      <c r="AJ40" s="210" t="e">
        <f>((#REF!-Swap3M!AB40)*100-AB40)/10000</f>
        <v>#REF!</v>
      </c>
    </row>
    <row r="41" spans="1:36" x14ac:dyDescent="0.2">
      <c r="A41" s="22"/>
      <c r="B41" s="21" t="s">
        <v>36</v>
      </c>
      <c r="C41" s="20" t="str">
        <f t="shared" si="4"/>
        <v>6L</v>
      </c>
      <c r="D41" s="19" t="str">
        <f t="shared" si="5"/>
        <v>3L</v>
      </c>
      <c r="E41" s="18" t="str">
        <f t="shared" si="0"/>
        <v>USD6L3L50Y_Quote</v>
      </c>
      <c r="F41" s="18" t="str">
        <f>_xll.qlSimpleQuote(E41,,RateTickValue,Permanent,Trigger,ObjectOverwrite)</f>
        <v>USD6L3L50Y_Quote#0007</v>
      </c>
      <c r="G41" s="17" t="str">
        <f>_xll.ohRangeRetrieveError(F41)</f>
        <v/>
      </c>
      <c r="H41" s="16"/>
      <c r="N41" s="58">
        <v>50</v>
      </c>
      <c r="O41" s="126" t="s">
        <v>36</v>
      </c>
      <c r="P41" s="153" t="str">
        <v>6L</v>
      </c>
      <c r="Q41" s="153" t="str">
        <v>3L</v>
      </c>
      <c r="R41" s="152" t="str">
        <f t="shared" si="1"/>
        <v>USD6L3L50Y</v>
      </c>
      <c r="S41" s="125" t="str">
        <v>USD3L6L50Y=ICAP</v>
      </c>
      <c r="T41" s="216" t="s">
        <v>184</v>
      </c>
      <c r="U41" s="216" t="s">
        <v>184</v>
      </c>
      <c r="V41" s="216" t="e">
        <f>_xll.qlMidEquivalent(T41,U41)</f>
        <v>#NUM!</v>
      </c>
      <c r="W41" s="120" t="b">
        <f t="shared" si="2"/>
        <v>0</v>
      </c>
      <c r="X41" s="215" t="e">
        <f>X40</f>
        <v>#VALUE!</v>
      </c>
      <c r="Y41" s="122"/>
      <c r="Z41" s="214">
        <v>9.5</v>
      </c>
      <c r="AA41" s="122"/>
      <c r="AB41" s="222" t="e">
        <v>#VALUE!</v>
      </c>
      <c r="AC41" s="119">
        <f>_xll.qlSimpleQuoteSetValue(F41,AB41/10000,Trigger)</f>
        <v>0</v>
      </c>
      <c r="AD41" s="109"/>
      <c r="AE41" s="3"/>
      <c r="AF41" s="3"/>
      <c r="AG41" s="3"/>
      <c r="AH41" s="3"/>
      <c r="AI41" s="3" t="str">
        <f t="shared" si="3"/>
        <v>50Y</v>
      </c>
      <c r="AJ41" s="210" t="e">
        <f>((#REF!-Swap3M!AB41)*100-AB41)/10000</f>
        <v>#REF!</v>
      </c>
    </row>
    <row r="42" spans="1:36" x14ac:dyDescent="0.2">
      <c r="A42" s="22"/>
      <c r="B42" s="21" t="s">
        <v>26</v>
      </c>
      <c r="C42" s="20" t="str">
        <f t="shared" si="4"/>
        <v>6L</v>
      </c>
      <c r="D42" s="19" t="str">
        <f t="shared" si="5"/>
        <v>3L</v>
      </c>
      <c r="E42" s="18" t="str">
        <f t="shared" si="0"/>
        <v>USD6L3L60Y_Quote</v>
      </c>
      <c r="F42" s="18" t="str">
        <f>_xll.qlSimpleQuote(E42,,RateTickValue,Permanent,Trigger,ObjectOverwrite)</f>
        <v>USD6L3L60Y_Quote#0007</v>
      </c>
      <c r="G42" s="17" t="str">
        <f>_xll.ohRangeRetrieveError(F42)</f>
        <v/>
      </c>
      <c r="H42" s="16"/>
      <c r="N42" s="58">
        <v>60</v>
      </c>
      <c r="O42" s="133" t="s">
        <v>26</v>
      </c>
      <c r="P42" s="151" t="str">
        <v>6L</v>
      </c>
      <c r="Q42" s="151" t="str">
        <v>3L</v>
      </c>
      <c r="R42" s="152" t="str">
        <f t="shared" si="1"/>
        <v>USD6L3L60Y</v>
      </c>
      <c r="S42" s="132" t="str">
        <v>USD3L6L60Y=ICAP</v>
      </c>
      <c r="T42" s="213" t="s">
        <v>184</v>
      </c>
      <c r="U42" s="213" t="s">
        <v>184</v>
      </c>
      <c r="V42" s="213" t="e">
        <f>_xll.qlMidEquivalent(T42,U42)</f>
        <v>#NUM!</v>
      </c>
      <c r="W42" s="129" t="b">
        <f t="shared" si="2"/>
        <v>0</v>
      </c>
      <c r="X42" s="212" t="e">
        <f>X41</f>
        <v>#VALUE!</v>
      </c>
      <c r="Y42" s="122"/>
      <c r="Z42" s="211">
        <v>9.5</v>
      </c>
      <c r="AA42" s="122"/>
      <c r="AB42" s="223" t="e">
        <v>#VALUE!</v>
      </c>
      <c r="AC42" s="128">
        <f>_xll.qlSimpleQuoteSetValue(F42,AB42/10000,Trigger)</f>
        <v>0</v>
      </c>
      <c r="AD42" s="109"/>
      <c r="AE42" s="3"/>
      <c r="AF42" s="3"/>
      <c r="AG42" s="3"/>
      <c r="AH42" s="3"/>
      <c r="AI42" s="3" t="str">
        <f t="shared" si="3"/>
        <v>60Y</v>
      </c>
      <c r="AJ42" s="210" t="e">
        <f>((#REF!-Swap3M!AB42)*100-AB42)/10000</f>
        <v>#REF!</v>
      </c>
    </row>
    <row r="43" spans="1:36" ht="13.5" thickBot="1" x14ac:dyDescent="0.25">
      <c r="A43" s="15"/>
      <c r="B43" s="14"/>
      <c r="C43" s="14"/>
      <c r="D43" s="14"/>
      <c r="E43" s="14"/>
      <c r="F43" s="13"/>
      <c r="G43" s="13"/>
      <c r="H43" s="12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149"/>
      <c r="AE43" s="3"/>
      <c r="AF43" s="3"/>
      <c r="AG43" s="3"/>
      <c r="AH43" s="3"/>
      <c r="AI43" s="3"/>
      <c r="AJ43" s="3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>
      <selection activeCell="S2" sqref="S2"/>
    </sheetView>
  </sheetViews>
  <sheetFormatPr defaultRowHeight="12.75" x14ac:dyDescent="0.2"/>
  <cols>
    <col min="1" max="1" width="2.7109375" style="2" customWidth="1"/>
    <col min="2" max="2" width="6.5703125" style="2" bestFit="1" customWidth="1"/>
    <col min="3" max="3" width="3.5703125" style="2" bestFit="1" customWidth="1"/>
    <col min="4" max="4" width="2.7109375" style="2" bestFit="1" customWidth="1"/>
    <col min="5" max="5" width="18.7109375" style="2" bestFit="1" customWidth="1"/>
    <col min="6" max="6" width="20.5703125" style="2" bestFit="1" customWidth="1"/>
    <col min="7" max="7" width="34.42578125" style="2" customWidth="1"/>
    <col min="8" max="9" width="2.7109375" style="2" customWidth="1"/>
    <col min="10" max="10" width="4" style="2" bestFit="1" customWidth="1"/>
    <col min="11" max="11" width="3.5703125" style="2" customWidth="1"/>
    <col min="12" max="12" width="3.5703125" style="2" bestFit="1" customWidth="1"/>
    <col min="13" max="13" width="2.7109375" style="2" customWidth="1"/>
    <col min="14" max="17" width="9.140625" style="2"/>
    <col min="18" max="18" width="11.140625" style="2" bestFit="1" customWidth="1"/>
    <col min="19" max="19" width="16.42578125" style="2" bestFit="1" customWidth="1"/>
    <col min="20" max="24" width="9.140625" style="2"/>
    <col min="25" max="25" width="10.42578125" style="2" bestFit="1" customWidth="1"/>
    <col min="26" max="26" width="9.140625" style="2"/>
    <col min="27" max="27" width="2.7109375" style="2" customWidth="1"/>
    <col min="28" max="29" width="9.140625" style="2"/>
    <col min="30" max="31" width="2.7109375" style="2" customWidth="1"/>
    <col min="32" max="16384" width="9.140625" style="2"/>
  </cols>
  <sheetData>
    <row r="1" spans="1:34" x14ac:dyDescent="0.2">
      <c r="A1" s="2" t="s">
        <v>320</v>
      </c>
      <c r="N1" s="159" t="s">
        <v>233</v>
      </c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6"/>
      <c r="AE1" s="3"/>
      <c r="AF1" s="3"/>
      <c r="AG1" s="3"/>
      <c r="AH1" s="3"/>
    </row>
    <row r="2" spans="1:34" x14ac:dyDescent="0.2">
      <c r="N2" s="146"/>
      <c r="O2" s="60"/>
      <c r="P2" s="122"/>
      <c r="Q2" s="122"/>
      <c r="R2" s="122"/>
      <c r="S2" s="67" t="str">
        <f>VLOOKUP($A$1,AreaTable,AreaIndex,0)</f>
        <v>Tullet Prebon LN</v>
      </c>
      <c r="T2" s="122"/>
      <c r="U2" s="122"/>
      <c r="V2" s="122"/>
      <c r="W2" s="122"/>
      <c r="X2" s="60"/>
      <c r="Y2" s="122"/>
      <c r="Z2" s="122"/>
      <c r="AA2" s="122"/>
      <c r="AB2" s="122"/>
      <c r="AC2" s="60"/>
      <c r="AD2" s="9"/>
      <c r="AE2" s="3"/>
      <c r="AF2" s="3"/>
      <c r="AG2" s="3"/>
      <c r="AH2" s="3"/>
    </row>
    <row r="3" spans="1:34" x14ac:dyDescent="0.2">
      <c r="A3" s="43" t="s">
        <v>113</v>
      </c>
      <c r="B3" s="40"/>
      <c r="C3" s="40"/>
      <c r="D3" s="40"/>
      <c r="E3" s="41"/>
      <c r="F3" s="42"/>
      <c r="G3" s="41"/>
      <c r="H3" s="37"/>
      <c r="N3" s="58"/>
      <c r="O3" s="122"/>
      <c r="P3" s="60"/>
      <c r="Q3" s="60"/>
      <c r="R3" s="60"/>
      <c r="S3" s="60" t="str">
        <f>_xll.qlInterpolation(,InterpolationType,_xll.ohFilter(N5:N42,W5:W42),_xll.ohFilter(V5:V42,W5:W42))</f>
        <v>obj_004e4#0000</v>
      </c>
      <c r="T3" s="60"/>
      <c r="U3" s="60"/>
      <c r="V3" s="60"/>
      <c r="W3" s="60"/>
      <c r="X3" s="60"/>
      <c r="Y3" s="122"/>
      <c r="Z3" s="122"/>
      <c r="AA3" s="122"/>
      <c r="AB3" s="60"/>
      <c r="AC3" s="143">
        <f>_xll.ohTrigger(AC5:AC42)</f>
        <v>8</v>
      </c>
      <c r="AD3" s="109"/>
      <c r="AE3" s="3"/>
      <c r="AF3" s="3"/>
      <c r="AG3" s="3"/>
      <c r="AH3" s="3"/>
    </row>
    <row r="4" spans="1:34" ht="23.25" thickBot="1" x14ac:dyDescent="0.25">
      <c r="A4" s="22"/>
      <c r="B4" s="35" t="s">
        <v>105</v>
      </c>
      <c r="C4" s="36"/>
      <c r="D4" s="35"/>
      <c r="E4" s="34" t="str">
        <f>Currency&amp;"_010_Sw"&amp;$C$9&amp;$D$9&amp;".xml"</f>
        <v>USD_010_Sw12L3L.xml</v>
      </c>
      <c r="F4" s="33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N4" s="58"/>
      <c r="O4" s="158"/>
      <c r="P4" s="94"/>
      <c r="Q4" s="94"/>
      <c r="R4" s="94"/>
      <c r="S4" s="117" t="str">
        <f>_xll.RData(S5:S42,T4:U4,"RTFEED:IDN",ReutersRtMode,,T5)</f>
        <v>Updated at 16:59:42</v>
      </c>
      <c r="T4" s="157" t="s">
        <v>179</v>
      </c>
      <c r="U4" s="157" t="s">
        <v>178</v>
      </c>
      <c r="V4" s="157" t="s">
        <v>218</v>
      </c>
      <c r="W4" s="157"/>
      <c r="X4" s="139" t="s">
        <v>217</v>
      </c>
      <c r="Y4" s="122"/>
      <c r="Z4" s="141" t="s">
        <v>195</v>
      </c>
      <c r="AA4" s="122"/>
      <c r="AB4" s="220" t="s">
        <v>194</v>
      </c>
      <c r="AC4" s="36" t="s">
        <v>193</v>
      </c>
      <c r="AD4" s="109"/>
      <c r="AE4" s="3"/>
      <c r="AF4" s="3"/>
      <c r="AG4" s="3"/>
      <c r="AH4" s="3"/>
    </row>
    <row r="5" spans="1:34" x14ac:dyDescent="0.2">
      <c r="A5" s="22"/>
      <c r="B5" s="32" t="s">
        <v>14</v>
      </c>
      <c r="C5" s="20" t="str">
        <f>VLOOKUP(Currency,$J$10:$L$14,2)</f>
        <v>12L</v>
      </c>
      <c r="D5" s="19" t="str">
        <f>VLOOKUP(Currency,$J$10:$L$14,3)</f>
        <v>3L</v>
      </c>
      <c r="E5" s="18" t="str">
        <f t="shared" ref="E5:E42" si="0">IF(ISBLANK(C5),"#",Currency&amp;$C5&amp;$D5&amp;$B5&amp;QuoteSuffix)</f>
        <v>USD12L3L6M_Quote</v>
      </c>
      <c r="F5" s="18" t="str">
        <f>_xll.qlSimpleQuote(E5,,RateTickValue,Permanent,Trigger,ObjectOverwrite)</f>
        <v>USD12L3L6M_Quote#0007</v>
      </c>
      <c r="G5" s="17" t="str">
        <f>_xll.ohRangeRetrieveError(F5)</f>
        <v/>
      </c>
      <c r="H5" s="16"/>
      <c r="N5" s="218">
        <v>0.5</v>
      </c>
      <c r="O5" s="126" t="s">
        <v>14</v>
      </c>
      <c r="P5" s="153" t="str">
        <f t="array" ref="P5:P42">VLOOKUP(Currency,Conventions,2)</f>
        <v>12L</v>
      </c>
      <c r="Q5" s="153" t="str">
        <f t="array" ref="Q5:Q42">VLOOKUP(Currency,Conventions,3)</f>
        <v>3L</v>
      </c>
      <c r="R5" s="152" t="str">
        <f>Currency&amp;$Q5&amp;$P5&amp;$O5</f>
        <v>USD3L12L6M</v>
      </c>
      <c r="S5" s="125" t="str">
        <f t="array" ref="S5:S42">Instruments&amp;"="&amp;VLOOKUP(Contributor,ContributorTable,2,FALSE)</f>
        <v>USD3L12L6M=SMKR</v>
      </c>
      <c r="T5" s="216" t="s">
        <v>184</v>
      </c>
      <c r="U5" s="216" t="s">
        <v>184</v>
      </c>
      <c r="V5" s="216" t="e">
        <f>_xll.qlMidEquivalent(T5,U5)</f>
        <v>#NUM!</v>
      </c>
      <c r="W5" s="120" t="b">
        <f t="shared" ref="W5:W42" si="1">IF(ISNUMBER(V5),TRUE,FALSE)</f>
        <v>0</v>
      </c>
      <c r="X5" s="299" t="e">
        <f>Y5*10000</f>
        <v>#NUM!</v>
      </c>
      <c r="Y5" s="122" t="e">
        <v>#NUM!</v>
      </c>
      <c r="Z5" s="214" t="e">
        <v>#NUM!</v>
      </c>
      <c r="AA5" s="122"/>
      <c r="AB5" s="222" t="e">
        <f t="array" ref="AB5:AB42">QuoteLive</f>
        <v>#NUM!</v>
      </c>
      <c r="AC5" s="119">
        <f>_xll.qlSimpleQuoteSetValue(F5,AB5/10000,Trigger)</f>
        <v>0</v>
      </c>
      <c r="AD5" s="109"/>
      <c r="AE5" s="3"/>
      <c r="AF5" s="31" t="s">
        <v>101</v>
      </c>
      <c r="AG5" s="30" t="s">
        <v>95</v>
      </c>
      <c r="AH5" s="29" t="s">
        <v>107</v>
      </c>
    </row>
    <row r="6" spans="1:34" x14ac:dyDescent="0.2">
      <c r="A6" s="22"/>
      <c r="B6" s="32" t="s">
        <v>8</v>
      </c>
      <c r="C6" s="20" t="str">
        <f t="shared" ref="C6:C42" si="2">C5</f>
        <v>12L</v>
      </c>
      <c r="D6" s="19" t="str">
        <f t="shared" ref="D6:D42" si="3">D5</f>
        <v>3L</v>
      </c>
      <c r="E6" s="18" t="str">
        <f t="shared" si="0"/>
        <v>USD12L3L1Y_Quote</v>
      </c>
      <c r="F6" s="18" t="str">
        <f>_xll.qlSimpleQuote(E6,,RateTickValue,Permanent,Trigger,ObjectOverwrite)</f>
        <v>USD12L3L1Y_Quote#0007</v>
      </c>
      <c r="G6" s="17" t="str">
        <f>_xll.ohRangeRetrieveError(F6)</f>
        <v/>
      </c>
      <c r="H6" s="16"/>
      <c r="N6" s="218">
        <v>1</v>
      </c>
      <c r="O6" s="126" t="s">
        <v>8</v>
      </c>
      <c r="P6" s="153" t="str">
        <v>12L</v>
      </c>
      <c r="Q6" s="153" t="str">
        <v>3L</v>
      </c>
      <c r="R6" s="152" t="str">
        <f>Currency&amp;$Q6&amp;$P6&amp;$O6</f>
        <v>USD3L12L1Y</v>
      </c>
      <c r="S6" s="125" t="str">
        <v>USD3L12L1Y=SMKR</v>
      </c>
      <c r="T6" s="216">
        <v>15.125</v>
      </c>
      <c r="U6" s="216">
        <v>25.125</v>
      </c>
      <c r="V6" s="216">
        <f>_xll.qlMidEquivalent(T6,U6)</f>
        <v>20.125</v>
      </c>
      <c r="W6" s="120" t="b">
        <f t="shared" si="1"/>
        <v>1</v>
      </c>
      <c r="X6" s="299">
        <f t="shared" ref="X6:X42" si="4">Y6*10000</f>
        <v>23.900000000000002</v>
      </c>
      <c r="Y6" s="122">
        <v>2.3900000000000002E-3</v>
      </c>
      <c r="Z6" s="214">
        <v>23.6</v>
      </c>
      <c r="AA6" s="122"/>
      <c r="AB6" s="222">
        <v>23.900000000000002</v>
      </c>
      <c r="AC6" s="119" t="e">
        <f>_xll.qlSimpleQuoteSetValue(F6,AB6/10000,Trigger)</f>
        <v>#N/A</v>
      </c>
      <c r="AD6" s="109"/>
      <c r="AE6" s="3"/>
      <c r="AF6" s="28" t="s">
        <v>100</v>
      </c>
      <c r="AG6" s="27" t="s">
        <v>98</v>
      </c>
      <c r="AH6" s="26" t="s">
        <v>108</v>
      </c>
    </row>
    <row r="7" spans="1:34" x14ac:dyDescent="0.2">
      <c r="A7" s="22"/>
      <c r="B7" s="32" t="s">
        <v>104</v>
      </c>
      <c r="C7" s="20" t="str">
        <f t="shared" si="2"/>
        <v>12L</v>
      </c>
      <c r="D7" s="19" t="str">
        <f t="shared" si="3"/>
        <v>3L</v>
      </c>
      <c r="E7" s="18" t="str">
        <f t="shared" si="0"/>
        <v>USD12L3L15M_Quote</v>
      </c>
      <c r="F7" s="18" t="str">
        <f>_xll.qlSimpleQuote(E7,,RateTickValue,Permanent,Trigger,ObjectOverwrite)</f>
        <v>USD12L3L15M_Quote#0007</v>
      </c>
      <c r="G7" s="17" t="str">
        <f>_xll.ohRangeRetrieveError(F7)</f>
        <v/>
      </c>
      <c r="H7" s="16"/>
      <c r="N7" s="218">
        <v>1.25</v>
      </c>
      <c r="O7" s="126" t="s">
        <v>104</v>
      </c>
      <c r="P7" s="153" t="str">
        <v>12L</v>
      </c>
      <c r="Q7" s="153" t="str">
        <v>3L</v>
      </c>
      <c r="R7" s="152" t="str">
        <f>Currency&amp;$Q7&amp;$P7&amp;$O7</f>
        <v>USD3L12L15M</v>
      </c>
      <c r="S7" s="125" t="str">
        <v>USD3L12L15M=SMKR</v>
      </c>
      <c r="T7" s="216" t="s">
        <v>184</v>
      </c>
      <c r="U7" s="216" t="s">
        <v>184</v>
      </c>
      <c r="V7" s="216" t="e">
        <f>_xll.qlMidEquivalent(T7,U7)</f>
        <v>#NUM!</v>
      </c>
      <c r="W7" s="120" t="b">
        <f t="shared" si="1"/>
        <v>0</v>
      </c>
      <c r="X7" s="299">
        <f t="shared" si="4"/>
        <v>23.900000000000002</v>
      </c>
      <c r="Y7" s="122">
        <v>2.3900000000000002E-3</v>
      </c>
      <c r="Z7" s="214">
        <v>23.526228802936565</v>
      </c>
      <c r="AA7" s="122"/>
      <c r="AB7" s="222">
        <v>23.900000000000002</v>
      </c>
      <c r="AC7" s="119" t="e">
        <f>_xll.qlSimpleQuoteSetValue(F7,AB7/10000,Trigger)</f>
        <v>#N/A</v>
      </c>
      <c r="AD7" s="109"/>
      <c r="AE7" s="3"/>
      <c r="AF7" s="28" t="s">
        <v>97</v>
      </c>
      <c r="AG7" s="27" t="s">
        <v>95</v>
      </c>
      <c r="AH7" s="26" t="s">
        <v>107</v>
      </c>
    </row>
    <row r="8" spans="1:34" x14ac:dyDescent="0.2">
      <c r="A8" s="22"/>
      <c r="B8" s="32" t="s">
        <v>103</v>
      </c>
      <c r="C8" s="20" t="str">
        <f t="shared" si="2"/>
        <v>12L</v>
      </c>
      <c r="D8" s="19" t="str">
        <f t="shared" si="3"/>
        <v>3L</v>
      </c>
      <c r="E8" s="18" t="str">
        <f t="shared" si="0"/>
        <v>USD12L3L18M_Quote</v>
      </c>
      <c r="F8" s="18" t="str">
        <f>_xll.qlSimpleQuote(E8,,RateTickValue,Permanent,Trigger,ObjectOverwrite)</f>
        <v>USD12L3L18M_Quote#0007</v>
      </c>
      <c r="G8" s="17" t="str">
        <f>_xll.ohRangeRetrieveError(F8)</f>
        <v/>
      </c>
      <c r="H8" s="16"/>
      <c r="N8" s="218">
        <v>1.5</v>
      </c>
      <c r="O8" s="126" t="s">
        <v>103</v>
      </c>
      <c r="P8" s="153" t="str">
        <v>12L</v>
      </c>
      <c r="Q8" s="153" t="str">
        <v>3L</v>
      </c>
      <c r="R8" s="152" t="str">
        <f>Currency&amp;$Q8&amp;$P8&amp;$O8</f>
        <v>USD3L12L18M</v>
      </c>
      <c r="S8" s="125" t="str">
        <v>USD3L12L18M=SMKR</v>
      </c>
      <c r="T8" s="216" t="s">
        <v>184</v>
      </c>
      <c r="U8" s="216" t="s">
        <v>184</v>
      </c>
      <c r="V8" s="216" t="e">
        <f>_xll.qlMidEquivalent(T8,U8)</f>
        <v>#NUM!</v>
      </c>
      <c r="W8" s="120" t="b">
        <f t="shared" si="1"/>
        <v>0</v>
      </c>
      <c r="X8" s="299">
        <f t="shared" si="4"/>
        <v>23.900000000000002</v>
      </c>
      <c r="Y8" s="122">
        <v>2.3900000000000002E-3</v>
      </c>
      <c r="Z8" s="214">
        <v>23.451966084698505</v>
      </c>
      <c r="AA8" s="122"/>
      <c r="AB8" s="222">
        <v>23.900000000000002</v>
      </c>
      <c r="AC8" s="119" t="e">
        <f>_xll.qlSimpleQuoteSetValue(F8,AB8/10000,Trigger)</f>
        <v>#N/A</v>
      </c>
      <c r="AD8" s="109"/>
      <c r="AE8" s="3"/>
      <c r="AF8" s="28" t="s">
        <v>96</v>
      </c>
      <c r="AG8" s="27" t="s">
        <v>95</v>
      </c>
      <c r="AH8" s="26" t="s">
        <v>107</v>
      </c>
    </row>
    <row r="9" spans="1:34" ht="13.5" thickBot="1" x14ac:dyDescent="0.25">
      <c r="A9" s="22"/>
      <c r="B9" s="32" t="s">
        <v>102</v>
      </c>
      <c r="C9" s="20" t="str">
        <f t="shared" si="2"/>
        <v>12L</v>
      </c>
      <c r="D9" s="19" t="str">
        <f t="shared" si="3"/>
        <v>3L</v>
      </c>
      <c r="E9" s="18" t="str">
        <f t="shared" si="0"/>
        <v>USD12L3L21M_Quote</v>
      </c>
      <c r="F9" s="18" t="str">
        <f>_xll.qlSimpleQuote(E9,,RateTickValue,Permanent,Trigger,ObjectOverwrite)</f>
        <v>USD12L3L21M_Quote#0007</v>
      </c>
      <c r="G9" s="17" t="str">
        <f>_xll.ohRangeRetrieveError(F9)</f>
        <v/>
      </c>
      <c r="H9" s="16"/>
      <c r="N9" s="218">
        <v>1.75</v>
      </c>
      <c r="O9" s="126" t="s">
        <v>102</v>
      </c>
      <c r="P9" s="153" t="str">
        <v>12L</v>
      </c>
      <c r="Q9" s="153" t="str">
        <v>3L</v>
      </c>
      <c r="R9" s="152" t="str">
        <f>Currency&amp;$Q9&amp;$P9&amp;$O9</f>
        <v>USD3L12L21M</v>
      </c>
      <c r="S9" s="125" t="str">
        <v>USD3L12L21M=SMKR</v>
      </c>
      <c r="T9" s="216" t="s">
        <v>184</v>
      </c>
      <c r="U9" s="216" t="s">
        <v>184</v>
      </c>
      <c r="V9" s="216" t="e">
        <f>_xll.qlMidEquivalent(T9,U9)</f>
        <v>#NUM!</v>
      </c>
      <c r="W9" s="120" t="b">
        <f t="shared" si="1"/>
        <v>0</v>
      </c>
      <c r="X9" s="299">
        <f t="shared" si="4"/>
        <v>23.900000000000002</v>
      </c>
      <c r="Y9" s="122">
        <v>2.3900000000000002E-3</v>
      </c>
      <c r="Z9" s="214">
        <v>23.37672032411119</v>
      </c>
      <c r="AA9" s="122"/>
      <c r="AB9" s="222">
        <v>23.900000000000002</v>
      </c>
      <c r="AC9" s="119" t="e">
        <f>_xll.qlSimpleQuoteSetValue(F9,AB9/10000,Trigger)</f>
        <v>#N/A</v>
      </c>
      <c r="AD9" s="109"/>
      <c r="AE9" s="3"/>
      <c r="AF9" s="25" t="s">
        <v>91</v>
      </c>
      <c r="AG9" s="24" t="s">
        <v>107</v>
      </c>
      <c r="AH9" s="23" t="s">
        <v>94</v>
      </c>
    </row>
    <row r="10" spans="1:34" x14ac:dyDescent="0.2">
      <c r="A10" s="22"/>
      <c r="B10" s="21" t="s">
        <v>84</v>
      </c>
      <c r="C10" s="20" t="str">
        <f t="shared" si="2"/>
        <v>12L</v>
      </c>
      <c r="D10" s="19" t="str">
        <f t="shared" si="3"/>
        <v>3L</v>
      </c>
      <c r="E10" s="18" t="str">
        <f t="shared" si="0"/>
        <v>USD12L3L2Y_Quote</v>
      </c>
      <c r="F10" s="18" t="str">
        <f>_xll.qlSimpleQuote(E10,,RateTickValue,Permanent,Trigger,ObjectOverwrite)</f>
        <v>USD12L3L2Y_Quote#0007</v>
      </c>
      <c r="G10" s="17" t="str">
        <f>_xll.ohRangeRetrieveError(F10)</f>
        <v/>
      </c>
      <c r="H10" s="16"/>
      <c r="J10" s="31" t="s">
        <v>101</v>
      </c>
      <c r="K10" s="30" t="s">
        <v>95</v>
      </c>
      <c r="L10" s="29" t="s">
        <v>107</v>
      </c>
      <c r="N10" s="58">
        <v>2</v>
      </c>
      <c r="O10" s="126" t="s">
        <v>84</v>
      </c>
      <c r="P10" s="153" t="str">
        <v>12L</v>
      </c>
      <c r="Q10" s="153" t="str">
        <v>3L</v>
      </c>
      <c r="R10" s="152" t="str">
        <f>Currency&amp;$Q10&amp;$P10&amp;$O10</f>
        <v>USD3L12L2Y</v>
      </c>
      <c r="S10" s="125" t="str">
        <v>USD3L12L2Y=SMKR</v>
      </c>
      <c r="T10" s="216">
        <v>13.5</v>
      </c>
      <c r="U10" s="216">
        <v>23.5</v>
      </c>
      <c r="V10" s="216">
        <f>_xll.qlMidEquivalent(T10,U10)</f>
        <v>18.5</v>
      </c>
      <c r="W10" s="120" t="b">
        <f t="shared" si="1"/>
        <v>1</v>
      </c>
      <c r="X10" s="299">
        <f t="shared" si="4"/>
        <v>23.900000000000002</v>
      </c>
      <c r="Y10" s="122">
        <v>2.3900000000000002E-3</v>
      </c>
      <c r="Z10" s="214">
        <v>23.3</v>
      </c>
      <c r="AA10" s="122"/>
      <c r="AB10" s="222">
        <v>23.900000000000002</v>
      </c>
      <c r="AC10" s="119" t="e">
        <f>_xll.qlSimpleQuoteSetValue(F10,AB10/10000,Trigger)</f>
        <v>#N/A</v>
      </c>
      <c r="AD10" s="109"/>
      <c r="AE10" s="3"/>
      <c r="AF10" s="3"/>
      <c r="AG10" s="3"/>
      <c r="AH10" s="3"/>
    </row>
    <row r="11" spans="1:34" x14ac:dyDescent="0.2">
      <c r="A11" s="22"/>
      <c r="B11" s="21" t="s">
        <v>83</v>
      </c>
      <c r="C11" s="20" t="str">
        <f t="shared" si="2"/>
        <v>12L</v>
      </c>
      <c r="D11" s="19" t="str">
        <f t="shared" si="3"/>
        <v>3L</v>
      </c>
      <c r="E11" s="18" t="str">
        <f t="shared" si="0"/>
        <v>USD12L3L3Y_Quote</v>
      </c>
      <c r="F11" s="18" t="str">
        <f>_xll.qlSimpleQuote(E11,,RateTickValue,Permanent,Trigger,ObjectOverwrite)</f>
        <v>USD12L3L3Y_Quote#0007</v>
      </c>
      <c r="G11" s="17" t="str">
        <f>_xll.ohRangeRetrieveError(F11)</f>
        <v/>
      </c>
      <c r="H11" s="16"/>
      <c r="J11" s="28" t="s">
        <v>100</v>
      </c>
      <c r="K11" s="27" t="s">
        <v>98</v>
      </c>
      <c r="L11" s="26" t="s">
        <v>108</v>
      </c>
      <c r="N11" s="58">
        <v>3</v>
      </c>
      <c r="O11" s="126" t="s">
        <v>83</v>
      </c>
      <c r="P11" s="153" t="str">
        <v>12L</v>
      </c>
      <c r="Q11" s="153" t="str">
        <v>3L</v>
      </c>
      <c r="R11" s="152" t="str">
        <f>Currency&amp;$Q11&amp;$P11&amp;$O11</f>
        <v>USD3L12L3Y</v>
      </c>
      <c r="S11" s="125" t="str">
        <v>USD3L12L3Y=SMKR</v>
      </c>
      <c r="T11" s="216">
        <v>13.375</v>
      </c>
      <c r="U11" s="216">
        <v>23.375</v>
      </c>
      <c r="V11" s="216">
        <f>_xll.qlMidEquivalent(T11,U11)</f>
        <v>18.375</v>
      </c>
      <c r="W11" s="120" t="b">
        <f t="shared" si="1"/>
        <v>1</v>
      </c>
      <c r="X11" s="299">
        <f t="shared" si="4"/>
        <v>23.900000000000002</v>
      </c>
      <c r="Y11" s="122">
        <v>2.3900000000000002E-3</v>
      </c>
      <c r="Z11" s="214">
        <v>23</v>
      </c>
      <c r="AA11" s="122"/>
      <c r="AB11" s="222">
        <v>23.900000000000002</v>
      </c>
      <c r="AC11" s="119" t="e">
        <f>_xll.qlSimpleQuoteSetValue(F11,AB11/10000,Trigger)</f>
        <v>#N/A</v>
      </c>
      <c r="AD11" s="109"/>
      <c r="AE11" s="3"/>
      <c r="AF11" s="3"/>
      <c r="AG11" s="3"/>
      <c r="AH11" s="3"/>
    </row>
    <row r="12" spans="1:34" x14ac:dyDescent="0.2">
      <c r="A12" s="22"/>
      <c r="B12" s="21" t="s">
        <v>82</v>
      </c>
      <c r="C12" s="20" t="str">
        <f t="shared" si="2"/>
        <v>12L</v>
      </c>
      <c r="D12" s="19" t="str">
        <f t="shared" si="3"/>
        <v>3L</v>
      </c>
      <c r="E12" s="18" t="str">
        <f t="shared" si="0"/>
        <v>USD12L3L4Y_Quote</v>
      </c>
      <c r="F12" s="18" t="str">
        <f>_xll.qlSimpleQuote(E12,,RateTickValue,Permanent,Trigger,ObjectOverwrite)</f>
        <v>USD12L3L4Y_Quote#0007</v>
      </c>
      <c r="G12" s="17" t="str">
        <f>_xll.ohRangeRetrieveError(F12)</f>
        <v/>
      </c>
      <c r="H12" s="16"/>
      <c r="J12" s="28" t="s">
        <v>97</v>
      </c>
      <c r="K12" s="27" t="s">
        <v>95</v>
      </c>
      <c r="L12" s="26" t="s">
        <v>107</v>
      </c>
      <c r="N12" s="58">
        <v>4</v>
      </c>
      <c r="O12" s="126" t="s">
        <v>82</v>
      </c>
      <c r="P12" s="153" t="str">
        <v>12L</v>
      </c>
      <c r="Q12" s="153" t="str">
        <v>3L</v>
      </c>
      <c r="R12" s="152" t="str">
        <f>Currency&amp;$Q12&amp;$P12&amp;$O12</f>
        <v>USD3L12L4Y</v>
      </c>
      <c r="S12" s="125" t="str">
        <v>USD3L12L4Y=SMKR</v>
      </c>
      <c r="T12" s="216">
        <v>13.75</v>
      </c>
      <c r="U12" s="216">
        <v>23.75</v>
      </c>
      <c r="V12" s="216">
        <f>_xll.qlMidEquivalent(T12,U12)</f>
        <v>18.75</v>
      </c>
      <c r="W12" s="120" t="b">
        <f t="shared" si="1"/>
        <v>1</v>
      </c>
      <c r="X12" s="299">
        <f t="shared" si="4"/>
        <v>23.8</v>
      </c>
      <c r="Y12" s="122">
        <v>2.3800000000000002E-3</v>
      </c>
      <c r="Z12" s="214">
        <v>22.8</v>
      </c>
      <c r="AA12" s="122"/>
      <c r="AB12" s="222">
        <v>23.8</v>
      </c>
      <c r="AC12" s="119" t="e">
        <f>_xll.qlSimpleQuoteSetValue(F12,AB12/10000,Trigger)</f>
        <v>#N/A</v>
      </c>
      <c r="AD12" s="109"/>
      <c r="AE12" s="3"/>
      <c r="AF12" s="3"/>
      <c r="AG12" s="3"/>
      <c r="AH12" s="3"/>
    </row>
    <row r="13" spans="1:34" x14ac:dyDescent="0.2">
      <c r="A13" s="22"/>
      <c r="B13" s="21" t="s">
        <v>81</v>
      </c>
      <c r="C13" s="20" t="str">
        <f t="shared" si="2"/>
        <v>12L</v>
      </c>
      <c r="D13" s="19" t="str">
        <f t="shared" si="3"/>
        <v>3L</v>
      </c>
      <c r="E13" s="18" t="str">
        <f t="shared" si="0"/>
        <v>USD12L3L5Y_Quote</v>
      </c>
      <c r="F13" s="18" t="str">
        <f>_xll.qlSimpleQuote(E13,,RateTickValue,Permanent,Trigger,ObjectOverwrite)</f>
        <v>USD12L3L5Y_Quote#0007</v>
      </c>
      <c r="G13" s="17" t="str">
        <f>_xll.ohRangeRetrieveError(F13)</f>
        <v/>
      </c>
      <c r="H13" s="16"/>
      <c r="J13" s="28" t="s">
        <v>96</v>
      </c>
      <c r="K13" s="27" t="s">
        <v>95</v>
      </c>
      <c r="L13" s="26" t="s">
        <v>107</v>
      </c>
      <c r="N13" s="58">
        <v>5</v>
      </c>
      <c r="O13" s="126" t="s">
        <v>81</v>
      </c>
      <c r="P13" s="153" t="str">
        <v>12L</v>
      </c>
      <c r="Q13" s="153" t="str">
        <v>3L</v>
      </c>
      <c r="R13" s="152" t="str">
        <f>Currency&amp;$Q13&amp;$P13&amp;$O13</f>
        <v>USD3L12L5Y</v>
      </c>
      <c r="S13" s="125" t="str">
        <v>USD3L12L5Y=SMKR</v>
      </c>
      <c r="T13" s="216">
        <v>13.875</v>
      </c>
      <c r="U13" s="216">
        <v>23.875</v>
      </c>
      <c r="V13" s="216">
        <f>_xll.qlMidEquivalent(T13,U13)</f>
        <v>18.875</v>
      </c>
      <c r="W13" s="120" t="b">
        <f t="shared" si="1"/>
        <v>1</v>
      </c>
      <c r="X13" s="299">
        <f t="shared" si="4"/>
        <v>23.700000000000003</v>
      </c>
      <c r="Y13" s="122">
        <v>2.3700000000000001E-3</v>
      </c>
      <c r="Z13" s="214">
        <v>22.7</v>
      </c>
      <c r="AA13" s="122"/>
      <c r="AB13" s="222">
        <v>23.700000000000003</v>
      </c>
      <c r="AC13" s="119" t="e">
        <f>_xll.qlSimpleQuoteSetValue(F13,AB13/10000,Trigger)</f>
        <v>#N/A</v>
      </c>
      <c r="AD13" s="109"/>
      <c r="AE13" s="3"/>
      <c r="AF13" s="3"/>
      <c r="AG13" s="3"/>
      <c r="AH13" s="3"/>
    </row>
    <row r="14" spans="1:34" ht="13.5" thickBot="1" x14ac:dyDescent="0.25">
      <c r="A14" s="22"/>
      <c r="B14" s="21" t="s">
        <v>80</v>
      </c>
      <c r="C14" s="20" t="str">
        <f t="shared" si="2"/>
        <v>12L</v>
      </c>
      <c r="D14" s="19" t="str">
        <f t="shared" si="3"/>
        <v>3L</v>
      </c>
      <c r="E14" s="18" t="str">
        <f t="shared" si="0"/>
        <v>USD12L3L6Y_Quote</v>
      </c>
      <c r="F14" s="18" t="str">
        <f>_xll.qlSimpleQuote(E14,,RateTickValue,Permanent,Trigger,ObjectOverwrite)</f>
        <v>USD12L3L6Y_Quote#0007</v>
      </c>
      <c r="G14" s="17" t="str">
        <f>_xll.ohRangeRetrieveError(F14)</f>
        <v/>
      </c>
      <c r="H14" s="16"/>
      <c r="J14" s="25" t="s">
        <v>91</v>
      </c>
      <c r="K14" s="24" t="s">
        <v>107</v>
      </c>
      <c r="L14" s="23" t="s">
        <v>94</v>
      </c>
      <c r="N14" s="58">
        <v>6</v>
      </c>
      <c r="O14" s="126" t="s">
        <v>80</v>
      </c>
      <c r="P14" s="153" t="str">
        <v>12L</v>
      </c>
      <c r="Q14" s="153" t="str">
        <v>3L</v>
      </c>
      <c r="R14" s="152" t="str">
        <f>Currency&amp;$Q14&amp;$P14&amp;$O14</f>
        <v>USD3L12L6Y</v>
      </c>
      <c r="S14" s="125" t="str">
        <v>USD3L12L6Y=SMKR</v>
      </c>
      <c r="T14" s="216" t="s">
        <v>184</v>
      </c>
      <c r="U14" s="216" t="s">
        <v>184</v>
      </c>
      <c r="V14" s="216" t="e">
        <f>_xll.qlMidEquivalent(T14,U14)</f>
        <v>#NUM!</v>
      </c>
      <c r="W14" s="120" t="b">
        <f t="shared" si="1"/>
        <v>0</v>
      </c>
      <c r="X14" s="299">
        <f t="shared" si="4"/>
        <v>23.700000000000003</v>
      </c>
      <c r="Y14" s="122">
        <v>2.3700000000000001E-3</v>
      </c>
      <c r="Z14" s="214">
        <v>22.6</v>
      </c>
      <c r="AA14" s="122"/>
      <c r="AB14" s="222">
        <v>23.700000000000003</v>
      </c>
      <c r="AC14" s="119" t="e">
        <f>_xll.qlSimpleQuoteSetValue(F14,AB14/10000,Trigger)</f>
        <v>#N/A</v>
      </c>
      <c r="AD14" s="109"/>
      <c r="AE14" s="3"/>
      <c r="AF14" s="3"/>
      <c r="AG14" s="3"/>
      <c r="AH14" s="3"/>
    </row>
    <row r="15" spans="1:34" x14ac:dyDescent="0.2">
      <c r="A15" s="22"/>
      <c r="B15" s="21" t="s">
        <v>79</v>
      </c>
      <c r="C15" s="20" t="str">
        <f t="shared" si="2"/>
        <v>12L</v>
      </c>
      <c r="D15" s="19" t="str">
        <f t="shared" si="3"/>
        <v>3L</v>
      </c>
      <c r="E15" s="18" t="str">
        <f t="shared" si="0"/>
        <v>USD12L3L7Y_Quote</v>
      </c>
      <c r="F15" s="18" t="str">
        <f>_xll.qlSimpleQuote(E15,,RateTickValue,Permanent,Trigger,ObjectOverwrite)</f>
        <v>USD12L3L7Y_Quote#0007</v>
      </c>
      <c r="G15" s="17" t="str">
        <f>_xll.ohRangeRetrieveError(F15)</f>
        <v/>
      </c>
      <c r="H15" s="16"/>
      <c r="N15" s="58">
        <v>7</v>
      </c>
      <c r="O15" s="126" t="s">
        <v>79</v>
      </c>
      <c r="P15" s="153" t="str">
        <v>12L</v>
      </c>
      <c r="Q15" s="153" t="str">
        <v>3L</v>
      </c>
      <c r="R15" s="152" t="str">
        <f>Currency&amp;$Q15&amp;$P15&amp;$O15</f>
        <v>USD3L12L7Y</v>
      </c>
      <c r="S15" s="125" t="str">
        <v>USD3L12L7Y=SMKR</v>
      </c>
      <c r="T15" s="216">
        <v>14.375</v>
      </c>
      <c r="U15" s="216">
        <v>24.375</v>
      </c>
      <c r="V15" s="216">
        <f>_xll.qlMidEquivalent(T15,U15)</f>
        <v>19.375</v>
      </c>
      <c r="W15" s="120" t="b">
        <f t="shared" si="1"/>
        <v>1</v>
      </c>
      <c r="X15" s="299">
        <f t="shared" si="4"/>
        <v>23.6</v>
      </c>
      <c r="Y15" s="122">
        <v>2.3600000000000001E-3</v>
      </c>
      <c r="Z15" s="214">
        <v>22.5</v>
      </c>
      <c r="AA15" s="122"/>
      <c r="AB15" s="222">
        <v>23.6</v>
      </c>
      <c r="AC15" s="119" t="e">
        <f>_xll.qlSimpleQuoteSetValue(F15,AB15/10000,Trigger)</f>
        <v>#N/A</v>
      </c>
      <c r="AD15" s="109"/>
      <c r="AE15" s="3"/>
      <c r="AF15" s="3"/>
      <c r="AG15" s="3"/>
      <c r="AH15" s="3"/>
    </row>
    <row r="16" spans="1:34" x14ac:dyDescent="0.2">
      <c r="A16" s="22"/>
      <c r="B16" s="21" t="s">
        <v>78</v>
      </c>
      <c r="C16" s="20" t="str">
        <f t="shared" si="2"/>
        <v>12L</v>
      </c>
      <c r="D16" s="19" t="str">
        <f t="shared" si="3"/>
        <v>3L</v>
      </c>
      <c r="E16" s="18" t="str">
        <f t="shared" si="0"/>
        <v>USD12L3L8Y_Quote</v>
      </c>
      <c r="F16" s="18" t="str">
        <f>_xll.qlSimpleQuote(E16,,RateTickValue,Permanent,Trigger,ObjectOverwrite)</f>
        <v>USD12L3L8Y_Quote#0007</v>
      </c>
      <c r="G16" s="17" t="str">
        <f>_xll.ohRangeRetrieveError(F16)</f>
        <v/>
      </c>
      <c r="H16" s="16"/>
      <c r="N16" s="58">
        <v>8</v>
      </c>
      <c r="O16" s="126" t="s">
        <v>78</v>
      </c>
      <c r="P16" s="153" t="str">
        <v>12L</v>
      </c>
      <c r="Q16" s="153" t="str">
        <v>3L</v>
      </c>
      <c r="R16" s="152" t="str">
        <f>Currency&amp;$Q16&amp;$P16&amp;$O16</f>
        <v>USD3L12L8Y</v>
      </c>
      <c r="S16" s="125" t="str">
        <v>USD3L12L8Y=SMKR</v>
      </c>
      <c r="T16" s="216" t="s">
        <v>184</v>
      </c>
      <c r="U16" s="216" t="s">
        <v>184</v>
      </c>
      <c r="V16" s="216" t="e">
        <f>_xll.qlMidEquivalent(T16,U16)</f>
        <v>#NUM!</v>
      </c>
      <c r="W16" s="120" t="b">
        <f t="shared" si="1"/>
        <v>0</v>
      </c>
      <c r="X16" s="299">
        <f t="shared" si="4"/>
        <v>23.6</v>
      </c>
      <c r="Y16" s="122">
        <v>2.3600000000000001E-3</v>
      </c>
      <c r="Z16" s="214">
        <v>22.4</v>
      </c>
      <c r="AA16" s="122"/>
      <c r="AB16" s="222">
        <v>23.6</v>
      </c>
      <c r="AC16" s="119" t="e">
        <f>_xll.qlSimpleQuoteSetValue(F16,AB16/10000,Trigger)</f>
        <v>#N/A</v>
      </c>
      <c r="AD16" s="109"/>
      <c r="AE16" s="3"/>
      <c r="AF16" s="3"/>
      <c r="AG16" s="3"/>
      <c r="AH16" s="3"/>
    </row>
    <row r="17" spans="1:34" x14ac:dyDescent="0.2">
      <c r="A17" s="22"/>
      <c r="B17" s="21" t="s">
        <v>77</v>
      </c>
      <c r="C17" s="20" t="str">
        <f t="shared" si="2"/>
        <v>12L</v>
      </c>
      <c r="D17" s="19" t="str">
        <f t="shared" si="3"/>
        <v>3L</v>
      </c>
      <c r="E17" s="18" t="str">
        <f t="shared" si="0"/>
        <v>USD12L3L9Y_Quote</v>
      </c>
      <c r="F17" s="18" t="str">
        <f>_xll.qlSimpleQuote(E17,,RateTickValue,Permanent,Trigger,ObjectOverwrite)</f>
        <v>USD12L3L9Y_Quote#0007</v>
      </c>
      <c r="G17" s="17" t="str">
        <f>_xll.ohRangeRetrieveError(F17)</f>
        <v/>
      </c>
      <c r="H17" s="16"/>
      <c r="N17" s="58">
        <v>9</v>
      </c>
      <c r="O17" s="126" t="s">
        <v>77</v>
      </c>
      <c r="P17" s="153" t="str">
        <v>12L</v>
      </c>
      <c r="Q17" s="153" t="str">
        <v>3L</v>
      </c>
      <c r="R17" s="152" t="str">
        <f>Currency&amp;$Q17&amp;$P17&amp;$O17</f>
        <v>USD3L12L9Y</v>
      </c>
      <c r="S17" s="125" t="str">
        <v>USD3L12L9Y=SMKR</v>
      </c>
      <c r="T17" s="216" t="s">
        <v>184</v>
      </c>
      <c r="U17" s="216" t="s">
        <v>184</v>
      </c>
      <c r="V17" s="216" t="e">
        <f>_xll.qlMidEquivalent(T17,U17)</f>
        <v>#NUM!</v>
      </c>
      <c r="W17" s="120" t="b">
        <f t="shared" si="1"/>
        <v>0</v>
      </c>
      <c r="X17" s="299">
        <f t="shared" si="4"/>
        <v>23.5</v>
      </c>
      <c r="Y17" s="122">
        <v>2.3500000000000001E-3</v>
      </c>
      <c r="Z17" s="214">
        <v>22.4</v>
      </c>
      <c r="AA17" s="122"/>
      <c r="AB17" s="222">
        <v>23.5</v>
      </c>
      <c r="AC17" s="119" t="e">
        <f>_xll.qlSimpleQuoteSetValue(F17,AB17/10000,Trigger)</f>
        <v>#N/A</v>
      </c>
      <c r="AD17" s="109"/>
      <c r="AE17" s="3"/>
      <c r="AF17" s="3"/>
      <c r="AG17" s="3"/>
      <c r="AH17" s="3"/>
    </row>
    <row r="18" spans="1:34" x14ac:dyDescent="0.2">
      <c r="A18" s="22"/>
      <c r="B18" s="21" t="s">
        <v>76</v>
      </c>
      <c r="C18" s="20" t="str">
        <f t="shared" si="2"/>
        <v>12L</v>
      </c>
      <c r="D18" s="19" t="str">
        <f t="shared" si="3"/>
        <v>3L</v>
      </c>
      <c r="E18" s="18" t="str">
        <f t="shared" si="0"/>
        <v>USD12L3L10Y_Quote</v>
      </c>
      <c r="F18" s="18" t="str">
        <f>_xll.qlSimpleQuote(E18,,RateTickValue,Permanent,Trigger,ObjectOverwrite)</f>
        <v>USD12L3L10Y_Quote#0007</v>
      </c>
      <c r="G18" s="17" t="str">
        <f>_xll.ohRangeRetrieveError(F18)</f>
        <v/>
      </c>
      <c r="H18" s="16"/>
      <c r="N18" s="58">
        <v>10</v>
      </c>
      <c r="O18" s="126" t="s">
        <v>76</v>
      </c>
      <c r="P18" s="153" t="str">
        <v>12L</v>
      </c>
      <c r="Q18" s="153" t="str">
        <v>3L</v>
      </c>
      <c r="R18" s="152" t="str">
        <f>Currency&amp;$Q18&amp;$P18&amp;$O18</f>
        <v>USD3L12L10Y</v>
      </c>
      <c r="S18" s="125" t="str">
        <v>USD3L12L10Y=SMKR</v>
      </c>
      <c r="T18" s="216">
        <v>15.125</v>
      </c>
      <c r="U18" s="216">
        <v>25.125</v>
      </c>
      <c r="V18" s="216">
        <f>_xll.qlMidEquivalent(T18,U18)</f>
        <v>20.125</v>
      </c>
      <c r="W18" s="120" t="b">
        <f t="shared" si="1"/>
        <v>1</v>
      </c>
      <c r="X18" s="299">
        <f t="shared" si="4"/>
        <v>23.5</v>
      </c>
      <c r="Y18" s="122">
        <v>2.3500000000000001E-3</v>
      </c>
      <c r="Z18" s="214">
        <v>22.3</v>
      </c>
      <c r="AA18" s="122"/>
      <c r="AB18" s="222">
        <v>23.5</v>
      </c>
      <c r="AC18" s="119" t="e">
        <f>_xll.qlSimpleQuoteSetValue(F18,AB18/10000,Trigger)</f>
        <v>#N/A</v>
      </c>
      <c r="AD18" s="109"/>
      <c r="AE18" s="3"/>
      <c r="AF18" s="3"/>
      <c r="AG18" s="3"/>
      <c r="AH18" s="3"/>
    </row>
    <row r="19" spans="1:34" x14ac:dyDescent="0.2">
      <c r="A19" s="22"/>
      <c r="B19" s="21" t="s">
        <v>75</v>
      </c>
      <c r="C19" s="20" t="str">
        <f t="shared" si="2"/>
        <v>12L</v>
      </c>
      <c r="D19" s="19" t="str">
        <f t="shared" si="3"/>
        <v>3L</v>
      </c>
      <c r="E19" s="18" t="str">
        <f t="shared" si="0"/>
        <v>USD12L3L11Y_Quote</v>
      </c>
      <c r="F19" s="18" t="str">
        <f>_xll.qlSimpleQuote(E19,,RateTickValue,Permanent,Trigger,ObjectOverwrite)</f>
        <v>USD12L3L11Y_Quote#0007</v>
      </c>
      <c r="G19" s="17" t="str">
        <f>_xll.ohRangeRetrieveError(F19)</f>
        <v/>
      </c>
      <c r="H19" s="16"/>
      <c r="N19" s="58">
        <v>11</v>
      </c>
      <c r="O19" s="126" t="s">
        <v>75</v>
      </c>
      <c r="P19" s="153" t="str">
        <v>12L</v>
      </c>
      <c r="Q19" s="153" t="str">
        <v>3L</v>
      </c>
      <c r="R19" s="152" t="str">
        <f>Currency&amp;$Q19&amp;$P19&amp;$O19</f>
        <v>USD3L12L11Y</v>
      </c>
      <c r="S19" s="125" t="str">
        <v>USD3L12L11Y=SMKR</v>
      </c>
      <c r="T19" s="216" t="s">
        <v>184</v>
      </c>
      <c r="U19" s="216" t="s">
        <v>184</v>
      </c>
      <c r="V19" s="216" t="e">
        <f>_xll.qlMidEquivalent(T19,U19)</f>
        <v>#NUM!</v>
      </c>
      <c r="W19" s="120" t="b">
        <f t="shared" si="1"/>
        <v>0</v>
      </c>
      <c r="X19" s="299">
        <f t="shared" si="4"/>
        <v>23.5</v>
      </c>
      <c r="Y19" s="122">
        <v>2.3500000000000001E-3</v>
      </c>
      <c r="Z19" s="214">
        <v>22.3</v>
      </c>
      <c r="AA19" s="122"/>
      <c r="AB19" s="222">
        <v>23.5</v>
      </c>
      <c r="AC19" s="119" t="e">
        <f>_xll.qlSimpleQuoteSetValue(F19,AB19/10000,Trigger)</f>
        <v>#N/A</v>
      </c>
      <c r="AD19" s="109"/>
      <c r="AE19" s="3"/>
      <c r="AF19" s="3"/>
      <c r="AG19" s="3"/>
      <c r="AH19" s="3"/>
    </row>
    <row r="20" spans="1:34" x14ac:dyDescent="0.2">
      <c r="A20" s="22"/>
      <c r="B20" s="21" t="s">
        <v>74</v>
      </c>
      <c r="C20" s="20" t="str">
        <f t="shared" si="2"/>
        <v>12L</v>
      </c>
      <c r="D20" s="19" t="str">
        <f t="shared" si="3"/>
        <v>3L</v>
      </c>
      <c r="E20" s="18" t="str">
        <f t="shared" si="0"/>
        <v>USD12L3L12Y_Quote</v>
      </c>
      <c r="F20" s="18" t="str">
        <f>_xll.qlSimpleQuote(E20,,RateTickValue,Permanent,Trigger,ObjectOverwrite)</f>
        <v>USD12L3L12Y_Quote#0007</v>
      </c>
      <c r="G20" s="17" t="str">
        <f>_xll.ohRangeRetrieveError(F20)</f>
        <v/>
      </c>
      <c r="H20" s="16"/>
      <c r="N20" s="58">
        <v>12</v>
      </c>
      <c r="O20" s="126" t="s">
        <v>74</v>
      </c>
      <c r="P20" s="153" t="str">
        <v>12L</v>
      </c>
      <c r="Q20" s="153" t="str">
        <v>3L</v>
      </c>
      <c r="R20" s="152" t="str">
        <f>Currency&amp;$Q20&amp;$P20&amp;$O20</f>
        <v>USD3L12L12Y</v>
      </c>
      <c r="S20" s="125" t="str">
        <v>USD3L12L12Y=SMKR</v>
      </c>
      <c r="T20" s="216">
        <v>15.625</v>
      </c>
      <c r="U20" s="216">
        <v>25.625</v>
      </c>
      <c r="V20" s="216">
        <f>_xll.qlMidEquivalent(T20,U20)</f>
        <v>20.625</v>
      </c>
      <c r="W20" s="120" t="b">
        <f t="shared" si="1"/>
        <v>1</v>
      </c>
      <c r="X20" s="299">
        <f t="shared" si="4"/>
        <v>23.5</v>
      </c>
      <c r="Y20" s="122">
        <v>2.3500000000000001E-3</v>
      </c>
      <c r="Z20" s="214">
        <v>22.3</v>
      </c>
      <c r="AA20" s="122"/>
      <c r="AB20" s="222">
        <v>23.5</v>
      </c>
      <c r="AC20" s="119" t="e">
        <f>_xll.qlSimpleQuoteSetValue(F20,AB20/10000,Trigger)</f>
        <v>#N/A</v>
      </c>
      <c r="AD20" s="109"/>
      <c r="AE20" s="3"/>
      <c r="AF20" s="3"/>
      <c r="AG20" s="3"/>
      <c r="AH20" s="3"/>
    </row>
    <row r="21" spans="1:34" x14ac:dyDescent="0.2">
      <c r="A21" s="22"/>
      <c r="B21" s="21" t="s">
        <v>73</v>
      </c>
      <c r="C21" s="20" t="str">
        <f t="shared" si="2"/>
        <v>12L</v>
      </c>
      <c r="D21" s="19" t="str">
        <f t="shared" si="3"/>
        <v>3L</v>
      </c>
      <c r="E21" s="18" t="str">
        <f t="shared" si="0"/>
        <v>USD12L3L13Y_Quote</v>
      </c>
      <c r="F21" s="18" t="str">
        <f>_xll.qlSimpleQuote(E21,,RateTickValue,Permanent,Trigger,ObjectOverwrite)</f>
        <v>USD12L3L13Y_Quote#0007</v>
      </c>
      <c r="G21" s="17" t="str">
        <f>_xll.ohRangeRetrieveError(F21)</f>
        <v/>
      </c>
      <c r="H21" s="16"/>
      <c r="N21" s="58">
        <v>13</v>
      </c>
      <c r="O21" s="126" t="s">
        <v>73</v>
      </c>
      <c r="P21" s="153" t="str">
        <v>12L</v>
      </c>
      <c r="Q21" s="153" t="str">
        <v>3L</v>
      </c>
      <c r="R21" s="152" t="str">
        <f>Currency&amp;$Q21&amp;$P21&amp;$O21</f>
        <v>USD3L12L13Y</v>
      </c>
      <c r="S21" s="125" t="str">
        <v>USD3L12L13Y=SMKR</v>
      </c>
      <c r="T21" s="216" t="s">
        <v>184</v>
      </c>
      <c r="U21" s="216" t="s">
        <v>184</v>
      </c>
      <c r="V21" s="216" t="e">
        <f>_xll.qlMidEquivalent(T21,U21)</f>
        <v>#NUM!</v>
      </c>
      <c r="W21" s="120" t="b">
        <f t="shared" si="1"/>
        <v>0</v>
      </c>
      <c r="X21" s="299">
        <f t="shared" si="4"/>
        <v>23.474070000000001</v>
      </c>
      <c r="Y21" s="122">
        <v>2.3474070000000001E-3</v>
      </c>
      <c r="Z21" s="214">
        <v>22.274074074074075</v>
      </c>
      <c r="AA21" s="122"/>
      <c r="AB21" s="222">
        <v>23.474070000000001</v>
      </c>
      <c r="AC21" s="119" t="e">
        <f>_xll.qlSimpleQuoteSetValue(F21,AB21/10000,Trigger)</f>
        <v>#N/A</v>
      </c>
      <c r="AD21" s="109"/>
      <c r="AE21" s="3"/>
      <c r="AF21" s="3"/>
      <c r="AG21" s="3"/>
      <c r="AH21" s="3"/>
    </row>
    <row r="22" spans="1:34" x14ac:dyDescent="0.2">
      <c r="A22" s="22"/>
      <c r="B22" s="21" t="s">
        <v>72</v>
      </c>
      <c r="C22" s="20" t="str">
        <f t="shared" si="2"/>
        <v>12L</v>
      </c>
      <c r="D22" s="19" t="str">
        <f t="shared" si="3"/>
        <v>3L</v>
      </c>
      <c r="E22" s="18" t="str">
        <f t="shared" si="0"/>
        <v>USD12L3L14Y_Quote</v>
      </c>
      <c r="F22" s="18" t="str">
        <f>_xll.qlSimpleQuote(E22,,RateTickValue,Permanent,Trigger,ObjectOverwrite)</f>
        <v>USD12L3L14Y_Quote#0007</v>
      </c>
      <c r="G22" s="17" t="str">
        <f>_xll.ohRangeRetrieveError(F22)</f>
        <v/>
      </c>
      <c r="H22" s="16"/>
      <c r="N22" s="58">
        <v>14</v>
      </c>
      <c r="O22" s="126" t="s">
        <v>72</v>
      </c>
      <c r="P22" s="153" t="str">
        <v>12L</v>
      </c>
      <c r="Q22" s="153" t="str">
        <v>3L</v>
      </c>
      <c r="R22" s="152" t="str">
        <f>Currency&amp;$Q22&amp;$P22&amp;$O22</f>
        <v>USD3L12L14Y</v>
      </c>
      <c r="S22" s="125" t="str">
        <v>USD3L12L14Y=SMKR</v>
      </c>
      <c r="T22" s="216" t="s">
        <v>184</v>
      </c>
      <c r="U22" s="216" t="s">
        <v>184</v>
      </c>
      <c r="V22" s="216" t="e">
        <f>_xll.qlMidEquivalent(T22,U22)</f>
        <v>#NUM!</v>
      </c>
      <c r="W22" s="120" t="b">
        <f t="shared" si="1"/>
        <v>0</v>
      </c>
      <c r="X22" s="299">
        <f t="shared" si="4"/>
        <v>23.425930000000001</v>
      </c>
      <c r="Y22" s="122">
        <v>2.342593E-3</v>
      </c>
      <c r="Z22" s="214">
        <v>22.225925925925925</v>
      </c>
      <c r="AA22" s="122"/>
      <c r="AB22" s="222">
        <v>23.425930000000001</v>
      </c>
      <c r="AC22" s="119" t="e">
        <f>_xll.qlSimpleQuoteSetValue(F22,AB22/10000,Trigger)</f>
        <v>#N/A</v>
      </c>
      <c r="AD22" s="109"/>
      <c r="AE22" s="3"/>
      <c r="AF22" s="3"/>
      <c r="AG22" s="3"/>
      <c r="AH22" s="3"/>
    </row>
    <row r="23" spans="1:34" x14ac:dyDescent="0.2">
      <c r="A23" s="22"/>
      <c r="B23" s="21" t="s">
        <v>71</v>
      </c>
      <c r="C23" s="20" t="str">
        <f t="shared" si="2"/>
        <v>12L</v>
      </c>
      <c r="D23" s="19" t="str">
        <f t="shared" si="3"/>
        <v>3L</v>
      </c>
      <c r="E23" s="18" t="str">
        <f t="shared" si="0"/>
        <v>USD12L3L15Y_Quote</v>
      </c>
      <c r="F23" s="18" t="str">
        <f>_xll.qlSimpleQuote(E23,,RateTickValue,Permanent,Trigger,ObjectOverwrite)</f>
        <v>USD12L3L15Y_Quote#0007</v>
      </c>
      <c r="G23" s="17" t="str">
        <f>_xll.ohRangeRetrieveError(F23)</f>
        <v/>
      </c>
      <c r="H23" s="16"/>
      <c r="N23" s="58">
        <v>15</v>
      </c>
      <c r="O23" s="126" t="s">
        <v>71</v>
      </c>
      <c r="P23" s="153" t="str">
        <v>12L</v>
      </c>
      <c r="Q23" s="153" t="str">
        <v>3L</v>
      </c>
      <c r="R23" s="152" t="str">
        <f>Currency&amp;$Q23&amp;$P23&amp;$O23</f>
        <v>USD3L12L15Y</v>
      </c>
      <c r="S23" s="125" t="str">
        <v>USD3L12L15Y=SMKR</v>
      </c>
      <c r="T23" s="216">
        <v>16.625</v>
      </c>
      <c r="U23" s="216">
        <v>26.625</v>
      </c>
      <c r="V23" s="216">
        <f>_xll.qlMidEquivalent(T23,U23)</f>
        <v>21.625</v>
      </c>
      <c r="W23" s="120" t="b">
        <f t="shared" si="1"/>
        <v>1</v>
      </c>
      <c r="X23" s="299">
        <f t="shared" si="4"/>
        <v>23.400000000000002</v>
      </c>
      <c r="Y23" s="122">
        <v>2.3400000000000001E-3</v>
      </c>
      <c r="Z23" s="214">
        <v>22.2</v>
      </c>
      <c r="AA23" s="122"/>
      <c r="AB23" s="222">
        <v>23.400000000000002</v>
      </c>
      <c r="AC23" s="119" t="e">
        <f>_xll.qlSimpleQuoteSetValue(F23,AB23/10000,Trigger)</f>
        <v>#N/A</v>
      </c>
      <c r="AD23" s="109"/>
      <c r="AE23" s="3"/>
      <c r="AF23" s="3"/>
      <c r="AG23" s="3"/>
      <c r="AH23" s="3"/>
    </row>
    <row r="24" spans="1:34" x14ac:dyDescent="0.2">
      <c r="A24" s="22"/>
      <c r="B24" s="21" t="s">
        <v>70</v>
      </c>
      <c r="C24" s="20" t="str">
        <f t="shared" si="2"/>
        <v>12L</v>
      </c>
      <c r="D24" s="19" t="str">
        <f t="shared" si="3"/>
        <v>3L</v>
      </c>
      <c r="E24" s="18" t="str">
        <f t="shared" si="0"/>
        <v>USD12L3L16Y_Quote</v>
      </c>
      <c r="F24" s="18" t="str">
        <f>_xll.qlSimpleQuote(E24,,RateTickValue,Permanent,Trigger,ObjectOverwrite)</f>
        <v>USD12L3L16Y_Quote#0007</v>
      </c>
      <c r="G24" s="17" t="str">
        <f>_xll.ohRangeRetrieveError(F24)</f>
        <v/>
      </c>
      <c r="H24" s="16"/>
      <c r="N24" s="58">
        <v>16</v>
      </c>
      <c r="O24" s="126" t="s">
        <v>70</v>
      </c>
      <c r="P24" s="153" t="str">
        <v>12L</v>
      </c>
      <c r="Q24" s="153" t="str">
        <v>3L</v>
      </c>
      <c r="R24" s="152" t="str">
        <f>Currency&amp;$Q24&amp;$P24&amp;$O24</f>
        <v>USD3L12L16Y</v>
      </c>
      <c r="S24" s="125" t="str">
        <v>USD3L12L16Y=SMKR</v>
      </c>
      <c r="T24" s="216" t="s">
        <v>184</v>
      </c>
      <c r="U24" s="216" t="s">
        <v>184</v>
      </c>
      <c r="V24" s="216" t="e">
        <f>_xll.qlMidEquivalent(T24,U24)</f>
        <v>#NUM!</v>
      </c>
      <c r="W24" s="120" t="b">
        <f t="shared" si="1"/>
        <v>0</v>
      </c>
      <c r="X24" s="299">
        <f t="shared" si="4"/>
        <v>23.400000000000002</v>
      </c>
      <c r="Y24" s="122">
        <v>2.3400000000000001E-3</v>
      </c>
      <c r="Z24" s="214">
        <v>22.2</v>
      </c>
      <c r="AA24" s="122"/>
      <c r="AB24" s="222">
        <v>23.400000000000002</v>
      </c>
      <c r="AC24" s="119" t="e">
        <f>_xll.qlSimpleQuoteSetValue(F24,AB24/10000,Trigger)</f>
        <v>#N/A</v>
      </c>
      <c r="AD24" s="109"/>
      <c r="AE24" s="3"/>
      <c r="AF24" s="3"/>
      <c r="AG24" s="3"/>
      <c r="AH24" s="3"/>
    </row>
    <row r="25" spans="1:34" x14ac:dyDescent="0.2">
      <c r="A25" s="22"/>
      <c r="B25" s="21" t="s">
        <v>69</v>
      </c>
      <c r="C25" s="20" t="str">
        <f t="shared" si="2"/>
        <v>12L</v>
      </c>
      <c r="D25" s="19" t="str">
        <f t="shared" si="3"/>
        <v>3L</v>
      </c>
      <c r="E25" s="18" t="str">
        <f t="shared" si="0"/>
        <v>USD12L3L17Y_Quote</v>
      </c>
      <c r="F25" s="18" t="str">
        <f>_xll.qlSimpleQuote(E25,,RateTickValue,Permanent,Trigger,ObjectOverwrite)</f>
        <v>USD12L3L17Y_Quote#0007</v>
      </c>
      <c r="G25" s="17" t="str">
        <f>_xll.ohRangeRetrieveError(F25)</f>
        <v/>
      </c>
      <c r="H25" s="16"/>
      <c r="N25" s="58">
        <v>17</v>
      </c>
      <c r="O25" s="126" t="s">
        <v>69</v>
      </c>
      <c r="P25" s="153" t="str">
        <v>12L</v>
      </c>
      <c r="Q25" s="153" t="str">
        <v>3L</v>
      </c>
      <c r="R25" s="152" t="str">
        <f>Currency&amp;$Q25&amp;$P25&amp;$O25</f>
        <v>USD3L12L17Y</v>
      </c>
      <c r="S25" s="125" t="str">
        <v>USD3L12L17Y=SMKR</v>
      </c>
      <c r="T25" s="216" t="s">
        <v>184</v>
      </c>
      <c r="U25" s="216" t="s">
        <v>184</v>
      </c>
      <c r="V25" s="216" t="e">
        <f>_xll.qlMidEquivalent(T25,U25)</f>
        <v>#NUM!</v>
      </c>
      <c r="W25" s="120" t="b">
        <f t="shared" si="1"/>
        <v>0</v>
      </c>
      <c r="X25" s="299">
        <f t="shared" si="4"/>
        <v>23.400000000000002</v>
      </c>
      <c r="Y25" s="122">
        <v>2.3400000000000001E-3</v>
      </c>
      <c r="Z25" s="214">
        <v>22.2</v>
      </c>
      <c r="AA25" s="122"/>
      <c r="AB25" s="222">
        <v>23.400000000000002</v>
      </c>
      <c r="AC25" s="119" t="e">
        <f>_xll.qlSimpleQuoteSetValue(F25,AB25/10000,Trigger)</f>
        <v>#N/A</v>
      </c>
      <c r="AD25" s="109"/>
      <c r="AE25" s="3"/>
      <c r="AF25" s="3"/>
      <c r="AG25" s="3"/>
      <c r="AH25" s="3"/>
    </row>
    <row r="26" spans="1:34" x14ac:dyDescent="0.2">
      <c r="A26" s="22"/>
      <c r="B26" s="21" t="s">
        <v>68</v>
      </c>
      <c r="C26" s="20" t="str">
        <f t="shared" si="2"/>
        <v>12L</v>
      </c>
      <c r="D26" s="19" t="str">
        <f t="shared" si="3"/>
        <v>3L</v>
      </c>
      <c r="E26" s="18" t="str">
        <f t="shared" si="0"/>
        <v>USD12L3L18Y_Quote</v>
      </c>
      <c r="F26" s="18" t="str">
        <f>_xll.qlSimpleQuote(E26,,RateTickValue,Permanent,Trigger,ObjectOverwrite)</f>
        <v>USD12L3L18Y_Quote#0007</v>
      </c>
      <c r="G26" s="17" t="str">
        <f>_xll.ohRangeRetrieveError(F26)</f>
        <v/>
      </c>
      <c r="H26" s="16"/>
      <c r="N26" s="58">
        <v>18</v>
      </c>
      <c r="O26" s="126" t="s">
        <v>68</v>
      </c>
      <c r="P26" s="153" t="str">
        <v>12L</v>
      </c>
      <c r="Q26" s="153" t="str">
        <v>3L</v>
      </c>
      <c r="R26" s="152" t="str">
        <f>Currency&amp;$Q26&amp;$P26&amp;$O26</f>
        <v>USD3L12L18Y</v>
      </c>
      <c r="S26" s="125" t="str">
        <v>USD3L12L18Y=SMKR</v>
      </c>
      <c r="T26" s="216" t="s">
        <v>184</v>
      </c>
      <c r="U26" s="216" t="s">
        <v>184</v>
      </c>
      <c r="V26" s="216" t="e">
        <f>_xll.qlMidEquivalent(T26,U26)</f>
        <v>#NUM!</v>
      </c>
      <c r="W26" s="120" t="b">
        <f t="shared" si="1"/>
        <v>0</v>
      </c>
      <c r="X26" s="299">
        <f t="shared" si="4"/>
        <v>23.400000000000002</v>
      </c>
      <c r="Y26" s="122">
        <v>2.3400000000000001E-3</v>
      </c>
      <c r="Z26" s="214">
        <v>22.2</v>
      </c>
      <c r="AA26" s="122"/>
      <c r="AB26" s="222">
        <v>23.400000000000002</v>
      </c>
      <c r="AC26" s="119" t="e">
        <f>_xll.qlSimpleQuoteSetValue(F26,AB26/10000,Trigger)</f>
        <v>#N/A</v>
      </c>
      <c r="AD26" s="109"/>
      <c r="AE26" s="3"/>
      <c r="AF26" s="3"/>
      <c r="AG26" s="3"/>
      <c r="AH26" s="3"/>
    </row>
    <row r="27" spans="1:34" x14ac:dyDescent="0.2">
      <c r="A27" s="22"/>
      <c r="B27" s="21" t="s">
        <v>67</v>
      </c>
      <c r="C27" s="20" t="str">
        <f t="shared" si="2"/>
        <v>12L</v>
      </c>
      <c r="D27" s="19" t="str">
        <f t="shared" si="3"/>
        <v>3L</v>
      </c>
      <c r="E27" s="18" t="str">
        <f t="shared" si="0"/>
        <v>USD12L3L19Y_Quote</v>
      </c>
      <c r="F27" s="18" t="str">
        <f>_xll.qlSimpleQuote(E27,,RateTickValue,Permanent,Trigger,ObjectOverwrite)</f>
        <v>USD12L3L19Y_Quote#0007</v>
      </c>
      <c r="G27" s="17" t="str">
        <f>_xll.ohRangeRetrieveError(F27)</f>
        <v/>
      </c>
      <c r="H27" s="16"/>
      <c r="N27" s="58">
        <v>19</v>
      </c>
      <c r="O27" s="126" t="s">
        <v>67</v>
      </c>
      <c r="P27" s="153" t="str">
        <v>12L</v>
      </c>
      <c r="Q27" s="153" t="str">
        <v>3L</v>
      </c>
      <c r="R27" s="152" t="str">
        <f>Currency&amp;$Q27&amp;$P27&amp;$O27</f>
        <v>USD3L12L19Y</v>
      </c>
      <c r="S27" s="125" t="str">
        <v>USD3L12L19Y=SMKR</v>
      </c>
      <c r="T27" s="216" t="s">
        <v>184</v>
      </c>
      <c r="U27" s="216" t="s">
        <v>184</v>
      </c>
      <c r="V27" s="216" t="e">
        <f>_xll.qlMidEquivalent(T27,U27)</f>
        <v>#NUM!</v>
      </c>
      <c r="W27" s="120" t="b">
        <f t="shared" si="1"/>
        <v>0</v>
      </c>
      <c r="X27" s="299">
        <f t="shared" si="4"/>
        <v>23.400000000000002</v>
      </c>
      <c r="Y27" s="122">
        <v>2.3400000000000001E-3</v>
      </c>
      <c r="Z27" s="214">
        <v>22.2</v>
      </c>
      <c r="AA27" s="122"/>
      <c r="AB27" s="222">
        <v>23.400000000000002</v>
      </c>
      <c r="AC27" s="119" t="e">
        <f>_xll.qlSimpleQuoteSetValue(F27,AB27/10000,Trigger)</f>
        <v>#N/A</v>
      </c>
      <c r="AD27" s="109"/>
      <c r="AE27" s="3"/>
      <c r="AF27" s="3"/>
      <c r="AG27" s="3"/>
      <c r="AH27" s="3"/>
    </row>
    <row r="28" spans="1:34" x14ac:dyDescent="0.2">
      <c r="A28" s="22"/>
      <c r="B28" s="21" t="s">
        <v>66</v>
      </c>
      <c r="C28" s="20" t="str">
        <f t="shared" si="2"/>
        <v>12L</v>
      </c>
      <c r="D28" s="19" t="str">
        <f t="shared" si="3"/>
        <v>3L</v>
      </c>
      <c r="E28" s="18" t="str">
        <f t="shared" si="0"/>
        <v>USD12L3L20Y_Quote</v>
      </c>
      <c r="F28" s="18" t="str">
        <f>_xll.qlSimpleQuote(E28,,RateTickValue,Permanent,Trigger,ObjectOverwrite)</f>
        <v>USD12L3L20Y_Quote#0007</v>
      </c>
      <c r="G28" s="17" t="str">
        <f>_xll.ohRangeRetrieveError(F28)</f>
        <v/>
      </c>
      <c r="H28" s="16"/>
      <c r="N28" s="58">
        <v>20</v>
      </c>
      <c r="O28" s="126" t="s">
        <v>66</v>
      </c>
      <c r="P28" s="153" t="str">
        <v>12L</v>
      </c>
      <c r="Q28" s="153" t="str">
        <v>3L</v>
      </c>
      <c r="R28" s="152" t="str">
        <f>Currency&amp;$Q28&amp;$P28&amp;$O28</f>
        <v>USD3L12L20Y</v>
      </c>
      <c r="S28" s="125" t="str">
        <v>USD3L12L20Y=SMKR</v>
      </c>
      <c r="T28" s="216">
        <v>17.25</v>
      </c>
      <c r="U28" s="216">
        <v>27.25</v>
      </c>
      <c r="V28" s="216">
        <f>_xll.qlMidEquivalent(T28,U28)</f>
        <v>22.25</v>
      </c>
      <c r="W28" s="120" t="b">
        <f t="shared" si="1"/>
        <v>1</v>
      </c>
      <c r="X28" s="299">
        <f t="shared" si="4"/>
        <v>23.400000000000002</v>
      </c>
      <c r="Y28" s="122">
        <v>2.3400000000000001E-3</v>
      </c>
      <c r="Z28" s="214">
        <v>22.2</v>
      </c>
      <c r="AA28" s="122"/>
      <c r="AB28" s="222">
        <v>23.400000000000002</v>
      </c>
      <c r="AC28" s="119" t="e">
        <f>_xll.qlSimpleQuoteSetValue(F28,AB28/10000,Trigger)</f>
        <v>#N/A</v>
      </c>
      <c r="AD28" s="109"/>
      <c r="AE28" s="3"/>
      <c r="AF28" s="3"/>
      <c r="AG28" s="3"/>
      <c r="AH28" s="3"/>
    </row>
    <row r="29" spans="1:34" x14ac:dyDescent="0.2">
      <c r="A29" s="22"/>
      <c r="B29" s="21" t="s">
        <v>65</v>
      </c>
      <c r="C29" s="20" t="str">
        <f t="shared" si="2"/>
        <v>12L</v>
      </c>
      <c r="D29" s="19" t="str">
        <f t="shared" si="3"/>
        <v>3L</v>
      </c>
      <c r="E29" s="18" t="str">
        <f t="shared" si="0"/>
        <v>USD12L3L21Y_Quote</v>
      </c>
      <c r="F29" s="18" t="str">
        <f>_xll.qlSimpleQuote(E29,,RateTickValue,Permanent,Trigger,ObjectOverwrite)</f>
        <v>USD12L3L21Y_Quote#0007</v>
      </c>
      <c r="G29" s="17" t="str">
        <f>_xll.ohRangeRetrieveError(F29)</f>
        <v/>
      </c>
      <c r="H29" s="16"/>
      <c r="N29" s="58">
        <v>21</v>
      </c>
      <c r="O29" s="126" t="s">
        <v>65</v>
      </c>
      <c r="P29" s="153" t="str">
        <v>12L</v>
      </c>
      <c r="Q29" s="153" t="str">
        <v>3L</v>
      </c>
      <c r="R29" s="152" t="str">
        <f>Currency&amp;$Q29&amp;$P29&amp;$O29</f>
        <v>USD3L12L21Y</v>
      </c>
      <c r="S29" s="125" t="str">
        <v>USD3L12L21Y=SMKR</v>
      </c>
      <c r="T29" s="216" t="s">
        <v>184</v>
      </c>
      <c r="U29" s="216" t="s">
        <v>184</v>
      </c>
      <c r="V29" s="216" t="e">
        <f>_xll.qlMidEquivalent(T29,U29)</f>
        <v>#NUM!</v>
      </c>
      <c r="W29" s="120" t="b">
        <f t="shared" si="1"/>
        <v>0</v>
      </c>
      <c r="X29" s="299">
        <f t="shared" si="4"/>
        <v>23.389600000000002</v>
      </c>
      <c r="Y29" s="122">
        <v>2.3389600000000002E-3</v>
      </c>
      <c r="Z29" s="214">
        <v>22.189599999999999</v>
      </c>
      <c r="AA29" s="122"/>
      <c r="AB29" s="222">
        <v>23.389600000000002</v>
      </c>
      <c r="AC29" s="119" t="e">
        <f>_xll.qlSimpleQuoteSetValue(F29,AB29/10000,Trigger)</f>
        <v>#N/A</v>
      </c>
      <c r="AD29" s="109"/>
      <c r="AE29" s="3"/>
      <c r="AF29" s="3"/>
      <c r="AG29" s="3"/>
      <c r="AH29" s="3"/>
    </row>
    <row r="30" spans="1:34" x14ac:dyDescent="0.2">
      <c r="A30" s="22"/>
      <c r="B30" s="21" t="s">
        <v>64</v>
      </c>
      <c r="C30" s="20" t="str">
        <f t="shared" si="2"/>
        <v>12L</v>
      </c>
      <c r="D30" s="19" t="str">
        <f t="shared" si="3"/>
        <v>3L</v>
      </c>
      <c r="E30" s="18" t="str">
        <f t="shared" si="0"/>
        <v>USD12L3L22Y_Quote</v>
      </c>
      <c r="F30" s="18" t="str">
        <f>_xll.qlSimpleQuote(E30,,RateTickValue,Permanent,Trigger,ObjectOverwrite)</f>
        <v>USD12L3L22Y_Quote#0007</v>
      </c>
      <c r="G30" s="17" t="str">
        <f>_xll.ohRangeRetrieveError(F30)</f>
        <v/>
      </c>
      <c r="H30" s="16"/>
      <c r="N30" s="58">
        <v>22</v>
      </c>
      <c r="O30" s="126" t="s">
        <v>64</v>
      </c>
      <c r="P30" s="153" t="str">
        <v>12L</v>
      </c>
      <c r="Q30" s="153" t="str">
        <v>3L</v>
      </c>
      <c r="R30" s="152" t="str">
        <f>Currency&amp;$Q30&amp;$P30&amp;$O30</f>
        <v>USD3L12L22Y</v>
      </c>
      <c r="S30" s="125" t="str">
        <v>USD3L12L22Y=SMKR</v>
      </c>
      <c r="T30" s="216" t="s">
        <v>184</v>
      </c>
      <c r="U30" s="216" t="s">
        <v>184</v>
      </c>
      <c r="V30" s="216" t="e">
        <f>_xll.qlMidEquivalent(T30,U30)</f>
        <v>#NUM!</v>
      </c>
      <c r="W30" s="120" t="b">
        <f t="shared" si="1"/>
        <v>0</v>
      </c>
      <c r="X30" s="299">
        <f t="shared" si="4"/>
        <v>23.364800000000002</v>
      </c>
      <c r="Y30" s="122">
        <v>2.3364800000000002E-3</v>
      </c>
      <c r="Z30" s="214">
        <v>22.1648</v>
      </c>
      <c r="AA30" s="122"/>
      <c r="AB30" s="222">
        <v>23.364800000000002</v>
      </c>
      <c r="AC30" s="119" t="e">
        <f>_xll.qlSimpleQuoteSetValue(F30,AB30/10000,Trigger)</f>
        <v>#N/A</v>
      </c>
      <c r="AD30" s="109"/>
      <c r="AE30" s="3"/>
      <c r="AF30" s="3"/>
      <c r="AG30" s="3"/>
      <c r="AH30" s="3"/>
    </row>
    <row r="31" spans="1:34" x14ac:dyDescent="0.2">
      <c r="A31" s="22"/>
      <c r="B31" s="21" t="s">
        <v>63</v>
      </c>
      <c r="C31" s="20" t="str">
        <f t="shared" si="2"/>
        <v>12L</v>
      </c>
      <c r="D31" s="19" t="str">
        <f t="shared" si="3"/>
        <v>3L</v>
      </c>
      <c r="E31" s="18" t="str">
        <f t="shared" si="0"/>
        <v>USD12L3L23Y_Quote</v>
      </c>
      <c r="F31" s="18" t="str">
        <f>_xll.qlSimpleQuote(E31,,RateTickValue,Permanent,Trigger,ObjectOverwrite)</f>
        <v>USD12L3L23Y_Quote#0007</v>
      </c>
      <c r="G31" s="17" t="str">
        <f>_xll.ohRangeRetrieveError(F31)</f>
        <v/>
      </c>
      <c r="H31" s="16"/>
      <c r="N31" s="58">
        <v>23</v>
      </c>
      <c r="O31" s="126" t="s">
        <v>63</v>
      </c>
      <c r="P31" s="153" t="str">
        <v>12L</v>
      </c>
      <c r="Q31" s="153" t="str">
        <v>3L</v>
      </c>
      <c r="R31" s="152" t="str">
        <f>Currency&amp;$Q31&amp;$P31&amp;$O31</f>
        <v>USD3L12L23Y</v>
      </c>
      <c r="S31" s="125" t="str">
        <v>USD3L12L23Y=SMKR</v>
      </c>
      <c r="T31" s="216" t="s">
        <v>184</v>
      </c>
      <c r="U31" s="216" t="s">
        <v>184</v>
      </c>
      <c r="V31" s="216" t="e">
        <f>_xll.qlMidEquivalent(T31,U31)</f>
        <v>#NUM!</v>
      </c>
      <c r="W31" s="120" t="b">
        <f t="shared" si="1"/>
        <v>0</v>
      </c>
      <c r="X31" s="299">
        <f t="shared" si="4"/>
        <v>23.3352</v>
      </c>
      <c r="Y31" s="122">
        <v>2.33352E-3</v>
      </c>
      <c r="Z31" s="214">
        <v>22.135200000000001</v>
      </c>
      <c r="AA31" s="122"/>
      <c r="AB31" s="222">
        <v>23.3352</v>
      </c>
      <c r="AC31" s="119" t="e">
        <f>_xll.qlSimpleQuoteSetValue(F31,AB31/10000,Trigger)</f>
        <v>#N/A</v>
      </c>
      <c r="AD31" s="109"/>
      <c r="AE31" s="3"/>
      <c r="AF31" s="3"/>
      <c r="AG31" s="3"/>
      <c r="AH31" s="3"/>
    </row>
    <row r="32" spans="1:34" x14ac:dyDescent="0.2">
      <c r="A32" s="22"/>
      <c r="B32" s="21" t="s">
        <v>62</v>
      </c>
      <c r="C32" s="20" t="str">
        <f t="shared" si="2"/>
        <v>12L</v>
      </c>
      <c r="D32" s="19" t="str">
        <f t="shared" si="3"/>
        <v>3L</v>
      </c>
      <c r="E32" s="18" t="str">
        <f t="shared" si="0"/>
        <v>USD12L3L24Y_Quote</v>
      </c>
      <c r="F32" s="18" t="str">
        <f>_xll.qlSimpleQuote(E32,,RateTickValue,Permanent,Trigger,ObjectOverwrite)</f>
        <v>USD12L3L24Y_Quote#0007</v>
      </c>
      <c r="G32" s="17" t="str">
        <f>_xll.ohRangeRetrieveError(F32)</f>
        <v/>
      </c>
      <c r="H32" s="16"/>
      <c r="N32" s="58">
        <v>24</v>
      </c>
      <c r="O32" s="126" t="s">
        <v>62</v>
      </c>
      <c r="P32" s="153" t="str">
        <v>12L</v>
      </c>
      <c r="Q32" s="153" t="str">
        <v>3L</v>
      </c>
      <c r="R32" s="152" t="str">
        <f>Currency&amp;$Q32&amp;$P32&amp;$O32</f>
        <v>USD3L12L24Y</v>
      </c>
      <c r="S32" s="125" t="str">
        <v>USD3L12L24Y=SMKR</v>
      </c>
      <c r="T32" s="216" t="s">
        <v>184</v>
      </c>
      <c r="U32" s="216" t="s">
        <v>184</v>
      </c>
      <c r="V32" s="216" t="e">
        <f>_xll.qlMidEquivalent(T32,U32)</f>
        <v>#NUM!</v>
      </c>
      <c r="W32" s="120" t="b">
        <f t="shared" si="1"/>
        <v>0</v>
      </c>
      <c r="X32" s="299">
        <f t="shared" si="4"/>
        <v>23.310399999999998</v>
      </c>
      <c r="Y32" s="122">
        <v>2.3310399999999999E-3</v>
      </c>
      <c r="Z32" s="214">
        <v>22.110400000000002</v>
      </c>
      <c r="AA32" s="122"/>
      <c r="AB32" s="222">
        <v>23.310399999999998</v>
      </c>
      <c r="AC32" s="119" t="e">
        <f>_xll.qlSimpleQuoteSetValue(F32,AB32/10000,Trigger)</f>
        <v>#N/A</v>
      </c>
      <c r="AD32" s="109"/>
      <c r="AE32" s="3"/>
      <c r="AF32" s="3"/>
      <c r="AG32" s="3"/>
      <c r="AH32" s="3"/>
    </row>
    <row r="33" spans="1:34" x14ac:dyDescent="0.2">
      <c r="A33" s="22"/>
      <c r="B33" s="21" t="s">
        <v>61</v>
      </c>
      <c r="C33" s="20" t="str">
        <f t="shared" si="2"/>
        <v>12L</v>
      </c>
      <c r="D33" s="19" t="str">
        <f t="shared" si="3"/>
        <v>3L</v>
      </c>
      <c r="E33" s="18" t="str">
        <f t="shared" si="0"/>
        <v>USD12L3L25Y_Quote</v>
      </c>
      <c r="F33" s="18" t="str">
        <f>_xll.qlSimpleQuote(E33,,RateTickValue,Permanent,Trigger,ObjectOverwrite)</f>
        <v>USD12L3L25Y_Quote#0007</v>
      </c>
      <c r="G33" s="17" t="str">
        <f>_xll.ohRangeRetrieveError(F33)</f>
        <v/>
      </c>
      <c r="H33" s="16"/>
      <c r="N33" s="58">
        <v>25</v>
      </c>
      <c r="O33" s="126" t="s">
        <v>61</v>
      </c>
      <c r="P33" s="153" t="str">
        <v>12L</v>
      </c>
      <c r="Q33" s="153" t="str">
        <v>3L</v>
      </c>
      <c r="R33" s="152" t="str">
        <f>Currency&amp;$Q33&amp;$P33&amp;$O33</f>
        <v>USD3L12L25Y</v>
      </c>
      <c r="S33" s="125" t="str">
        <v>USD3L12L25Y=SMKR</v>
      </c>
      <c r="T33" s="216">
        <v>17.375</v>
      </c>
      <c r="U33" s="216">
        <v>27.375</v>
      </c>
      <c r="V33" s="216">
        <f>_xll.qlMidEquivalent(T33,U33)</f>
        <v>22.375</v>
      </c>
      <c r="W33" s="120" t="b">
        <f t="shared" si="1"/>
        <v>1</v>
      </c>
      <c r="X33" s="299">
        <f t="shared" si="4"/>
        <v>23.3</v>
      </c>
      <c r="Y33" s="122">
        <v>2.33E-3</v>
      </c>
      <c r="Z33" s="214">
        <v>22.1</v>
      </c>
      <c r="AA33" s="122"/>
      <c r="AB33" s="222">
        <v>23.3</v>
      </c>
      <c r="AC33" s="119" t="e">
        <f>_xll.qlSimpleQuoteSetValue(F33,AB33/10000,Trigger)</f>
        <v>#N/A</v>
      </c>
      <c r="AD33" s="109"/>
      <c r="AE33" s="3"/>
      <c r="AF33" s="3"/>
      <c r="AG33" s="3"/>
      <c r="AH33" s="3"/>
    </row>
    <row r="34" spans="1:34" x14ac:dyDescent="0.2">
      <c r="A34" s="22"/>
      <c r="B34" s="21" t="s">
        <v>60</v>
      </c>
      <c r="C34" s="20" t="str">
        <f t="shared" si="2"/>
        <v>12L</v>
      </c>
      <c r="D34" s="19" t="str">
        <f t="shared" si="3"/>
        <v>3L</v>
      </c>
      <c r="E34" s="18" t="str">
        <f t="shared" si="0"/>
        <v>USD12L3L26Y_Quote</v>
      </c>
      <c r="F34" s="18" t="str">
        <f>_xll.qlSimpleQuote(E34,,RateTickValue,Permanent,Trigger,ObjectOverwrite)</f>
        <v>USD12L3L26Y_Quote#0007</v>
      </c>
      <c r="G34" s="17" t="str">
        <f>_xll.ohRangeRetrieveError(F34)</f>
        <v/>
      </c>
      <c r="H34" s="16"/>
      <c r="N34" s="58">
        <v>26</v>
      </c>
      <c r="O34" s="126" t="s">
        <v>60</v>
      </c>
      <c r="P34" s="153" t="str">
        <v>12L</v>
      </c>
      <c r="Q34" s="153" t="str">
        <v>3L</v>
      </c>
      <c r="R34" s="152" t="str">
        <f>Currency&amp;$Q34&amp;$P34&amp;$O34</f>
        <v>USD3L12L26Y</v>
      </c>
      <c r="S34" s="125" t="str">
        <v>USD3L12L26Y=SMKR</v>
      </c>
      <c r="T34" s="216" t="s">
        <v>184</v>
      </c>
      <c r="U34" s="216" t="s">
        <v>184</v>
      </c>
      <c r="V34" s="216" t="e">
        <f>_xll.qlMidEquivalent(T34,U34)</f>
        <v>#NUM!</v>
      </c>
      <c r="W34" s="120" t="b">
        <f t="shared" si="1"/>
        <v>0</v>
      </c>
      <c r="X34" s="299">
        <f t="shared" si="4"/>
        <v>23.3</v>
      </c>
      <c r="Y34" s="122">
        <v>2.33E-3</v>
      </c>
      <c r="Z34" s="214">
        <v>22.1</v>
      </c>
      <c r="AA34" s="122"/>
      <c r="AB34" s="222">
        <v>23.3</v>
      </c>
      <c r="AC34" s="119" t="e">
        <f>_xll.qlSimpleQuoteSetValue(F34,AB34/10000,Trigger)</f>
        <v>#N/A</v>
      </c>
      <c r="AD34" s="109"/>
      <c r="AE34" s="3"/>
      <c r="AF34" s="3"/>
      <c r="AG34" s="3"/>
      <c r="AH34" s="3"/>
    </row>
    <row r="35" spans="1:34" x14ac:dyDescent="0.2">
      <c r="A35" s="22"/>
      <c r="B35" s="21" t="s">
        <v>59</v>
      </c>
      <c r="C35" s="20" t="str">
        <f t="shared" si="2"/>
        <v>12L</v>
      </c>
      <c r="D35" s="19" t="str">
        <f t="shared" si="3"/>
        <v>3L</v>
      </c>
      <c r="E35" s="18" t="str">
        <f t="shared" si="0"/>
        <v>USD12L3L27Y_Quote</v>
      </c>
      <c r="F35" s="18" t="str">
        <f>_xll.qlSimpleQuote(E35,,RateTickValue,Permanent,Trigger,ObjectOverwrite)</f>
        <v>USD12L3L27Y_Quote#0007</v>
      </c>
      <c r="G35" s="17" t="str">
        <f>_xll.ohRangeRetrieveError(F35)</f>
        <v/>
      </c>
      <c r="H35" s="16"/>
      <c r="N35" s="58">
        <v>27</v>
      </c>
      <c r="O35" s="126" t="s">
        <v>59</v>
      </c>
      <c r="P35" s="153" t="str">
        <v>12L</v>
      </c>
      <c r="Q35" s="153" t="str">
        <v>3L</v>
      </c>
      <c r="R35" s="152" t="str">
        <f>Currency&amp;$Q35&amp;$P35&amp;$O35</f>
        <v>USD3L12L27Y</v>
      </c>
      <c r="S35" s="125" t="str">
        <v>USD3L12L27Y=SMKR</v>
      </c>
      <c r="T35" s="216" t="s">
        <v>184</v>
      </c>
      <c r="U35" s="216" t="s">
        <v>184</v>
      </c>
      <c r="V35" s="216" t="e">
        <f>_xll.qlMidEquivalent(T35,U35)</f>
        <v>#NUM!</v>
      </c>
      <c r="W35" s="120" t="b">
        <f t="shared" si="1"/>
        <v>0</v>
      </c>
      <c r="X35" s="299">
        <f t="shared" si="4"/>
        <v>23.3</v>
      </c>
      <c r="Y35" s="122">
        <v>2.33E-3</v>
      </c>
      <c r="Z35" s="214">
        <v>22.1</v>
      </c>
      <c r="AA35" s="122"/>
      <c r="AB35" s="222">
        <v>23.3</v>
      </c>
      <c r="AC35" s="119" t="e">
        <f>_xll.qlSimpleQuoteSetValue(F35,AB35/10000,Trigger)</f>
        <v>#N/A</v>
      </c>
      <c r="AD35" s="109"/>
      <c r="AE35" s="3"/>
      <c r="AF35" s="3"/>
      <c r="AG35" s="3"/>
      <c r="AH35" s="3"/>
    </row>
    <row r="36" spans="1:34" x14ac:dyDescent="0.2">
      <c r="A36" s="22"/>
      <c r="B36" s="21" t="s">
        <v>58</v>
      </c>
      <c r="C36" s="20" t="str">
        <f t="shared" si="2"/>
        <v>12L</v>
      </c>
      <c r="D36" s="19" t="str">
        <f t="shared" si="3"/>
        <v>3L</v>
      </c>
      <c r="E36" s="18" t="str">
        <f t="shared" si="0"/>
        <v>USD12L3L28Y_Quote</v>
      </c>
      <c r="F36" s="18" t="str">
        <f>_xll.qlSimpleQuote(E36,,RateTickValue,Permanent,Trigger,ObjectOverwrite)</f>
        <v>USD12L3L28Y_Quote#0007</v>
      </c>
      <c r="G36" s="17" t="str">
        <f>_xll.ohRangeRetrieveError(F36)</f>
        <v/>
      </c>
      <c r="H36" s="16"/>
      <c r="N36" s="58">
        <v>28</v>
      </c>
      <c r="O36" s="126" t="s">
        <v>58</v>
      </c>
      <c r="P36" s="153" t="str">
        <v>12L</v>
      </c>
      <c r="Q36" s="153" t="str">
        <v>3L</v>
      </c>
      <c r="R36" s="152" t="str">
        <f>Currency&amp;$Q36&amp;$P36&amp;$O36</f>
        <v>USD3L12L28Y</v>
      </c>
      <c r="S36" s="125" t="str">
        <v>USD3L12L28Y=SMKR</v>
      </c>
      <c r="T36" s="216" t="s">
        <v>184</v>
      </c>
      <c r="U36" s="216" t="s">
        <v>184</v>
      </c>
      <c r="V36" s="216" t="e">
        <f>_xll.qlMidEquivalent(T36,U36)</f>
        <v>#NUM!</v>
      </c>
      <c r="W36" s="120" t="b">
        <f t="shared" si="1"/>
        <v>0</v>
      </c>
      <c r="X36" s="299">
        <f t="shared" si="4"/>
        <v>23.3</v>
      </c>
      <c r="Y36" s="122">
        <v>2.33E-3</v>
      </c>
      <c r="Z36" s="214">
        <v>22.1</v>
      </c>
      <c r="AA36" s="122"/>
      <c r="AB36" s="222">
        <v>23.3</v>
      </c>
      <c r="AC36" s="119" t="e">
        <f>_xll.qlSimpleQuoteSetValue(F36,AB36/10000,Trigger)</f>
        <v>#N/A</v>
      </c>
      <c r="AD36" s="109"/>
      <c r="AE36" s="3"/>
      <c r="AF36" s="3"/>
      <c r="AG36" s="3"/>
      <c r="AH36" s="3"/>
    </row>
    <row r="37" spans="1:34" x14ac:dyDescent="0.2">
      <c r="A37" s="22"/>
      <c r="B37" s="21" t="s">
        <v>57</v>
      </c>
      <c r="C37" s="20" t="str">
        <f t="shared" si="2"/>
        <v>12L</v>
      </c>
      <c r="D37" s="19" t="str">
        <f t="shared" si="3"/>
        <v>3L</v>
      </c>
      <c r="E37" s="18" t="str">
        <f t="shared" si="0"/>
        <v>USD12L3L29Y_Quote</v>
      </c>
      <c r="F37" s="18" t="str">
        <f>_xll.qlSimpleQuote(E37,,RateTickValue,Permanent,Trigger,ObjectOverwrite)</f>
        <v>USD12L3L29Y_Quote#0007</v>
      </c>
      <c r="G37" s="17" t="str">
        <f>_xll.ohRangeRetrieveError(F37)</f>
        <v/>
      </c>
      <c r="H37" s="16"/>
      <c r="N37" s="58">
        <v>29</v>
      </c>
      <c r="O37" s="126" t="s">
        <v>57</v>
      </c>
      <c r="P37" s="153" t="str">
        <v>12L</v>
      </c>
      <c r="Q37" s="153" t="str">
        <v>3L</v>
      </c>
      <c r="R37" s="152" t="str">
        <f>Currency&amp;$Q37&amp;$P37&amp;$O37</f>
        <v>USD3L12L29Y</v>
      </c>
      <c r="S37" s="125" t="str">
        <v>USD3L12L29Y=SMKR</v>
      </c>
      <c r="T37" s="216" t="s">
        <v>184</v>
      </c>
      <c r="U37" s="216" t="s">
        <v>184</v>
      </c>
      <c r="V37" s="216" t="e">
        <f>_xll.qlMidEquivalent(T37,U37)</f>
        <v>#NUM!</v>
      </c>
      <c r="W37" s="120" t="b">
        <f t="shared" si="1"/>
        <v>0</v>
      </c>
      <c r="X37" s="299">
        <f t="shared" si="4"/>
        <v>23.3</v>
      </c>
      <c r="Y37" s="122">
        <v>2.33E-3</v>
      </c>
      <c r="Z37" s="214">
        <v>22.1</v>
      </c>
      <c r="AA37" s="122"/>
      <c r="AB37" s="222">
        <v>23.3</v>
      </c>
      <c r="AC37" s="119" t="e">
        <f>_xll.qlSimpleQuoteSetValue(F37,AB37/10000,Trigger)</f>
        <v>#N/A</v>
      </c>
      <c r="AD37" s="109"/>
      <c r="AE37" s="3"/>
      <c r="AF37" s="3"/>
      <c r="AG37" s="3"/>
      <c r="AH37" s="3"/>
    </row>
    <row r="38" spans="1:34" x14ac:dyDescent="0.2">
      <c r="A38" s="22"/>
      <c r="B38" s="21" t="s">
        <v>56</v>
      </c>
      <c r="C38" s="20" t="str">
        <f t="shared" si="2"/>
        <v>12L</v>
      </c>
      <c r="D38" s="19" t="str">
        <f t="shared" si="3"/>
        <v>3L</v>
      </c>
      <c r="E38" s="18" t="str">
        <f t="shared" si="0"/>
        <v>USD12L3L30Y_Quote</v>
      </c>
      <c r="F38" s="18" t="str">
        <f>_xll.qlSimpleQuote(E38,,RateTickValue,Permanent,Trigger,ObjectOverwrite)</f>
        <v>USD12L3L30Y_Quote#0007</v>
      </c>
      <c r="G38" s="17" t="str">
        <f>_xll.ohRangeRetrieveError(F38)</f>
        <v/>
      </c>
      <c r="H38" s="16"/>
      <c r="N38" s="58">
        <v>30</v>
      </c>
      <c r="O38" s="126" t="s">
        <v>56</v>
      </c>
      <c r="P38" s="153" t="str">
        <v>12L</v>
      </c>
      <c r="Q38" s="153" t="str">
        <v>3L</v>
      </c>
      <c r="R38" s="152" t="str">
        <f>Currency&amp;$Q38&amp;$P38&amp;$O38</f>
        <v>USD3L12L30Y</v>
      </c>
      <c r="S38" s="125" t="str">
        <v>USD3L12L30Y=SMKR</v>
      </c>
      <c r="T38" s="216">
        <v>17.75</v>
      </c>
      <c r="U38" s="216">
        <v>27.75</v>
      </c>
      <c r="V38" s="216">
        <f>_xll.qlMidEquivalent(T38,U38)</f>
        <v>22.75</v>
      </c>
      <c r="W38" s="120" t="b">
        <f t="shared" si="1"/>
        <v>1</v>
      </c>
      <c r="X38" s="299">
        <f t="shared" si="4"/>
        <v>23.3</v>
      </c>
      <c r="Y38" s="122">
        <v>2.33E-3</v>
      </c>
      <c r="Z38" s="214">
        <v>22.1</v>
      </c>
      <c r="AA38" s="122"/>
      <c r="AB38" s="222">
        <v>23.3</v>
      </c>
      <c r="AC38" s="119" t="e">
        <f>_xll.qlSimpleQuoteSetValue(F38,AB38/10000,Trigger)</f>
        <v>#N/A</v>
      </c>
      <c r="AD38" s="109"/>
      <c r="AE38" s="3"/>
      <c r="AF38" s="3"/>
      <c r="AG38" s="3"/>
      <c r="AH38" s="3"/>
    </row>
    <row r="39" spans="1:34" x14ac:dyDescent="0.2">
      <c r="A39" s="22"/>
      <c r="B39" s="21" t="s">
        <v>51</v>
      </c>
      <c r="C39" s="20" t="str">
        <f t="shared" si="2"/>
        <v>12L</v>
      </c>
      <c r="D39" s="19" t="str">
        <f t="shared" si="3"/>
        <v>3L</v>
      </c>
      <c r="E39" s="18" t="str">
        <f t="shared" si="0"/>
        <v>USD12L3L35Y_Quote</v>
      </c>
      <c r="F39" s="18" t="str">
        <f>_xll.qlSimpleQuote(E39,,RateTickValue,Permanent,Trigger,ObjectOverwrite)</f>
        <v>USD12L3L35Y_Quote#0007</v>
      </c>
      <c r="G39" s="17" t="str">
        <f>_xll.ohRangeRetrieveError(F39)</f>
        <v/>
      </c>
      <c r="H39" s="16"/>
      <c r="N39" s="58">
        <v>35</v>
      </c>
      <c r="O39" s="126" t="s">
        <v>51</v>
      </c>
      <c r="P39" s="153" t="str">
        <v>12L</v>
      </c>
      <c r="Q39" s="153" t="str">
        <v>3L</v>
      </c>
      <c r="R39" s="152" t="str">
        <f>Currency&amp;$Q39&amp;$P39&amp;$O39</f>
        <v>USD3L12L35Y</v>
      </c>
      <c r="S39" s="125" t="str">
        <v>USD3L12L35Y=SMKR</v>
      </c>
      <c r="T39" s="216" t="s">
        <v>184</v>
      </c>
      <c r="U39" s="216" t="s">
        <v>184</v>
      </c>
      <c r="V39" s="216" t="e">
        <f>_xll.qlMidEquivalent(T39,U39)</f>
        <v>#NUM!</v>
      </c>
      <c r="W39" s="120" t="b">
        <f t="shared" si="1"/>
        <v>0</v>
      </c>
      <c r="X39" s="299">
        <f t="shared" si="4"/>
        <v>23.3</v>
      </c>
      <c r="Y39" s="122">
        <v>2.33E-3</v>
      </c>
      <c r="Z39" s="214">
        <v>22.1</v>
      </c>
      <c r="AA39" s="122"/>
      <c r="AB39" s="222">
        <v>23.3</v>
      </c>
      <c r="AC39" s="119" t="e">
        <f>_xll.qlSimpleQuoteSetValue(F39,AB39/10000,Trigger)</f>
        <v>#N/A</v>
      </c>
      <c r="AD39" s="109"/>
      <c r="AE39" s="3"/>
      <c r="AF39" s="3"/>
      <c r="AG39" s="3"/>
      <c r="AH39" s="3"/>
    </row>
    <row r="40" spans="1:34" x14ac:dyDescent="0.2">
      <c r="A40" s="22"/>
      <c r="B40" s="21" t="s">
        <v>46</v>
      </c>
      <c r="C40" s="20" t="str">
        <f t="shared" si="2"/>
        <v>12L</v>
      </c>
      <c r="D40" s="19" t="str">
        <f t="shared" si="3"/>
        <v>3L</v>
      </c>
      <c r="E40" s="18" t="str">
        <f t="shared" si="0"/>
        <v>USD12L3L40Y_Quote</v>
      </c>
      <c r="F40" s="18" t="str">
        <f>_xll.qlSimpleQuote(E40,,RateTickValue,Permanent,Trigger,ObjectOverwrite)</f>
        <v>USD12L3L40Y_Quote#0007</v>
      </c>
      <c r="G40" s="17" t="str">
        <f>_xll.ohRangeRetrieveError(F40)</f>
        <v/>
      </c>
      <c r="H40" s="16"/>
      <c r="N40" s="58">
        <v>40</v>
      </c>
      <c r="O40" s="126" t="s">
        <v>46</v>
      </c>
      <c r="P40" s="153" t="str">
        <v>12L</v>
      </c>
      <c r="Q40" s="153" t="str">
        <v>3L</v>
      </c>
      <c r="R40" s="152" t="str">
        <f>Currency&amp;$Q40&amp;$P40&amp;$O40</f>
        <v>USD3L12L40Y</v>
      </c>
      <c r="S40" s="125" t="str">
        <v>USD3L12L40Y=SMKR</v>
      </c>
      <c r="T40" s="216" t="s">
        <v>184</v>
      </c>
      <c r="U40" s="216" t="s">
        <v>184</v>
      </c>
      <c r="V40" s="216" t="e">
        <f>_xll.qlMidEquivalent(T40,U40)</f>
        <v>#NUM!</v>
      </c>
      <c r="W40" s="120" t="b">
        <f t="shared" si="1"/>
        <v>0</v>
      </c>
      <c r="X40" s="299">
        <f t="shared" si="4"/>
        <v>23.3</v>
      </c>
      <c r="Y40" s="122">
        <v>2.33E-3</v>
      </c>
      <c r="Z40" s="214">
        <v>22.1</v>
      </c>
      <c r="AA40" s="122"/>
      <c r="AB40" s="222">
        <v>23.3</v>
      </c>
      <c r="AC40" s="119" t="e">
        <f>_xll.qlSimpleQuoteSetValue(F40,AB40/10000,Trigger)</f>
        <v>#N/A</v>
      </c>
      <c r="AD40" s="109"/>
      <c r="AE40" s="3"/>
      <c r="AF40" s="3"/>
      <c r="AG40" s="3"/>
      <c r="AH40" s="3"/>
    </row>
    <row r="41" spans="1:34" x14ac:dyDescent="0.2">
      <c r="A41" s="22"/>
      <c r="B41" s="21" t="s">
        <v>36</v>
      </c>
      <c r="C41" s="20" t="str">
        <f t="shared" si="2"/>
        <v>12L</v>
      </c>
      <c r="D41" s="19" t="str">
        <f t="shared" si="3"/>
        <v>3L</v>
      </c>
      <c r="E41" s="18" t="str">
        <f t="shared" si="0"/>
        <v>USD12L3L50Y_Quote</v>
      </c>
      <c r="F41" s="18" t="str">
        <f>_xll.qlSimpleQuote(E41,,RateTickValue,Permanent,Trigger,ObjectOverwrite)</f>
        <v>USD12L3L50Y_Quote#0007</v>
      </c>
      <c r="G41" s="17" t="str">
        <f>_xll.ohRangeRetrieveError(F41)</f>
        <v/>
      </c>
      <c r="H41" s="16"/>
      <c r="N41" s="58">
        <v>50</v>
      </c>
      <c r="O41" s="126" t="s">
        <v>36</v>
      </c>
      <c r="P41" s="153" t="str">
        <v>12L</v>
      </c>
      <c r="Q41" s="153" t="str">
        <v>3L</v>
      </c>
      <c r="R41" s="152" t="str">
        <f>Currency&amp;$Q41&amp;$P41&amp;$O41</f>
        <v>USD3L12L50Y</v>
      </c>
      <c r="S41" s="125" t="str">
        <v>USD3L12L50Y=SMKR</v>
      </c>
      <c r="T41" s="216" t="s">
        <v>184</v>
      </c>
      <c r="U41" s="216" t="s">
        <v>184</v>
      </c>
      <c r="V41" s="216" t="e">
        <f>_xll.qlMidEquivalent(T41,U41)</f>
        <v>#NUM!</v>
      </c>
      <c r="W41" s="120" t="b">
        <f t="shared" si="1"/>
        <v>0</v>
      </c>
      <c r="X41" s="299">
        <f t="shared" si="4"/>
        <v>23.3</v>
      </c>
      <c r="Y41" s="122">
        <v>2.33E-3</v>
      </c>
      <c r="Z41" s="214">
        <v>22.1</v>
      </c>
      <c r="AA41" s="122"/>
      <c r="AB41" s="222">
        <v>23.3</v>
      </c>
      <c r="AC41" s="119" t="e">
        <f>_xll.qlSimpleQuoteSetValue(F41,AB41/10000,Trigger)</f>
        <v>#N/A</v>
      </c>
      <c r="AD41" s="109"/>
      <c r="AE41" s="3"/>
      <c r="AF41" s="3"/>
      <c r="AG41" s="3"/>
      <c r="AH41" s="3"/>
    </row>
    <row r="42" spans="1:34" x14ac:dyDescent="0.2">
      <c r="A42" s="22"/>
      <c r="B42" s="21" t="s">
        <v>26</v>
      </c>
      <c r="C42" s="20" t="str">
        <f t="shared" si="2"/>
        <v>12L</v>
      </c>
      <c r="D42" s="19" t="str">
        <f t="shared" si="3"/>
        <v>3L</v>
      </c>
      <c r="E42" s="18" t="str">
        <f t="shared" si="0"/>
        <v>USD12L3L60Y_Quote</v>
      </c>
      <c r="F42" s="18" t="str">
        <f>_xll.qlSimpleQuote(E42,,RateTickValue,Permanent,Trigger,ObjectOverwrite)</f>
        <v>USD12L3L60Y_Quote#0007</v>
      </c>
      <c r="G42" s="17" t="str">
        <f>_xll.ohRangeRetrieveError(F42)</f>
        <v/>
      </c>
      <c r="H42" s="16"/>
      <c r="N42" s="58">
        <v>60</v>
      </c>
      <c r="O42" s="133" t="s">
        <v>26</v>
      </c>
      <c r="P42" s="151" t="str">
        <v>12L</v>
      </c>
      <c r="Q42" s="151" t="str">
        <v>3L</v>
      </c>
      <c r="R42" s="152" t="str">
        <f>Currency&amp;$Q42&amp;$P42&amp;$O42</f>
        <v>USD3L12L60Y</v>
      </c>
      <c r="S42" s="132" t="str">
        <v>USD3L12L60Y=SMKR</v>
      </c>
      <c r="T42" s="213" t="s">
        <v>184</v>
      </c>
      <c r="U42" s="213" t="s">
        <v>184</v>
      </c>
      <c r="V42" s="213" t="e">
        <f>_xll.qlMidEquivalent(T42,U42)</f>
        <v>#NUM!</v>
      </c>
      <c r="W42" s="129" t="b">
        <f t="shared" si="1"/>
        <v>0</v>
      </c>
      <c r="X42" s="300">
        <f t="shared" si="4"/>
        <v>23.3</v>
      </c>
      <c r="Y42" s="122">
        <v>2.33E-3</v>
      </c>
      <c r="Z42" s="211">
        <v>22.1</v>
      </c>
      <c r="AA42" s="122"/>
      <c r="AB42" s="223">
        <v>23.3</v>
      </c>
      <c r="AC42" s="128" t="e">
        <f>_xll.qlSimpleQuoteSetValue(F42,AB42/10000,Trigger)</f>
        <v>#N/A</v>
      </c>
      <c r="AD42" s="109"/>
      <c r="AE42" s="3"/>
      <c r="AF42" s="3"/>
      <c r="AG42" s="3"/>
      <c r="AH42" s="3"/>
    </row>
    <row r="43" spans="1:34" ht="13.5" thickBot="1" x14ac:dyDescent="0.25">
      <c r="A43" s="15"/>
      <c r="B43" s="14"/>
      <c r="C43" s="14"/>
      <c r="D43" s="14"/>
      <c r="E43" s="14"/>
      <c r="F43" s="13"/>
      <c r="G43" s="13"/>
      <c r="H43" s="12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149"/>
      <c r="AE43" s="3"/>
      <c r="AF43" s="3"/>
      <c r="AG43" s="3"/>
      <c r="AH43" s="3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I54" sqref="I54"/>
    </sheetView>
  </sheetViews>
  <sheetFormatPr defaultRowHeight="11.25" x14ac:dyDescent="0.2"/>
  <cols>
    <col min="1" max="2" width="2.7109375" style="294" customWidth="1"/>
    <col min="3" max="3" width="4" style="294" bestFit="1" customWidth="1"/>
    <col min="4" max="4" width="10" style="294" bestFit="1" customWidth="1"/>
    <col min="5" max="5" width="30.28515625" style="294" bestFit="1" customWidth="1"/>
    <col min="6" max="6" width="33.85546875" style="294" bestFit="1" customWidth="1"/>
    <col min="7" max="7" width="20.7109375" style="294" customWidth="1"/>
    <col min="8" max="8" width="2.7109375" style="294" customWidth="1"/>
    <col min="9" max="9" width="22.7109375" style="294" customWidth="1"/>
    <col min="10" max="16384" width="9.140625" style="294"/>
  </cols>
  <sheetData>
    <row r="1" spans="1:8" s="239" customFormat="1" ht="12" thickBot="1" x14ac:dyDescent="0.25">
      <c r="A1" s="239" t="s">
        <v>92</v>
      </c>
    </row>
    <row r="2" spans="1:8" s="239" customFormat="1" x14ac:dyDescent="0.2">
      <c r="B2" s="278"/>
      <c r="C2" s="242"/>
      <c r="D2" s="242"/>
      <c r="E2" s="279"/>
      <c r="F2" s="242"/>
      <c r="G2" s="242"/>
      <c r="H2" s="243"/>
    </row>
    <row r="3" spans="1:8" s="239" customFormat="1" x14ac:dyDescent="0.2">
      <c r="B3" s="280"/>
      <c r="C3" s="248"/>
      <c r="D3" s="248"/>
      <c r="E3" s="281" t="s">
        <v>25</v>
      </c>
      <c r="F3" s="282" t="s">
        <v>87</v>
      </c>
      <c r="G3" s="248"/>
      <c r="H3" s="249"/>
    </row>
    <row r="4" spans="1:8" s="239" customFormat="1" x14ac:dyDescent="0.2">
      <c r="B4" s="280"/>
      <c r="C4" s="248"/>
      <c r="D4" s="248"/>
      <c r="E4" s="281" t="s">
        <v>86</v>
      </c>
      <c r="F4" s="282" t="s">
        <v>89</v>
      </c>
      <c r="G4" s="248"/>
      <c r="H4" s="249"/>
    </row>
    <row r="5" spans="1:8" s="239" customFormat="1" x14ac:dyDescent="0.2">
      <c r="B5" s="280"/>
      <c r="C5" s="248"/>
      <c r="D5" s="248"/>
      <c r="E5" s="281" t="s">
        <v>88</v>
      </c>
      <c r="F5" s="283" t="str">
        <f>PROPER(Currency)&amp;FamilyName&amp;"3M"</f>
        <v>UsdLibor3M</v>
      </c>
      <c r="G5" s="248"/>
      <c r="H5" s="249"/>
    </row>
    <row r="6" spans="1:8" s="239" customFormat="1" x14ac:dyDescent="0.2">
      <c r="B6" s="280"/>
      <c r="C6" s="248"/>
      <c r="D6" s="248"/>
      <c r="E6" s="281" t="s">
        <v>259</v>
      </c>
      <c r="F6" s="283" t="str">
        <f>IF(HolidayCheck,LocalCalendar,Calendar)</f>
        <v>UnitedKingdom::Exchange</v>
      </c>
      <c r="G6" s="248"/>
      <c r="H6" s="249"/>
    </row>
    <row r="7" spans="1:8" s="239" customFormat="1" x14ac:dyDescent="0.2">
      <c r="B7" s="280"/>
      <c r="C7" s="248"/>
      <c r="D7" s="248"/>
      <c r="E7" s="248"/>
      <c r="F7" s="248"/>
      <c r="G7" s="248"/>
      <c r="H7" s="249"/>
    </row>
    <row r="8" spans="1:8" s="239" customFormat="1" ht="12" x14ac:dyDescent="0.25">
      <c r="B8" s="280"/>
      <c r="C8" s="248"/>
      <c r="D8" s="284" t="s">
        <v>85</v>
      </c>
      <c r="E8" s="285" t="str">
        <f>PROPER(Currency)&amp;FamilyName2&amp;FixingType&amp;".xml"</f>
        <v>UsdLiborSwapForBasisCalc.xml</v>
      </c>
      <c r="F8" s="282" t="str">
        <f>IF(Serialize,_xll.ohObjectSave(F9:F68,SerializationPath&amp;FileName,FileOverwrite,,Serialize),"---")</f>
        <v>---</v>
      </c>
      <c r="G8" s="286" t="str">
        <f>_xll.ohRangeRetrieveError(F8)</f>
        <v/>
      </c>
      <c r="H8" s="249"/>
    </row>
    <row r="9" spans="1:8" s="239" customFormat="1" x14ac:dyDescent="0.2">
      <c r="B9" s="280"/>
      <c r="C9" s="287" t="s">
        <v>8</v>
      </c>
      <c r="D9" s="287" t="s">
        <v>17</v>
      </c>
      <c r="E9" s="288" t="str">
        <f t="shared" ref="E9:E40" si="0">PROPER(Currency)&amp;FamilyName2&amp;FixingType&amp;$C9</f>
        <v>UsdLiborSwapForBasisCalc1Y</v>
      </c>
      <c r="F9" s="289" t="str">
        <f>_xll.qlSwapIndex($E9,FixingType,C9,2,Currency,$F$6,"1Y","f",MoneyMarketDayCounter,Libor!$E$10,Discounting,Permanent,Trigger,ObjectOverwrite)</f>
        <v>UsdLiborSwapForBasisCalc1Y#0009</v>
      </c>
      <c r="G9" s="286" t="str">
        <f>_xll.ohRangeRetrieveError(F9)</f>
        <v/>
      </c>
      <c r="H9" s="290"/>
    </row>
    <row r="10" spans="1:8" s="239" customFormat="1" x14ac:dyDescent="0.2">
      <c r="B10" s="280"/>
      <c r="C10" s="287" t="s">
        <v>84</v>
      </c>
      <c r="D10" s="287" t="s">
        <v>17</v>
      </c>
      <c r="E10" s="288" t="str">
        <f t="shared" si="0"/>
        <v>UsdLiborSwapForBasisCalc2Y</v>
      </c>
      <c r="F10" s="289" t="str">
        <f>_xll.qlSwapIndex($E10,FixingType,C10,2,Currency,$F$6,"1Y","f",MoneyMarketDayCounter,Libor!$E$10,Discounting,Permanent,Trigger,ObjectOverwrite)</f>
        <v>UsdLiborSwapForBasisCalc2Y#0009</v>
      </c>
      <c r="G10" s="286" t="str">
        <f>_xll.ohRangeRetrieveError(F10)</f>
        <v/>
      </c>
      <c r="H10" s="290"/>
    </row>
    <row r="11" spans="1:8" s="239" customFormat="1" x14ac:dyDescent="0.2">
      <c r="B11" s="280"/>
      <c r="C11" s="287" t="s">
        <v>83</v>
      </c>
      <c r="D11" s="287" t="s">
        <v>17</v>
      </c>
      <c r="E11" s="288" t="str">
        <f t="shared" si="0"/>
        <v>UsdLiborSwapForBasisCalc3Y</v>
      </c>
      <c r="F11" s="289" t="str">
        <f>_xll.qlSwapIndex($E11,FixingType,C11,2,Currency,$F$6,"1Y","f",MoneyMarketDayCounter,Libor!$E$10,Discounting,Permanent,Trigger,ObjectOverwrite)</f>
        <v>UsdLiborSwapForBasisCalc3Y#0009</v>
      </c>
      <c r="G11" s="286" t="str">
        <f>_xll.ohRangeRetrieveError(F11)</f>
        <v/>
      </c>
      <c r="H11" s="290"/>
    </row>
    <row r="12" spans="1:8" s="239" customFormat="1" x14ac:dyDescent="0.2">
      <c r="B12" s="280"/>
      <c r="C12" s="287" t="s">
        <v>82</v>
      </c>
      <c r="D12" s="287" t="s">
        <v>17</v>
      </c>
      <c r="E12" s="288" t="str">
        <f t="shared" si="0"/>
        <v>UsdLiborSwapForBasisCalc4Y</v>
      </c>
      <c r="F12" s="289" t="str">
        <f>_xll.qlSwapIndex($E12,FixingType,C12,2,Currency,$F$6,"1Y","f",MoneyMarketDayCounter,Libor!$E$10,Discounting,Permanent,Trigger,ObjectOverwrite)</f>
        <v>UsdLiborSwapForBasisCalc4Y#0009</v>
      </c>
      <c r="G12" s="286" t="str">
        <f>_xll.ohRangeRetrieveError(F12)</f>
        <v/>
      </c>
      <c r="H12" s="290"/>
    </row>
    <row r="13" spans="1:8" s="239" customFormat="1" x14ac:dyDescent="0.2">
      <c r="B13" s="280"/>
      <c r="C13" s="287" t="s">
        <v>81</v>
      </c>
      <c r="D13" s="287" t="s">
        <v>17</v>
      </c>
      <c r="E13" s="288" t="str">
        <f t="shared" si="0"/>
        <v>UsdLiborSwapForBasisCalc5Y</v>
      </c>
      <c r="F13" s="289" t="str">
        <f>_xll.qlSwapIndex($E13,FixingType,C13,2,Currency,$F$6,"1Y","f",MoneyMarketDayCounter,Libor!$E$10,Discounting,Permanent,Trigger,ObjectOverwrite)</f>
        <v>UsdLiborSwapForBasisCalc5Y#0009</v>
      </c>
      <c r="G13" s="286" t="str">
        <f>_xll.ohRangeRetrieveError(F13)</f>
        <v/>
      </c>
      <c r="H13" s="290"/>
    </row>
    <row r="14" spans="1:8" s="239" customFormat="1" x14ac:dyDescent="0.2">
      <c r="B14" s="280"/>
      <c r="C14" s="287" t="s">
        <v>80</v>
      </c>
      <c r="D14" s="287" t="s">
        <v>17</v>
      </c>
      <c r="E14" s="288" t="str">
        <f t="shared" si="0"/>
        <v>UsdLiborSwapForBasisCalc6Y</v>
      </c>
      <c r="F14" s="289" t="str">
        <f>_xll.qlSwapIndex($E14,FixingType,C14,2,Currency,$F$6,"1Y","f",MoneyMarketDayCounter,Libor!$E$10,Discounting,Permanent,Trigger,ObjectOverwrite)</f>
        <v>UsdLiborSwapForBasisCalc6Y#0009</v>
      </c>
      <c r="G14" s="286" t="str">
        <f>_xll.ohRangeRetrieveError(F14)</f>
        <v/>
      </c>
      <c r="H14" s="290"/>
    </row>
    <row r="15" spans="1:8" s="239" customFormat="1" x14ac:dyDescent="0.2">
      <c r="B15" s="280"/>
      <c r="C15" s="287" t="s">
        <v>79</v>
      </c>
      <c r="D15" s="287" t="s">
        <v>17</v>
      </c>
      <c r="E15" s="288" t="str">
        <f t="shared" si="0"/>
        <v>UsdLiborSwapForBasisCalc7Y</v>
      </c>
      <c r="F15" s="289" t="str">
        <f>_xll.qlSwapIndex($E15,FixingType,C15,2,Currency,$F$6,"1Y","f",MoneyMarketDayCounter,Libor!$E$10,Discounting,Permanent,Trigger,ObjectOverwrite)</f>
        <v>UsdLiborSwapForBasisCalc7Y#0009</v>
      </c>
      <c r="G15" s="286" t="str">
        <f>_xll.ohRangeRetrieveError(F15)</f>
        <v/>
      </c>
      <c r="H15" s="290"/>
    </row>
    <row r="16" spans="1:8" s="239" customFormat="1" x14ac:dyDescent="0.2">
      <c r="B16" s="280"/>
      <c r="C16" s="287" t="s">
        <v>78</v>
      </c>
      <c r="D16" s="287" t="s">
        <v>17</v>
      </c>
      <c r="E16" s="288" t="str">
        <f t="shared" si="0"/>
        <v>UsdLiborSwapForBasisCalc8Y</v>
      </c>
      <c r="F16" s="289" t="str">
        <f>_xll.qlSwapIndex($E16,FixingType,C16,2,Currency,$F$6,"1Y","f",MoneyMarketDayCounter,Libor!$E$10,Discounting,Permanent,Trigger,ObjectOverwrite)</f>
        <v>UsdLiborSwapForBasisCalc8Y#0009</v>
      </c>
      <c r="G16" s="286" t="str">
        <f>_xll.ohRangeRetrieveError(F16)</f>
        <v/>
      </c>
      <c r="H16" s="290"/>
    </row>
    <row r="17" spans="2:8" s="239" customFormat="1" x14ac:dyDescent="0.2">
      <c r="B17" s="280"/>
      <c r="C17" s="287" t="s">
        <v>77</v>
      </c>
      <c r="D17" s="287" t="s">
        <v>17</v>
      </c>
      <c r="E17" s="288" t="str">
        <f t="shared" si="0"/>
        <v>UsdLiborSwapForBasisCalc9Y</v>
      </c>
      <c r="F17" s="289" t="str">
        <f>_xll.qlSwapIndex($E17,FixingType,C17,2,Currency,$F$6,"1Y","f",MoneyMarketDayCounter,Libor!$E$10,Discounting,Permanent,Trigger,ObjectOverwrite)</f>
        <v>UsdLiborSwapForBasisCalc9Y#0009</v>
      </c>
      <c r="G17" s="286" t="str">
        <f>_xll.ohRangeRetrieveError(F17)</f>
        <v/>
      </c>
      <c r="H17" s="290"/>
    </row>
    <row r="18" spans="2:8" s="239" customFormat="1" x14ac:dyDescent="0.2">
      <c r="B18" s="280"/>
      <c r="C18" s="287" t="s">
        <v>76</v>
      </c>
      <c r="D18" s="287" t="s">
        <v>17</v>
      </c>
      <c r="E18" s="288" t="str">
        <f t="shared" si="0"/>
        <v>UsdLiborSwapForBasisCalc10Y</v>
      </c>
      <c r="F18" s="289" t="str">
        <f>_xll.qlSwapIndex($E18,FixingType,C18,2,Currency,$F$6,"1Y","f",MoneyMarketDayCounter,Libor!$E$10,Discounting,Permanent,Trigger,ObjectOverwrite)</f>
        <v>UsdLiborSwapForBasisCalc10Y#0009</v>
      </c>
      <c r="G18" s="286" t="str">
        <f>_xll.ohRangeRetrieveError(F18)</f>
        <v/>
      </c>
      <c r="H18" s="290"/>
    </row>
    <row r="19" spans="2:8" s="239" customFormat="1" x14ac:dyDescent="0.2">
      <c r="B19" s="280"/>
      <c r="C19" s="287" t="s">
        <v>75</v>
      </c>
      <c r="D19" s="287" t="s">
        <v>17</v>
      </c>
      <c r="E19" s="288" t="str">
        <f t="shared" si="0"/>
        <v>UsdLiborSwapForBasisCalc11Y</v>
      </c>
      <c r="F19" s="289" t="str">
        <f>_xll.qlSwapIndex($E19,FixingType,C19,2,Currency,$F$6,"1Y","f",MoneyMarketDayCounter,Libor!$E$10,Discounting,Permanent,Trigger,ObjectOverwrite)</f>
        <v>UsdLiborSwapForBasisCalc11Y#0009</v>
      </c>
      <c r="G19" s="286" t="str">
        <f>_xll.ohRangeRetrieveError(F19)</f>
        <v/>
      </c>
      <c r="H19" s="290"/>
    </row>
    <row r="20" spans="2:8" s="239" customFormat="1" x14ac:dyDescent="0.2">
      <c r="B20" s="280"/>
      <c r="C20" s="287" t="s">
        <v>74</v>
      </c>
      <c r="D20" s="287" t="s">
        <v>17</v>
      </c>
      <c r="E20" s="288" t="str">
        <f t="shared" si="0"/>
        <v>UsdLiborSwapForBasisCalc12Y</v>
      </c>
      <c r="F20" s="289" t="str">
        <f>_xll.qlSwapIndex($E20,FixingType,C20,2,Currency,$F$6,"1Y","f",MoneyMarketDayCounter,Libor!$E$10,Discounting,Permanent,Trigger,ObjectOverwrite)</f>
        <v>UsdLiborSwapForBasisCalc12Y#0009</v>
      </c>
      <c r="G20" s="286" t="str">
        <f>_xll.ohRangeRetrieveError(F20)</f>
        <v/>
      </c>
      <c r="H20" s="290"/>
    </row>
    <row r="21" spans="2:8" s="239" customFormat="1" x14ac:dyDescent="0.2">
      <c r="B21" s="280"/>
      <c r="C21" s="287" t="s">
        <v>73</v>
      </c>
      <c r="D21" s="287" t="s">
        <v>17</v>
      </c>
      <c r="E21" s="288" t="str">
        <f t="shared" si="0"/>
        <v>UsdLiborSwapForBasisCalc13Y</v>
      </c>
      <c r="F21" s="289" t="str">
        <f>_xll.qlSwapIndex($E21,FixingType,C21,2,Currency,$F$6,"1Y","f",MoneyMarketDayCounter,Libor!$E$10,Discounting,Permanent,Trigger,ObjectOverwrite)</f>
        <v>UsdLiborSwapForBasisCalc13Y#0009</v>
      </c>
      <c r="G21" s="286" t="str">
        <f>_xll.ohRangeRetrieveError(F21)</f>
        <v/>
      </c>
      <c r="H21" s="290"/>
    </row>
    <row r="22" spans="2:8" s="239" customFormat="1" x14ac:dyDescent="0.2">
      <c r="B22" s="280"/>
      <c r="C22" s="287" t="s">
        <v>72</v>
      </c>
      <c r="D22" s="287" t="s">
        <v>17</v>
      </c>
      <c r="E22" s="288" t="str">
        <f t="shared" si="0"/>
        <v>UsdLiborSwapForBasisCalc14Y</v>
      </c>
      <c r="F22" s="289" t="str">
        <f>_xll.qlSwapIndex($E22,FixingType,C22,2,Currency,$F$6,"1Y","f",MoneyMarketDayCounter,Libor!$E$10,Discounting,Permanent,Trigger,ObjectOverwrite)</f>
        <v>UsdLiborSwapForBasisCalc14Y#0009</v>
      </c>
      <c r="G22" s="286" t="str">
        <f>_xll.ohRangeRetrieveError(F22)</f>
        <v/>
      </c>
      <c r="H22" s="290"/>
    </row>
    <row r="23" spans="2:8" s="239" customFormat="1" x14ac:dyDescent="0.2">
      <c r="B23" s="280"/>
      <c r="C23" s="287" t="s">
        <v>71</v>
      </c>
      <c r="D23" s="287" t="s">
        <v>17</v>
      </c>
      <c r="E23" s="288" t="str">
        <f t="shared" si="0"/>
        <v>UsdLiborSwapForBasisCalc15Y</v>
      </c>
      <c r="F23" s="289" t="str">
        <f>_xll.qlSwapIndex($E23,FixingType,C23,2,Currency,$F$6,"1Y","f",MoneyMarketDayCounter,Libor!$E$10,Discounting,Permanent,Trigger,ObjectOverwrite)</f>
        <v>UsdLiborSwapForBasisCalc15Y#0009</v>
      </c>
      <c r="G23" s="286" t="str">
        <f>_xll.ohRangeRetrieveError(F23)</f>
        <v/>
      </c>
      <c r="H23" s="290"/>
    </row>
    <row r="24" spans="2:8" s="239" customFormat="1" x14ac:dyDescent="0.2">
      <c r="B24" s="280"/>
      <c r="C24" s="287" t="s">
        <v>70</v>
      </c>
      <c r="D24" s="287" t="s">
        <v>17</v>
      </c>
      <c r="E24" s="288" t="str">
        <f t="shared" si="0"/>
        <v>UsdLiborSwapForBasisCalc16Y</v>
      </c>
      <c r="F24" s="289" t="str">
        <f>_xll.qlSwapIndex($E24,FixingType,C24,2,Currency,$F$6,"1Y","f",MoneyMarketDayCounter,Libor!$E$10,Discounting,Permanent,Trigger,ObjectOverwrite)</f>
        <v>UsdLiborSwapForBasisCalc16Y#0009</v>
      </c>
      <c r="G24" s="286" t="str">
        <f>_xll.ohRangeRetrieveError(F24)</f>
        <v/>
      </c>
      <c r="H24" s="290"/>
    </row>
    <row r="25" spans="2:8" s="239" customFormat="1" x14ac:dyDescent="0.2">
      <c r="B25" s="280"/>
      <c r="C25" s="287" t="s">
        <v>69</v>
      </c>
      <c r="D25" s="287" t="s">
        <v>17</v>
      </c>
      <c r="E25" s="288" t="str">
        <f t="shared" si="0"/>
        <v>UsdLiborSwapForBasisCalc17Y</v>
      </c>
      <c r="F25" s="289" t="str">
        <f>_xll.qlSwapIndex($E25,FixingType,C25,2,Currency,$F$6,"1Y","f",MoneyMarketDayCounter,Libor!$E$10,Discounting,Permanent,Trigger,ObjectOverwrite)</f>
        <v>UsdLiborSwapForBasisCalc17Y#0009</v>
      </c>
      <c r="G25" s="286" t="str">
        <f>_xll.ohRangeRetrieveError(F25)</f>
        <v/>
      </c>
      <c r="H25" s="290"/>
    </row>
    <row r="26" spans="2:8" s="239" customFormat="1" x14ac:dyDescent="0.2">
      <c r="B26" s="280"/>
      <c r="C26" s="287" t="s">
        <v>68</v>
      </c>
      <c r="D26" s="287" t="s">
        <v>17</v>
      </c>
      <c r="E26" s="288" t="str">
        <f t="shared" si="0"/>
        <v>UsdLiborSwapForBasisCalc18Y</v>
      </c>
      <c r="F26" s="289" t="str">
        <f>_xll.qlSwapIndex($E26,FixingType,C26,2,Currency,$F$6,"1Y","f",MoneyMarketDayCounter,Libor!$E$10,Discounting,Permanent,Trigger,ObjectOverwrite)</f>
        <v>UsdLiborSwapForBasisCalc18Y#0009</v>
      </c>
      <c r="G26" s="286" t="str">
        <f>_xll.ohRangeRetrieveError(F26)</f>
        <v/>
      </c>
      <c r="H26" s="290"/>
    </row>
    <row r="27" spans="2:8" s="239" customFormat="1" x14ac:dyDescent="0.2">
      <c r="B27" s="280"/>
      <c r="C27" s="287" t="s">
        <v>67</v>
      </c>
      <c r="D27" s="287" t="s">
        <v>17</v>
      </c>
      <c r="E27" s="288" t="str">
        <f t="shared" si="0"/>
        <v>UsdLiborSwapForBasisCalc19Y</v>
      </c>
      <c r="F27" s="289" t="str">
        <f>_xll.qlSwapIndex($E27,FixingType,C27,2,Currency,$F$6,"1Y","f",MoneyMarketDayCounter,Libor!$E$10,Discounting,Permanent,Trigger,ObjectOverwrite)</f>
        <v>UsdLiborSwapForBasisCalc19Y#0009</v>
      </c>
      <c r="G27" s="286" t="str">
        <f>_xll.ohRangeRetrieveError(F27)</f>
        <v/>
      </c>
      <c r="H27" s="290"/>
    </row>
    <row r="28" spans="2:8" s="239" customFormat="1" x14ac:dyDescent="0.2">
      <c r="B28" s="280"/>
      <c r="C28" s="287" t="s">
        <v>66</v>
      </c>
      <c r="D28" s="287" t="s">
        <v>17</v>
      </c>
      <c r="E28" s="288" t="str">
        <f t="shared" si="0"/>
        <v>UsdLiborSwapForBasisCalc20Y</v>
      </c>
      <c r="F28" s="289" t="str">
        <f>_xll.qlSwapIndex($E28,FixingType,C28,2,Currency,$F$6,"1Y","f",MoneyMarketDayCounter,Libor!$E$10,Discounting,Permanent,Trigger,ObjectOverwrite)</f>
        <v>UsdLiborSwapForBasisCalc20Y#0009</v>
      </c>
      <c r="G28" s="286" t="str">
        <f>_xll.ohRangeRetrieveError(F28)</f>
        <v/>
      </c>
      <c r="H28" s="290"/>
    </row>
    <row r="29" spans="2:8" s="239" customFormat="1" x14ac:dyDescent="0.2">
      <c r="B29" s="280"/>
      <c r="C29" s="287" t="s">
        <v>65</v>
      </c>
      <c r="D29" s="287" t="s">
        <v>17</v>
      </c>
      <c r="E29" s="288" t="str">
        <f t="shared" si="0"/>
        <v>UsdLiborSwapForBasisCalc21Y</v>
      </c>
      <c r="F29" s="289" t="str">
        <f>_xll.qlSwapIndex($E29,FixingType,C29,2,Currency,$F$6,"1Y","f",MoneyMarketDayCounter,Libor!$E$10,Discounting,Permanent,Trigger,ObjectOverwrite)</f>
        <v>UsdLiborSwapForBasisCalc21Y#0009</v>
      </c>
      <c r="G29" s="286" t="str">
        <f>_xll.ohRangeRetrieveError(F29)</f>
        <v/>
      </c>
      <c r="H29" s="290"/>
    </row>
    <row r="30" spans="2:8" s="239" customFormat="1" x14ac:dyDescent="0.2">
      <c r="B30" s="280"/>
      <c r="C30" s="287" t="s">
        <v>64</v>
      </c>
      <c r="D30" s="287" t="s">
        <v>17</v>
      </c>
      <c r="E30" s="288" t="str">
        <f t="shared" si="0"/>
        <v>UsdLiborSwapForBasisCalc22Y</v>
      </c>
      <c r="F30" s="289" t="str">
        <f>_xll.qlSwapIndex($E30,FixingType,C30,2,Currency,$F$6,"1Y","f",MoneyMarketDayCounter,Libor!$E$10,Discounting,Permanent,Trigger,ObjectOverwrite)</f>
        <v>UsdLiborSwapForBasisCalc22Y#0009</v>
      </c>
      <c r="G30" s="286" t="str">
        <f>_xll.ohRangeRetrieveError(F30)</f>
        <v/>
      </c>
      <c r="H30" s="290"/>
    </row>
    <row r="31" spans="2:8" s="239" customFormat="1" x14ac:dyDescent="0.2">
      <c r="B31" s="280"/>
      <c r="C31" s="287" t="s">
        <v>63</v>
      </c>
      <c r="D31" s="287" t="s">
        <v>17</v>
      </c>
      <c r="E31" s="288" t="str">
        <f t="shared" si="0"/>
        <v>UsdLiborSwapForBasisCalc23Y</v>
      </c>
      <c r="F31" s="289" t="str">
        <f>_xll.qlSwapIndex($E31,FixingType,C31,2,Currency,$F$6,"1Y","f",MoneyMarketDayCounter,Libor!$E$10,Discounting,Permanent,Trigger,ObjectOverwrite)</f>
        <v>UsdLiborSwapForBasisCalc23Y#0009</v>
      </c>
      <c r="G31" s="286" t="str">
        <f>_xll.ohRangeRetrieveError(F31)</f>
        <v/>
      </c>
      <c r="H31" s="290"/>
    </row>
    <row r="32" spans="2:8" s="239" customFormat="1" x14ac:dyDescent="0.2">
      <c r="B32" s="280"/>
      <c r="C32" s="287" t="s">
        <v>62</v>
      </c>
      <c r="D32" s="287" t="s">
        <v>17</v>
      </c>
      <c r="E32" s="288" t="str">
        <f t="shared" si="0"/>
        <v>UsdLiborSwapForBasisCalc24Y</v>
      </c>
      <c r="F32" s="289" t="str">
        <f>_xll.qlSwapIndex($E32,FixingType,C32,2,Currency,$F$6,"1Y","f",MoneyMarketDayCounter,Libor!$E$10,Discounting,Permanent,Trigger,ObjectOverwrite)</f>
        <v>UsdLiborSwapForBasisCalc24Y#0009</v>
      </c>
      <c r="G32" s="286" t="str">
        <f>_xll.ohRangeRetrieveError(F32)</f>
        <v/>
      </c>
      <c r="H32" s="290"/>
    </row>
    <row r="33" spans="2:8" s="239" customFormat="1" x14ac:dyDescent="0.2">
      <c r="B33" s="280"/>
      <c r="C33" s="287" t="s">
        <v>61</v>
      </c>
      <c r="D33" s="287" t="s">
        <v>17</v>
      </c>
      <c r="E33" s="288" t="str">
        <f t="shared" si="0"/>
        <v>UsdLiborSwapForBasisCalc25Y</v>
      </c>
      <c r="F33" s="289" t="str">
        <f>_xll.qlSwapIndex($E33,FixingType,C33,2,Currency,$F$6,"1Y","f",MoneyMarketDayCounter,Libor!$E$10,Discounting,Permanent,Trigger,ObjectOverwrite)</f>
        <v>UsdLiborSwapForBasisCalc25Y#0009</v>
      </c>
      <c r="G33" s="286" t="str">
        <f>_xll.ohRangeRetrieveError(F33)</f>
        <v/>
      </c>
      <c r="H33" s="290"/>
    </row>
    <row r="34" spans="2:8" s="239" customFormat="1" x14ac:dyDescent="0.2">
      <c r="B34" s="280"/>
      <c r="C34" s="287" t="s">
        <v>60</v>
      </c>
      <c r="D34" s="287" t="s">
        <v>17</v>
      </c>
      <c r="E34" s="288" t="str">
        <f t="shared" si="0"/>
        <v>UsdLiborSwapForBasisCalc26Y</v>
      </c>
      <c r="F34" s="289" t="str">
        <f>_xll.qlSwapIndex($E34,FixingType,C34,2,Currency,$F$6,"1Y","f",MoneyMarketDayCounter,Libor!$E$10,Discounting,Permanent,Trigger,ObjectOverwrite)</f>
        <v>UsdLiborSwapForBasisCalc26Y#0009</v>
      </c>
      <c r="G34" s="286" t="str">
        <f>_xll.ohRangeRetrieveError(F34)</f>
        <v/>
      </c>
      <c r="H34" s="290"/>
    </row>
    <row r="35" spans="2:8" s="239" customFormat="1" x14ac:dyDescent="0.2">
      <c r="B35" s="280"/>
      <c r="C35" s="287" t="s">
        <v>59</v>
      </c>
      <c r="D35" s="287" t="s">
        <v>17</v>
      </c>
      <c r="E35" s="288" t="str">
        <f t="shared" si="0"/>
        <v>UsdLiborSwapForBasisCalc27Y</v>
      </c>
      <c r="F35" s="289" t="str">
        <f>_xll.qlSwapIndex($E35,FixingType,C35,2,Currency,$F$6,"1Y","f",MoneyMarketDayCounter,Libor!$E$10,Discounting,Permanent,Trigger,ObjectOverwrite)</f>
        <v>UsdLiborSwapForBasisCalc27Y#0009</v>
      </c>
      <c r="G35" s="286" t="str">
        <f>_xll.ohRangeRetrieveError(F35)</f>
        <v/>
      </c>
      <c r="H35" s="290"/>
    </row>
    <row r="36" spans="2:8" s="239" customFormat="1" x14ac:dyDescent="0.2">
      <c r="B36" s="280"/>
      <c r="C36" s="287" t="s">
        <v>58</v>
      </c>
      <c r="D36" s="287" t="s">
        <v>17</v>
      </c>
      <c r="E36" s="288" t="str">
        <f t="shared" si="0"/>
        <v>UsdLiborSwapForBasisCalc28Y</v>
      </c>
      <c r="F36" s="289" t="str">
        <f>_xll.qlSwapIndex($E36,FixingType,C36,2,Currency,$F$6,"1Y","f",MoneyMarketDayCounter,Libor!$E$10,Discounting,Permanent,Trigger,ObjectOverwrite)</f>
        <v>UsdLiborSwapForBasisCalc28Y#0009</v>
      </c>
      <c r="G36" s="286" t="str">
        <f>_xll.ohRangeRetrieveError(F36)</f>
        <v/>
      </c>
      <c r="H36" s="290"/>
    </row>
    <row r="37" spans="2:8" s="239" customFormat="1" x14ac:dyDescent="0.2">
      <c r="B37" s="280"/>
      <c r="C37" s="287" t="s">
        <v>57</v>
      </c>
      <c r="D37" s="287" t="s">
        <v>17</v>
      </c>
      <c r="E37" s="288" t="str">
        <f t="shared" si="0"/>
        <v>UsdLiborSwapForBasisCalc29Y</v>
      </c>
      <c r="F37" s="289" t="str">
        <f>_xll.qlSwapIndex($E37,FixingType,C37,2,Currency,$F$6,"1Y","f",MoneyMarketDayCounter,Libor!$E$10,Discounting,Permanent,Trigger,ObjectOverwrite)</f>
        <v>UsdLiborSwapForBasisCalc29Y#0009</v>
      </c>
      <c r="G37" s="286" t="str">
        <f>_xll.ohRangeRetrieveError(F37)</f>
        <v/>
      </c>
      <c r="H37" s="290"/>
    </row>
    <row r="38" spans="2:8" s="239" customFormat="1" x14ac:dyDescent="0.2">
      <c r="B38" s="280"/>
      <c r="C38" s="287" t="s">
        <v>56</v>
      </c>
      <c r="D38" s="287" t="s">
        <v>17</v>
      </c>
      <c r="E38" s="288" t="str">
        <f t="shared" si="0"/>
        <v>UsdLiborSwapForBasisCalc30Y</v>
      </c>
      <c r="F38" s="289" t="str">
        <f>_xll.qlSwapIndex($E38,FixingType,C38,2,Currency,$F$6,"1Y","f",MoneyMarketDayCounter,Libor!$E$10,Discounting,Permanent,Trigger,ObjectOverwrite)</f>
        <v>UsdLiborSwapForBasisCalc30Y#0009</v>
      </c>
      <c r="G38" s="286" t="str">
        <f>_xll.ohRangeRetrieveError(F38)</f>
        <v/>
      </c>
      <c r="H38" s="290"/>
    </row>
    <row r="39" spans="2:8" s="239" customFormat="1" x14ac:dyDescent="0.2">
      <c r="B39" s="280"/>
      <c r="C39" s="287" t="s">
        <v>55</v>
      </c>
      <c r="D39" s="287" t="s">
        <v>17</v>
      </c>
      <c r="E39" s="288" t="str">
        <f t="shared" si="0"/>
        <v>UsdLiborSwapForBasisCalc31Y</v>
      </c>
      <c r="F39" s="289" t="str">
        <f>_xll.qlSwapIndex($E39,FixingType,C39,2,Currency,$F$6,"1Y","f",MoneyMarketDayCounter,Libor!$E$10,Discounting,Permanent,Trigger,ObjectOverwrite)</f>
        <v>UsdLiborSwapForBasisCalc31Y#0009</v>
      </c>
      <c r="G39" s="286" t="str">
        <f>_xll.ohRangeRetrieveError(F39)</f>
        <v/>
      </c>
      <c r="H39" s="290"/>
    </row>
    <row r="40" spans="2:8" s="239" customFormat="1" x14ac:dyDescent="0.2">
      <c r="B40" s="280"/>
      <c r="C40" s="287" t="s">
        <v>54</v>
      </c>
      <c r="D40" s="287" t="s">
        <v>17</v>
      </c>
      <c r="E40" s="288" t="str">
        <f t="shared" si="0"/>
        <v>UsdLiborSwapForBasisCalc32Y</v>
      </c>
      <c r="F40" s="289" t="str">
        <f>_xll.qlSwapIndex($E40,FixingType,C40,2,Currency,$F$6,"1Y","f",MoneyMarketDayCounter,Libor!$E$10,Discounting,Permanent,Trigger,ObjectOverwrite)</f>
        <v>UsdLiborSwapForBasisCalc32Y#0009</v>
      </c>
      <c r="G40" s="286" t="str">
        <f>_xll.ohRangeRetrieveError(F40)</f>
        <v/>
      </c>
      <c r="H40" s="290"/>
    </row>
    <row r="41" spans="2:8" s="239" customFormat="1" x14ac:dyDescent="0.2">
      <c r="B41" s="280"/>
      <c r="C41" s="287" t="s">
        <v>53</v>
      </c>
      <c r="D41" s="287" t="s">
        <v>17</v>
      </c>
      <c r="E41" s="288" t="str">
        <f t="shared" ref="E41:E68" si="1">PROPER(Currency)&amp;FamilyName2&amp;FixingType&amp;$C41</f>
        <v>UsdLiborSwapForBasisCalc33Y</v>
      </c>
      <c r="F41" s="289" t="str">
        <f>_xll.qlSwapIndex($E41,FixingType,C41,2,Currency,$F$6,"1Y","f",MoneyMarketDayCounter,Libor!$E$10,Discounting,Permanent,Trigger,ObjectOverwrite)</f>
        <v>UsdLiborSwapForBasisCalc33Y#0009</v>
      </c>
      <c r="G41" s="286" t="str">
        <f>_xll.ohRangeRetrieveError(F41)</f>
        <v/>
      </c>
      <c r="H41" s="290"/>
    </row>
    <row r="42" spans="2:8" s="239" customFormat="1" x14ac:dyDescent="0.2">
      <c r="B42" s="280"/>
      <c r="C42" s="287" t="s">
        <v>52</v>
      </c>
      <c r="D42" s="287" t="s">
        <v>17</v>
      </c>
      <c r="E42" s="288" t="str">
        <f t="shared" si="1"/>
        <v>UsdLiborSwapForBasisCalc34Y</v>
      </c>
      <c r="F42" s="289" t="str">
        <f>_xll.qlSwapIndex($E42,FixingType,C42,2,Currency,$F$6,"1Y","f",MoneyMarketDayCounter,Libor!$E$10,Discounting,Permanent,Trigger,ObjectOverwrite)</f>
        <v>UsdLiborSwapForBasisCalc34Y#0009</v>
      </c>
      <c r="G42" s="286" t="str">
        <f>_xll.ohRangeRetrieveError(F42)</f>
        <v/>
      </c>
      <c r="H42" s="290"/>
    </row>
    <row r="43" spans="2:8" s="239" customFormat="1" x14ac:dyDescent="0.2">
      <c r="B43" s="280"/>
      <c r="C43" s="287" t="s">
        <v>51</v>
      </c>
      <c r="D43" s="287" t="s">
        <v>17</v>
      </c>
      <c r="E43" s="288" t="str">
        <f t="shared" si="1"/>
        <v>UsdLiborSwapForBasisCalc35Y</v>
      </c>
      <c r="F43" s="289" t="str">
        <f>_xll.qlSwapIndex($E43,FixingType,C43,2,Currency,$F$6,"1Y","f",MoneyMarketDayCounter,Libor!$E$10,Discounting,Permanent,Trigger,ObjectOverwrite)</f>
        <v>UsdLiborSwapForBasisCalc35Y#0009</v>
      </c>
      <c r="G43" s="286" t="str">
        <f>_xll.ohRangeRetrieveError(F43)</f>
        <v/>
      </c>
      <c r="H43" s="290"/>
    </row>
    <row r="44" spans="2:8" s="239" customFormat="1" x14ac:dyDescent="0.2">
      <c r="B44" s="280"/>
      <c r="C44" s="287" t="s">
        <v>50</v>
      </c>
      <c r="D44" s="287" t="s">
        <v>17</v>
      </c>
      <c r="E44" s="288" t="str">
        <f t="shared" si="1"/>
        <v>UsdLiborSwapForBasisCalc36Y</v>
      </c>
      <c r="F44" s="289" t="str">
        <f>_xll.qlSwapIndex($E44,FixingType,C44,2,Currency,$F$6,"1Y","f",MoneyMarketDayCounter,Libor!$E$10,Discounting,Permanent,Trigger,ObjectOverwrite)</f>
        <v>UsdLiborSwapForBasisCalc36Y#0009</v>
      </c>
      <c r="G44" s="286" t="str">
        <f>_xll.ohRangeRetrieveError(F44)</f>
        <v/>
      </c>
      <c r="H44" s="290"/>
    </row>
    <row r="45" spans="2:8" s="239" customFormat="1" x14ac:dyDescent="0.2">
      <c r="B45" s="280"/>
      <c r="C45" s="287" t="s">
        <v>49</v>
      </c>
      <c r="D45" s="287" t="s">
        <v>17</v>
      </c>
      <c r="E45" s="288" t="str">
        <f t="shared" si="1"/>
        <v>UsdLiborSwapForBasisCalc37Y</v>
      </c>
      <c r="F45" s="289" t="str">
        <f>_xll.qlSwapIndex($E45,FixingType,C45,2,Currency,$F$6,"1Y","f",MoneyMarketDayCounter,Libor!$E$10,Discounting,Permanent,Trigger,ObjectOverwrite)</f>
        <v>UsdLiborSwapForBasisCalc37Y#0009</v>
      </c>
      <c r="G45" s="286" t="str">
        <f>_xll.ohRangeRetrieveError(F45)</f>
        <v/>
      </c>
      <c r="H45" s="290"/>
    </row>
    <row r="46" spans="2:8" s="239" customFormat="1" x14ac:dyDescent="0.2">
      <c r="B46" s="280"/>
      <c r="C46" s="287" t="s">
        <v>48</v>
      </c>
      <c r="D46" s="287" t="s">
        <v>17</v>
      </c>
      <c r="E46" s="288" t="str">
        <f t="shared" si="1"/>
        <v>UsdLiborSwapForBasisCalc38Y</v>
      </c>
      <c r="F46" s="289" t="str">
        <f>_xll.qlSwapIndex($E46,FixingType,C46,2,Currency,$F$6,"1Y","f",MoneyMarketDayCounter,Libor!$E$10,Discounting,Permanent,Trigger,ObjectOverwrite)</f>
        <v>UsdLiborSwapForBasisCalc38Y#0009</v>
      </c>
      <c r="G46" s="286" t="str">
        <f>_xll.ohRangeRetrieveError(F46)</f>
        <v/>
      </c>
      <c r="H46" s="290"/>
    </row>
    <row r="47" spans="2:8" s="239" customFormat="1" x14ac:dyDescent="0.2">
      <c r="B47" s="280"/>
      <c r="C47" s="287" t="s">
        <v>47</v>
      </c>
      <c r="D47" s="287" t="s">
        <v>17</v>
      </c>
      <c r="E47" s="288" t="str">
        <f t="shared" si="1"/>
        <v>UsdLiborSwapForBasisCalc39Y</v>
      </c>
      <c r="F47" s="289" t="str">
        <f>_xll.qlSwapIndex($E47,FixingType,C47,2,Currency,$F$6,"1Y","f",MoneyMarketDayCounter,Libor!$E$10,Discounting,Permanent,Trigger,ObjectOverwrite)</f>
        <v>UsdLiborSwapForBasisCalc39Y#0009</v>
      </c>
      <c r="G47" s="286" t="str">
        <f>_xll.ohRangeRetrieveError(F47)</f>
        <v/>
      </c>
      <c r="H47" s="290"/>
    </row>
    <row r="48" spans="2:8" s="239" customFormat="1" x14ac:dyDescent="0.2">
      <c r="B48" s="280"/>
      <c r="C48" s="287" t="s">
        <v>46</v>
      </c>
      <c r="D48" s="287" t="s">
        <v>17</v>
      </c>
      <c r="E48" s="288" t="str">
        <f t="shared" si="1"/>
        <v>UsdLiborSwapForBasisCalc40Y</v>
      </c>
      <c r="F48" s="289" t="str">
        <f>_xll.qlSwapIndex($E48,FixingType,C48,2,Currency,$F$6,"1Y","f",MoneyMarketDayCounter,Libor!$E$10,Discounting,Permanent,Trigger,ObjectOverwrite)</f>
        <v>UsdLiborSwapForBasisCalc40Y#0009</v>
      </c>
      <c r="G48" s="286" t="str">
        <f>_xll.ohRangeRetrieveError(F48)</f>
        <v/>
      </c>
      <c r="H48" s="290"/>
    </row>
    <row r="49" spans="2:8" s="239" customFormat="1" x14ac:dyDescent="0.2">
      <c r="B49" s="280"/>
      <c r="C49" s="287" t="s">
        <v>45</v>
      </c>
      <c r="D49" s="287" t="s">
        <v>17</v>
      </c>
      <c r="E49" s="288" t="str">
        <f t="shared" si="1"/>
        <v>UsdLiborSwapForBasisCalc41Y</v>
      </c>
      <c r="F49" s="289" t="str">
        <f>_xll.qlSwapIndex($E49,FixingType,C49,2,Currency,$F$6,"1Y","f",MoneyMarketDayCounter,Libor!$E$10,Discounting,Permanent,Trigger,ObjectOverwrite)</f>
        <v>UsdLiborSwapForBasisCalc41Y#0009</v>
      </c>
      <c r="G49" s="286" t="str">
        <f>_xll.ohRangeRetrieveError(F49)</f>
        <v/>
      </c>
      <c r="H49" s="290"/>
    </row>
    <row r="50" spans="2:8" s="239" customFormat="1" x14ac:dyDescent="0.2">
      <c r="B50" s="280"/>
      <c r="C50" s="287" t="s">
        <v>44</v>
      </c>
      <c r="D50" s="287" t="s">
        <v>17</v>
      </c>
      <c r="E50" s="288" t="str">
        <f t="shared" si="1"/>
        <v>UsdLiborSwapForBasisCalc42Y</v>
      </c>
      <c r="F50" s="289" t="str">
        <f>_xll.qlSwapIndex($E50,FixingType,C50,2,Currency,$F$6,"1Y","f",MoneyMarketDayCounter,Libor!$E$10,Discounting,Permanent,Trigger,ObjectOverwrite)</f>
        <v>UsdLiborSwapForBasisCalc42Y#0009</v>
      </c>
      <c r="G50" s="286" t="str">
        <f>_xll.ohRangeRetrieveError(F50)</f>
        <v/>
      </c>
      <c r="H50" s="290"/>
    </row>
    <row r="51" spans="2:8" s="239" customFormat="1" x14ac:dyDescent="0.2">
      <c r="B51" s="280"/>
      <c r="C51" s="287" t="s">
        <v>43</v>
      </c>
      <c r="D51" s="287" t="s">
        <v>17</v>
      </c>
      <c r="E51" s="288" t="str">
        <f t="shared" si="1"/>
        <v>UsdLiborSwapForBasisCalc43Y</v>
      </c>
      <c r="F51" s="289" t="str">
        <f>_xll.qlSwapIndex($E51,FixingType,C51,2,Currency,$F$6,"1Y","f",MoneyMarketDayCounter,Libor!$E$10,Discounting,Permanent,Trigger,ObjectOverwrite)</f>
        <v>UsdLiborSwapForBasisCalc43Y#0009</v>
      </c>
      <c r="G51" s="286" t="str">
        <f>_xll.ohRangeRetrieveError(F51)</f>
        <v/>
      </c>
      <c r="H51" s="290"/>
    </row>
    <row r="52" spans="2:8" s="239" customFormat="1" x14ac:dyDescent="0.2">
      <c r="B52" s="280"/>
      <c r="C52" s="287" t="s">
        <v>42</v>
      </c>
      <c r="D52" s="287" t="s">
        <v>17</v>
      </c>
      <c r="E52" s="288" t="str">
        <f t="shared" si="1"/>
        <v>UsdLiborSwapForBasisCalc44Y</v>
      </c>
      <c r="F52" s="289" t="str">
        <f>_xll.qlSwapIndex($E52,FixingType,C52,2,Currency,$F$6,"1Y","f",MoneyMarketDayCounter,Libor!$E$10,Discounting,Permanent,Trigger,ObjectOverwrite)</f>
        <v>UsdLiborSwapForBasisCalc44Y#0009</v>
      </c>
      <c r="G52" s="286" t="str">
        <f>_xll.ohRangeRetrieveError(F52)</f>
        <v/>
      </c>
      <c r="H52" s="290"/>
    </row>
    <row r="53" spans="2:8" s="239" customFormat="1" x14ac:dyDescent="0.2">
      <c r="B53" s="280"/>
      <c r="C53" s="287" t="s">
        <v>41</v>
      </c>
      <c r="D53" s="287" t="s">
        <v>17</v>
      </c>
      <c r="E53" s="288" t="str">
        <f t="shared" si="1"/>
        <v>UsdLiborSwapForBasisCalc45Y</v>
      </c>
      <c r="F53" s="289" t="str">
        <f>_xll.qlSwapIndex($E53,FixingType,C53,2,Currency,$F$6,"1Y","f",MoneyMarketDayCounter,Libor!$E$10,Discounting,Permanent,Trigger,ObjectOverwrite)</f>
        <v>UsdLiborSwapForBasisCalc45Y#0009</v>
      </c>
      <c r="G53" s="286" t="str">
        <f>_xll.ohRangeRetrieveError(F53)</f>
        <v/>
      </c>
      <c r="H53" s="290"/>
    </row>
    <row r="54" spans="2:8" s="239" customFormat="1" x14ac:dyDescent="0.2">
      <c r="B54" s="280"/>
      <c r="C54" s="287" t="s">
        <v>40</v>
      </c>
      <c r="D54" s="287" t="s">
        <v>17</v>
      </c>
      <c r="E54" s="288" t="str">
        <f t="shared" si="1"/>
        <v>UsdLiborSwapForBasisCalc46Y</v>
      </c>
      <c r="F54" s="289" t="str">
        <f>_xll.qlSwapIndex($E54,FixingType,C54,2,Currency,$F$6,"1Y","f",MoneyMarketDayCounter,Libor!$E$10,Discounting,Permanent,Trigger,ObjectOverwrite)</f>
        <v>UsdLiborSwapForBasisCalc46Y#0009</v>
      </c>
      <c r="G54" s="286" t="str">
        <f>_xll.ohRangeRetrieveError(F54)</f>
        <v/>
      </c>
      <c r="H54" s="290"/>
    </row>
    <row r="55" spans="2:8" s="239" customFormat="1" x14ac:dyDescent="0.2">
      <c r="B55" s="280"/>
      <c r="C55" s="287" t="s">
        <v>39</v>
      </c>
      <c r="D55" s="287" t="s">
        <v>17</v>
      </c>
      <c r="E55" s="288" t="str">
        <f t="shared" si="1"/>
        <v>UsdLiborSwapForBasisCalc47Y</v>
      </c>
      <c r="F55" s="289" t="str">
        <f>_xll.qlSwapIndex($E55,FixingType,C55,2,Currency,$F$6,"1Y","f",MoneyMarketDayCounter,Libor!$E$10,Discounting,Permanent,Trigger,ObjectOverwrite)</f>
        <v>UsdLiborSwapForBasisCalc47Y#0009</v>
      </c>
      <c r="G55" s="286" t="str">
        <f>_xll.ohRangeRetrieveError(F55)</f>
        <v/>
      </c>
      <c r="H55" s="290"/>
    </row>
    <row r="56" spans="2:8" s="239" customFormat="1" x14ac:dyDescent="0.2">
      <c r="B56" s="280"/>
      <c r="C56" s="287" t="s">
        <v>38</v>
      </c>
      <c r="D56" s="287" t="s">
        <v>17</v>
      </c>
      <c r="E56" s="288" t="str">
        <f t="shared" si="1"/>
        <v>UsdLiborSwapForBasisCalc48Y</v>
      </c>
      <c r="F56" s="289" t="str">
        <f>_xll.qlSwapIndex($E56,FixingType,C56,2,Currency,$F$6,"1Y","f",MoneyMarketDayCounter,Libor!$E$10,Discounting,Permanent,Trigger,ObjectOverwrite)</f>
        <v>UsdLiborSwapForBasisCalc48Y#0009</v>
      </c>
      <c r="G56" s="286" t="str">
        <f>_xll.ohRangeRetrieveError(F56)</f>
        <v/>
      </c>
      <c r="H56" s="290"/>
    </row>
    <row r="57" spans="2:8" s="239" customFormat="1" x14ac:dyDescent="0.2">
      <c r="B57" s="280"/>
      <c r="C57" s="287" t="s">
        <v>37</v>
      </c>
      <c r="D57" s="287" t="s">
        <v>17</v>
      </c>
      <c r="E57" s="288" t="str">
        <f t="shared" si="1"/>
        <v>UsdLiborSwapForBasisCalc49Y</v>
      </c>
      <c r="F57" s="289" t="str">
        <f>_xll.qlSwapIndex($E57,FixingType,C57,2,Currency,$F$6,"1Y","f",MoneyMarketDayCounter,Libor!$E$10,Discounting,Permanent,Trigger,ObjectOverwrite)</f>
        <v>UsdLiborSwapForBasisCalc49Y#0009</v>
      </c>
      <c r="G57" s="286" t="str">
        <f>_xll.ohRangeRetrieveError(F57)</f>
        <v/>
      </c>
      <c r="H57" s="290"/>
    </row>
    <row r="58" spans="2:8" s="239" customFormat="1" x14ac:dyDescent="0.2">
      <c r="B58" s="280"/>
      <c r="C58" s="287" t="s">
        <v>36</v>
      </c>
      <c r="D58" s="287" t="s">
        <v>17</v>
      </c>
      <c r="E58" s="288" t="str">
        <f t="shared" si="1"/>
        <v>UsdLiborSwapForBasisCalc50Y</v>
      </c>
      <c r="F58" s="289" t="str">
        <f>_xll.qlSwapIndex($E58,FixingType,C58,2,Currency,$F$6,"1Y","f",MoneyMarketDayCounter,Libor!$E$10,Discounting,Permanent,Trigger,ObjectOverwrite)</f>
        <v>UsdLiborSwapForBasisCalc50Y#0009</v>
      </c>
      <c r="G58" s="286" t="str">
        <f>_xll.ohRangeRetrieveError(F58)</f>
        <v/>
      </c>
      <c r="H58" s="290"/>
    </row>
    <row r="59" spans="2:8" s="239" customFormat="1" x14ac:dyDescent="0.2">
      <c r="B59" s="280"/>
      <c r="C59" s="287" t="s">
        <v>35</v>
      </c>
      <c r="D59" s="287" t="s">
        <v>17</v>
      </c>
      <c r="E59" s="288" t="str">
        <f t="shared" si="1"/>
        <v>UsdLiborSwapForBasisCalc51Y</v>
      </c>
      <c r="F59" s="289" t="str">
        <f>_xll.qlSwapIndex($E59,FixingType,C59,2,Currency,$F$6,"1Y","f",MoneyMarketDayCounter,Libor!$E$10,Discounting,Permanent,Trigger,ObjectOverwrite)</f>
        <v>UsdLiborSwapForBasisCalc51Y#0009</v>
      </c>
      <c r="G59" s="286" t="str">
        <f>_xll.ohRangeRetrieveError(F59)</f>
        <v/>
      </c>
      <c r="H59" s="290"/>
    </row>
    <row r="60" spans="2:8" s="239" customFormat="1" x14ac:dyDescent="0.2">
      <c r="B60" s="280"/>
      <c r="C60" s="287" t="s">
        <v>34</v>
      </c>
      <c r="D60" s="287" t="s">
        <v>17</v>
      </c>
      <c r="E60" s="288" t="str">
        <f t="shared" si="1"/>
        <v>UsdLiborSwapForBasisCalc52Y</v>
      </c>
      <c r="F60" s="289" t="str">
        <f>_xll.qlSwapIndex($E60,FixingType,C60,2,Currency,$F$6,"1Y","f",MoneyMarketDayCounter,Libor!$E$10,Discounting,Permanent,Trigger,ObjectOverwrite)</f>
        <v>UsdLiborSwapForBasisCalc52Y#0009</v>
      </c>
      <c r="G60" s="286" t="str">
        <f>_xll.ohRangeRetrieveError(F60)</f>
        <v/>
      </c>
      <c r="H60" s="290"/>
    </row>
    <row r="61" spans="2:8" s="239" customFormat="1" x14ac:dyDescent="0.2">
      <c r="B61" s="280"/>
      <c r="C61" s="287" t="s">
        <v>33</v>
      </c>
      <c r="D61" s="287" t="s">
        <v>17</v>
      </c>
      <c r="E61" s="288" t="str">
        <f t="shared" si="1"/>
        <v>UsdLiborSwapForBasisCalc53Y</v>
      </c>
      <c r="F61" s="289" t="str">
        <f>_xll.qlSwapIndex($E61,FixingType,C61,2,Currency,$F$6,"1Y","f",MoneyMarketDayCounter,Libor!$E$10,Discounting,Permanent,Trigger,ObjectOverwrite)</f>
        <v>UsdLiborSwapForBasisCalc53Y#0009</v>
      </c>
      <c r="G61" s="286" t="str">
        <f>_xll.ohRangeRetrieveError(F61)</f>
        <v/>
      </c>
      <c r="H61" s="290"/>
    </row>
    <row r="62" spans="2:8" s="239" customFormat="1" x14ac:dyDescent="0.2">
      <c r="B62" s="280"/>
      <c r="C62" s="287" t="s">
        <v>32</v>
      </c>
      <c r="D62" s="287" t="s">
        <v>17</v>
      </c>
      <c r="E62" s="288" t="str">
        <f t="shared" si="1"/>
        <v>UsdLiborSwapForBasisCalc54Y</v>
      </c>
      <c r="F62" s="289" t="str">
        <f>_xll.qlSwapIndex($E62,FixingType,C62,2,Currency,$F$6,"1Y","f",MoneyMarketDayCounter,Libor!$E$10,Discounting,Permanent,Trigger,ObjectOverwrite)</f>
        <v>UsdLiborSwapForBasisCalc54Y#0009</v>
      </c>
      <c r="G62" s="286" t="str">
        <f>_xll.ohRangeRetrieveError(F62)</f>
        <v/>
      </c>
      <c r="H62" s="290"/>
    </row>
    <row r="63" spans="2:8" s="239" customFormat="1" x14ac:dyDescent="0.2">
      <c r="B63" s="280"/>
      <c r="C63" s="287" t="s">
        <v>31</v>
      </c>
      <c r="D63" s="287" t="s">
        <v>17</v>
      </c>
      <c r="E63" s="288" t="str">
        <f t="shared" si="1"/>
        <v>UsdLiborSwapForBasisCalc55Y</v>
      </c>
      <c r="F63" s="289" t="str">
        <f>_xll.qlSwapIndex($E63,FixingType,C63,2,Currency,$F$6,"1Y","f",MoneyMarketDayCounter,Libor!$E$10,Discounting,Permanent,Trigger,ObjectOverwrite)</f>
        <v>UsdLiborSwapForBasisCalc55Y#0009</v>
      </c>
      <c r="G63" s="286" t="str">
        <f>_xll.ohRangeRetrieveError(F63)</f>
        <v/>
      </c>
      <c r="H63" s="290"/>
    </row>
    <row r="64" spans="2:8" s="239" customFormat="1" x14ac:dyDescent="0.2">
      <c r="B64" s="280"/>
      <c r="C64" s="287" t="s">
        <v>30</v>
      </c>
      <c r="D64" s="287" t="s">
        <v>17</v>
      </c>
      <c r="E64" s="288" t="str">
        <f t="shared" si="1"/>
        <v>UsdLiborSwapForBasisCalc56Y</v>
      </c>
      <c r="F64" s="289" t="str">
        <f>_xll.qlSwapIndex($E64,FixingType,C64,2,Currency,$F$6,"1Y","f",MoneyMarketDayCounter,Libor!$E$10,Discounting,Permanent,Trigger,ObjectOverwrite)</f>
        <v>UsdLiborSwapForBasisCalc56Y#0009</v>
      </c>
      <c r="G64" s="286" t="str">
        <f>_xll.ohRangeRetrieveError(F64)</f>
        <v/>
      </c>
      <c r="H64" s="290"/>
    </row>
    <row r="65" spans="2:8" s="239" customFormat="1" x14ac:dyDescent="0.2">
      <c r="B65" s="280"/>
      <c r="C65" s="287" t="s">
        <v>29</v>
      </c>
      <c r="D65" s="287" t="s">
        <v>17</v>
      </c>
      <c r="E65" s="288" t="str">
        <f t="shared" si="1"/>
        <v>UsdLiborSwapForBasisCalc57Y</v>
      </c>
      <c r="F65" s="289" t="str">
        <f>_xll.qlSwapIndex($E65,FixingType,C65,2,Currency,$F$6,"1Y","f",MoneyMarketDayCounter,Libor!$E$10,Discounting,Permanent,Trigger,ObjectOverwrite)</f>
        <v>UsdLiborSwapForBasisCalc57Y#0009</v>
      </c>
      <c r="G65" s="286" t="str">
        <f>_xll.ohRangeRetrieveError(F65)</f>
        <v/>
      </c>
      <c r="H65" s="290"/>
    </row>
    <row r="66" spans="2:8" s="239" customFormat="1" x14ac:dyDescent="0.2">
      <c r="B66" s="280"/>
      <c r="C66" s="287" t="s">
        <v>28</v>
      </c>
      <c r="D66" s="287" t="s">
        <v>17</v>
      </c>
      <c r="E66" s="288" t="str">
        <f t="shared" si="1"/>
        <v>UsdLiborSwapForBasisCalc58Y</v>
      </c>
      <c r="F66" s="289" t="str">
        <f>_xll.qlSwapIndex($E66,FixingType,C66,2,Currency,$F$6,"1Y","f",MoneyMarketDayCounter,Libor!$E$10,Discounting,Permanent,Trigger,ObjectOverwrite)</f>
        <v>UsdLiborSwapForBasisCalc58Y#0009</v>
      </c>
      <c r="G66" s="286" t="str">
        <f>_xll.ohRangeRetrieveError(F66)</f>
        <v/>
      </c>
      <c r="H66" s="290"/>
    </row>
    <row r="67" spans="2:8" s="239" customFormat="1" x14ac:dyDescent="0.2">
      <c r="B67" s="280"/>
      <c r="C67" s="287" t="s">
        <v>27</v>
      </c>
      <c r="D67" s="287" t="s">
        <v>17</v>
      </c>
      <c r="E67" s="288" t="str">
        <f t="shared" si="1"/>
        <v>UsdLiborSwapForBasisCalc59Y</v>
      </c>
      <c r="F67" s="289" t="str">
        <f>_xll.qlSwapIndex($E67,FixingType,C67,2,Currency,$F$6,"1Y","f",MoneyMarketDayCounter,Libor!$E$10,Discounting,Permanent,Trigger,ObjectOverwrite)</f>
        <v>UsdLiborSwapForBasisCalc59Y#0009</v>
      </c>
      <c r="G67" s="286" t="str">
        <f>_xll.ohRangeRetrieveError(F67)</f>
        <v/>
      </c>
      <c r="H67" s="290"/>
    </row>
    <row r="68" spans="2:8" s="239" customFormat="1" x14ac:dyDescent="0.2">
      <c r="B68" s="280"/>
      <c r="C68" s="287" t="s">
        <v>26</v>
      </c>
      <c r="D68" s="287" t="s">
        <v>17</v>
      </c>
      <c r="E68" s="288" t="str">
        <f t="shared" si="1"/>
        <v>UsdLiborSwapForBasisCalc60Y</v>
      </c>
      <c r="F68" s="289" t="str">
        <f>_xll.qlSwapIndex($E68,FixingType,C68,2,Currency,$F$6,"1Y","f",MoneyMarketDayCounter,Libor!$E$10,Discounting,Permanent,Trigger,ObjectOverwrite)</f>
        <v>UsdLiborSwapForBasisCalc60Y#0009</v>
      </c>
      <c r="G68" s="286" t="str">
        <f>_xll.ohRangeRetrieveError(F68)</f>
        <v/>
      </c>
      <c r="H68" s="290"/>
    </row>
    <row r="69" spans="2:8" s="239" customFormat="1" ht="12" thickBot="1" x14ac:dyDescent="0.25">
      <c r="B69" s="291"/>
      <c r="C69" s="292"/>
      <c r="D69" s="292"/>
      <c r="E69" s="292"/>
      <c r="F69" s="292"/>
      <c r="G69" s="292"/>
      <c r="H69" s="293"/>
    </row>
    <row r="70" spans="2:8" s="239" customFormat="1" x14ac:dyDescent="0.2"/>
    <row r="71" spans="2:8" s="239" customFormat="1" x14ac:dyDescent="0.2">
      <c r="B71" s="294"/>
      <c r="C71" s="294"/>
      <c r="D71" s="294"/>
      <c r="E71" s="294"/>
      <c r="F71" s="294"/>
      <c r="G71" s="294"/>
      <c r="H71" s="294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M16" sqref="M16:N16"/>
    </sheetView>
  </sheetViews>
  <sheetFormatPr defaultRowHeight="15" x14ac:dyDescent="0.25"/>
  <cols>
    <col min="1" max="1" width="3.140625" customWidth="1"/>
    <col min="2" max="2" width="5.140625" bestFit="1" customWidth="1"/>
    <col min="3" max="3" width="17.85546875" bestFit="1" customWidth="1"/>
    <col min="4" max="4" width="20.28515625" bestFit="1" customWidth="1"/>
    <col min="5" max="5" width="66" customWidth="1"/>
    <col min="6" max="6" width="2.7109375" customWidth="1"/>
    <col min="7" max="7" width="4.7109375" customWidth="1"/>
    <col min="8" max="8" width="2.7109375" customWidth="1"/>
    <col min="9" max="9" width="3.85546875" bestFit="1" customWidth="1"/>
    <col min="10" max="10" width="11.140625" customWidth="1"/>
    <col min="11" max="11" width="9" bestFit="1" customWidth="1"/>
    <col min="12" max="13" width="9" customWidth="1"/>
    <col min="14" max="14" width="2.7109375" customWidth="1"/>
    <col min="15" max="15" width="5.7109375" bestFit="1" customWidth="1"/>
    <col min="16" max="16" width="2.7109375" customWidth="1"/>
    <col min="17" max="17" width="7.7109375" bestFit="1" customWidth="1"/>
    <col min="18" max="18" width="7.140625" bestFit="1" customWidth="1"/>
    <col min="19" max="19" width="3.7109375" customWidth="1"/>
  </cols>
  <sheetData>
    <row r="1" spans="1:19" ht="12" customHeight="1" x14ac:dyDescent="0.25">
      <c r="A1" s="44"/>
      <c r="B1" s="44"/>
      <c r="C1" s="44"/>
      <c r="D1" s="44"/>
      <c r="E1" s="44"/>
      <c r="F1" s="44"/>
      <c r="G1" s="44"/>
      <c r="H1" s="146"/>
      <c r="I1" s="145"/>
      <c r="J1" s="122"/>
      <c r="K1" s="122"/>
      <c r="L1" s="122"/>
      <c r="M1" s="122"/>
      <c r="N1" s="122"/>
      <c r="O1" s="122"/>
      <c r="P1" s="122"/>
      <c r="Q1" s="122"/>
      <c r="R1" s="122"/>
      <c r="S1" s="9"/>
    </row>
    <row r="2" spans="1:19" ht="12" customHeight="1" x14ac:dyDescent="0.25">
      <c r="A2" s="88"/>
      <c r="B2" s="53"/>
      <c r="C2" s="53"/>
      <c r="D2" s="53"/>
      <c r="E2" s="53"/>
      <c r="F2" s="52"/>
      <c r="G2" s="44"/>
      <c r="H2" s="58"/>
      <c r="I2" s="122"/>
      <c r="J2" s="122"/>
      <c r="K2" s="122"/>
      <c r="L2" s="122"/>
      <c r="M2" s="122"/>
      <c r="N2" s="122"/>
      <c r="O2" s="122"/>
      <c r="P2" s="122"/>
      <c r="Q2" s="144"/>
      <c r="R2" s="143">
        <f>_xll.ohTrigger(R4:R17)</f>
        <v>10</v>
      </c>
      <c r="S2" s="109"/>
    </row>
    <row r="3" spans="1:19" ht="23.25" customHeight="1" x14ac:dyDescent="0.25">
      <c r="A3" s="22"/>
      <c r="B3" s="51"/>
      <c r="C3" s="34" t="str">
        <f>Currency&amp;"_010_"&amp;"Deposits.xml"</f>
        <v>USD_010_Deposits.xml</v>
      </c>
      <c r="D3" s="50" t="str">
        <f>IF(Serialize,_xll.ohObjectSave(D4:D21,SerializationPath&amp;C3,FileOverwrite,Serialize),"---")</f>
        <v>---</v>
      </c>
      <c r="E3" s="49" t="str">
        <f>_xll.ohRangeRetrieveError(D3)</f>
        <v/>
      </c>
      <c r="F3" s="45"/>
      <c r="G3" s="44"/>
      <c r="H3" s="58"/>
      <c r="I3" s="140"/>
      <c r="J3" s="117" t="str">
        <f>_xll.RData(J4:J22,K3:L3,"RTFEED:DTSIMI1",ReutersRtMode,,K4)</f>
        <v>Updated at 16:44:29</v>
      </c>
      <c r="K3" s="142" t="s">
        <v>179</v>
      </c>
      <c r="L3" s="142" t="s">
        <v>178</v>
      </c>
      <c r="M3" s="142" t="s">
        <v>243</v>
      </c>
      <c r="N3" s="122"/>
      <c r="O3" s="141" t="s">
        <v>195</v>
      </c>
      <c r="P3" s="122"/>
      <c r="Q3" s="140" t="s">
        <v>194</v>
      </c>
      <c r="R3" s="139" t="s">
        <v>193</v>
      </c>
      <c r="S3" s="109"/>
    </row>
    <row r="4" spans="1:19" ht="12" customHeight="1" x14ac:dyDescent="0.25">
      <c r="A4" s="22"/>
      <c r="B4" s="48" t="s">
        <v>131</v>
      </c>
      <c r="C4" s="47" t="str">
        <f t="shared" ref="C4:C21" si="0">Currency&amp;$B4&amp;"_Mx"&amp;QuoteSuffix</f>
        <v>USDOND_Mx_Quote</v>
      </c>
      <c r="D4" s="47" t="str">
        <f>_xll.qlSimpleQuote(C4,,RateTickValue,Permanent,Trigger,ObjectOverwrite)</f>
        <v>USDOND_Mx_Quote#0012</v>
      </c>
      <c r="E4" s="46" t="str">
        <f>_xll.ohRangeRetrieveError(D4)</f>
        <v/>
      </c>
      <c r="F4" s="45"/>
      <c r="G4" s="44"/>
      <c r="H4" s="58"/>
      <c r="I4" s="138" t="s">
        <v>174</v>
      </c>
      <c r="J4" s="125" t="str">
        <f t="shared" ref="J4:J21" si="1">Currency&amp;"X"&amp;I4&amp;"D="</f>
        <v>USDXOND=</v>
      </c>
      <c r="K4" s="137">
        <v>0.28000000000000003</v>
      </c>
      <c r="L4" s="137">
        <v>0.28000000000000003</v>
      </c>
      <c r="M4" s="137">
        <f>AVERAGE(K4:L4)</f>
        <v>0.28000000000000003</v>
      </c>
      <c r="N4" s="122"/>
      <c r="O4" s="136">
        <v>0.23</v>
      </c>
      <c r="P4" s="122"/>
      <c r="Q4" s="175">
        <f t="array" ref="Q4:Q22">QuoteLive</f>
        <v>0.28000000000000003</v>
      </c>
      <c r="R4" s="134">
        <f>_xll.qlSimpleQuoteSetValue(D4,Q4/100,Trigger)</f>
        <v>0</v>
      </c>
      <c r="S4" s="109"/>
    </row>
    <row r="5" spans="1:19" ht="12" customHeight="1" x14ac:dyDescent="0.25">
      <c r="A5" s="22"/>
      <c r="B5" s="48" t="s">
        <v>130</v>
      </c>
      <c r="C5" s="47" t="str">
        <f t="shared" si="0"/>
        <v>USDTND_Mx_Quote</v>
      </c>
      <c r="D5" s="47" t="str">
        <f>_xll.qlSimpleQuote(C5,,RateTickValue,Permanent,Trigger,ObjectOverwrite)</f>
        <v>USDTND_Mx_Quote#0012</v>
      </c>
      <c r="E5" s="46" t="str">
        <f>_xll.ohRangeRetrieveError(D5)</f>
        <v/>
      </c>
      <c r="F5" s="45"/>
      <c r="G5" s="44"/>
      <c r="H5" s="58"/>
      <c r="I5" s="126" t="s">
        <v>191</v>
      </c>
      <c r="J5" s="125" t="str">
        <f t="shared" si="1"/>
        <v>USDXTND=</v>
      </c>
      <c r="K5" s="124">
        <v>0.28000000000000003</v>
      </c>
      <c r="L5" s="124">
        <v>0.28000000000000003</v>
      </c>
      <c r="M5" s="124">
        <f t="shared" ref="M5:M22" si="2">AVERAGE(K5:L5)</f>
        <v>0.28000000000000003</v>
      </c>
      <c r="N5" s="122"/>
      <c r="O5" s="123">
        <v>0.23</v>
      </c>
      <c r="P5" s="122"/>
      <c r="Q5" s="168">
        <v>0.28000000000000003</v>
      </c>
      <c r="R5" s="119">
        <f>_xll.qlSimpleQuoteSetValue(D5,Q5/100,Trigger)</f>
        <v>0</v>
      </c>
      <c r="S5" s="109"/>
    </row>
    <row r="6" spans="1:19" ht="12" customHeight="1" x14ac:dyDescent="0.25">
      <c r="A6" s="22"/>
      <c r="B6" s="48" t="s">
        <v>129</v>
      </c>
      <c r="C6" s="47" t="str">
        <f t="shared" si="0"/>
        <v>USDSND_Mx_Quote</v>
      </c>
      <c r="D6" s="47" t="str">
        <f>_xll.qlSimpleQuote(C6,,RateTickValue,Permanent,Trigger,ObjectOverwrite)</f>
        <v>USDSND_Mx_Quote#0012</v>
      </c>
      <c r="E6" s="46" t="str">
        <f>_xll.ohRangeRetrieveError(D6)</f>
        <v/>
      </c>
      <c r="F6" s="45"/>
      <c r="G6" s="44"/>
      <c r="H6" s="58"/>
      <c r="I6" s="133" t="s">
        <v>188</v>
      </c>
      <c r="J6" s="132" t="str">
        <f t="shared" si="1"/>
        <v>USDXSND=</v>
      </c>
      <c r="K6" s="131">
        <v>0.28000000000000003</v>
      </c>
      <c r="L6" s="131">
        <v>0.28000000000000003</v>
      </c>
      <c r="M6" s="131">
        <f t="shared" si="2"/>
        <v>0.28000000000000003</v>
      </c>
      <c r="N6" s="122"/>
      <c r="O6" s="130">
        <v>0.23</v>
      </c>
      <c r="P6" s="122"/>
      <c r="Q6" s="161">
        <v>0.28000000000000003</v>
      </c>
      <c r="R6" s="128">
        <f>_xll.qlSimpleQuoteSetValue(D6,Q6/100,Trigger)</f>
        <v>0</v>
      </c>
      <c r="S6" s="109"/>
    </row>
    <row r="7" spans="1:19" ht="12" customHeight="1" x14ac:dyDescent="0.25">
      <c r="A7" s="22"/>
      <c r="B7" s="48" t="s">
        <v>128</v>
      </c>
      <c r="C7" s="47" t="str">
        <f t="shared" si="0"/>
        <v>USDSWD_Mx_Quote</v>
      </c>
      <c r="D7" s="47" t="str">
        <f>_xll.qlSimpleQuote(C7,,RateTickValue,Permanent,Trigger,ObjectOverwrite)</f>
        <v>USDSWD_Mx_Quote#0012</v>
      </c>
      <c r="E7" s="46" t="str">
        <f>_xll.ohRangeRetrieveError(D7)</f>
        <v/>
      </c>
      <c r="F7" s="45"/>
      <c r="G7" s="44"/>
      <c r="H7" s="58"/>
      <c r="I7" s="126" t="s">
        <v>22</v>
      </c>
      <c r="J7" s="125" t="str">
        <f t="shared" si="1"/>
        <v>USDXSWD=</v>
      </c>
      <c r="K7" s="124">
        <v>0.1356</v>
      </c>
      <c r="L7" s="124">
        <v>0.14560000000000001</v>
      </c>
      <c r="M7" s="124">
        <f t="shared" si="2"/>
        <v>0.1406</v>
      </c>
      <c r="N7" s="122"/>
      <c r="O7" s="123">
        <v>0.12</v>
      </c>
      <c r="P7" s="122"/>
      <c r="Q7" s="168">
        <v>0.1406</v>
      </c>
      <c r="R7" s="119">
        <f>_xll.qlSimpleQuoteSetValue(D7,Q7/100,Trigger)</f>
        <v>0</v>
      </c>
      <c r="S7" s="109"/>
    </row>
    <row r="8" spans="1:19" ht="12" customHeight="1" x14ac:dyDescent="0.25">
      <c r="A8" s="22"/>
      <c r="B8" s="48" t="s">
        <v>127</v>
      </c>
      <c r="C8" s="47" t="str">
        <f t="shared" si="0"/>
        <v>USD2WD_Mx_Quote</v>
      </c>
      <c r="D8" s="47" t="str">
        <f>_xll.qlSimpleQuote(C8,,RateTickValue,Permanent,Trigger,ObjectOverwrite)</f>
        <v>USD2WD_Mx_Quote#0012</v>
      </c>
      <c r="E8" s="46" t="str">
        <f>_xll.ohRangeRetrieveError(D8)</f>
        <v/>
      </c>
      <c r="F8" s="45"/>
      <c r="G8" s="44"/>
      <c r="H8" s="58"/>
      <c r="I8" s="126" t="s">
        <v>21</v>
      </c>
      <c r="J8" s="125" t="str">
        <f t="shared" si="1"/>
        <v>USDX2WD=</v>
      </c>
      <c r="K8" s="124">
        <v>0.14573333300000002</v>
      </c>
      <c r="L8" s="124">
        <v>0.155733333</v>
      </c>
      <c r="M8" s="124">
        <f t="shared" si="2"/>
        <v>0.15073333300000002</v>
      </c>
      <c r="N8" s="122"/>
      <c r="O8" s="123">
        <v>0.128803846</v>
      </c>
      <c r="P8" s="122"/>
      <c r="Q8" s="168">
        <v>0.15073333300000002</v>
      </c>
      <c r="R8" s="119">
        <f>_xll.qlSimpleQuoteSetValue(D8,Q8/100,Trigger)</f>
        <v>0</v>
      </c>
      <c r="S8" s="109"/>
    </row>
    <row r="9" spans="1:19" ht="12" customHeight="1" x14ac:dyDescent="0.25">
      <c r="A9" s="22"/>
      <c r="B9" s="48" t="s">
        <v>126</v>
      </c>
      <c r="C9" s="47" t="str">
        <f t="shared" si="0"/>
        <v>USD3WD_Mx_Quote</v>
      </c>
      <c r="D9" s="47" t="str">
        <f>_xll.qlSimpleQuote(C9,,RateTickValue,Permanent,Trigger,ObjectOverwrite)</f>
        <v>USD3WD_Mx_Quote#0012</v>
      </c>
      <c r="E9" s="46" t="str">
        <f>_xll.ohRangeRetrieveError(D9)</f>
        <v/>
      </c>
      <c r="F9" s="45"/>
      <c r="G9" s="44"/>
      <c r="H9" s="58"/>
      <c r="I9" s="126" t="s">
        <v>20</v>
      </c>
      <c r="J9" s="125" t="str">
        <f t="shared" si="1"/>
        <v>USDX3WD=</v>
      </c>
      <c r="K9" s="124">
        <v>0.15586666700000001</v>
      </c>
      <c r="L9" s="124">
        <v>0.16586666700000002</v>
      </c>
      <c r="M9" s="124">
        <f t="shared" si="2"/>
        <v>0.16086666700000002</v>
      </c>
      <c r="N9" s="122"/>
      <c r="O9" s="123">
        <v>0.137607692</v>
      </c>
      <c r="P9" s="122"/>
      <c r="Q9" s="168">
        <v>0.16086666700000002</v>
      </c>
      <c r="R9" s="119">
        <f>_xll.qlSimpleQuoteSetValue(D9,Q9/100,Trigger)</f>
        <v>0</v>
      </c>
      <c r="S9" s="109"/>
    </row>
    <row r="10" spans="1:19" ht="12" customHeight="1" x14ac:dyDescent="0.25">
      <c r="A10" s="22"/>
      <c r="B10" s="48" t="s">
        <v>125</v>
      </c>
      <c r="C10" s="47" t="str">
        <f t="shared" si="0"/>
        <v>USD1MD_Mx_Quote</v>
      </c>
      <c r="D10" s="47" t="str">
        <f>_xll.qlSimpleQuote(C10,,RateTickValue,Permanent,Trigger,ObjectOverwrite)</f>
        <v>USD1MD_Mx_Quote#0012</v>
      </c>
      <c r="E10" s="46" t="str">
        <f>_xll.ohRangeRetrieveError(D10)</f>
        <v/>
      </c>
      <c r="F10" s="45"/>
      <c r="G10" s="44"/>
      <c r="H10" s="58"/>
      <c r="I10" s="126" t="s">
        <v>19</v>
      </c>
      <c r="J10" s="125" t="str">
        <f t="shared" si="1"/>
        <v>USDX1MD=</v>
      </c>
      <c r="K10" s="124">
        <v>0.16600000000000001</v>
      </c>
      <c r="L10" s="124">
        <v>0.17599999999999999</v>
      </c>
      <c r="M10" s="124">
        <f t="shared" si="2"/>
        <v>0.17099999999999999</v>
      </c>
      <c r="N10" s="122"/>
      <c r="O10" s="123">
        <v>0.1527</v>
      </c>
      <c r="P10" s="122"/>
      <c r="Q10" s="168">
        <v>0.17099999999999999</v>
      </c>
      <c r="R10" s="119">
        <f>_xll.qlSimpleQuoteSetValue(D10,Q10/100,Trigger)</f>
        <v>0</v>
      </c>
      <c r="S10" s="109"/>
    </row>
    <row r="11" spans="1:19" ht="12" customHeight="1" x14ac:dyDescent="0.25">
      <c r="A11" s="22"/>
      <c r="B11" s="48" t="s">
        <v>124</v>
      </c>
      <c r="C11" s="47" t="str">
        <f t="shared" si="0"/>
        <v>USD2MD_Mx_Quote</v>
      </c>
      <c r="D11" s="47" t="str">
        <f>_xll.qlSimpleQuote(C11,,RateTickValue,Permanent,Trigger,ObjectOverwrite)</f>
        <v>USD2MD_Mx_Quote#0012</v>
      </c>
      <c r="E11" s="46" t="str">
        <f>_xll.ohRangeRetrieveError(D11)</f>
        <v/>
      </c>
      <c r="F11" s="45"/>
      <c r="G11" s="44"/>
      <c r="H11" s="58"/>
      <c r="I11" s="126" t="s">
        <v>18</v>
      </c>
      <c r="J11" s="125" t="str">
        <f t="shared" si="1"/>
        <v>USDX2MD=</v>
      </c>
      <c r="K11" s="124">
        <v>0.20800000000000002</v>
      </c>
      <c r="L11" s="124">
        <v>0.218</v>
      </c>
      <c r="M11" s="124">
        <f t="shared" si="2"/>
        <v>0.21300000000000002</v>
      </c>
      <c r="N11" s="122"/>
      <c r="O11" s="123">
        <v>0.19540000000000002</v>
      </c>
      <c r="P11" s="122"/>
      <c r="Q11" s="168">
        <v>0.21300000000000002</v>
      </c>
      <c r="R11" s="119">
        <f>_xll.qlSimpleQuoteSetValue(D11,Q11/100,Trigger)</f>
        <v>0</v>
      </c>
      <c r="S11" s="109"/>
    </row>
    <row r="12" spans="1:19" ht="12" customHeight="1" x14ac:dyDescent="0.25">
      <c r="A12" s="22"/>
      <c r="B12" s="48" t="s">
        <v>123</v>
      </c>
      <c r="C12" s="47" t="str">
        <f t="shared" si="0"/>
        <v>USD3MD_Mx_Quote</v>
      </c>
      <c r="D12" s="47" t="str">
        <f>_xll.qlSimpleQuote(C12,,RateTickValue,Permanent,Trigger,ObjectOverwrite)</f>
        <v>USD3MD_Mx_Quote#0012</v>
      </c>
      <c r="E12" s="46" t="str">
        <f>_xll.ohRangeRetrieveError(D12)</f>
        <v/>
      </c>
      <c r="F12" s="45"/>
      <c r="G12" s="44"/>
      <c r="H12" s="58"/>
      <c r="I12" s="126" t="s">
        <v>17</v>
      </c>
      <c r="J12" s="125" t="str">
        <f t="shared" si="1"/>
        <v>USDX3MD=</v>
      </c>
      <c r="K12" s="124">
        <v>0.25659999999999999</v>
      </c>
      <c r="L12" s="124">
        <v>0.2666</v>
      </c>
      <c r="M12" s="124">
        <f t="shared" si="2"/>
        <v>0.2616</v>
      </c>
      <c r="N12" s="122"/>
      <c r="O12" s="123">
        <v>0.2291</v>
      </c>
      <c r="P12" s="122"/>
      <c r="Q12" s="168">
        <v>0.2616</v>
      </c>
      <c r="R12" s="119">
        <f>_xll.qlSimpleQuoteSetValue(D12,Q12/100,Trigger)</f>
        <v>0</v>
      </c>
      <c r="S12" s="109"/>
    </row>
    <row r="13" spans="1:19" ht="12" customHeight="1" x14ac:dyDescent="0.25">
      <c r="A13" s="22"/>
      <c r="B13" s="48" t="s">
        <v>122</v>
      </c>
      <c r="C13" s="47" t="str">
        <f t="shared" si="0"/>
        <v>USD4MD_Mx_Quote</v>
      </c>
      <c r="D13" s="47" t="str">
        <f>_xll.qlSimpleQuote(C13,,RateTickValue,Permanent,Trigger,ObjectOverwrite)</f>
        <v>USD4MD_Mx_Quote#0012</v>
      </c>
      <c r="E13" s="46" t="str">
        <f>_xll.ohRangeRetrieveError(D13)</f>
        <v/>
      </c>
      <c r="F13" s="45"/>
      <c r="G13" s="44"/>
      <c r="H13" s="58"/>
      <c r="I13" s="126" t="s">
        <v>16</v>
      </c>
      <c r="J13" s="125" t="str">
        <f t="shared" si="1"/>
        <v>USDX4MD=</v>
      </c>
      <c r="K13" s="124">
        <v>0.297182418</v>
      </c>
      <c r="L13" s="124">
        <v>0.30718241800000001</v>
      </c>
      <c r="M13" s="124">
        <f t="shared" si="2"/>
        <v>0.30218241800000001</v>
      </c>
      <c r="N13" s="122"/>
      <c r="O13" s="123">
        <v>0.26221</v>
      </c>
      <c r="P13" s="122"/>
      <c r="Q13" s="168">
        <v>0.30218241800000001</v>
      </c>
      <c r="R13" s="119">
        <f>_xll.qlSimpleQuoteSetValue(D13,Q13/100,Trigger)</f>
        <v>0</v>
      </c>
      <c r="S13" s="109"/>
    </row>
    <row r="14" spans="1:19" ht="12" customHeight="1" x14ac:dyDescent="0.25">
      <c r="A14" s="22"/>
      <c r="B14" s="48" t="s">
        <v>121</v>
      </c>
      <c r="C14" s="47" t="str">
        <f t="shared" si="0"/>
        <v>USD5MD_Mx_Quote</v>
      </c>
      <c r="D14" s="47" t="str">
        <f>_xll.qlSimpleQuote(C14,,RateTickValue,Permanent,Trigger,ObjectOverwrite)</f>
        <v>USD5MD_Mx_Quote#0012</v>
      </c>
      <c r="E14" s="46" t="str">
        <f>_xll.ohRangeRetrieveError(D14)</f>
        <v/>
      </c>
      <c r="F14" s="45"/>
      <c r="G14" s="44"/>
      <c r="H14" s="58"/>
      <c r="I14" s="126" t="s">
        <v>15</v>
      </c>
      <c r="J14" s="125" t="str">
        <f t="shared" si="1"/>
        <v>USDX5MD=</v>
      </c>
      <c r="K14" s="124">
        <v>0.34047032999999999</v>
      </c>
      <c r="L14" s="124">
        <v>0.35047033</v>
      </c>
      <c r="M14" s="124">
        <f t="shared" si="2"/>
        <v>0.34547032999999999</v>
      </c>
      <c r="N14" s="122"/>
      <c r="O14" s="123">
        <v>0.2893</v>
      </c>
      <c r="P14" s="122"/>
      <c r="Q14" s="168">
        <v>0.34547032999999999</v>
      </c>
      <c r="R14" s="119">
        <f>_xll.qlSimpleQuoteSetValue(D14,Q14/100,Trigger)</f>
        <v>0</v>
      </c>
      <c r="S14" s="109"/>
    </row>
    <row r="15" spans="1:19" ht="12" customHeight="1" x14ac:dyDescent="0.25">
      <c r="A15" s="22"/>
      <c r="B15" s="48" t="s">
        <v>120</v>
      </c>
      <c r="C15" s="47" t="str">
        <f t="shared" si="0"/>
        <v>USD6MD_Mx_Quote</v>
      </c>
      <c r="D15" s="47" t="str">
        <f>_xll.qlSimpleQuote(C15,,RateTickValue,Permanent,Trigger,ObjectOverwrite)</f>
        <v>USD6MD_Mx_Quote#0012</v>
      </c>
      <c r="E15" s="46" t="str">
        <f>_xll.ohRangeRetrieveError(D15)</f>
        <v/>
      </c>
      <c r="F15" s="45"/>
      <c r="G15" s="44"/>
      <c r="H15" s="58"/>
      <c r="I15" s="126" t="s">
        <v>14</v>
      </c>
      <c r="J15" s="125" t="str">
        <f t="shared" si="1"/>
        <v>USDX6MD=</v>
      </c>
      <c r="K15" s="124">
        <v>0.37970000000000004</v>
      </c>
      <c r="L15" s="124">
        <v>0.38970000000000005</v>
      </c>
      <c r="M15" s="124">
        <f t="shared" si="2"/>
        <v>0.38470000000000004</v>
      </c>
      <c r="N15" s="122"/>
      <c r="O15" s="123">
        <v>0.31940000000000002</v>
      </c>
      <c r="P15" s="122"/>
      <c r="Q15" s="168">
        <v>0.38470000000000004</v>
      </c>
      <c r="R15" s="119">
        <f>_xll.qlSimpleQuoteSetValue(D15,Q15/100,Trigger)</f>
        <v>0</v>
      </c>
      <c r="S15" s="109"/>
    </row>
    <row r="16" spans="1:19" ht="12" customHeight="1" x14ac:dyDescent="0.25">
      <c r="A16" s="22"/>
      <c r="B16" s="48" t="s">
        <v>119</v>
      </c>
      <c r="C16" s="47" t="str">
        <f t="shared" si="0"/>
        <v>USD7MD_Mx_Quote</v>
      </c>
      <c r="D16" s="47" t="str">
        <f>_xll.qlSimpleQuote(C16,,RateTickValue,Permanent,Trigger,ObjectOverwrite)</f>
        <v>USD7MD_Mx_Quote#0012</v>
      </c>
      <c r="E16" s="46" t="str">
        <f>_xll.ohRangeRetrieveError(D16)</f>
        <v/>
      </c>
      <c r="F16" s="45"/>
      <c r="G16" s="44"/>
      <c r="H16" s="58"/>
      <c r="I16" s="126" t="s">
        <v>13</v>
      </c>
      <c r="J16" s="125" t="str">
        <f t="shared" si="1"/>
        <v>USDX7MD=</v>
      </c>
      <c r="K16" s="124">
        <v>0.429182065</v>
      </c>
      <c r="L16" s="124">
        <v>0.43918206500000001</v>
      </c>
      <c r="M16" s="124">
        <f t="shared" si="2"/>
        <v>0.43418206500000001</v>
      </c>
      <c r="N16" s="122"/>
      <c r="O16" s="123">
        <v>0.35729344299999999</v>
      </c>
      <c r="P16" s="122"/>
      <c r="Q16" s="168">
        <v>0.43418206500000001</v>
      </c>
      <c r="R16" s="119">
        <f>_xll.qlSimpleQuoteSetValue(D16,Q16/100,Trigger)</f>
        <v>0</v>
      </c>
      <c r="S16" s="109"/>
    </row>
    <row r="17" spans="1:19" ht="12" customHeight="1" x14ac:dyDescent="0.25">
      <c r="A17" s="22"/>
      <c r="B17" s="48" t="s">
        <v>118</v>
      </c>
      <c r="C17" s="47" t="str">
        <f t="shared" si="0"/>
        <v>USD8MD_Mx_Quote</v>
      </c>
      <c r="D17" s="47" t="str">
        <f>_xll.qlSimpleQuote(C17,,RateTickValue,Permanent,Trigger,ObjectOverwrite)</f>
        <v>USD8MD_Mx_Quote#0012</v>
      </c>
      <c r="E17" s="46" t="str">
        <f>_xll.ohRangeRetrieveError(D17)</f>
        <v/>
      </c>
      <c r="F17" s="45"/>
      <c r="G17" s="44"/>
      <c r="H17" s="58"/>
      <c r="I17" s="126" t="s">
        <v>12</v>
      </c>
      <c r="J17" s="125" t="str">
        <f t="shared" si="1"/>
        <v>USDX8MD=</v>
      </c>
      <c r="K17" s="124">
        <v>0.47866413000000002</v>
      </c>
      <c r="L17" s="124">
        <v>0.48866413000000003</v>
      </c>
      <c r="M17" s="124">
        <f t="shared" si="2"/>
        <v>0.48366413000000003</v>
      </c>
      <c r="N17" s="122"/>
      <c r="O17" s="123">
        <v>0.39644999999999997</v>
      </c>
      <c r="P17" s="122"/>
      <c r="Q17" s="168">
        <v>0.48366413000000003</v>
      </c>
      <c r="R17" s="119">
        <f>_xll.qlSimpleQuoteSetValue(D17,Q17/100,Trigger)</f>
        <v>0</v>
      </c>
      <c r="S17" s="109"/>
    </row>
    <row r="18" spans="1:19" ht="12" customHeight="1" x14ac:dyDescent="0.25">
      <c r="A18" s="22"/>
      <c r="B18" s="48" t="s">
        <v>117</v>
      </c>
      <c r="C18" s="47" t="str">
        <f t="shared" si="0"/>
        <v>USD9MD_Mx_Quote</v>
      </c>
      <c r="D18" s="47" t="str">
        <f>_xll.qlSimpleQuote(C18,,RateTickValue,Permanent,Trigger,ObjectOverwrite)</f>
        <v>USD9MD_Mx_Quote#0012</v>
      </c>
      <c r="E18" s="46" t="str">
        <f>_xll.ohRangeRetrieveError(D18)</f>
        <v/>
      </c>
      <c r="F18" s="45"/>
      <c r="G18" s="44"/>
      <c r="H18" s="58"/>
      <c r="I18" s="126" t="s">
        <v>11</v>
      </c>
      <c r="J18" s="125" t="str">
        <f t="shared" si="1"/>
        <v>USDX9MD=</v>
      </c>
      <c r="K18" s="124">
        <v>0.52655000000000007</v>
      </c>
      <c r="L18" s="124">
        <v>0.53655000000000008</v>
      </c>
      <c r="M18" s="124">
        <f t="shared" si="2"/>
        <v>0.53155000000000008</v>
      </c>
      <c r="N18" s="122"/>
      <c r="O18" s="123">
        <v>0.434343443</v>
      </c>
      <c r="P18" s="122"/>
      <c r="Q18" s="168">
        <v>0.53155000000000008</v>
      </c>
      <c r="R18" s="119">
        <f>_xll.qlSimpleQuoteSetValue(D18,Q18/100,Trigger)</f>
        <v>0</v>
      </c>
      <c r="S18" s="109"/>
    </row>
    <row r="19" spans="1:19" ht="12" customHeight="1" x14ac:dyDescent="0.25">
      <c r="A19" s="22"/>
      <c r="B19" s="48" t="s">
        <v>116</v>
      </c>
      <c r="C19" s="47" t="str">
        <f t="shared" si="0"/>
        <v>USD10MD_Mx_Quote</v>
      </c>
      <c r="D19" s="47" t="str">
        <f>_xll.qlSimpleQuote(C19,,RateTickValue,Permanent,Trigger,ObjectOverwrite)</f>
        <v>USD10MD_Mx_Quote#0012</v>
      </c>
      <c r="E19" s="46" t="str">
        <f>_xll.ohRangeRetrieveError(D19)</f>
        <v/>
      </c>
      <c r="F19" s="45"/>
      <c r="G19" s="44"/>
      <c r="H19" s="58"/>
      <c r="I19" s="126" t="s">
        <v>10</v>
      </c>
      <c r="J19" s="125" t="str">
        <f t="shared" si="1"/>
        <v>USDX10MD=</v>
      </c>
      <c r="K19" s="124">
        <v>0.57922445700000003</v>
      </c>
      <c r="L19" s="124">
        <v>0.58922445700000003</v>
      </c>
      <c r="M19" s="124">
        <f t="shared" si="2"/>
        <v>0.58422445700000003</v>
      </c>
      <c r="N19" s="122"/>
      <c r="O19" s="123">
        <v>0.47602622999999999</v>
      </c>
      <c r="P19" s="122"/>
      <c r="Q19" s="168">
        <v>0.58422445700000003</v>
      </c>
      <c r="R19" s="119">
        <f>_xll.qlSimpleQuoteSetValue(D19,Q19/100,Trigger)</f>
        <v>0</v>
      </c>
      <c r="S19" s="109"/>
    </row>
    <row r="20" spans="1:19" ht="12" customHeight="1" x14ac:dyDescent="0.25">
      <c r="A20" s="22"/>
      <c r="B20" s="48" t="s">
        <v>115</v>
      </c>
      <c r="C20" s="47" t="str">
        <f t="shared" si="0"/>
        <v>USD11MD_Mx_Quote</v>
      </c>
      <c r="D20" s="47" t="str">
        <f>_xll.qlSimpleQuote(C20,,RateTickValue,Permanent,Trigger,ObjectOverwrite)</f>
        <v>USD11MD_Mx_Quote#0012</v>
      </c>
      <c r="E20" s="46" t="str">
        <f>_xll.ohRangeRetrieveError(D20)</f>
        <v/>
      </c>
      <c r="F20" s="45"/>
      <c r="G20" s="44"/>
      <c r="H20" s="58"/>
      <c r="I20" s="126" t="s">
        <v>9</v>
      </c>
      <c r="J20" s="125" t="str">
        <f t="shared" si="1"/>
        <v>USDX11MD=</v>
      </c>
      <c r="K20" s="124">
        <v>0.62391793500000003</v>
      </c>
      <c r="L20" s="124">
        <v>0.63391793500000004</v>
      </c>
      <c r="M20" s="124">
        <f t="shared" si="2"/>
        <v>0.62891793500000004</v>
      </c>
      <c r="N20" s="122"/>
      <c r="O20" s="123">
        <v>0.51265655700000001</v>
      </c>
      <c r="P20" s="122"/>
      <c r="Q20" s="168">
        <v>0.62891793500000004</v>
      </c>
      <c r="R20" s="119">
        <f>_xll.qlSimpleQuoteSetValue(D20,Q20/100,Trigger)</f>
        <v>0</v>
      </c>
      <c r="S20" s="109"/>
    </row>
    <row r="21" spans="1:19" ht="12" customHeight="1" x14ac:dyDescent="0.25">
      <c r="A21" s="22"/>
      <c r="B21" s="48" t="s">
        <v>114</v>
      </c>
      <c r="C21" s="47" t="str">
        <f t="shared" si="0"/>
        <v>USD1YD_Mx_Quote</v>
      </c>
      <c r="D21" s="47" t="str">
        <f>_xll.qlSimpleQuote(C21,,RateTickValue,Permanent,Trigger,ObjectOverwrite)</f>
        <v>USD1YD_Mx_Quote#0012</v>
      </c>
      <c r="E21" s="46" t="str">
        <f>_xll.ohRangeRetrieveError(D21)</f>
        <v/>
      </c>
      <c r="F21" s="45"/>
      <c r="G21" s="44"/>
      <c r="H21" s="58"/>
      <c r="I21" s="126" t="s">
        <v>8</v>
      </c>
      <c r="J21" s="125" t="str">
        <f t="shared" si="1"/>
        <v>USDX1YD=</v>
      </c>
      <c r="K21" s="131">
        <v>0.6734</v>
      </c>
      <c r="L21" s="131">
        <v>0.68340000000000001</v>
      </c>
      <c r="M21" s="131">
        <f t="shared" si="2"/>
        <v>0.6784</v>
      </c>
      <c r="N21" s="122"/>
      <c r="O21" s="123">
        <v>0.55054999999999998</v>
      </c>
      <c r="P21" s="122"/>
      <c r="Q21" s="161">
        <v>0.6784</v>
      </c>
      <c r="R21" s="128">
        <f>_xll.qlSimpleQuoteSetValue(D21,Q21/100,Trigger)</f>
        <v>0</v>
      </c>
      <c r="S21" s="109"/>
    </row>
    <row r="22" spans="1:19" ht="12" customHeight="1" x14ac:dyDescent="0.25">
      <c r="A22" s="22"/>
      <c r="B22" s="298"/>
      <c r="C22" s="47" t="str">
        <f>Currency&amp;"_STUB_Quote"</f>
        <v>USD_STUB_Quote</v>
      </c>
      <c r="D22" s="47" t="str">
        <f>_xll.qlSimpleQuote(C22,,RateTickValue,Permanent,Trigger,ObjectOverwrite)</f>
        <v>USD_STUB_Quote#0012</v>
      </c>
      <c r="E22" s="46" t="str">
        <f>_xll.ohRangeRetrieveError(D22)</f>
        <v/>
      </c>
      <c r="F22" s="45"/>
      <c r="G22" s="44"/>
      <c r="H22" s="58"/>
      <c r="I22" s="295"/>
      <c r="J22" s="296" t="s">
        <v>262</v>
      </c>
      <c r="K22" s="131">
        <v>0.40981630400000002</v>
      </c>
      <c r="L22" s="131">
        <v>0.42981630400000004</v>
      </c>
      <c r="M22" s="131">
        <f t="shared" si="2"/>
        <v>0.41981630400000003</v>
      </c>
      <c r="N22" s="122"/>
      <c r="O22" s="297">
        <v>0.39897622999999999</v>
      </c>
      <c r="P22" s="122"/>
      <c r="Q22" s="161">
        <v>0.41981630400000003</v>
      </c>
      <c r="R22" s="128">
        <f>_xll.qlSimpleQuoteSetValue(D22,Q22/100,Trigger)</f>
        <v>0</v>
      </c>
      <c r="S22" s="109"/>
    </row>
    <row r="23" spans="1:19" ht="12" customHeight="1" thickBot="1" x14ac:dyDescent="0.3">
      <c r="A23" s="15"/>
      <c r="B23" s="14"/>
      <c r="C23" s="14"/>
      <c r="D23" s="14"/>
      <c r="E23" s="14"/>
      <c r="F23" s="12"/>
      <c r="G23" s="44"/>
      <c r="H23" s="8"/>
      <c r="I23" s="118"/>
      <c r="J23" s="118"/>
      <c r="K23" s="7"/>
      <c r="L23" s="7"/>
      <c r="M23" s="7"/>
      <c r="N23" s="7"/>
      <c r="O23" s="118"/>
      <c r="P23" s="7"/>
      <c r="Q23" s="118"/>
      <c r="R23" s="118"/>
      <c r="S23" s="6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/>
  </sheetViews>
  <sheetFormatPr defaultRowHeight="12.75" x14ac:dyDescent="0.2"/>
  <cols>
    <col min="1" max="1" width="2.7109375" style="2" customWidth="1"/>
    <col min="2" max="2" width="6.5703125" style="56" bestFit="1" customWidth="1"/>
    <col min="3" max="3" width="21.85546875" style="2" bestFit="1" customWidth="1"/>
    <col min="4" max="4" width="26.28515625" style="55" bestFit="1" customWidth="1"/>
    <col min="5" max="5" width="38.28515625" style="2" customWidth="1"/>
    <col min="6" max="9" width="2.7109375" style="2" customWidth="1"/>
    <col min="10" max="10" width="9.140625" style="221"/>
    <col min="11" max="11" width="17.5703125" style="2" bestFit="1" customWidth="1"/>
    <col min="12" max="14" width="9.140625" style="2"/>
    <col min="15" max="15" width="2.7109375" style="2" customWidth="1"/>
    <col min="16" max="16" width="9.140625" style="2"/>
    <col min="17" max="17" width="2.7109375" style="2" customWidth="1"/>
    <col min="18" max="19" width="9.140625" style="2"/>
    <col min="20" max="21" width="2.7109375" style="2" customWidth="1"/>
    <col min="22" max="16384" width="9.140625" style="2"/>
  </cols>
  <sheetData>
    <row r="1" spans="1:26" ht="13.5" thickBot="1" x14ac:dyDescent="0.25">
      <c r="I1" s="58"/>
      <c r="J1" s="122"/>
      <c r="K1" s="99"/>
      <c r="L1" s="99"/>
      <c r="M1" s="99"/>
      <c r="N1" s="60"/>
      <c r="O1" s="122"/>
      <c r="P1" s="122"/>
      <c r="Q1" s="122"/>
      <c r="R1" s="60"/>
      <c r="S1" s="143">
        <f>_xll.ohTrigger(S3:S40)</f>
        <v>660</v>
      </c>
      <c r="T1" s="109"/>
      <c r="U1" s="3"/>
      <c r="V1" s="3"/>
      <c r="W1" s="3"/>
      <c r="X1" s="3"/>
      <c r="Y1" s="3"/>
      <c r="Z1" s="3"/>
    </row>
    <row r="2" spans="1:26" x14ac:dyDescent="0.2">
      <c r="A2" s="108"/>
      <c r="B2" s="99"/>
      <c r="C2" s="97"/>
      <c r="D2" s="98"/>
      <c r="E2" s="97"/>
      <c r="F2" s="96"/>
      <c r="I2" s="58"/>
      <c r="J2" s="158"/>
      <c r="K2" s="117" t="str">
        <f>_xll.RData(Instruments,L2:M2,"RTFEED:DTSIMI1",ReutersRtMode,,L3)</f>
        <v>Updated at 17:02:05</v>
      </c>
      <c r="L2" s="157" t="s">
        <v>179</v>
      </c>
      <c r="M2" s="157" t="s">
        <v>178</v>
      </c>
      <c r="N2" s="139" t="s">
        <v>198</v>
      </c>
      <c r="O2" s="122"/>
      <c r="P2" s="141" t="s">
        <v>195</v>
      </c>
      <c r="Q2" s="122"/>
      <c r="R2" s="220" t="s">
        <v>194</v>
      </c>
      <c r="S2" s="36" t="s">
        <v>193</v>
      </c>
      <c r="T2" s="109"/>
      <c r="U2" s="3"/>
      <c r="V2" s="3"/>
      <c r="W2" s="3"/>
      <c r="X2" s="3"/>
      <c r="Y2" s="3"/>
      <c r="Z2" s="156"/>
    </row>
    <row r="3" spans="1:26" x14ac:dyDescent="0.2">
      <c r="A3" s="58"/>
      <c r="B3" s="35"/>
      <c r="C3" s="34"/>
      <c r="D3" s="33"/>
      <c r="E3" s="17" t="str">
        <f>_xll.ohRangeRetrieveError(D3)</f>
        <v/>
      </c>
      <c r="F3" s="9"/>
      <c r="I3" s="58"/>
      <c r="J3" s="126" t="s">
        <v>14</v>
      </c>
      <c r="K3" s="152" t="str">
        <f t="shared" ref="K3:K40" si="0">Currency&amp;"_CURVE_3M_"&amp;J3</f>
        <v>USD_CURVE_3M_6M</v>
      </c>
      <c r="L3" s="120" t="s">
        <v>261</v>
      </c>
      <c r="M3" s="120" t="s">
        <v>261</v>
      </c>
      <c r="N3" s="124" t="e">
        <f>AVERAGE(L3,M3)</f>
        <v>#DIV/0!</v>
      </c>
      <c r="O3" s="122"/>
      <c r="P3" s="123" t="e">
        <v>#DIV/0!</v>
      </c>
      <c r="Q3" s="122"/>
      <c r="R3" s="168" t="e">
        <f t="array" ref="R3:R40">QuoteLive</f>
        <v>#DIV/0!</v>
      </c>
      <c r="S3" s="119" t="e">
        <f>_xll.qlSimpleQuoteSetValue(D3,R3/100,Trigger)</f>
        <v>#NUM!</v>
      </c>
      <c r="T3" s="109"/>
      <c r="U3" s="3"/>
      <c r="V3" s="3"/>
      <c r="W3" s="3"/>
      <c r="X3" s="3"/>
      <c r="Y3" s="3"/>
      <c r="Z3" s="148"/>
    </row>
    <row r="4" spans="1:26" x14ac:dyDescent="0.2">
      <c r="A4" s="58"/>
      <c r="B4" s="93" t="s">
        <v>8</v>
      </c>
      <c r="C4" s="18" t="str">
        <f t="shared" ref="C4:C40" si="1">Currency&amp;"_CURVE_3M_"&amp;B4&amp;QuoteSuffix</f>
        <v>USD_CURVE_3M_1Y_Quote</v>
      </c>
      <c r="D4" s="18" t="str">
        <f>_xll.qlSimpleQuote(C4,,RateTickValue,Permanent,Trigger,ObjectOverwrite)</f>
        <v>USD_CURVE_3M_1Y_Quote#0012</v>
      </c>
      <c r="E4" s="4" t="str">
        <f>_xll.ohRangeRetrieveError(D4)</f>
        <v/>
      </c>
      <c r="F4" s="9"/>
      <c r="I4" s="58"/>
      <c r="J4" s="126" t="s">
        <v>8</v>
      </c>
      <c r="K4" s="152" t="str">
        <f t="shared" si="0"/>
        <v>USD_CURVE_3M_1Y</v>
      </c>
      <c r="L4" s="120">
        <v>0.47624888500000001</v>
      </c>
      <c r="M4" s="120">
        <v>0.47624888500000001</v>
      </c>
      <c r="N4" s="124">
        <f t="shared" ref="N4:N40" si="2">AVERAGE(L4,M4)</f>
        <v>0.47624888500000001</v>
      </c>
      <c r="O4" s="122"/>
      <c r="P4" s="123">
        <v>0.31186784699999998</v>
      </c>
      <c r="Q4" s="122"/>
      <c r="R4" s="168">
        <v>0.47624888500000001</v>
      </c>
      <c r="S4" s="119">
        <f>_xll.qlSimpleQuoteSetValue(D4,R4/100,Trigger)</f>
        <v>0</v>
      </c>
      <c r="T4" s="109"/>
      <c r="U4" s="3"/>
      <c r="V4" s="3"/>
      <c r="W4" s="3"/>
      <c r="X4" s="3"/>
      <c r="Y4" s="3"/>
      <c r="Z4" s="148"/>
    </row>
    <row r="5" spans="1:26" x14ac:dyDescent="0.2">
      <c r="A5" s="58"/>
      <c r="B5" s="92" t="s">
        <v>104</v>
      </c>
      <c r="C5" s="18" t="str">
        <f t="shared" si="1"/>
        <v>USD_CURVE_3M_15M_Quote</v>
      </c>
      <c r="D5" s="18" t="str">
        <f>_xll.qlSimpleQuote(C5,,RateTickValue,Permanent,Trigger,ObjectOverwrite)</f>
        <v>USD_CURVE_3M_15M_Quote#0012</v>
      </c>
      <c r="E5" s="89" t="str">
        <f>_xll.ohRangeRetrieveError(D5)</f>
        <v/>
      </c>
      <c r="F5" s="9"/>
      <c r="I5" s="58"/>
      <c r="J5" s="126" t="s">
        <v>104</v>
      </c>
      <c r="K5" s="152" t="str">
        <f t="shared" si="0"/>
        <v>USD_CURVE_3M_15M</v>
      </c>
      <c r="L5" s="120" t="s">
        <v>261</v>
      </c>
      <c r="M5" s="120" t="s">
        <v>261</v>
      </c>
      <c r="N5" s="124" t="e">
        <f t="shared" si="2"/>
        <v>#DIV/0!</v>
      </c>
      <c r="O5" s="122"/>
      <c r="P5" s="123" t="e">
        <v>#DIV/0!</v>
      </c>
      <c r="Q5" s="122"/>
      <c r="R5" s="168" t="e">
        <v>#DIV/0!</v>
      </c>
      <c r="S5" s="119">
        <f>_xll.qlSimpleQuoteSetValue(D5,R5/100,Trigger)</f>
        <v>0</v>
      </c>
      <c r="T5" s="109"/>
      <c r="U5" s="3"/>
      <c r="V5" s="3"/>
      <c r="W5" s="3"/>
      <c r="X5" s="3"/>
      <c r="Y5" s="3"/>
      <c r="Z5" s="148"/>
    </row>
    <row r="6" spans="1:26" x14ac:dyDescent="0.2">
      <c r="A6" s="58"/>
      <c r="B6" s="92" t="s">
        <v>103</v>
      </c>
      <c r="C6" s="18" t="str">
        <f t="shared" si="1"/>
        <v>USD_CURVE_3M_18M_Quote</v>
      </c>
      <c r="D6" s="18" t="str">
        <f>_xll.qlSimpleQuote(C6,,RateTickValue,Permanent,Trigger,ObjectOverwrite)</f>
        <v>USD_CURVE_3M_18M_Quote#0012</v>
      </c>
      <c r="E6" s="89" t="str">
        <f>_xll.ohRangeRetrieveError(D6)</f>
        <v/>
      </c>
      <c r="F6" s="9"/>
      <c r="I6" s="58"/>
      <c r="J6" s="126" t="s">
        <v>103</v>
      </c>
      <c r="K6" s="152" t="str">
        <f t="shared" si="0"/>
        <v>USD_CURVE_3M_18M</v>
      </c>
      <c r="L6" s="120" t="s">
        <v>261</v>
      </c>
      <c r="M6" s="120" t="s">
        <v>261</v>
      </c>
      <c r="N6" s="124" t="e">
        <f t="shared" si="2"/>
        <v>#DIV/0!</v>
      </c>
      <c r="O6" s="122"/>
      <c r="P6" s="123" t="e">
        <v>#DIV/0!</v>
      </c>
      <c r="Q6" s="122"/>
      <c r="R6" s="168" t="e">
        <v>#DIV/0!</v>
      </c>
      <c r="S6" s="119">
        <f>_xll.qlSimpleQuoteSetValue(D6,R6/100,Trigger)</f>
        <v>0</v>
      </c>
      <c r="T6" s="109"/>
      <c r="U6" s="3"/>
      <c r="V6" s="3"/>
      <c r="W6" s="3"/>
      <c r="X6" s="3"/>
      <c r="Y6" s="3"/>
      <c r="Z6" s="148"/>
    </row>
    <row r="7" spans="1:26" x14ac:dyDescent="0.2">
      <c r="A7" s="58"/>
      <c r="B7" s="92" t="s">
        <v>102</v>
      </c>
      <c r="C7" s="18" t="str">
        <f t="shared" si="1"/>
        <v>USD_CURVE_3M_21M_Quote</v>
      </c>
      <c r="D7" s="18" t="str">
        <f>_xll.qlSimpleQuote(C7,,RateTickValue,Permanent,Trigger,ObjectOverwrite)</f>
        <v>USD_CURVE_3M_21M_Quote#0012</v>
      </c>
      <c r="E7" s="89" t="str">
        <f>_xll.ohRangeRetrieveError(D7)</f>
        <v/>
      </c>
      <c r="F7" s="9"/>
      <c r="I7" s="58"/>
      <c r="J7" s="126" t="s">
        <v>102</v>
      </c>
      <c r="K7" s="152" t="str">
        <f t="shared" si="0"/>
        <v>USD_CURVE_3M_21M</v>
      </c>
      <c r="L7" s="120" t="s">
        <v>261</v>
      </c>
      <c r="M7" s="120" t="s">
        <v>261</v>
      </c>
      <c r="N7" s="124" t="e">
        <f t="shared" si="2"/>
        <v>#DIV/0!</v>
      </c>
      <c r="O7" s="122"/>
      <c r="P7" s="123" t="e">
        <v>#DIV/0!</v>
      </c>
      <c r="Q7" s="122"/>
      <c r="R7" s="168" t="e">
        <v>#DIV/0!</v>
      </c>
      <c r="S7" s="119">
        <f>_xll.qlSimpleQuoteSetValue(D7,R7/100,Trigger)</f>
        <v>0</v>
      </c>
      <c r="T7" s="109"/>
      <c r="U7" s="3"/>
      <c r="V7" s="3"/>
      <c r="W7" s="3"/>
      <c r="X7" s="3"/>
      <c r="Y7" s="3"/>
      <c r="Z7" s="148"/>
    </row>
    <row r="8" spans="1:26" x14ac:dyDescent="0.2">
      <c r="A8" s="58"/>
      <c r="B8" s="92" t="s">
        <v>84</v>
      </c>
      <c r="C8" s="18" t="str">
        <f t="shared" si="1"/>
        <v>USD_CURVE_3M_2Y_Quote</v>
      </c>
      <c r="D8" s="18" t="str">
        <f>_xll.qlSimpleQuote(C8,,RateTickValue,Permanent,Trigger,ObjectOverwrite)</f>
        <v>USD_CURVE_3M_2Y_Quote#0012</v>
      </c>
      <c r="E8" s="89" t="str">
        <f>_xll.ohRangeRetrieveError(D8)</f>
        <v/>
      </c>
      <c r="F8" s="9"/>
      <c r="I8" s="58"/>
      <c r="J8" s="126" t="s">
        <v>84</v>
      </c>
      <c r="K8" s="152" t="str">
        <f t="shared" si="0"/>
        <v>USD_CURVE_3M_2Y</v>
      </c>
      <c r="L8" s="120">
        <v>0.89080942800000007</v>
      </c>
      <c r="M8" s="120">
        <v>0.89080942800000007</v>
      </c>
      <c r="N8" s="124">
        <f t="shared" si="2"/>
        <v>0.89080942800000007</v>
      </c>
      <c r="O8" s="122"/>
      <c r="P8" s="123">
        <v>0.70405521100000001</v>
      </c>
      <c r="Q8" s="122"/>
      <c r="R8" s="168">
        <v>0.89080942800000007</v>
      </c>
      <c r="S8" s="119">
        <f>_xll.qlSimpleQuoteSetValue(D8,R8/100,Trigger)</f>
        <v>0</v>
      </c>
      <c r="T8" s="109"/>
      <c r="U8" s="3"/>
      <c r="V8" s="3"/>
      <c r="W8" s="3"/>
      <c r="X8" s="3"/>
      <c r="Y8" s="3"/>
      <c r="Z8" s="148"/>
    </row>
    <row r="9" spans="1:26" x14ac:dyDescent="0.2">
      <c r="A9" s="58"/>
      <c r="B9" s="92" t="s">
        <v>83</v>
      </c>
      <c r="C9" s="18" t="str">
        <f t="shared" si="1"/>
        <v>USD_CURVE_3M_3Y_Quote</v>
      </c>
      <c r="D9" s="18" t="str">
        <f>_xll.qlSimpleQuote(C9,,RateTickValue,Permanent,Trigger,ObjectOverwrite)</f>
        <v>USD_CURVE_3M_3Y_Quote#0012</v>
      </c>
      <c r="E9" s="89" t="str">
        <f>_xll.ohRangeRetrieveError(D9)</f>
        <v/>
      </c>
      <c r="F9" s="9"/>
      <c r="I9" s="58"/>
      <c r="J9" s="126" t="s">
        <v>83</v>
      </c>
      <c r="K9" s="152" t="str">
        <f t="shared" si="0"/>
        <v>USD_CURVE_3M_3Y</v>
      </c>
      <c r="L9" s="120">
        <v>1.242</v>
      </c>
      <c r="M9" s="120">
        <v>1.242</v>
      </c>
      <c r="N9" s="124">
        <f t="shared" si="2"/>
        <v>1.242</v>
      </c>
      <c r="O9" s="122"/>
      <c r="P9" s="123">
        <v>1.129</v>
      </c>
      <c r="Q9" s="122"/>
      <c r="R9" s="168">
        <v>1.242</v>
      </c>
      <c r="S9" s="119">
        <f>_xll.qlSimpleQuoteSetValue(D9,R9/100,Trigger)</f>
        <v>0</v>
      </c>
      <c r="T9" s="109"/>
      <c r="U9" s="3"/>
      <c r="V9" s="3"/>
      <c r="W9" s="3"/>
      <c r="X9" s="3"/>
      <c r="Y9" s="3"/>
      <c r="Z9" s="148"/>
    </row>
    <row r="10" spans="1:26" x14ac:dyDescent="0.2">
      <c r="A10" s="58"/>
      <c r="B10" s="92" t="s">
        <v>82</v>
      </c>
      <c r="C10" s="18" t="str">
        <f t="shared" si="1"/>
        <v>USD_CURVE_3M_4Y_Quote</v>
      </c>
      <c r="D10" s="18" t="str">
        <f>_xll.qlSimpleQuote(C10,,RateTickValue,Permanent,Trigger,ObjectOverwrite)</f>
        <v>USD_CURVE_3M_4Y_Quote#0012</v>
      </c>
      <c r="E10" s="89" t="str">
        <f>_xll.ohRangeRetrieveError(D10)</f>
        <v/>
      </c>
      <c r="F10" s="9"/>
      <c r="I10" s="58"/>
      <c r="J10" s="126" t="s">
        <v>82</v>
      </c>
      <c r="K10" s="152" t="str">
        <f t="shared" si="0"/>
        <v>USD_CURVE_3M_4Y</v>
      </c>
      <c r="L10" s="120">
        <v>1.504</v>
      </c>
      <c r="M10" s="120">
        <v>1.504</v>
      </c>
      <c r="N10" s="124">
        <f t="shared" si="2"/>
        <v>1.504</v>
      </c>
      <c r="O10" s="122"/>
      <c r="P10" s="123">
        <v>1.468</v>
      </c>
      <c r="Q10" s="122"/>
      <c r="R10" s="168">
        <v>1.504</v>
      </c>
      <c r="S10" s="119">
        <f>_xll.qlSimpleQuoteSetValue(D10,R10/100,Trigger)</f>
        <v>0</v>
      </c>
      <c r="T10" s="109"/>
      <c r="U10" s="3"/>
      <c r="V10" s="3"/>
      <c r="W10" s="3"/>
      <c r="X10" s="3"/>
      <c r="Y10" s="3"/>
      <c r="Z10" s="148"/>
    </row>
    <row r="11" spans="1:26" x14ac:dyDescent="0.2">
      <c r="A11" s="58"/>
      <c r="B11" s="92" t="s">
        <v>81</v>
      </c>
      <c r="C11" s="18" t="str">
        <f t="shared" si="1"/>
        <v>USD_CURVE_3M_5Y_Quote</v>
      </c>
      <c r="D11" s="18" t="str">
        <f>_xll.qlSimpleQuote(C11,,RateTickValue,Permanent,Trigger,ObjectOverwrite)</f>
        <v>USD_CURVE_3M_5Y_Quote#0012</v>
      </c>
      <c r="E11" s="89" t="str">
        <f>_xll.ohRangeRetrieveError(D11)</f>
        <v/>
      </c>
      <c r="F11" s="9"/>
      <c r="I11" s="58"/>
      <c r="J11" s="126" t="s">
        <v>81</v>
      </c>
      <c r="K11" s="152" t="str">
        <f t="shared" si="0"/>
        <v>USD_CURVE_3M_5Y</v>
      </c>
      <c r="L11" s="120">
        <v>1.6970000000000001</v>
      </c>
      <c r="M11" s="120">
        <v>1.6970000000000001</v>
      </c>
      <c r="N11" s="124">
        <f t="shared" si="2"/>
        <v>1.6970000000000001</v>
      </c>
      <c r="O11" s="122"/>
      <c r="P11" s="123">
        <v>1.7230000000000001</v>
      </c>
      <c r="Q11" s="122"/>
      <c r="R11" s="168">
        <v>1.6970000000000001</v>
      </c>
      <c r="S11" s="119">
        <f>_xll.qlSimpleQuoteSetValue(D11,R11/100,Trigger)</f>
        <v>0</v>
      </c>
      <c r="T11" s="109"/>
      <c r="U11" s="3"/>
      <c r="V11" s="3"/>
      <c r="W11" s="3"/>
      <c r="X11" s="3"/>
      <c r="Y11" s="3"/>
      <c r="Z11" s="148"/>
    </row>
    <row r="12" spans="1:26" x14ac:dyDescent="0.2">
      <c r="A12" s="58"/>
      <c r="B12" s="92" t="s">
        <v>80</v>
      </c>
      <c r="C12" s="18" t="str">
        <f t="shared" si="1"/>
        <v>USD_CURVE_3M_6Y_Quote</v>
      </c>
      <c r="D12" s="18" t="str">
        <f>_xll.qlSimpleQuote(C12,,RateTickValue,Permanent,Trigger,ObjectOverwrite)</f>
        <v>USD_CURVE_3M_6Y_Quote#0012</v>
      </c>
      <c r="E12" s="89" t="str">
        <f>_xll.ohRangeRetrieveError(D12)</f>
        <v/>
      </c>
      <c r="F12" s="9"/>
      <c r="I12" s="58"/>
      <c r="J12" s="126" t="s">
        <v>80</v>
      </c>
      <c r="K12" s="152" t="str">
        <f t="shared" si="0"/>
        <v>USD_CURVE_3M_6Y</v>
      </c>
      <c r="L12" s="120">
        <v>1.8440000000000001</v>
      </c>
      <c r="M12" s="120">
        <v>1.8440000000000001</v>
      </c>
      <c r="N12" s="124">
        <f t="shared" si="2"/>
        <v>1.8440000000000001</v>
      </c>
      <c r="O12" s="122"/>
      <c r="P12" s="123">
        <v>1.921</v>
      </c>
      <c r="Q12" s="122"/>
      <c r="R12" s="168">
        <v>1.8440000000000001</v>
      </c>
      <c r="S12" s="119">
        <f>_xll.qlSimpleQuoteSetValue(D12,R12/100,Trigger)</f>
        <v>0</v>
      </c>
      <c r="T12" s="109"/>
      <c r="U12" s="3"/>
      <c r="V12" s="3"/>
      <c r="W12" s="3"/>
      <c r="X12" s="3"/>
      <c r="Y12" s="3"/>
      <c r="Z12" s="148"/>
    </row>
    <row r="13" spans="1:26" x14ac:dyDescent="0.2">
      <c r="A13" s="58"/>
      <c r="B13" s="92" t="s">
        <v>79</v>
      </c>
      <c r="C13" s="18" t="str">
        <f t="shared" si="1"/>
        <v>USD_CURVE_3M_7Y_Quote</v>
      </c>
      <c r="D13" s="18" t="str">
        <f>_xll.qlSimpleQuote(C13,,RateTickValue,Permanent,Trigger,ObjectOverwrite)</f>
        <v>USD_CURVE_3M_7Y_Quote#0012</v>
      </c>
      <c r="E13" s="89" t="str">
        <f>_xll.ohRangeRetrieveError(D13)</f>
        <v/>
      </c>
      <c r="F13" s="9"/>
      <c r="I13" s="58"/>
      <c r="J13" s="126" t="s">
        <v>79</v>
      </c>
      <c r="K13" s="152" t="str">
        <f t="shared" si="0"/>
        <v>USD_CURVE_3M_7Y</v>
      </c>
      <c r="L13" s="120">
        <v>1.96</v>
      </c>
      <c r="M13" s="120">
        <v>1.96</v>
      </c>
      <c r="N13" s="124">
        <f t="shared" si="2"/>
        <v>1.96</v>
      </c>
      <c r="O13" s="122"/>
      <c r="P13" s="123">
        <v>2.0840000000000001</v>
      </c>
      <c r="Q13" s="122"/>
      <c r="R13" s="168">
        <v>1.96</v>
      </c>
      <c r="S13" s="119">
        <f>_xll.qlSimpleQuoteSetValue(D13,R13/100,Trigger)</f>
        <v>0</v>
      </c>
      <c r="T13" s="109"/>
      <c r="U13" s="3"/>
      <c r="V13" s="3"/>
      <c r="W13" s="3"/>
      <c r="X13" s="3"/>
      <c r="Y13" s="3"/>
      <c r="Z13" s="148"/>
    </row>
    <row r="14" spans="1:26" x14ac:dyDescent="0.2">
      <c r="A14" s="58"/>
      <c r="B14" s="92" t="s">
        <v>78</v>
      </c>
      <c r="C14" s="18" t="str">
        <f t="shared" si="1"/>
        <v>USD_CURVE_3M_8Y_Quote</v>
      </c>
      <c r="D14" s="18" t="str">
        <f>_xll.qlSimpleQuote(C14,,RateTickValue,Permanent,Trigger,ObjectOverwrite)</f>
        <v>USD_CURVE_3M_8Y_Quote#0012</v>
      </c>
      <c r="E14" s="89" t="str">
        <f>_xll.ohRangeRetrieveError(D14)</f>
        <v/>
      </c>
      <c r="F14" s="9"/>
      <c r="I14" s="58"/>
      <c r="J14" s="126" t="s">
        <v>78</v>
      </c>
      <c r="K14" s="152" t="str">
        <f t="shared" si="0"/>
        <v>USD_CURVE_3M_8Y</v>
      </c>
      <c r="L14" s="120">
        <v>2.0529999999999999</v>
      </c>
      <c r="M14" s="120">
        <v>2.0529999999999999</v>
      </c>
      <c r="N14" s="124">
        <f t="shared" si="2"/>
        <v>2.0529999999999999</v>
      </c>
      <c r="O14" s="122"/>
      <c r="P14" s="123">
        <v>2.2170000000000001</v>
      </c>
      <c r="Q14" s="122"/>
      <c r="R14" s="168">
        <v>2.0529999999999999</v>
      </c>
      <c r="S14" s="119">
        <f>_xll.qlSimpleQuoteSetValue(D14,R14/100,Trigger)</f>
        <v>0</v>
      </c>
      <c r="T14" s="109"/>
      <c r="U14" s="3"/>
      <c r="V14" s="3"/>
      <c r="W14" s="3"/>
      <c r="X14" s="3"/>
      <c r="Y14" s="3"/>
      <c r="Z14" s="148"/>
    </row>
    <row r="15" spans="1:26" x14ac:dyDescent="0.2">
      <c r="A15" s="58"/>
      <c r="B15" s="92" t="s">
        <v>77</v>
      </c>
      <c r="C15" s="18" t="str">
        <f t="shared" si="1"/>
        <v>USD_CURVE_3M_9Y_Quote</v>
      </c>
      <c r="D15" s="18" t="str">
        <f>_xll.qlSimpleQuote(C15,,RateTickValue,Permanent,Trigger,ObjectOverwrite)</f>
        <v>USD_CURVE_3M_9Y_Quote#0012</v>
      </c>
      <c r="E15" s="89" t="str">
        <f>_xll.ohRangeRetrieveError(D15)</f>
        <v/>
      </c>
      <c r="F15" s="9"/>
      <c r="I15" s="58"/>
      <c r="J15" s="126" t="s">
        <v>77</v>
      </c>
      <c r="K15" s="152" t="str">
        <f t="shared" si="0"/>
        <v>USD_CURVE_3M_9Y</v>
      </c>
      <c r="L15" s="120">
        <v>2.1280000000000001</v>
      </c>
      <c r="M15" s="120">
        <v>2.1280000000000001</v>
      </c>
      <c r="N15" s="124">
        <f t="shared" si="2"/>
        <v>2.1280000000000001</v>
      </c>
      <c r="O15" s="122"/>
      <c r="P15" s="123">
        <v>2.331</v>
      </c>
      <c r="Q15" s="122"/>
      <c r="R15" s="168">
        <v>2.1280000000000001</v>
      </c>
      <c r="S15" s="119">
        <f>_xll.qlSimpleQuoteSetValue(D15,R15/100,Trigger)</f>
        <v>0</v>
      </c>
      <c r="T15" s="109"/>
      <c r="U15" s="3"/>
      <c r="V15" s="3"/>
      <c r="W15" s="3"/>
      <c r="X15" s="3"/>
      <c r="Y15" s="3"/>
      <c r="Z15" s="148"/>
    </row>
    <row r="16" spans="1:26" x14ac:dyDescent="0.2">
      <c r="A16" s="58"/>
      <c r="B16" s="92" t="s">
        <v>76</v>
      </c>
      <c r="C16" s="18" t="str">
        <f t="shared" si="1"/>
        <v>USD_CURVE_3M_10Y_Quote</v>
      </c>
      <c r="D16" s="18" t="str">
        <f>_xll.qlSimpleQuote(C16,,RateTickValue,Permanent,Trigger,ObjectOverwrite)</f>
        <v>USD_CURVE_3M_10Y_Quote#0012</v>
      </c>
      <c r="E16" s="89" t="str">
        <f>_xll.ohRangeRetrieveError(D16)</f>
        <v/>
      </c>
      <c r="F16" s="9"/>
      <c r="I16" s="58"/>
      <c r="J16" s="126" t="s">
        <v>76</v>
      </c>
      <c r="K16" s="152" t="str">
        <f t="shared" si="0"/>
        <v>USD_CURVE_3M_10Y</v>
      </c>
      <c r="L16" s="120">
        <v>2.1909999999999998</v>
      </c>
      <c r="M16" s="120">
        <v>2.1909999999999998</v>
      </c>
      <c r="N16" s="124">
        <f t="shared" si="2"/>
        <v>2.1909999999999998</v>
      </c>
      <c r="O16" s="122"/>
      <c r="P16" s="123">
        <v>2.427</v>
      </c>
      <c r="Q16" s="122"/>
      <c r="R16" s="168">
        <v>2.1909999999999998</v>
      </c>
      <c r="S16" s="119">
        <f>_xll.qlSimpleQuoteSetValue(D16,R16/100,Trigger)</f>
        <v>9.9999999999995925E-6</v>
      </c>
      <c r="T16" s="109"/>
      <c r="U16" s="3"/>
      <c r="V16" s="3"/>
      <c r="W16" s="3"/>
      <c r="X16" s="3"/>
      <c r="Y16" s="3"/>
      <c r="Z16" s="148"/>
    </row>
    <row r="17" spans="1:26" x14ac:dyDescent="0.2">
      <c r="A17" s="58"/>
      <c r="B17" s="92" t="s">
        <v>75</v>
      </c>
      <c r="C17" s="18" t="str">
        <f t="shared" si="1"/>
        <v>USD_CURVE_3M_11Y_Quote</v>
      </c>
      <c r="D17" s="18" t="str">
        <f>_xll.qlSimpleQuote(C17,,RateTickValue,Permanent,Trigger,ObjectOverwrite)</f>
        <v>USD_CURVE_3M_11Y_Quote#0012</v>
      </c>
      <c r="E17" s="89" t="str">
        <f>_xll.ohRangeRetrieveError(D17)</f>
        <v/>
      </c>
      <c r="F17" s="9"/>
      <c r="I17" s="58"/>
      <c r="J17" s="126" t="s">
        <v>75</v>
      </c>
      <c r="K17" s="152" t="str">
        <f t="shared" si="0"/>
        <v>USD_CURVE_3M_11Y</v>
      </c>
      <c r="L17" s="120">
        <v>2.2466954590000001</v>
      </c>
      <c r="M17" s="120">
        <v>2.2466954590000001</v>
      </c>
      <c r="N17" s="124">
        <f t="shared" si="2"/>
        <v>2.2466954590000001</v>
      </c>
      <c r="O17" s="122"/>
      <c r="P17" s="123">
        <v>2.5114326</v>
      </c>
      <c r="Q17" s="122"/>
      <c r="R17" s="168">
        <v>2.2466954590000001</v>
      </c>
      <c r="S17" s="119">
        <f>_xll.qlSimpleQuoteSetValue(D17,R17/100,Trigger)</f>
        <v>1.0716059999998917E-5</v>
      </c>
      <c r="T17" s="109"/>
      <c r="U17" s="3"/>
      <c r="V17" s="3"/>
      <c r="W17" s="3"/>
      <c r="X17" s="3"/>
      <c r="Y17" s="3"/>
      <c r="Z17" s="148"/>
    </row>
    <row r="18" spans="1:26" x14ac:dyDescent="0.2">
      <c r="A18" s="58"/>
      <c r="B18" s="92" t="s">
        <v>74</v>
      </c>
      <c r="C18" s="18" t="str">
        <f t="shared" si="1"/>
        <v>USD_CURVE_3M_12Y_Quote</v>
      </c>
      <c r="D18" s="18" t="str">
        <f>_xll.qlSimpleQuote(C18,,RateTickValue,Permanent,Trigger,ObjectOverwrite)</f>
        <v>USD_CURVE_3M_12Y_Quote#0012</v>
      </c>
      <c r="E18" s="89" t="str">
        <f>_xll.ohRangeRetrieveError(D18)</f>
        <v/>
      </c>
      <c r="F18" s="9"/>
      <c r="I18" s="58"/>
      <c r="J18" s="126" t="s">
        <v>74</v>
      </c>
      <c r="K18" s="152" t="str">
        <f t="shared" si="0"/>
        <v>USD_CURVE_3M_12Y</v>
      </c>
      <c r="L18" s="120">
        <v>2.2949999999999999</v>
      </c>
      <c r="M18" s="120">
        <v>2.2949999999999999</v>
      </c>
      <c r="N18" s="124">
        <f t="shared" si="2"/>
        <v>2.2949999999999999</v>
      </c>
      <c r="O18" s="122"/>
      <c r="P18" s="123">
        <v>2.585</v>
      </c>
      <c r="Q18" s="122"/>
      <c r="R18" s="168">
        <v>2.2949999999999999</v>
      </c>
      <c r="S18" s="119">
        <f>_xll.qlSimpleQuoteSetValue(D18,R18/100,Trigger)</f>
        <v>0</v>
      </c>
      <c r="T18" s="109"/>
      <c r="U18" s="3"/>
      <c r="V18" s="3"/>
      <c r="W18" s="3"/>
      <c r="X18" s="3"/>
      <c r="Y18" s="3"/>
      <c r="Z18" s="148"/>
    </row>
    <row r="19" spans="1:26" x14ac:dyDescent="0.2">
      <c r="A19" s="58"/>
      <c r="B19" s="92" t="s">
        <v>73</v>
      </c>
      <c r="C19" s="18" t="str">
        <f t="shared" si="1"/>
        <v>USD_CURVE_3M_13Y_Quote</v>
      </c>
      <c r="D19" s="18" t="str">
        <f>_xll.qlSimpleQuote(C19,,RateTickValue,Permanent,Trigger,ObjectOverwrite)</f>
        <v>USD_CURVE_3M_13Y_Quote#0012</v>
      </c>
      <c r="E19" s="89" t="str">
        <f>_xll.ohRangeRetrieveError(D19)</f>
        <v/>
      </c>
      <c r="F19" s="9"/>
      <c r="I19" s="58"/>
      <c r="J19" s="126" t="s">
        <v>73</v>
      </c>
      <c r="K19" s="152" t="str">
        <f t="shared" si="0"/>
        <v>USD_CURVE_3M_13Y</v>
      </c>
      <c r="L19" s="120">
        <v>2.335485212</v>
      </c>
      <c r="M19" s="120">
        <v>2.335485212</v>
      </c>
      <c r="N19" s="124">
        <f t="shared" si="2"/>
        <v>2.335485212</v>
      </c>
      <c r="O19" s="122"/>
      <c r="P19" s="123">
        <v>2.647976581</v>
      </c>
      <c r="Q19" s="122"/>
      <c r="R19" s="168">
        <v>2.335485212</v>
      </c>
      <c r="S19" s="119">
        <f>_xll.qlSimpleQuoteSetValue(D19,R19/100,Trigger)</f>
        <v>0</v>
      </c>
      <c r="T19" s="109"/>
      <c r="U19" s="3"/>
      <c r="V19" s="3"/>
      <c r="W19" s="3"/>
      <c r="X19" s="3"/>
      <c r="Y19" s="3"/>
      <c r="Z19" s="148"/>
    </row>
    <row r="20" spans="1:26" x14ac:dyDescent="0.2">
      <c r="A20" s="58"/>
      <c r="B20" s="92" t="s">
        <v>72</v>
      </c>
      <c r="C20" s="18" t="str">
        <f t="shared" si="1"/>
        <v>USD_CURVE_3M_14Y_Quote</v>
      </c>
      <c r="D20" s="18" t="str">
        <f>_xll.qlSimpleQuote(C20,,RateTickValue,Permanent,Trigger,ObjectOverwrite)</f>
        <v>USD_CURVE_3M_14Y_Quote#0012</v>
      </c>
      <c r="E20" s="89" t="str">
        <f>_xll.ohRangeRetrieveError(D20)</f>
        <v/>
      </c>
      <c r="F20" s="9"/>
      <c r="I20" s="58"/>
      <c r="J20" s="126" t="s">
        <v>72</v>
      </c>
      <c r="K20" s="152" t="str">
        <f t="shared" si="0"/>
        <v>USD_CURVE_3M_14Y</v>
      </c>
      <c r="L20" s="120">
        <v>2.3698129950000002</v>
      </c>
      <c r="M20" s="120">
        <v>2.3698129950000002</v>
      </c>
      <c r="N20" s="124">
        <f t="shared" si="2"/>
        <v>2.3698129950000002</v>
      </c>
      <c r="O20" s="122"/>
      <c r="P20" s="123">
        <v>2.7024730460000002</v>
      </c>
      <c r="Q20" s="122"/>
      <c r="R20" s="168">
        <v>2.3698129950000002</v>
      </c>
      <c r="S20" s="119">
        <f>_xll.qlSimpleQuoteSetValue(D20,R20/100,Trigger)</f>
        <v>0</v>
      </c>
      <c r="T20" s="109"/>
      <c r="U20" s="3"/>
      <c r="V20" s="3"/>
      <c r="W20" s="3"/>
      <c r="X20" s="3"/>
      <c r="Y20" s="3"/>
      <c r="Z20" s="148"/>
    </row>
    <row r="21" spans="1:26" x14ac:dyDescent="0.2">
      <c r="A21" s="58"/>
      <c r="B21" s="92" t="s">
        <v>71</v>
      </c>
      <c r="C21" s="18" t="str">
        <f t="shared" si="1"/>
        <v>USD_CURVE_3M_15Y_Quote</v>
      </c>
      <c r="D21" s="18" t="str">
        <f>_xll.qlSimpleQuote(C21,,RateTickValue,Permanent,Trigger,ObjectOverwrite)</f>
        <v>USD_CURVE_3M_15Y_Quote#0012</v>
      </c>
      <c r="E21" s="89" t="str">
        <f>_xll.ohRangeRetrieveError(D21)</f>
        <v/>
      </c>
      <c r="F21" s="9"/>
      <c r="I21" s="58"/>
      <c r="J21" s="126" t="s">
        <v>71</v>
      </c>
      <c r="K21" s="152" t="str">
        <f t="shared" si="0"/>
        <v>USD_CURVE_3M_15Y</v>
      </c>
      <c r="L21" s="120">
        <v>2.399</v>
      </c>
      <c r="M21" s="120">
        <v>2.399</v>
      </c>
      <c r="N21" s="124">
        <f t="shared" si="2"/>
        <v>2.399</v>
      </c>
      <c r="O21" s="122"/>
      <c r="P21" s="123">
        <v>2.7490000000000001</v>
      </c>
      <c r="Q21" s="122"/>
      <c r="R21" s="168">
        <v>2.399</v>
      </c>
      <c r="S21" s="119">
        <f>_xll.qlSimpleQuoteSetValue(D21,R21/100,Trigger)</f>
        <v>0</v>
      </c>
      <c r="T21" s="109"/>
      <c r="U21" s="3"/>
      <c r="V21" s="3"/>
      <c r="W21" s="3"/>
      <c r="X21" s="3"/>
      <c r="Y21" s="3"/>
      <c r="Z21" s="148"/>
    </row>
    <row r="22" spans="1:26" x14ac:dyDescent="0.2">
      <c r="A22" s="58"/>
      <c r="B22" s="92" t="s">
        <v>70</v>
      </c>
      <c r="C22" s="18" t="str">
        <f t="shared" si="1"/>
        <v>USD_CURVE_3M_16Y_Quote</v>
      </c>
      <c r="D22" s="18" t="str">
        <f>_xll.qlSimpleQuote(C22,,RateTickValue,Permanent,Trigger,ObjectOverwrite)</f>
        <v>USD_CURVE_3M_16Y_Quote#0012</v>
      </c>
      <c r="E22" s="89" t="str">
        <f>_xll.ohRangeRetrieveError(D22)</f>
        <v/>
      </c>
      <c r="F22" s="9"/>
      <c r="I22" s="58"/>
      <c r="J22" s="126" t="s">
        <v>70</v>
      </c>
      <c r="K22" s="152" t="str">
        <f t="shared" si="0"/>
        <v>USD_CURVE_3M_16Y</v>
      </c>
      <c r="L22" s="120">
        <v>2.424458226</v>
      </c>
      <c r="M22" s="120">
        <v>2.424458226</v>
      </c>
      <c r="N22" s="124">
        <f t="shared" si="2"/>
        <v>2.424458226</v>
      </c>
      <c r="O22" s="122"/>
      <c r="P22" s="123">
        <v>2.7893705230000001</v>
      </c>
      <c r="Q22" s="122"/>
      <c r="R22" s="168">
        <v>2.424458226</v>
      </c>
      <c r="S22" s="119">
        <f>_xll.qlSimpleQuoteSetValue(D22,R22/100,Trigger)</f>
        <v>0</v>
      </c>
      <c r="T22" s="109"/>
      <c r="U22" s="3"/>
      <c r="V22" s="3"/>
      <c r="W22" s="3"/>
      <c r="X22" s="3"/>
      <c r="Y22" s="3"/>
      <c r="Z22" s="148"/>
    </row>
    <row r="23" spans="1:26" x14ac:dyDescent="0.2">
      <c r="A23" s="58"/>
      <c r="B23" s="92" t="s">
        <v>69</v>
      </c>
      <c r="C23" s="18" t="str">
        <f t="shared" si="1"/>
        <v>USD_CURVE_3M_17Y_Quote</v>
      </c>
      <c r="D23" s="18" t="str">
        <f>_xll.qlSimpleQuote(C23,,RateTickValue,Permanent,Trigger,ObjectOverwrite)</f>
        <v>USD_CURVE_3M_17Y_Quote#0012</v>
      </c>
      <c r="E23" s="89" t="str">
        <f>_xll.ohRangeRetrieveError(D23)</f>
        <v/>
      </c>
      <c r="F23" s="9"/>
      <c r="I23" s="58"/>
      <c r="J23" s="126" t="s">
        <v>69</v>
      </c>
      <c r="K23" s="152" t="str">
        <f t="shared" si="0"/>
        <v>USD_CURVE_3M_17Y</v>
      </c>
      <c r="L23" s="120">
        <v>2.4465893040000002</v>
      </c>
      <c r="M23" s="120">
        <v>2.4465893040000002</v>
      </c>
      <c r="N23" s="124">
        <f t="shared" si="2"/>
        <v>2.4465893040000002</v>
      </c>
      <c r="O23" s="122"/>
      <c r="P23" s="123">
        <v>2.824515297</v>
      </c>
      <c r="Q23" s="122"/>
      <c r="R23" s="168">
        <v>2.4465893040000002</v>
      </c>
      <c r="S23" s="119">
        <f>_xll.qlSimpleQuoteSetValue(D23,R23/100,Trigger)</f>
        <v>0</v>
      </c>
      <c r="T23" s="109"/>
      <c r="U23" s="3"/>
      <c r="V23" s="3"/>
      <c r="W23" s="3"/>
      <c r="X23" s="3"/>
      <c r="Y23" s="3"/>
      <c r="Z23" s="148"/>
    </row>
    <row r="24" spans="1:26" x14ac:dyDescent="0.2">
      <c r="A24" s="58"/>
      <c r="B24" s="92" t="s">
        <v>68</v>
      </c>
      <c r="C24" s="18" t="str">
        <f t="shared" si="1"/>
        <v>USD_CURVE_3M_18Y_Quote</v>
      </c>
      <c r="D24" s="18" t="str">
        <f>_xll.qlSimpleQuote(C24,,RateTickValue,Permanent,Trigger,ObjectOverwrite)</f>
        <v>USD_CURVE_3M_18Y_Quote#0012</v>
      </c>
      <c r="E24" s="89" t="str">
        <f>_xll.ohRangeRetrieveError(D24)</f>
        <v/>
      </c>
      <c r="F24" s="9"/>
      <c r="I24" s="58"/>
      <c r="J24" s="126" t="s">
        <v>68</v>
      </c>
      <c r="K24" s="152" t="str">
        <f t="shared" si="0"/>
        <v>USD_CURVE_3M_18Y</v>
      </c>
      <c r="L24" s="120">
        <v>2.4657652310000002</v>
      </c>
      <c r="M24" s="120">
        <v>2.4657652310000002</v>
      </c>
      <c r="N24" s="124">
        <f t="shared" si="2"/>
        <v>2.4657652310000002</v>
      </c>
      <c r="O24" s="122"/>
      <c r="P24" s="123">
        <v>2.855049443</v>
      </c>
      <c r="Q24" s="122"/>
      <c r="R24" s="168">
        <v>2.4657652310000002</v>
      </c>
      <c r="S24" s="119">
        <f>_xll.qlSimpleQuoteSetValue(D24,R24/100,Trigger)</f>
        <v>0</v>
      </c>
      <c r="T24" s="109"/>
      <c r="U24" s="3"/>
      <c r="V24" s="3"/>
      <c r="W24" s="3"/>
      <c r="X24" s="3"/>
      <c r="Y24" s="3"/>
      <c r="Z24" s="148"/>
    </row>
    <row r="25" spans="1:26" x14ac:dyDescent="0.2">
      <c r="A25" s="58"/>
      <c r="B25" s="92" t="s">
        <v>67</v>
      </c>
      <c r="C25" s="18" t="str">
        <f t="shared" si="1"/>
        <v>USD_CURVE_3M_19Y_Quote</v>
      </c>
      <c r="D25" s="18" t="str">
        <f>_xll.qlSimpleQuote(C25,,RateTickValue,Permanent,Trigger,ObjectOverwrite)</f>
        <v>USD_CURVE_3M_19Y_Quote#0012</v>
      </c>
      <c r="E25" s="89" t="str">
        <f>_xll.ohRangeRetrieveError(D25)</f>
        <v/>
      </c>
      <c r="F25" s="9"/>
      <c r="I25" s="58"/>
      <c r="J25" s="126" t="s">
        <v>67</v>
      </c>
      <c r="K25" s="152" t="str">
        <f t="shared" si="0"/>
        <v>USD_CURVE_3M_19Y</v>
      </c>
      <c r="L25" s="120">
        <v>2.4822218560000002</v>
      </c>
      <c r="M25" s="120">
        <v>2.4822218560000002</v>
      </c>
      <c r="N25" s="124">
        <f t="shared" si="2"/>
        <v>2.4822218560000002</v>
      </c>
      <c r="O25" s="122"/>
      <c r="P25" s="123">
        <v>2.8813265920000002</v>
      </c>
      <c r="Q25" s="122"/>
      <c r="R25" s="168">
        <v>2.4822218560000002</v>
      </c>
      <c r="S25" s="119">
        <f>_xll.qlSimpleQuoteSetValue(D25,R25/100,Trigger)</f>
        <v>0</v>
      </c>
      <c r="T25" s="109"/>
      <c r="U25" s="3"/>
      <c r="V25" s="3"/>
      <c r="W25" s="3"/>
      <c r="X25" s="3"/>
      <c r="Y25" s="3"/>
      <c r="Z25" s="148"/>
    </row>
    <row r="26" spans="1:26" x14ac:dyDescent="0.2">
      <c r="A26" s="58"/>
      <c r="B26" s="92" t="s">
        <v>66</v>
      </c>
      <c r="C26" s="18" t="str">
        <f t="shared" si="1"/>
        <v>USD_CURVE_3M_20Y_Quote</v>
      </c>
      <c r="D26" s="18" t="str">
        <f>_xll.qlSimpleQuote(C26,,RateTickValue,Permanent,Trigger,ObjectOverwrite)</f>
        <v>USD_CURVE_3M_20Y_Quote#0012</v>
      </c>
      <c r="E26" s="89" t="str">
        <f>_xll.ohRangeRetrieveError(D26)</f>
        <v/>
      </c>
      <c r="F26" s="9"/>
      <c r="I26" s="58"/>
      <c r="J26" s="126" t="s">
        <v>66</v>
      </c>
      <c r="K26" s="152" t="str">
        <f t="shared" si="0"/>
        <v>USD_CURVE_3M_20Y</v>
      </c>
      <c r="L26" s="120">
        <v>2.496</v>
      </c>
      <c r="M26" s="120">
        <v>2.496</v>
      </c>
      <c r="N26" s="124">
        <f t="shared" si="2"/>
        <v>2.496</v>
      </c>
      <c r="O26" s="122"/>
      <c r="P26" s="123">
        <v>2.9039999999999999</v>
      </c>
      <c r="Q26" s="122"/>
      <c r="R26" s="168">
        <v>2.496</v>
      </c>
      <c r="S26" s="119">
        <f>_xll.qlSimpleQuoteSetValue(D26,R26/100,Trigger)</f>
        <v>0</v>
      </c>
      <c r="T26" s="109"/>
      <c r="U26" s="3"/>
      <c r="V26" s="3"/>
      <c r="W26" s="3"/>
      <c r="X26" s="3"/>
      <c r="Y26" s="3"/>
      <c r="Z26" s="148"/>
    </row>
    <row r="27" spans="1:26" x14ac:dyDescent="0.2">
      <c r="A27" s="58"/>
      <c r="B27" s="92" t="s">
        <v>65</v>
      </c>
      <c r="C27" s="18" t="str">
        <f t="shared" si="1"/>
        <v>USD_CURVE_3M_21Y_Quote</v>
      </c>
      <c r="D27" s="18" t="str">
        <f>_xll.qlSimpleQuote(C27,,RateTickValue,Permanent,Trigger,ObjectOverwrite)</f>
        <v>USD_CURVE_3M_21Y_Quote#0012</v>
      </c>
      <c r="E27" s="89" t="str">
        <f>_xll.ohRangeRetrieveError(D27)</f>
        <v/>
      </c>
      <c r="F27" s="9"/>
      <c r="I27" s="58"/>
      <c r="J27" s="126" t="s">
        <v>65</v>
      </c>
      <c r="K27" s="152" t="str">
        <f t="shared" si="0"/>
        <v>USD_CURVE_3M_21Y</v>
      </c>
      <c r="L27" s="120">
        <v>2.507496003</v>
      </c>
      <c r="M27" s="120">
        <v>2.507496003</v>
      </c>
      <c r="N27" s="124">
        <f t="shared" si="2"/>
        <v>2.507496003</v>
      </c>
      <c r="O27" s="122"/>
      <c r="P27" s="123">
        <v>2.9231765850000002</v>
      </c>
      <c r="Q27" s="122"/>
      <c r="R27" s="168">
        <v>2.507496003</v>
      </c>
      <c r="S27" s="119">
        <f>_xll.qlSimpleQuoteSetValue(D27,R27/100,Trigger)</f>
        <v>0</v>
      </c>
      <c r="T27" s="109"/>
      <c r="U27" s="3"/>
      <c r="V27" s="3"/>
      <c r="W27" s="3"/>
      <c r="X27" s="3"/>
      <c r="Y27" s="3"/>
      <c r="Z27" s="148"/>
    </row>
    <row r="28" spans="1:26" x14ac:dyDescent="0.2">
      <c r="A28" s="58"/>
      <c r="B28" s="92" t="s">
        <v>64</v>
      </c>
      <c r="C28" s="18" t="str">
        <f t="shared" si="1"/>
        <v>USD_CURVE_3M_22Y_Quote</v>
      </c>
      <c r="D28" s="18" t="str">
        <f>_xll.qlSimpleQuote(C28,,RateTickValue,Permanent,Trigger,ObjectOverwrite)</f>
        <v>USD_CURVE_3M_22Y_Quote#0012</v>
      </c>
      <c r="E28" s="89" t="str">
        <f>_xll.ohRangeRetrieveError(D28)</f>
        <v/>
      </c>
      <c r="F28" s="9"/>
      <c r="I28" s="58"/>
      <c r="J28" s="126" t="s">
        <v>64</v>
      </c>
      <c r="K28" s="152" t="str">
        <f t="shared" si="0"/>
        <v>USD_CURVE_3M_22Y</v>
      </c>
      <c r="L28" s="120">
        <v>2.5172046570000002</v>
      </c>
      <c r="M28" s="120">
        <v>2.5172046570000002</v>
      </c>
      <c r="N28" s="124">
        <f t="shared" si="2"/>
        <v>2.5172046570000002</v>
      </c>
      <c r="O28" s="122"/>
      <c r="P28" s="123">
        <v>2.9397080820000001</v>
      </c>
      <c r="Q28" s="122"/>
      <c r="R28" s="168">
        <v>2.5172046570000002</v>
      </c>
      <c r="S28" s="119">
        <f>_xll.qlSimpleQuoteSetValue(D28,R28/100,Trigger)</f>
        <v>0</v>
      </c>
      <c r="T28" s="109"/>
      <c r="U28" s="3"/>
      <c r="V28" s="3"/>
      <c r="W28" s="3"/>
      <c r="X28" s="3"/>
      <c r="Y28" s="3"/>
      <c r="Z28" s="148"/>
    </row>
    <row r="29" spans="1:26" x14ac:dyDescent="0.2">
      <c r="A29" s="58"/>
      <c r="B29" s="92" t="s">
        <v>63</v>
      </c>
      <c r="C29" s="18" t="str">
        <f t="shared" si="1"/>
        <v>USD_CURVE_3M_23Y_Quote</v>
      </c>
      <c r="D29" s="18" t="str">
        <f>_xll.qlSimpleQuote(C29,,RateTickValue,Permanent,Trigger,ObjectOverwrite)</f>
        <v>USD_CURVE_3M_23Y_Quote#0012</v>
      </c>
      <c r="E29" s="89" t="str">
        <f>_xll.ohRangeRetrieveError(D29)</f>
        <v/>
      </c>
      <c r="F29" s="9"/>
      <c r="I29" s="58"/>
      <c r="J29" s="126" t="s">
        <v>63</v>
      </c>
      <c r="K29" s="152" t="str">
        <f t="shared" si="0"/>
        <v>USD_CURVE_3M_23Y</v>
      </c>
      <c r="L29" s="120">
        <v>2.5254494630000002</v>
      </c>
      <c r="M29" s="120">
        <v>2.5254494630000002</v>
      </c>
      <c r="N29" s="124">
        <f t="shared" si="2"/>
        <v>2.5254494630000002</v>
      </c>
      <c r="O29" s="122"/>
      <c r="P29" s="123">
        <v>2.9540740520000002</v>
      </c>
      <c r="Q29" s="122"/>
      <c r="R29" s="168">
        <v>2.5254494630000002</v>
      </c>
      <c r="S29" s="119">
        <f>_xll.qlSimpleQuoteSetValue(D29,R29/100,Trigger)</f>
        <v>0</v>
      </c>
      <c r="T29" s="109"/>
      <c r="U29" s="3"/>
      <c r="V29" s="3"/>
      <c r="W29" s="3"/>
      <c r="X29" s="3"/>
      <c r="Y29" s="3"/>
      <c r="Z29" s="148"/>
    </row>
    <row r="30" spans="1:26" x14ac:dyDescent="0.2">
      <c r="A30" s="58"/>
      <c r="B30" s="92" t="s">
        <v>62</v>
      </c>
      <c r="C30" s="18" t="str">
        <f t="shared" si="1"/>
        <v>USD_CURVE_3M_24Y_Quote</v>
      </c>
      <c r="D30" s="18" t="str">
        <f>_xll.qlSimpleQuote(C30,,RateTickValue,Permanent,Trigger,ObjectOverwrite)</f>
        <v>USD_CURVE_3M_24Y_Quote#0012</v>
      </c>
      <c r="E30" s="89" t="str">
        <f>_xll.ohRangeRetrieveError(D30)</f>
        <v/>
      </c>
      <c r="F30" s="9"/>
      <c r="I30" s="58"/>
      <c r="J30" s="126" t="s">
        <v>62</v>
      </c>
      <c r="K30" s="152" t="str">
        <f t="shared" si="0"/>
        <v>USD_CURVE_3M_24Y</v>
      </c>
      <c r="L30" s="120">
        <v>2.532606956</v>
      </c>
      <c r="M30" s="120">
        <v>2.532606956</v>
      </c>
      <c r="N30" s="124">
        <f t="shared" si="2"/>
        <v>2.532606956</v>
      </c>
      <c r="O30" s="122"/>
      <c r="P30" s="123">
        <v>2.966716704</v>
      </c>
      <c r="Q30" s="122"/>
      <c r="R30" s="168">
        <v>2.532606956</v>
      </c>
      <c r="S30" s="119">
        <f>_xll.qlSimpleQuoteSetValue(D30,R30/100,Trigger)</f>
        <v>0</v>
      </c>
      <c r="T30" s="109"/>
      <c r="U30" s="3"/>
      <c r="V30" s="3"/>
      <c r="W30" s="3"/>
      <c r="X30" s="3"/>
      <c r="Y30" s="3"/>
      <c r="Z30" s="148"/>
    </row>
    <row r="31" spans="1:26" x14ac:dyDescent="0.2">
      <c r="A31" s="58"/>
      <c r="B31" s="92" t="s">
        <v>61</v>
      </c>
      <c r="C31" s="18" t="str">
        <f t="shared" si="1"/>
        <v>USD_CURVE_3M_25Y_Quote</v>
      </c>
      <c r="D31" s="18" t="str">
        <f>_xll.qlSimpleQuote(C31,,RateTickValue,Permanent,Trigger,ObjectOverwrite)</f>
        <v>USD_CURVE_3M_25Y_Quote#0012</v>
      </c>
      <c r="E31" s="89" t="str">
        <f>_xll.ohRangeRetrieveError(D31)</f>
        <v/>
      </c>
      <c r="F31" s="9"/>
      <c r="I31" s="58"/>
      <c r="J31" s="126" t="s">
        <v>61</v>
      </c>
      <c r="K31" s="152" t="str">
        <f t="shared" si="0"/>
        <v>USD_CURVE_3M_25Y</v>
      </c>
      <c r="L31" s="120">
        <v>2.5390000000000001</v>
      </c>
      <c r="M31" s="120">
        <v>2.5390000000000001</v>
      </c>
      <c r="N31" s="124">
        <f t="shared" si="2"/>
        <v>2.5390000000000001</v>
      </c>
      <c r="O31" s="122"/>
      <c r="P31" s="123">
        <v>2.9780000000000002</v>
      </c>
      <c r="Q31" s="122"/>
      <c r="R31" s="168">
        <v>2.5390000000000001</v>
      </c>
      <c r="S31" s="119">
        <f>_xll.qlSimpleQuoteSetValue(D31,R31/100,Trigger)</f>
        <v>0</v>
      </c>
      <c r="T31" s="109"/>
      <c r="U31" s="3"/>
      <c r="V31" s="3"/>
      <c r="W31" s="3"/>
      <c r="X31" s="3"/>
      <c r="Y31" s="3"/>
      <c r="Z31" s="148"/>
    </row>
    <row r="32" spans="1:26" x14ac:dyDescent="0.2">
      <c r="A32" s="58"/>
      <c r="B32" s="92" t="s">
        <v>60</v>
      </c>
      <c r="C32" s="18" t="str">
        <f t="shared" si="1"/>
        <v>USD_CURVE_3M_26Y_Quote</v>
      </c>
      <c r="D32" s="18" t="str">
        <f>_xll.qlSimpleQuote(C32,,RateTickValue,Permanent,Trigger,ObjectOverwrite)</f>
        <v>USD_CURVE_3M_26Y_Quote#0012</v>
      </c>
      <c r="E32" s="89" t="str">
        <f>_xll.ohRangeRetrieveError(D32)</f>
        <v/>
      </c>
      <c r="F32" s="9"/>
      <c r="I32" s="58"/>
      <c r="J32" s="126" t="s">
        <v>60</v>
      </c>
      <c r="K32" s="152" t="str">
        <f t="shared" si="0"/>
        <v>USD_CURVE_3M_26Y</v>
      </c>
      <c r="L32" s="120">
        <v>2.544750971</v>
      </c>
      <c r="M32" s="120">
        <v>2.544750971</v>
      </c>
      <c r="N32" s="124">
        <f t="shared" si="2"/>
        <v>2.544750971</v>
      </c>
      <c r="O32" s="122"/>
      <c r="P32" s="123">
        <v>2.9882458120000002</v>
      </c>
      <c r="Q32" s="122"/>
      <c r="R32" s="168">
        <v>2.544750971</v>
      </c>
      <c r="S32" s="119">
        <f>_xll.qlSimpleQuoteSetValue(D32,R32/100,Trigger)</f>
        <v>0</v>
      </c>
      <c r="T32" s="109"/>
      <c r="U32" s="3"/>
      <c r="V32" s="3"/>
      <c r="W32" s="3"/>
      <c r="X32" s="3"/>
      <c r="Y32" s="3"/>
      <c r="Z32" s="148"/>
    </row>
    <row r="33" spans="1:26" x14ac:dyDescent="0.2">
      <c r="A33" s="58"/>
      <c r="B33" s="92" t="s">
        <v>59</v>
      </c>
      <c r="C33" s="18" t="str">
        <f t="shared" si="1"/>
        <v>USD_CURVE_3M_27Y_Quote</v>
      </c>
      <c r="D33" s="18" t="str">
        <f>_xll.qlSimpleQuote(C33,,RateTickValue,Permanent,Trigger,ObjectOverwrite)</f>
        <v>USD_CURVE_3M_27Y_Quote#0012</v>
      </c>
      <c r="E33" s="89" t="str">
        <f>_xll.ohRangeRetrieveError(D33)</f>
        <v/>
      </c>
      <c r="F33" s="9"/>
      <c r="I33" s="58"/>
      <c r="J33" s="126" t="s">
        <v>59</v>
      </c>
      <c r="K33" s="152" t="str">
        <f t="shared" si="0"/>
        <v>USD_CURVE_3M_27Y</v>
      </c>
      <c r="L33" s="120">
        <v>2.5500559850000002</v>
      </c>
      <c r="M33" s="120">
        <v>2.5500559850000002</v>
      </c>
      <c r="N33" s="124">
        <f t="shared" si="2"/>
        <v>2.5500559850000002</v>
      </c>
      <c r="O33" s="122"/>
      <c r="P33" s="123">
        <v>2.9973740860000002</v>
      </c>
      <c r="Q33" s="122"/>
      <c r="R33" s="168">
        <v>2.5500559850000002</v>
      </c>
      <c r="S33" s="119">
        <f>_xll.qlSimpleQuoteSetValue(D33,R33/100,Trigger)</f>
        <v>-7.4180000000229063E-8</v>
      </c>
      <c r="T33" s="109"/>
      <c r="U33" s="3"/>
      <c r="V33" s="3"/>
      <c r="W33" s="3"/>
      <c r="X33" s="3"/>
      <c r="Y33" s="3"/>
      <c r="Z33" s="148"/>
    </row>
    <row r="34" spans="1:26" x14ac:dyDescent="0.2">
      <c r="A34" s="58"/>
      <c r="B34" s="92" t="s">
        <v>58</v>
      </c>
      <c r="C34" s="18" t="str">
        <f t="shared" si="1"/>
        <v>USD_CURVE_3M_28Y_Quote</v>
      </c>
      <c r="D34" s="18" t="str">
        <f>_xll.qlSimpleQuote(C34,,RateTickValue,Permanent,Trigger,ObjectOverwrite)</f>
        <v>USD_CURVE_3M_28Y_Quote#0012</v>
      </c>
      <c r="E34" s="89" t="str">
        <f>_xll.ohRangeRetrieveError(D34)</f>
        <v/>
      </c>
      <c r="F34" s="9"/>
      <c r="I34" s="58"/>
      <c r="J34" s="126" t="s">
        <v>58</v>
      </c>
      <c r="K34" s="152" t="str">
        <f t="shared" si="0"/>
        <v>USD_CURVE_3M_28Y</v>
      </c>
      <c r="L34" s="120">
        <v>2.554979833</v>
      </c>
      <c r="M34" s="120">
        <v>2.554979833</v>
      </c>
      <c r="N34" s="124">
        <f t="shared" si="2"/>
        <v>2.554979833</v>
      </c>
      <c r="O34" s="122"/>
      <c r="P34" s="123">
        <v>3.0055355239999999</v>
      </c>
      <c r="Q34" s="122"/>
      <c r="R34" s="168">
        <v>2.554979833</v>
      </c>
      <c r="S34" s="119">
        <f>_xll.qlSimpleQuoteSetValue(D34,R34/100,Trigger)</f>
        <v>0</v>
      </c>
      <c r="T34" s="109"/>
      <c r="U34" s="3"/>
      <c r="V34" s="3"/>
      <c r="W34" s="3"/>
      <c r="X34" s="3"/>
      <c r="Y34" s="3"/>
      <c r="Z34" s="148"/>
    </row>
    <row r="35" spans="1:26" x14ac:dyDescent="0.2">
      <c r="A35" s="58"/>
      <c r="B35" s="92" t="s">
        <v>57</v>
      </c>
      <c r="C35" s="18" t="str">
        <f t="shared" si="1"/>
        <v>USD_CURVE_3M_29Y_Quote</v>
      </c>
      <c r="D35" s="18" t="str">
        <f>_xll.qlSimpleQuote(C35,,RateTickValue,Permanent,Trigger,ObjectOverwrite)</f>
        <v>USD_CURVE_3M_29Y_Quote#0012</v>
      </c>
      <c r="E35" s="89" t="str">
        <f>_xll.ohRangeRetrieveError(D35)</f>
        <v/>
      </c>
      <c r="F35" s="9"/>
      <c r="I35" s="58"/>
      <c r="J35" s="126" t="s">
        <v>57</v>
      </c>
      <c r="K35" s="152" t="str">
        <f t="shared" si="0"/>
        <v>USD_CURVE_3M_29Y</v>
      </c>
      <c r="L35" s="120">
        <v>2.559593832</v>
      </c>
      <c r="M35" s="120">
        <v>2.559593832</v>
      </c>
      <c r="N35" s="124">
        <f t="shared" si="2"/>
        <v>2.559593832</v>
      </c>
      <c r="O35" s="122"/>
      <c r="P35" s="123">
        <v>3.012728756</v>
      </c>
      <c r="Q35" s="122"/>
      <c r="R35" s="168">
        <v>2.559593832</v>
      </c>
      <c r="S35" s="119">
        <f>_xll.qlSimpleQuoteSetValue(D35,R35/100,Trigger)</f>
        <v>0</v>
      </c>
      <c r="T35" s="109"/>
      <c r="U35" s="3"/>
      <c r="V35" s="3"/>
      <c r="W35" s="3"/>
      <c r="X35" s="3"/>
      <c r="Y35" s="3"/>
      <c r="Z35" s="148"/>
    </row>
    <row r="36" spans="1:26" x14ac:dyDescent="0.2">
      <c r="A36" s="58"/>
      <c r="B36" s="92" t="s">
        <v>56</v>
      </c>
      <c r="C36" s="18" t="str">
        <f t="shared" si="1"/>
        <v>USD_CURVE_3M_30Y_Quote</v>
      </c>
      <c r="D36" s="18" t="str">
        <f>_xll.qlSimpleQuote(C36,,RateTickValue,Permanent,Trigger,ObjectOverwrite)</f>
        <v>USD_CURVE_3M_30Y_Quote#0012</v>
      </c>
      <c r="E36" s="89" t="str">
        <f>_xll.ohRangeRetrieveError(D36)</f>
        <v/>
      </c>
      <c r="F36" s="9"/>
      <c r="I36" s="58"/>
      <c r="J36" s="126" t="s">
        <v>56</v>
      </c>
      <c r="K36" s="152" t="str">
        <f t="shared" si="0"/>
        <v>USD_CURVE_3M_30Y</v>
      </c>
      <c r="L36" s="120">
        <v>2.5640000000000001</v>
      </c>
      <c r="M36" s="120">
        <v>2.5640000000000001</v>
      </c>
      <c r="N36" s="124">
        <f t="shared" si="2"/>
        <v>2.5640000000000001</v>
      </c>
      <c r="O36" s="122"/>
      <c r="P36" s="123">
        <v>3.0190000000000001</v>
      </c>
      <c r="Q36" s="122"/>
      <c r="R36" s="168">
        <v>2.5640000000000001</v>
      </c>
      <c r="S36" s="119">
        <f>_xll.qlSimpleQuoteSetValue(D36,R36/100,Trigger)</f>
        <v>0</v>
      </c>
      <c r="T36" s="109"/>
      <c r="U36" s="3"/>
      <c r="V36" s="3"/>
      <c r="W36" s="3"/>
      <c r="X36" s="3"/>
      <c r="Y36" s="3"/>
      <c r="Z36" s="148"/>
    </row>
    <row r="37" spans="1:26" x14ac:dyDescent="0.2">
      <c r="A37" s="58"/>
      <c r="B37" s="92" t="s">
        <v>51</v>
      </c>
      <c r="C37" s="18" t="str">
        <f t="shared" si="1"/>
        <v>USD_CURVE_3M_35Y_Quote</v>
      </c>
      <c r="D37" s="18" t="str">
        <f>_xll.qlSimpleQuote(C37,,RateTickValue,Permanent,Trigger,ObjectOverwrite)</f>
        <v>USD_CURVE_3M_35Y_Quote#0012</v>
      </c>
      <c r="E37" s="89" t="str">
        <f>_xll.ohRangeRetrieveError(D37)</f>
        <v/>
      </c>
      <c r="F37" s="9"/>
      <c r="I37" s="58"/>
      <c r="J37" s="126" t="s">
        <v>51</v>
      </c>
      <c r="K37" s="152" t="str">
        <f t="shared" si="0"/>
        <v>USD_CURVE_3M_35Y</v>
      </c>
      <c r="L37" s="120" t="s">
        <v>261</v>
      </c>
      <c r="M37" s="120" t="s">
        <v>261</v>
      </c>
      <c r="N37" s="124" t="e">
        <f t="shared" si="2"/>
        <v>#DIV/0!</v>
      </c>
      <c r="O37" s="122"/>
      <c r="P37" s="123" t="e">
        <v>#DIV/0!</v>
      </c>
      <c r="Q37" s="122"/>
      <c r="R37" s="168" t="e">
        <v>#DIV/0!</v>
      </c>
      <c r="S37" s="119">
        <f>_xll.qlSimpleQuoteSetValue(D37,R37/100,Trigger)</f>
        <v>0</v>
      </c>
      <c r="T37" s="109"/>
      <c r="U37" s="3"/>
      <c r="V37" s="3"/>
      <c r="W37" s="3"/>
      <c r="X37" s="3"/>
      <c r="Y37" s="3"/>
      <c r="Z37" s="148"/>
    </row>
    <row r="38" spans="1:26" x14ac:dyDescent="0.2">
      <c r="A38" s="58"/>
      <c r="B38" s="92" t="s">
        <v>46</v>
      </c>
      <c r="C38" s="18" t="str">
        <f t="shared" si="1"/>
        <v>USD_CURVE_3M_40Y_Quote</v>
      </c>
      <c r="D38" s="18" t="str">
        <f>_xll.qlSimpleQuote(C38,,RateTickValue,Permanent,Trigger,ObjectOverwrite)</f>
        <v>USD_CURVE_3M_40Y_Quote#0012</v>
      </c>
      <c r="E38" s="89" t="str">
        <f>_xll.ohRangeRetrieveError(D38)</f>
        <v/>
      </c>
      <c r="F38" s="9"/>
      <c r="I38" s="58"/>
      <c r="J38" s="126" t="s">
        <v>46</v>
      </c>
      <c r="K38" s="152" t="str">
        <f t="shared" si="0"/>
        <v>USD_CURVE_3M_40Y</v>
      </c>
      <c r="L38" s="120">
        <v>2.5859999999999999</v>
      </c>
      <c r="M38" s="120">
        <v>2.5859999999999999</v>
      </c>
      <c r="N38" s="124">
        <f t="shared" si="2"/>
        <v>2.5859999999999999</v>
      </c>
      <c r="O38" s="122"/>
      <c r="P38" s="123">
        <v>3.04</v>
      </c>
      <c r="Q38" s="122"/>
      <c r="R38" s="168">
        <v>2.5859999999999999</v>
      </c>
      <c r="S38" s="119">
        <f>_xll.qlSimpleQuoteSetValue(D38,R38/100,Trigger)</f>
        <v>0</v>
      </c>
      <c r="T38" s="109"/>
      <c r="U38" s="3"/>
      <c r="V38" s="3"/>
      <c r="W38" s="3"/>
      <c r="X38" s="3"/>
      <c r="Y38" s="3"/>
      <c r="Z38" s="148"/>
    </row>
    <row r="39" spans="1:26" x14ac:dyDescent="0.2">
      <c r="A39" s="58"/>
      <c r="B39" s="92" t="s">
        <v>36</v>
      </c>
      <c r="C39" s="18" t="str">
        <f t="shared" si="1"/>
        <v>USD_CURVE_3M_50Y_Quote</v>
      </c>
      <c r="D39" s="18" t="str">
        <f>_xll.qlSimpleQuote(C39,,RateTickValue,Permanent,Trigger,ObjectOverwrite)</f>
        <v>USD_CURVE_3M_50Y_Quote#0012</v>
      </c>
      <c r="E39" s="89" t="str">
        <f>_xll.ohRangeRetrieveError(D39)</f>
        <v/>
      </c>
      <c r="F39" s="9"/>
      <c r="I39" s="58"/>
      <c r="J39" s="126" t="s">
        <v>36</v>
      </c>
      <c r="K39" s="152" t="str">
        <f t="shared" si="0"/>
        <v>USD_CURVE_3M_50Y</v>
      </c>
      <c r="L39" s="120">
        <v>2.5640000000000001</v>
      </c>
      <c r="M39" s="120">
        <v>2.5640000000000001</v>
      </c>
      <c r="N39" s="124">
        <f t="shared" si="2"/>
        <v>2.5640000000000001</v>
      </c>
      <c r="O39" s="122"/>
      <c r="P39" s="123">
        <v>3.0190000000000001</v>
      </c>
      <c r="Q39" s="122"/>
      <c r="R39" s="168">
        <v>2.5640000000000001</v>
      </c>
      <c r="S39" s="119">
        <f>_xll.qlSimpleQuoteSetValue(D39,R39/100,Trigger)</f>
        <v>0</v>
      </c>
      <c r="T39" s="109"/>
      <c r="U39" s="3"/>
      <c r="V39" s="3"/>
      <c r="W39" s="3"/>
      <c r="X39" s="3"/>
      <c r="Y39" s="3"/>
      <c r="Z39" s="148"/>
    </row>
    <row r="40" spans="1:26" x14ac:dyDescent="0.2">
      <c r="A40" s="58"/>
      <c r="B40" s="92" t="s">
        <v>26</v>
      </c>
      <c r="C40" s="18" t="str">
        <f t="shared" si="1"/>
        <v>USD_CURVE_3M_60Y_Quote</v>
      </c>
      <c r="D40" s="18" t="str">
        <f>_xll.qlSimpleQuote(C40,,RateTickValue,Permanent,Trigger,ObjectOverwrite)</f>
        <v>USD_CURVE_3M_60Y_Quote#0012</v>
      </c>
      <c r="E40" s="89" t="str">
        <f>_xll.ohRangeRetrieveError(D40)</f>
        <v/>
      </c>
      <c r="F40" s="9"/>
      <c r="I40" s="58"/>
      <c r="J40" s="133" t="s">
        <v>26</v>
      </c>
      <c r="K40" s="150" t="str">
        <f t="shared" si="0"/>
        <v>USD_CURVE_3M_60Y</v>
      </c>
      <c r="L40" s="129">
        <v>2.542669176</v>
      </c>
      <c r="M40" s="129">
        <v>2.542669176</v>
      </c>
      <c r="N40" s="131">
        <f t="shared" si="2"/>
        <v>2.542669176</v>
      </c>
      <c r="O40" s="122"/>
      <c r="P40" s="130">
        <v>3.0000456729999998</v>
      </c>
      <c r="Q40" s="122"/>
      <c r="R40" s="161">
        <v>2.542669176</v>
      </c>
      <c r="S40" s="128">
        <f>_xll.qlSimpleQuoteSetValue(D40,R40/100,Trigger)</f>
        <v>0</v>
      </c>
      <c r="T40" s="109"/>
      <c r="U40" s="3"/>
      <c r="V40" s="3"/>
      <c r="W40" s="3"/>
      <c r="X40" s="3"/>
      <c r="Y40" s="3"/>
      <c r="Z40" s="148"/>
    </row>
    <row r="41" spans="1:26" ht="13.5" thickBot="1" x14ac:dyDescent="0.25">
      <c r="A41" s="8"/>
      <c r="B41" s="7"/>
      <c r="C41" s="7"/>
      <c r="D41" s="57"/>
      <c r="E41" s="57"/>
      <c r="F41" s="6"/>
      <c r="I41" s="107"/>
      <c r="J41" s="7"/>
      <c r="K41" s="7"/>
      <c r="L41" s="7"/>
      <c r="M41" s="7"/>
      <c r="N41" s="7"/>
      <c r="O41" s="106"/>
      <c r="P41" s="106"/>
      <c r="Q41" s="106"/>
      <c r="R41" s="106"/>
      <c r="S41" s="106"/>
      <c r="T41" s="149"/>
      <c r="U41" s="3"/>
      <c r="V41" s="3"/>
      <c r="W41" s="3"/>
      <c r="X41" s="3"/>
      <c r="Y41" s="3"/>
      <c r="Z41" s="3"/>
    </row>
  </sheetData>
  <conditionalFormatting sqref="S3:S40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100</vt:i4>
      </vt:variant>
    </vt:vector>
  </HeadingPairs>
  <TitlesOfParts>
    <vt:vector size="116" baseType="lpstr">
      <vt:lpstr>General Settings</vt:lpstr>
      <vt:lpstr>Libor</vt:lpstr>
      <vt:lpstr>Futures3M</vt:lpstr>
      <vt:lpstr>FuturesHWConvAdj</vt:lpstr>
      <vt:lpstr>Deposits</vt:lpstr>
      <vt:lpstr>FRA</vt:lpstr>
      <vt:lpstr>OIS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MxQuotes</vt:lpstr>
      <vt:lpstr>Swap3M_Mx</vt:lpstr>
      <vt:lpstr>Area</vt:lpstr>
      <vt:lpstr>AreaIndex</vt:lpstr>
      <vt:lpstr>AreaTable</vt:lpstr>
      <vt:lpstr>Calendar</vt:lpstr>
      <vt:lpstr>BasisSwapxM12M!Contributor</vt:lpstr>
      <vt:lpstr>OIS!Contributor</vt:lpstr>
      <vt:lpstr>Contributor</vt:lpstr>
      <vt:lpstr>ContributorFRA</vt:lpstr>
      <vt:lpstr>Contributors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LastFixingsTrigger</vt:lpstr>
      <vt:lpstr>LastUpdate</vt:lpstr>
      <vt:lpstr>Futures3M!LiffeCodes</vt:lpstr>
      <vt:lpstr>LiveDataFeed</vt:lpstr>
      <vt:lpstr>LocalCalendar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SwapMainSetConventions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2015-02-23T16:02:09Z</dcterms:modified>
</cp:coreProperties>
</file>