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225" windowWidth="9630" windowHeight="1137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Contribution!$A$4:$AL$4</definedName>
    <definedName name="ASK">Contribution!$I$1</definedName>
    <definedName name="BDayConvention" localSheetId="3">'1M Pricing'!$O$7</definedName>
    <definedName name="BDayConvention" localSheetId="4">'3M Pricing'!$Q$7</definedName>
    <definedName name="BDayConvention" localSheetId="5">'6M Pricing'!$O$7</definedName>
    <definedName name="BID">Contribution!$H$1</definedName>
    <definedName name="Calendar">'General Settings'!$D$19</definedName>
    <definedName name="Contribute">Contribution!$B$1</definedName>
    <definedName name="Currency">'General Settings'!$D$11</definedName>
    <definedName name="CurveTenor" localSheetId="3">'1M Pricing'!$E$1</definedName>
    <definedName name="CurveTenor" localSheetId="4">'3M Pricing'!$G$1</definedName>
    <definedName name="CurveTenor" localSheetId="5">'6M Pricing'!$E$1</definedName>
    <definedName name="CurveTenor" localSheetId="2">'ON Pricing'!$E$1</definedName>
    <definedName name="DayCounter" localSheetId="3">'1M Pricing'!$P$7</definedName>
    <definedName name="DayCounter" localSheetId="4">'3M Pricing'!$R$7</definedName>
    <definedName name="DayCounter" localSheetId="5">'6M Pricing'!$P$7</definedName>
    <definedName name="DiscountingCurve">'General Settings'!$D$12</definedName>
    <definedName name="EvaluationDate">'General Settings'!$D$5</definedName>
    <definedName name="Fields">Contribution!$H$1:$I$1</definedName>
    <definedName name="FixedLegBDC" localSheetId="3">'1M Pricing'!$O$13</definedName>
    <definedName name="FixedLegBDC" localSheetId="5">'6M Pricing'!$O$20</definedName>
    <definedName name="FixedLegBDC" localSheetId="2">'ON Pricing'!$O$8</definedName>
    <definedName name="FixedLegBDC">'3M Pricing'!$Q$20</definedName>
    <definedName name="FixedLegDayCounter" localSheetId="3">'1M Pricing'!$P$13</definedName>
    <definedName name="FixedLegDayCounter" localSheetId="4">'3M Pricing'!$R$20</definedName>
    <definedName name="FixedLegDayCounter" localSheetId="5">'6M Pricing'!$P$20</definedName>
    <definedName name="FixedLegDayCounter" localSheetId="2">'ON Pricing'!$P$8</definedName>
    <definedName name="FixedLegTenor" localSheetId="3">'1M Pricing'!$N$13</definedName>
    <definedName name="FixedLegTenor" localSheetId="4">'3M Pricing'!$P$20</definedName>
    <definedName name="FixedLegTenor" localSheetId="5">'6M Pricing'!$N$20</definedName>
    <definedName name="FixedLegTenor" localSheetId="2">'ON Pricing'!$N$8</definedName>
    <definedName name="IborIndex" localSheetId="3">'1M Pricing'!$L$11</definedName>
    <definedName name="IborIndex" localSheetId="4">'3M Pricing'!$N$13</definedName>
    <definedName name="IborIndex" localSheetId="5">'6M Pricing'!$L$16</definedName>
    <definedName name="IborIndexFamily">'General Settings'!$D$13</definedName>
    <definedName name="InterestRatesTrigger">'General Settings'!$D$6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Pricing'!$L$5</definedName>
    <definedName name="SettlementDate">'General Settings'!$D$20</definedName>
    <definedName name="SettlementDays">'General Settings'!$D$15</definedName>
    <definedName name="SourceAlias">Contribution!$F$1</definedName>
    <definedName name="Trigger">'General Settings'!$D$4</definedName>
    <definedName name="YieldCurve" localSheetId="3">'1M Pricing'!$E$2</definedName>
    <definedName name="YieldCurve" localSheetId="4">'3M Pricing'!$G$2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P35" i="7" l="1"/>
  <c r="P34" i="7"/>
  <c r="P33" i="7"/>
  <c r="P32" i="7"/>
  <c r="P31" i="7"/>
  <c r="P30" i="7"/>
  <c r="P27" i="7"/>
  <c r="P25" i="7"/>
  <c r="P24" i="7"/>
  <c r="P23" i="7"/>
  <c r="P22" i="7"/>
  <c r="P20" i="7"/>
  <c r="P19" i="7"/>
  <c r="P16" i="7"/>
  <c r="P13" i="7"/>
  <c r="P11" i="7"/>
  <c r="P10" i="7"/>
  <c r="P9" i="7"/>
  <c r="P8" i="7"/>
  <c r="P7" i="7"/>
  <c r="P6" i="7"/>
  <c r="P5" i="7"/>
  <c r="O35" i="7"/>
  <c r="O34" i="7"/>
  <c r="O33" i="7"/>
  <c r="O32" i="7"/>
  <c r="O31" i="7"/>
  <c r="O30" i="7"/>
  <c r="O27" i="7"/>
  <c r="O25" i="7"/>
  <c r="O24" i="7"/>
  <c r="O23" i="7"/>
  <c r="O22" i="7"/>
  <c r="O20" i="7"/>
  <c r="O19" i="7"/>
  <c r="O16" i="7"/>
  <c r="O13" i="7"/>
  <c r="O11" i="7"/>
  <c r="O10" i="7"/>
  <c r="O9" i="7"/>
  <c r="O8" i="7"/>
  <c r="O7" i="7"/>
  <c r="O6" i="7"/>
  <c r="O5" i="7"/>
  <c r="R35" i="7"/>
  <c r="R31" i="7"/>
  <c r="R27" i="7"/>
  <c r="R23" i="7"/>
  <c r="R19" i="7"/>
  <c r="R11" i="7"/>
  <c r="R7" i="7"/>
  <c r="Q35" i="7"/>
  <c r="Q31" i="7"/>
  <c r="Q27" i="7"/>
  <c r="Q23" i="7"/>
  <c r="Q19" i="7"/>
  <c r="Q11" i="7"/>
  <c r="Q7" i="7"/>
  <c r="R34" i="7"/>
  <c r="R30" i="7"/>
  <c r="R22" i="7"/>
  <c r="R10" i="7"/>
  <c r="R6" i="7"/>
  <c r="Q34" i="7"/>
  <c r="Q30" i="7"/>
  <c r="Q22" i="7"/>
  <c r="Q10" i="7"/>
  <c r="Q6" i="7"/>
  <c r="R33" i="7"/>
  <c r="R25" i="7"/>
  <c r="R13" i="7"/>
  <c r="R9" i="7"/>
  <c r="Q33" i="7"/>
  <c r="Q25" i="7"/>
  <c r="Q13" i="7"/>
  <c r="Q9" i="7"/>
  <c r="R32" i="7"/>
  <c r="R24" i="7"/>
  <c r="R20" i="7"/>
  <c r="R16" i="7"/>
  <c r="R8" i="7"/>
  <c r="Q32" i="7"/>
  <c r="Q24" i="7"/>
  <c r="Q20" i="7"/>
  <c r="Q16" i="7"/>
  <c r="Q8" i="7"/>
  <c r="R5" i="7"/>
  <c r="Q5" i="7"/>
  <c r="J11" i="14" l="1"/>
  <c r="J16" i="11"/>
  <c r="L13" i="10"/>
  <c r="I35" i="14"/>
  <c r="I34" i="14"/>
  <c r="I33" i="14"/>
  <c r="I32" i="14"/>
  <c r="I31" i="14"/>
  <c r="I30" i="14"/>
  <c r="I27" i="14"/>
  <c r="I25" i="14"/>
  <c r="I24" i="14"/>
  <c r="I23" i="14"/>
  <c r="I22" i="14"/>
  <c r="I20" i="14"/>
  <c r="I19" i="14"/>
  <c r="I16" i="14"/>
  <c r="I13" i="14"/>
  <c r="E2" i="14"/>
  <c r="N35" i="7"/>
  <c r="N34" i="7"/>
  <c r="N33" i="7"/>
  <c r="N32" i="7"/>
  <c r="N31" i="7"/>
  <c r="N30" i="7"/>
  <c r="N27" i="7"/>
  <c r="N25" i="7"/>
  <c r="N24" i="7"/>
  <c r="N23" i="7"/>
  <c r="N22" i="7"/>
  <c r="N20" i="7"/>
  <c r="N19" i="7"/>
  <c r="N16" i="7"/>
  <c r="N13" i="7"/>
  <c r="N11" i="7"/>
  <c r="N10" i="7"/>
  <c r="N9" i="7"/>
  <c r="N8" i="7"/>
  <c r="N7" i="7"/>
  <c r="N6" i="7"/>
  <c r="N5" i="7"/>
  <c r="B19" i="7"/>
  <c r="B6" i="7"/>
  <c r="B7" i="7"/>
  <c r="B8" i="7"/>
  <c r="B9" i="7"/>
  <c r="B10" i="7"/>
  <c r="B11" i="7"/>
  <c r="B13" i="7"/>
  <c r="B16" i="7"/>
  <c r="B20" i="7"/>
  <c r="B22" i="7"/>
  <c r="B23" i="7"/>
  <c r="B24" i="7"/>
  <c r="B25" i="7"/>
  <c r="B27" i="7"/>
  <c r="B30" i="7"/>
  <c r="B31" i="7"/>
  <c r="B32" i="7"/>
  <c r="B33" i="7"/>
  <c r="B34" i="7"/>
  <c r="B35" i="7"/>
  <c r="B5" i="7"/>
  <c r="J5" i="12" l="1"/>
  <c r="L23" i="10" l="1"/>
  <c r="L22" i="10"/>
  <c r="L20" i="10"/>
  <c r="J35" i="11"/>
  <c r="J34" i="11"/>
  <c r="J33" i="11"/>
  <c r="J32" i="11"/>
  <c r="J31" i="11"/>
  <c r="J30" i="11"/>
  <c r="J29" i="11"/>
  <c r="J28" i="11"/>
  <c r="J27" i="11"/>
  <c r="J26" i="11"/>
  <c r="J25" i="11"/>
  <c r="J24" i="11"/>
  <c r="D12" i="2"/>
  <c r="D13" i="2" l="1"/>
  <c r="L11" i="14" s="1"/>
  <c r="A19" i="7"/>
  <c r="J35" i="12" l="1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6" i="12"/>
  <c r="J15" i="12"/>
  <c r="J14" i="12"/>
  <c r="J13" i="12"/>
  <c r="J12" i="12"/>
  <c r="J11" i="12"/>
  <c r="J8" i="12"/>
  <c r="G19" i="7" l="1"/>
  <c r="I19" i="12" s="1"/>
  <c r="D14" i="10" a="1"/>
  <c r="D14" i="10" l="1"/>
  <c r="D15" i="10"/>
  <c r="D16" i="10"/>
  <c r="D17" i="10"/>
  <c r="D18" i="10"/>
  <c r="D19" i="10"/>
  <c r="C18" i="10"/>
  <c r="C19" i="10"/>
  <c r="C14" i="10"/>
  <c r="C17" i="10"/>
  <c r="C15" i="10"/>
  <c r="C16" i="10"/>
  <c r="H16" i="10" s="1"/>
  <c r="L14" i="10" l="1"/>
  <c r="L19" i="10"/>
  <c r="L17" i="10"/>
  <c r="L16" i="10"/>
  <c r="L18" i="10"/>
  <c r="L15" i="10"/>
  <c r="T15" i="7"/>
  <c r="T14" i="7"/>
  <c r="T19" i="7"/>
  <c r="T17" i="7"/>
  <c r="T16" i="7"/>
  <c r="T18" i="7"/>
  <c r="H17" i="10"/>
  <c r="H14" i="10"/>
  <c r="H19" i="10"/>
  <c r="H18" i="10"/>
  <c r="H15" i="10"/>
  <c r="G35" i="7" l="1"/>
  <c r="I35" i="12" s="1"/>
  <c r="G34" i="7"/>
  <c r="I34" i="12" s="1"/>
  <c r="G33" i="7"/>
  <c r="I33" i="12" s="1"/>
  <c r="G32" i="7"/>
  <c r="I32" i="12" s="1"/>
  <c r="G31" i="7"/>
  <c r="I31" i="12" s="1"/>
  <c r="G30" i="7"/>
  <c r="I30" i="12" s="1"/>
  <c r="G29" i="7"/>
  <c r="I29" i="12" s="1"/>
  <c r="G28" i="7"/>
  <c r="I28" i="12" s="1"/>
  <c r="G27" i="7"/>
  <c r="I27" i="12" s="1"/>
  <c r="G26" i="7"/>
  <c r="I26" i="12" s="1"/>
  <c r="G25" i="7"/>
  <c r="I25" i="12" s="1"/>
  <c r="G24" i="7"/>
  <c r="I24" i="12" s="1"/>
  <c r="G23" i="7"/>
  <c r="I23" i="12" s="1"/>
  <c r="G22" i="7"/>
  <c r="I22" i="12" s="1"/>
  <c r="G21" i="7"/>
  <c r="I21" i="12" s="1"/>
  <c r="G20" i="7"/>
  <c r="I20" i="12" s="1"/>
  <c r="G16" i="7"/>
  <c r="I16" i="12" s="1"/>
  <c r="G15" i="7"/>
  <c r="I15" i="12" s="1"/>
  <c r="G14" i="7"/>
  <c r="I14" i="12" s="1"/>
  <c r="G13" i="7"/>
  <c r="I13" i="12" s="1"/>
  <c r="G12" i="7"/>
  <c r="I12" i="12" s="1"/>
  <c r="G11" i="7"/>
  <c r="I11" i="12" s="1"/>
  <c r="G8" i="7"/>
  <c r="I8" i="12" s="1"/>
  <c r="G7" i="7"/>
  <c r="I7" i="12" s="1"/>
  <c r="G6" i="7"/>
  <c r="I6" i="12" s="1"/>
  <c r="G5" i="7"/>
  <c r="I5" i="12" s="1"/>
  <c r="AB35" i="7"/>
  <c r="AB34" i="7"/>
  <c r="AB33" i="7"/>
  <c r="AB32" i="7"/>
  <c r="AB31" i="7"/>
  <c r="AB30" i="7"/>
  <c r="AB27" i="7"/>
  <c r="AB25" i="7"/>
  <c r="AB24" i="7"/>
  <c r="AB23" i="7"/>
  <c r="AB22" i="7"/>
  <c r="AB20" i="7"/>
  <c r="AB16" i="7"/>
  <c r="AB15" i="7"/>
  <c r="AB14" i="7"/>
  <c r="AB13" i="7"/>
  <c r="AB12" i="7"/>
  <c r="AB11" i="7"/>
  <c r="AB10" i="7"/>
  <c r="AB9" i="7"/>
  <c r="AB8" i="7"/>
  <c r="AB7" i="7"/>
  <c r="AB6" i="7"/>
  <c r="AB5" i="7"/>
  <c r="I5" i="14" s="1"/>
  <c r="U35" i="7"/>
  <c r="K35" i="10" s="1"/>
  <c r="U34" i="7"/>
  <c r="K34" i="10" s="1"/>
  <c r="U33" i="7"/>
  <c r="K33" i="10" s="1"/>
  <c r="U32" i="7"/>
  <c r="K32" i="10" s="1"/>
  <c r="U31" i="7"/>
  <c r="K31" i="10" s="1"/>
  <c r="U30" i="7"/>
  <c r="K30" i="10" s="1"/>
  <c r="U27" i="7"/>
  <c r="K27" i="10" s="1"/>
  <c r="U25" i="7"/>
  <c r="K25" i="10" s="1"/>
  <c r="U24" i="7"/>
  <c r="K24" i="10" s="1"/>
  <c r="U23" i="7"/>
  <c r="K23" i="10" s="1"/>
  <c r="U22" i="7"/>
  <c r="K22" i="10" s="1"/>
  <c r="U20" i="7"/>
  <c r="K20" i="10" s="1"/>
  <c r="U19" i="7"/>
  <c r="K19" i="10" s="1"/>
  <c r="U18" i="7"/>
  <c r="K18" i="10" s="1"/>
  <c r="U17" i="7"/>
  <c r="K17" i="10" s="1"/>
  <c r="U16" i="7"/>
  <c r="K16" i="10" s="1"/>
  <c r="U15" i="7"/>
  <c r="K15" i="10" s="1"/>
  <c r="U14" i="7"/>
  <c r="K14" i="10" s="1"/>
  <c r="U13" i="7"/>
  <c r="K13" i="10" s="1"/>
  <c r="U12" i="7"/>
  <c r="K12" i="10" s="1"/>
  <c r="U11" i="7"/>
  <c r="K11" i="10" s="1"/>
  <c r="U10" i="7"/>
  <c r="K10" i="10" s="1"/>
  <c r="U9" i="7"/>
  <c r="K9" i="10" s="1"/>
  <c r="U8" i="7"/>
  <c r="K8" i="10" s="1"/>
  <c r="U7" i="7"/>
  <c r="K7" i="10" s="1"/>
  <c r="U6" i="7"/>
  <c r="K6" i="10" s="1"/>
  <c r="U5" i="7"/>
  <c r="K5" i="10" s="1"/>
  <c r="I15" i="11" l="1"/>
  <c r="I16" i="11"/>
  <c r="I31" i="11"/>
  <c r="I9" i="11"/>
  <c r="I9" i="14"/>
  <c r="I32" i="11"/>
  <c r="I10" i="11"/>
  <c r="I10" i="14"/>
  <c r="I33" i="11"/>
  <c r="I23" i="11"/>
  <c r="I7" i="11"/>
  <c r="I7" i="14"/>
  <c r="I30" i="11"/>
  <c r="I8" i="11"/>
  <c r="I8" i="14"/>
  <c r="I20" i="11"/>
  <c r="I22" i="11"/>
  <c r="I11" i="11"/>
  <c r="I11" i="14"/>
  <c r="I34" i="11"/>
  <c r="I12" i="11"/>
  <c r="I24" i="11"/>
  <c r="I35" i="11"/>
  <c r="I13" i="11"/>
  <c r="I25" i="11"/>
  <c r="I6" i="11"/>
  <c r="I6" i="14"/>
  <c r="I14" i="11"/>
  <c r="I27" i="11"/>
  <c r="I5" i="11"/>
  <c r="E2" i="12" l="1"/>
  <c r="E2" i="11"/>
  <c r="G2" i="10" l="1"/>
  <c r="B1" i="2" l="1"/>
  <c r="D5" i="2"/>
  <c r="E30" i="14" l="1"/>
  <c r="E22" i="14"/>
  <c r="E14" i="14"/>
  <c r="E29" i="14"/>
  <c r="E21" i="14"/>
  <c r="E28" i="14"/>
  <c r="E20" i="14"/>
  <c r="E35" i="14"/>
  <c r="E27" i="14"/>
  <c r="E19" i="14"/>
  <c r="E34" i="14"/>
  <c r="E26" i="14"/>
  <c r="E18" i="14"/>
  <c r="E33" i="14"/>
  <c r="E25" i="14"/>
  <c r="E17" i="14"/>
  <c r="E32" i="14"/>
  <c r="E24" i="14"/>
  <c r="E16" i="14"/>
  <c r="E31" i="14"/>
  <c r="E23" i="14"/>
  <c r="E15" i="14"/>
  <c r="E13" i="14"/>
  <c r="E10" i="14"/>
  <c r="E5" i="14"/>
  <c r="E8" i="14"/>
  <c r="E11" i="14"/>
  <c r="F5" i="14"/>
  <c r="E6" i="14"/>
  <c r="E7" i="14"/>
  <c r="E9" i="14"/>
  <c r="E13" i="11"/>
  <c r="E9" i="11"/>
  <c r="E16" i="11"/>
  <c r="E12" i="11"/>
  <c r="E8" i="11"/>
  <c r="E15" i="11"/>
  <c r="E11" i="11"/>
  <c r="E14" i="11"/>
  <c r="E10" i="11"/>
  <c r="E35" i="12"/>
  <c r="E27" i="12"/>
  <c r="E19" i="12"/>
  <c r="E11" i="12"/>
  <c r="E34" i="12"/>
  <c r="E26" i="12"/>
  <c r="E18" i="12"/>
  <c r="E10" i="12"/>
  <c r="E33" i="12"/>
  <c r="E25" i="12"/>
  <c r="E17" i="12"/>
  <c r="E9" i="12"/>
  <c r="E32" i="12"/>
  <c r="E24" i="12"/>
  <c r="E16" i="12"/>
  <c r="E8" i="12"/>
  <c r="E31" i="12"/>
  <c r="E23" i="12"/>
  <c r="E15" i="12"/>
  <c r="E30" i="12"/>
  <c r="E22" i="12"/>
  <c r="E14" i="12"/>
  <c r="E29" i="12"/>
  <c r="E21" i="12"/>
  <c r="E13" i="12"/>
  <c r="E28" i="12"/>
  <c r="E20" i="12"/>
  <c r="E12" i="12"/>
  <c r="E20" i="11"/>
  <c r="G20" i="10"/>
  <c r="E5" i="12"/>
  <c r="L16" i="11"/>
  <c r="N13" i="10"/>
  <c r="G33" i="10"/>
  <c r="G34" i="10"/>
  <c r="E5" i="11"/>
  <c r="E30" i="11"/>
  <c r="G35" i="10"/>
  <c r="E25" i="11"/>
  <c r="E35" i="11"/>
  <c r="G28" i="10"/>
  <c r="E6" i="11"/>
  <c r="G6" i="10"/>
  <c r="G22" i="10"/>
  <c r="G24" i="10"/>
  <c r="E26" i="11"/>
  <c r="G11" i="10"/>
  <c r="E31" i="11"/>
  <c r="G25" i="10"/>
  <c r="F5" i="11"/>
  <c r="E28" i="11"/>
  <c r="G9" i="10"/>
  <c r="G32" i="10"/>
  <c r="G10" i="10"/>
  <c r="G21" i="10"/>
  <c r="G27" i="10"/>
  <c r="G29" i="10"/>
  <c r="E23" i="11"/>
  <c r="G30" i="10"/>
  <c r="G13" i="10"/>
  <c r="G5" i="10"/>
  <c r="E33" i="11"/>
  <c r="G12" i="10"/>
  <c r="G23" i="10"/>
  <c r="G31" i="10"/>
  <c r="G26" i="10"/>
  <c r="E29" i="11"/>
  <c r="E27" i="11"/>
  <c r="E7" i="11"/>
  <c r="E21" i="11"/>
  <c r="E22" i="11"/>
  <c r="H5" i="10"/>
  <c r="E32" i="11"/>
  <c r="E24" i="11"/>
  <c r="G8" i="10"/>
  <c r="E34" i="11"/>
  <c r="G7" i="10"/>
  <c r="F5" i="12"/>
  <c r="F16" i="11"/>
  <c r="F11" i="14"/>
  <c r="D18" i="2"/>
  <c r="H13" i="10"/>
  <c r="D19" i="2" l="1"/>
  <c r="G11" i="14"/>
  <c r="L19" i="14"/>
  <c r="L30" i="14"/>
  <c r="L33" i="14"/>
  <c r="N34" i="10"/>
  <c r="L22" i="12"/>
  <c r="L15" i="11"/>
  <c r="L35" i="12"/>
  <c r="I19" i="10"/>
  <c r="G19" i="10"/>
  <c r="L10" i="11"/>
  <c r="L24" i="11"/>
  <c r="N24" i="10"/>
  <c r="L9" i="11"/>
  <c r="N25" i="10"/>
  <c r="L11" i="11"/>
  <c r="N28" i="10"/>
  <c r="L12" i="11"/>
  <c r="F30" i="14"/>
  <c r="L10" i="14"/>
  <c r="F10" i="14" s="1"/>
  <c r="L21" i="14"/>
  <c r="L20" i="12"/>
  <c r="N21" i="10"/>
  <c r="L34" i="12"/>
  <c r="N11" i="10"/>
  <c r="L18" i="12"/>
  <c r="L13" i="12"/>
  <c r="N30" i="10"/>
  <c r="L26" i="11"/>
  <c r="L13" i="14"/>
  <c r="L20" i="14"/>
  <c r="F20" i="14" s="1"/>
  <c r="L31" i="14"/>
  <c r="L10" i="12"/>
  <c r="L12" i="12"/>
  <c r="L23" i="11"/>
  <c r="G14" i="10"/>
  <c r="L14" i="12"/>
  <c r="N7" i="10"/>
  <c r="L14" i="14"/>
  <c r="L24" i="14"/>
  <c r="N8" i="10"/>
  <c r="N35" i="10"/>
  <c r="L20" i="11"/>
  <c r="L8" i="12"/>
  <c r="N12" i="10"/>
  <c r="L22" i="11"/>
  <c r="L25" i="14"/>
  <c r="L29" i="14"/>
  <c r="F29" i="14" s="1"/>
  <c r="L21" i="12"/>
  <c r="G5" i="11"/>
  <c r="L27" i="12"/>
  <c r="G6" i="14"/>
  <c r="L35" i="14"/>
  <c r="L23" i="12"/>
  <c r="N23" i="10"/>
  <c r="G15" i="10"/>
  <c r="F34" i="12"/>
  <c r="L17" i="14"/>
  <c r="G16" i="11"/>
  <c r="N32" i="10"/>
  <c r="L33" i="11"/>
  <c r="I15" i="10"/>
  <c r="H11" i="10"/>
  <c r="N27" i="10"/>
  <c r="L26" i="14"/>
  <c r="G6" i="11"/>
  <c r="D20" i="2"/>
  <c r="L30" i="12"/>
  <c r="L9" i="12"/>
  <c r="F9" i="12" s="1"/>
  <c r="F26" i="14"/>
  <c r="L7" i="14"/>
  <c r="F7" i="14" s="1"/>
  <c r="L9" i="14"/>
  <c r="F9" i="14" s="1"/>
  <c r="L14" i="11"/>
  <c r="F14" i="11" s="1"/>
  <c r="L8" i="11"/>
  <c r="I17" i="10"/>
  <c r="L15" i="12"/>
  <c r="G10" i="14"/>
  <c r="F19" i="14"/>
  <c r="F35" i="14"/>
  <c r="L34" i="14"/>
  <c r="F34" i="14" s="1"/>
  <c r="N20" i="10"/>
  <c r="L25" i="12"/>
  <c r="L29" i="11"/>
  <c r="L28" i="11"/>
  <c r="L33" i="12"/>
  <c r="I13" i="10"/>
  <c r="L21" i="11"/>
  <c r="F24" i="14"/>
  <c r="L32" i="14"/>
  <c r="G5" i="14"/>
  <c r="I5" i="10"/>
  <c r="L29" i="12"/>
  <c r="L32" i="12"/>
  <c r="L7" i="11"/>
  <c r="F7" i="11" s="1"/>
  <c r="F11" i="11"/>
  <c r="F32" i="14"/>
  <c r="L15" i="14"/>
  <c r="F15" i="14" s="1"/>
  <c r="L13" i="11"/>
  <c r="N29" i="10"/>
  <c r="H29" i="10" s="1"/>
  <c r="L28" i="12"/>
  <c r="F14" i="14"/>
  <c r="L22" i="14"/>
  <c r="F22" i="14" s="1"/>
  <c r="N22" i="10"/>
  <c r="L24" i="12"/>
  <c r="L27" i="11"/>
  <c r="N9" i="10"/>
  <c r="L27" i="14"/>
  <c r="N33" i="10"/>
  <c r="H33" i="10" s="1"/>
  <c r="G5" i="12"/>
  <c r="N10" i="10"/>
  <c r="L35" i="11"/>
  <c r="G9" i="14"/>
  <c r="F21" i="14"/>
  <c r="L23" i="14"/>
  <c r="F23" i="14" s="1"/>
  <c r="N26" i="10"/>
  <c r="L32" i="11"/>
  <c r="L19" i="12"/>
  <c r="F17" i="14"/>
  <c r="F25" i="12"/>
  <c r="L31" i="12"/>
  <c r="L28" i="14"/>
  <c r="F28" i="14" s="1"/>
  <c r="H32" i="10"/>
  <c r="H35" i="10"/>
  <c r="G17" i="10"/>
  <c r="I6" i="10"/>
  <c r="H20" i="10"/>
  <c r="F12" i="11"/>
  <c r="F25" i="14"/>
  <c r="L16" i="14"/>
  <c r="F16" i="14" s="1"/>
  <c r="L30" i="11"/>
  <c r="F15" i="11"/>
  <c r="G15" i="11" s="1"/>
  <c r="L16" i="12"/>
  <c r="L17" i="12"/>
  <c r="F33" i="14"/>
  <c r="L8" i="14"/>
  <c r="F8" i="14" s="1"/>
  <c r="L25" i="11"/>
  <c r="L26" i="12"/>
  <c r="N31" i="10"/>
  <c r="F8" i="12"/>
  <c r="F27" i="14"/>
  <c r="L18" i="14"/>
  <c r="F18" i="14" s="1"/>
  <c r="L34" i="11"/>
  <c r="I14" i="10"/>
  <c r="G18" i="10"/>
  <c r="H23" i="10"/>
  <c r="L31" i="11"/>
  <c r="L11" i="12"/>
  <c r="F31" i="14"/>
  <c r="F13" i="11"/>
  <c r="G13" i="11" s="1"/>
  <c r="B10" i="14" l="1"/>
  <c r="B9" i="14"/>
  <c r="B11" i="14"/>
  <c r="F6" i="14"/>
  <c r="B5" i="14"/>
  <c r="B6" i="14"/>
  <c r="B16" i="11"/>
  <c r="B15" i="11"/>
  <c r="H6" i="10"/>
  <c r="F6" i="11"/>
  <c r="B13" i="11"/>
  <c r="B13" i="10"/>
  <c r="B5" i="11"/>
  <c r="B6" i="11"/>
  <c r="B6" i="10"/>
  <c r="B5" i="10"/>
  <c r="E6" i="12"/>
  <c r="G31" i="14"/>
  <c r="G28" i="14"/>
  <c r="G11" i="11"/>
  <c r="G26" i="14"/>
  <c r="G30" i="14"/>
  <c r="F19" i="12"/>
  <c r="G19" i="12"/>
  <c r="G25" i="12"/>
  <c r="H9" i="10"/>
  <c r="F34" i="11"/>
  <c r="H21" i="10"/>
  <c r="F29" i="11"/>
  <c r="F21" i="11"/>
  <c r="G18" i="14"/>
  <c r="G17" i="14"/>
  <c r="G7" i="11"/>
  <c r="H27" i="10"/>
  <c r="H28" i="10"/>
  <c r="G34" i="12"/>
  <c r="F33" i="11"/>
  <c r="I20" i="10"/>
  <c r="F24" i="11"/>
  <c r="F35" i="11"/>
  <c r="H31" i="10"/>
  <c r="G8" i="12"/>
  <c r="G27" i="14"/>
  <c r="G23" i="14"/>
  <c r="G24" i="14"/>
  <c r="F27" i="12"/>
  <c r="G27" i="12" s="1"/>
  <c r="H25" i="10"/>
  <c r="F21" i="12"/>
  <c r="H26" i="10"/>
  <c r="I26" i="10" s="1"/>
  <c r="F32" i="11"/>
  <c r="F30" i="12"/>
  <c r="G16" i="10"/>
  <c r="F18" i="12"/>
  <c r="G9" i="12"/>
  <c r="G8" i="14"/>
  <c r="G21" i="14"/>
  <c r="G34" i="14"/>
  <c r="G29" i="14"/>
  <c r="F9" i="11"/>
  <c r="G14" i="11"/>
  <c r="F11" i="12"/>
  <c r="F16" i="12"/>
  <c r="I33" i="10"/>
  <c r="H7" i="10"/>
  <c r="F23" i="12"/>
  <c r="F27" i="11"/>
  <c r="F22" i="12"/>
  <c r="G22" i="12" s="1"/>
  <c r="F30" i="11"/>
  <c r="G33" i="14"/>
  <c r="G35" i="14"/>
  <c r="F14" i="12"/>
  <c r="G14" i="12" s="1"/>
  <c r="H24" i="10"/>
  <c r="F15" i="12"/>
  <c r="G9" i="11"/>
  <c r="F10" i="12"/>
  <c r="G10" i="12" s="1"/>
  <c r="F31" i="12"/>
  <c r="I35" i="10"/>
  <c r="H12" i="10"/>
  <c r="G16" i="14"/>
  <c r="G19" i="14"/>
  <c r="F20" i="11"/>
  <c r="G20" i="11" s="1"/>
  <c r="F22" i="11"/>
  <c r="F23" i="11"/>
  <c r="G11" i="12"/>
  <c r="F10" i="11"/>
  <c r="G25" i="14"/>
  <c r="F8" i="11"/>
  <c r="G8" i="11" s="1"/>
  <c r="H34" i="10"/>
  <c r="I34" i="10" s="1"/>
  <c r="I18" i="10"/>
  <c r="F6" i="12"/>
  <c r="F20" i="12"/>
  <c r="G20" i="12" s="1"/>
  <c r="F28" i="12"/>
  <c r="G12" i="11"/>
  <c r="G7" i="14"/>
  <c r="F13" i="12"/>
  <c r="G13" i="12" s="1"/>
  <c r="F33" i="12"/>
  <c r="G33" i="12" s="1"/>
  <c r="F24" i="12"/>
  <c r="F17" i="12"/>
  <c r="I16" i="10"/>
  <c r="F25" i="11"/>
  <c r="G15" i="12"/>
  <c r="G22" i="14"/>
  <c r="I28" i="10"/>
  <c r="H10" i="10"/>
  <c r="G23" i="11"/>
  <c r="H22" i="10"/>
  <c r="G14" i="14"/>
  <c r="G20" i="14"/>
  <c r="G22" i="11"/>
  <c r="F29" i="12"/>
  <c r="G33" i="11"/>
  <c r="G15" i="14"/>
  <c r="F13" i="14"/>
  <c r="G13" i="14" s="1"/>
  <c r="H8" i="10"/>
  <c r="I11" i="10"/>
  <c r="F12" i="12"/>
  <c r="H30" i="10"/>
  <c r="I30" i="10" s="1"/>
  <c r="F31" i="11"/>
  <c r="I32" i="10"/>
  <c r="G32" i="14"/>
  <c r="F35" i="12"/>
  <c r="G35" i="12" s="1"/>
  <c r="F26" i="11"/>
  <c r="G26" i="11" s="1"/>
  <c r="F32" i="12"/>
  <c r="G32" i="12" s="1"/>
  <c r="F26" i="12"/>
  <c r="F28" i="11"/>
  <c r="B7" i="14" l="1"/>
  <c r="B12" i="11"/>
  <c r="B8" i="14"/>
  <c r="B7" i="11"/>
  <c r="B11" i="11"/>
  <c r="B11" i="10"/>
  <c r="B9" i="11"/>
  <c r="B8" i="11"/>
  <c r="B14" i="11"/>
  <c r="A35" i="7"/>
  <c r="C19" i="7"/>
  <c r="D33" i="7"/>
  <c r="C25" i="7"/>
  <c r="C14" i="7"/>
  <c r="D10" i="7"/>
  <c r="A5" i="7"/>
  <c r="D13" i="7"/>
  <c r="A22" i="7"/>
  <c r="A30" i="7"/>
  <c r="D12" i="7"/>
  <c r="A25" i="7"/>
  <c r="A14" i="7"/>
  <c r="C17" i="7"/>
  <c r="C9" i="7"/>
  <c r="D8" i="7"/>
  <c r="C23" i="7"/>
  <c r="A23" i="7"/>
  <c r="A13" i="7"/>
  <c r="D5" i="7"/>
  <c r="A27" i="7"/>
  <c r="A20" i="7"/>
  <c r="D16" i="7"/>
  <c r="A28" i="7"/>
  <c r="D9" i="7"/>
  <c r="C12" i="7"/>
  <c r="A11" i="7"/>
  <c r="D31" i="7"/>
  <c r="C6" i="7"/>
  <c r="C7" i="7"/>
  <c r="A24" i="7"/>
  <c r="D15" i="7"/>
  <c r="A29" i="7"/>
  <c r="D27" i="7"/>
  <c r="D22" i="7"/>
  <c r="C20" i="7"/>
  <c r="D32" i="7"/>
  <c r="D6" i="7"/>
  <c r="D7" i="7"/>
  <c r="A16" i="7"/>
  <c r="D23" i="7"/>
  <c r="A34" i="7"/>
  <c r="D34" i="7"/>
  <c r="D20" i="7"/>
  <c r="D14" i="7"/>
  <c r="C18" i="7"/>
  <c r="A31" i="7"/>
  <c r="C33" i="7"/>
  <c r="C31" i="7"/>
  <c r="C27" i="7"/>
  <c r="A12" i="7"/>
  <c r="A21" i="7"/>
  <c r="C32" i="7"/>
  <c r="D11" i="7"/>
  <c r="C30" i="7"/>
  <c r="A32" i="7"/>
  <c r="D30" i="7"/>
  <c r="C22" i="7"/>
  <c r="A7" i="7"/>
  <c r="C16" i="7"/>
  <c r="C8" i="7"/>
  <c r="C5" i="7"/>
  <c r="C35" i="7"/>
  <c r="C24" i="7"/>
  <c r="A8" i="7"/>
  <c r="C11" i="7"/>
  <c r="C10" i="7"/>
  <c r="A33" i="7"/>
  <c r="D25" i="7"/>
  <c r="A26" i="7"/>
  <c r="C13" i="7"/>
  <c r="D24" i="7"/>
  <c r="A6" i="7"/>
  <c r="C34" i="7"/>
  <c r="D35" i="7"/>
  <c r="A15" i="7"/>
  <c r="C15" i="7"/>
  <c r="G12" i="12"/>
  <c r="G28" i="12"/>
  <c r="I31" i="10"/>
  <c r="G30" i="11"/>
  <c r="G17" i="12"/>
  <c r="I29" i="10"/>
  <c r="I8" i="10"/>
  <c r="G10" i="11"/>
  <c r="G35" i="11"/>
  <c r="G31" i="12"/>
  <c r="G29" i="11"/>
  <c r="I24" i="10"/>
  <c r="G29" i="12"/>
  <c r="I12" i="10"/>
  <c r="I21" i="10"/>
  <c r="I22" i="10"/>
  <c r="I7" i="10"/>
  <c r="I9" i="10"/>
  <c r="G24" i="11"/>
  <c r="I10" i="10"/>
  <c r="G23" i="12"/>
  <c r="G31" i="11"/>
  <c r="I25" i="10"/>
  <c r="G25" i="11"/>
  <c r="G32" i="11"/>
  <c r="I27" i="10"/>
  <c r="I23" i="10"/>
  <c r="G21" i="12"/>
  <c r="G21" i="11"/>
  <c r="G16" i="12"/>
  <c r="G34" i="11"/>
  <c r="G24" i="12"/>
  <c r="G27" i="11"/>
  <c r="G18" i="12"/>
  <c r="G26" i="12"/>
  <c r="G6" i="12"/>
  <c r="G30" i="12"/>
  <c r="G28" i="11"/>
  <c r="B10" i="10" l="1"/>
  <c r="B9" i="10"/>
  <c r="B7" i="10"/>
  <c r="B12" i="10"/>
  <c r="B10" i="11"/>
  <c r="B8" i="10"/>
  <c r="E7" i="12"/>
  <c r="F7" i="12"/>
  <c r="G7" i="12" s="1"/>
  <c r="D6" i="2" l="1"/>
  <c r="J16" i="10"/>
  <c r="H32" i="11"/>
  <c r="H13" i="12"/>
  <c r="H6" i="12"/>
  <c r="H21" i="12"/>
  <c r="J33" i="10"/>
  <c r="H31" i="12"/>
  <c r="H23" i="12"/>
  <c r="H35" i="12"/>
  <c r="H10" i="12"/>
  <c r="H25" i="11"/>
  <c r="J27" i="10"/>
  <c r="J25" i="10"/>
  <c r="H32" i="14"/>
  <c r="H29" i="14"/>
  <c r="H10" i="11"/>
  <c r="J23" i="10"/>
  <c r="H16" i="12"/>
  <c r="J15" i="10"/>
  <c r="H8" i="11"/>
  <c r="H21" i="11"/>
  <c r="H26" i="12"/>
  <c r="H25" i="14"/>
  <c r="H23" i="14"/>
  <c r="H35" i="11"/>
  <c r="H8" i="12"/>
  <c r="H24" i="12"/>
  <c r="H7" i="12"/>
  <c r="H24" i="11"/>
  <c r="J7" i="10"/>
  <c r="J11" i="10"/>
  <c r="H34" i="12"/>
  <c r="H22" i="14"/>
  <c r="H33" i="14"/>
  <c r="J21" i="10"/>
  <c r="H17" i="12"/>
  <c r="H22" i="11"/>
  <c r="H20" i="11"/>
  <c r="J32" i="10"/>
  <c r="H7" i="11"/>
  <c r="H25" i="12"/>
  <c r="J28" i="10"/>
  <c r="H27" i="14"/>
  <c r="H21" i="14"/>
  <c r="J20" i="10"/>
  <c r="J19" i="10"/>
  <c r="J24" i="10"/>
  <c r="H19" i="12"/>
  <c r="J17" i="10"/>
  <c r="H26" i="14"/>
  <c r="H31" i="14"/>
  <c r="J13" i="10"/>
  <c r="J35" i="10"/>
  <c r="H9" i="12"/>
  <c r="H16" i="11"/>
  <c r="J30" i="10"/>
  <c r="H13" i="11"/>
  <c r="H14" i="11"/>
  <c r="H12" i="11"/>
  <c r="J26" i="10"/>
  <c r="J9" i="10"/>
  <c r="H26" i="11"/>
  <c r="J29" i="10"/>
  <c r="J31" i="10"/>
  <c r="H18" i="14"/>
  <c r="H30" i="14"/>
  <c r="H28" i="14"/>
  <c r="H30" i="12"/>
  <c r="J34" i="10"/>
  <c r="H5" i="12"/>
  <c r="H14" i="12"/>
  <c r="H29" i="11"/>
  <c r="H33" i="11"/>
  <c r="H15" i="11"/>
  <c r="H20" i="12"/>
  <c r="H27" i="11"/>
  <c r="H33" i="12"/>
  <c r="J8" i="10"/>
  <c r="H34" i="11"/>
  <c r="H29" i="12"/>
  <c r="J10" i="10"/>
  <c r="H32" i="12"/>
  <c r="H11" i="11"/>
  <c r="H31" i="11"/>
  <c r="H19" i="14"/>
  <c r="H20" i="14"/>
  <c r="H35" i="14"/>
  <c r="H9" i="11"/>
  <c r="J14" i="10"/>
  <c r="H28" i="11"/>
  <c r="J18" i="10"/>
  <c r="J22" i="10"/>
  <c r="J12" i="10"/>
  <c r="H15" i="12"/>
  <c r="H27" i="12"/>
  <c r="H30" i="11"/>
  <c r="H11" i="12"/>
  <c r="H22" i="12"/>
  <c r="H23" i="11"/>
  <c r="H12" i="12"/>
  <c r="H18" i="12"/>
  <c r="H28" i="12"/>
  <c r="H34" i="14"/>
  <c r="H24" i="14"/>
  <c r="H16" i="14"/>
  <c r="H7" i="14"/>
  <c r="H10" i="14"/>
  <c r="H17" i="14"/>
  <c r="H15" i="14"/>
  <c r="H11" i="14"/>
  <c r="H8" i="14"/>
  <c r="H14" i="14"/>
  <c r="H13" i="14"/>
  <c r="H9" i="14"/>
  <c r="H28" i="7" l="1"/>
  <c r="H12" i="7"/>
  <c r="AC23" i="7"/>
  <c r="H22" i="7"/>
  <c r="H11" i="7"/>
  <c r="AC30" i="7"/>
  <c r="H27" i="7"/>
  <c r="H15" i="7"/>
  <c r="V12" i="7"/>
  <c r="V22" i="7"/>
  <c r="V18" i="7"/>
  <c r="V14" i="7"/>
  <c r="AC9" i="7"/>
  <c r="AC31" i="7"/>
  <c r="AC11" i="7"/>
  <c r="H32" i="7"/>
  <c r="V10" i="7"/>
  <c r="H29" i="7"/>
  <c r="AC34" i="7"/>
  <c r="V8" i="7"/>
  <c r="H33" i="7"/>
  <c r="AC27" i="7"/>
  <c r="H20" i="7"/>
  <c r="AC15" i="7"/>
  <c r="AC33" i="7"/>
  <c r="H14" i="7"/>
  <c r="H5" i="7"/>
  <c r="V34" i="7"/>
  <c r="H30" i="7"/>
  <c r="V31" i="7"/>
  <c r="V9" i="7"/>
  <c r="AC12" i="7"/>
  <c r="AC14" i="7"/>
  <c r="AC13" i="7"/>
  <c r="V30" i="7"/>
  <c r="AC16" i="7"/>
  <c r="V35" i="7"/>
  <c r="V13" i="7"/>
  <c r="V17" i="7"/>
  <c r="H19" i="7"/>
  <c r="V24" i="7"/>
  <c r="V19" i="7"/>
  <c r="V20" i="7"/>
  <c r="H25" i="7"/>
  <c r="AC7" i="7"/>
  <c r="V32" i="7"/>
  <c r="AC20" i="7"/>
  <c r="AC22" i="7"/>
  <c r="H34" i="7"/>
  <c r="V11" i="7"/>
  <c r="V7" i="7"/>
  <c r="AC24" i="7"/>
  <c r="H7" i="7"/>
  <c r="H24" i="7"/>
  <c r="H8" i="7"/>
  <c r="AC35" i="7"/>
  <c r="H26" i="7"/>
  <c r="AC8" i="7"/>
  <c r="V15" i="7"/>
  <c r="H16" i="7"/>
  <c r="V23" i="7"/>
  <c r="AC10" i="7"/>
  <c r="V25" i="7"/>
  <c r="V27" i="7"/>
  <c r="AC25" i="7"/>
  <c r="H35" i="7"/>
  <c r="H23" i="7"/>
  <c r="H31" i="7"/>
  <c r="V33" i="7"/>
  <c r="H21" i="7"/>
  <c r="H6" i="7"/>
  <c r="H13" i="7"/>
  <c r="AC32" i="7"/>
  <c r="V16" i="7"/>
  <c r="J28" i="7"/>
  <c r="X12" i="7"/>
  <c r="X10" i="7"/>
  <c r="AE33" i="7"/>
  <c r="AE14" i="7"/>
  <c r="X24" i="7"/>
  <c r="J34" i="7"/>
  <c r="J26" i="7"/>
  <c r="AE25" i="7"/>
  <c r="AE32" i="7"/>
  <c r="J12" i="7"/>
  <c r="X22" i="7"/>
  <c r="J29" i="7"/>
  <c r="J14" i="7"/>
  <c r="AE13" i="7"/>
  <c r="X19" i="7"/>
  <c r="X11" i="7"/>
  <c r="AE8" i="7"/>
  <c r="J35" i="7"/>
  <c r="X16" i="7"/>
  <c r="AE23" i="7"/>
  <c r="X18" i="7"/>
  <c r="AE34" i="7"/>
  <c r="J5" i="7"/>
  <c r="X30" i="7"/>
  <c r="X20" i="7"/>
  <c r="X7" i="7"/>
  <c r="X15" i="7"/>
  <c r="J23" i="7"/>
  <c r="J22" i="7"/>
  <c r="X14" i="7"/>
  <c r="X8" i="7"/>
  <c r="X34" i="7"/>
  <c r="AE16" i="7"/>
  <c r="J25" i="7"/>
  <c r="AE24" i="7"/>
  <c r="J16" i="7"/>
  <c r="J31" i="7"/>
  <c r="J11" i="7"/>
  <c r="AE9" i="7"/>
  <c r="J33" i="7"/>
  <c r="J30" i="7"/>
  <c r="X35" i="7"/>
  <c r="AE7" i="7"/>
  <c r="J7" i="7"/>
  <c r="X23" i="7"/>
  <c r="X33" i="7"/>
  <c r="AE30" i="7"/>
  <c r="AE31" i="7"/>
  <c r="AE27" i="7"/>
  <c r="X31" i="7"/>
  <c r="X13" i="7"/>
  <c r="X32" i="7"/>
  <c r="J24" i="7"/>
  <c r="AE10" i="7"/>
  <c r="J21" i="7"/>
  <c r="J27" i="7"/>
  <c r="AE11" i="7"/>
  <c r="J20" i="7"/>
  <c r="X9" i="7"/>
  <c r="X17" i="7"/>
  <c r="AE20" i="7"/>
  <c r="J8" i="7"/>
  <c r="X25" i="7"/>
  <c r="J6" i="7"/>
  <c r="J15" i="7"/>
  <c r="J32" i="7"/>
  <c r="AE15" i="7"/>
  <c r="AE12" i="7"/>
  <c r="J19" i="7"/>
  <c r="AE22" i="7"/>
  <c r="AE35" i="7"/>
  <c r="X27" i="7"/>
  <c r="J13" i="7"/>
  <c r="I13" i="7" l="1"/>
  <c r="W27" i="7"/>
  <c r="AD35" i="7"/>
  <c r="AD22" i="7"/>
  <c r="I19" i="7"/>
  <c r="AD12" i="7"/>
  <c r="AD15" i="7"/>
  <c r="I32" i="7"/>
  <c r="I15" i="7"/>
  <c r="I6" i="7"/>
  <c r="W25" i="7"/>
  <c r="I8" i="7"/>
  <c r="AD20" i="7"/>
  <c r="W17" i="7"/>
  <c r="W9" i="7"/>
  <c r="I20" i="7"/>
  <c r="AD11" i="7"/>
  <c r="I27" i="7"/>
  <c r="I21" i="7"/>
  <c r="AD10" i="7"/>
  <c r="I24" i="7"/>
  <c r="W32" i="7"/>
  <c r="W13" i="7"/>
  <c r="W31" i="7"/>
  <c r="AD27" i="7"/>
  <c r="AD31" i="7"/>
  <c r="AD30" i="7"/>
  <c r="W33" i="7"/>
  <c r="W23" i="7"/>
  <c r="I7" i="7"/>
  <c r="AD7" i="7"/>
  <c r="W35" i="7"/>
  <c r="I30" i="7"/>
  <c r="I33" i="7"/>
  <c r="AD9" i="7"/>
  <c r="I11" i="7"/>
  <c r="I31" i="7"/>
  <c r="I16" i="7"/>
  <c r="AD24" i="7"/>
  <c r="I25" i="7"/>
  <c r="AD16" i="7"/>
  <c r="W34" i="7"/>
  <c r="W8" i="7"/>
  <c r="W14" i="7"/>
  <c r="I22" i="7"/>
  <c r="I23" i="7"/>
  <c r="W15" i="7"/>
  <c r="W7" i="7"/>
  <c r="W20" i="7"/>
  <c r="W30" i="7"/>
  <c r="I5" i="7"/>
  <c r="AD34" i="7"/>
  <c r="W18" i="7"/>
  <c r="AD23" i="7"/>
  <c r="W16" i="7"/>
  <c r="I35" i="7"/>
  <c r="AD8" i="7"/>
  <c r="W11" i="7"/>
  <c r="W19" i="7"/>
  <c r="AD13" i="7"/>
  <c r="I14" i="7"/>
  <c r="I29" i="7"/>
  <c r="W22" i="7"/>
  <c r="I12" i="7"/>
  <c r="AD32" i="7"/>
  <c r="AD25" i="7"/>
  <c r="I26" i="7"/>
  <c r="I34" i="7"/>
  <c r="W24" i="7"/>
  <c r="AD14" i="7"/>
  <c r="AD33" i="7"/>
  <c r="W10" i="7"/>
  <c r="W12" i="7"/>
  <c r="I28" i="7"/>
  <c r="K13" i="7"/>
  <c r="K15" i="7"/>
  <c r="AF11" i="7"/>
  <c r="AF27" i="7"/>
  <c r="K30" i="7"/>
  <c r="AF16" i="7"/>
  <c r="Y20" i="7"/>
  <c r="AF8" i="7"/>
  <c r="AF32" i="7"/>
  <c r="Y12" i="7"/>
  <c r="Y13" i="7"/>
  <c r="Y27" i="7"/>
  <c r="K6" i="7"/>
  <c r="K27" i="7"/>
  <c r="AF31" i="7"/>
  <c r="K33" i="7"/>
  <c r="Y34" i="7"/>
  <c r="Y30" i="7"/>
  <c r="Y11" i="7"/>
  <c r="AF25" i="7"/>
  <c r="K28" i="7"/>
  <c r="Y9" i="7"/>
  <c r="AF35" i="7"/>
  <c r="Y25" i="7"/>
  <c r="K21" i="7"/>
  <c r="AF30" i="7"/>
  <c r="AF9" i="7"/>
  <c r="Y8" i="7"/>
  <c r="K5" i="7"/>
  <c r="Y19" i="7"/>
  <c r="K26" i="7"/>
  <c r="AF7" i="7"/>
  <c r="AF22" i="7"/>
  <c r="K8" i="7"/>
  <c r="AF10" i="7"/>
  <c r="Y33" i="7"/>
  <c r="K11" i="7"/>
  <c r="Y14" i="7"/>
  <c r="AF34" i="7"/>
  <c r="AF13" i="7"/>
  <c r="K34" i="7"/>
  <c r="K19" i="7"/>
  <c r="AF20" i="7"/>
  <c r="K24" i="7"/>
  <c r="Y23" i="7"/>
  <c r="K31" i="7"/>
  <c r="K22" i="7"/>
  <c r="Y18" i="7"/>
  <c r="K14" i="7"/>
  <c r="Y24" i="7"/>
  <c r="AF12" i="7"/>
  <c r="Y17" i="7"/>
  <c r="Y32" i="7"/>
  <c r="K7" i="7"/>
  <c r="K16" i="7"/>
  <c r="K23" i="7"/>
  <c r="AF23" i="7"/>
  <c r="K29" i="7"/>
  <c r="AF14" i="7"/>
  <c r="K32" i="7"/>
  <c r="K20" i="7"/>
  <c r="Y31" i="7"/>
  <c r="Y35" i="7"/>
  <c r="K25" i="7"/>
  <c r="Y7" i="7"/>
  <c r="K35" i="7"/>
  <c r="K12" i="7"/>
  <c r="Y10" i="7"/>
  <c r="AF15" i="7"/>
  <c r="AF24" i="7"/>
  <c r="Y15" i="7"/>
  <c r="Y16" i="7"/>
  <c r="Y22" i="7"/>
  <c r="AF33" i="7"/>
  <c r="N5" i="10"/>
  <c r="J6" i="10"/>
  <c r="J5" i="10"/>
  <c r="L5" i="11"/>
  <c r="H5" i="11"/>
  <c r="L5" i="14"/>
  <c r="H6" i="14"/>
  <c r="H6" i="11"/>
  <c r="H5" i="14"/>
  <c r="AC6" i="7"/>
  <c r="AC5" i="7"/>
  <c r="V5" i="7"/>
  <c r="W5" i="7" s="1"/>
  <c r="V6" i="7"/>
  <c r="W6" i="7"/>
  <c r="AD5" i="7"/>
  <c r="AD6" i="7"/>
  <c r="Y6" i="7"/>
  <c r="X6" i="7"/>
  <c r="Y5" i="7"/>
  <c r="X5" i="7"/>
  <c r="AF5" i="7"/>
  <c r="AE5" i="7"/>
  <c r="AF6" i="7"/>
  <c r="AE6" i="7"/>
</calcChain>
</file>

<file path=xl/comments1.xml><?xml version="1.0" encoding="utf-8"?>
<comments xmlns="http://schemas.openxmlformats.org/spreadsheetml/2006/main">
  <authors>
    <author>ZANZI MADDALENA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<sst xmlns="http://schemas.openxmlformats.org/spreadsheetml/2006/main" count="606" uniqueCount="119">
  <si>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</si>
  <si>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</si>
  <si>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</si>
  <si>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</si>
  <si>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</si>
  <si>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</si>
  <si>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</si>
  <si>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</si>
  <si>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</si>
  <si>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</si>
  <si>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</si>
  <si>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</si>
  <si>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</si>
  <si>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</si>
  <si>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</si>
  <si>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</si>
  <si>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TN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</si>
  <si>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</si>
  <si>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</si>
  <si>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</si>
  <si>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</si>
  <si>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</si>
  <si>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</si>
  <si>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</si>
  <si>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</si>
  <si>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</si>
  <si>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7M</t>
  </si>
  <si>
    <t>8M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</si>
  <si>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</si>
  <si>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</si>
  <si>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</si>
  <si>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</si>
  <si>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</si>
  <si>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</si>
  <si>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</si>
  <si>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</si>
  <si>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</si>
  <si>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</si>
  <si>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</si>
  <si>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</si>
  <si>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</si>
  <si>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</si>
  <si>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</si>
  <si>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</si>
  <si>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</si>
  <si>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</si>
  <si>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</si>
  <si>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</si>
  <si>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</si>
  <si>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</si>
  <si>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</si>
  <si>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</si>
  <si>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</si>
  <si>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</si>
  <si>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</si>
  <si>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</si>
  <si>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</si>
  <si>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</si>
  <si>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</si>
  <si>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</si>
  <si>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</si>
  <si>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</si>
  <si>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</si>
  <si>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</si>
  <si>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</si>
  <si>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</si>
  <si>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2YD</t>
  </si>
  <si>
    <t>3YD</t>
  </si>
  <si>
    <t>4YD</t>
  </si>
  <si>
    <t>5YD</t>
  </si>
  <si>
    <t>6YD</t>
  </si>
  <si>
    <t>7YD</t>
  </si>
  <si>
    <t>8YD</t>
  </si>
  <si>
    <t>9YD</t>
  </si>
  <si>
    <t>10YD</t>
  </si>
  <si>
    <t>12YD</t>
  </si>
  <si>
    <t>15YD</t>
  </si>
  <si>
    <t>20YD</t>
  </si>
  <si>
    <t>25YD</t>
  </si>
  <si>
    <t>30YD</t>
  </si>
  <si>
    <t>OIS</t>
  </si>
  <si>
    <t>Modified Following</t>
  </si>
  <si>
    <t>InterpolationType</t>
  </si>
  <si>
    <t>MonotonicCubicNaturalSpline</t>
  </si>
  <si>
    <t>FixingDate</t>
  </si>
  <si>
    <t>Interpolation</t>
  </si>
  <si>
    <t>Extrapolated</t>
  </si>
  <si>
    <t>Swap</t>
  </si>
  <si>
    <t>SynthDepo</t>
  </si>
  <si>
    <t>ON CURVE</t>
  </si>
  <si>
    <t>3M CURVE</t>
  </si>
  <si>
    <t>6M CURVE</t>
  </si>
  <si>
    <t>RIC</t>
  </si>
  <si>
    <t>18M</t>
  </si>
  <si>
    <t>InterestRatesTrigger</t>
  </si>
  <si>
    <t>OvernightIndex</t>
  </si>
  <si>
    <t>1Y6MD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</si>
  <si>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</si>
  <si>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</si>
  <si>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</si>
  <si>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</si>
  <si>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</si>
  <si>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</si>
  <si>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</si>
  <si>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</si>
  <si>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</si>
  <si>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</si>
  <si>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</si>
  <si>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</si>
  <si>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</si>
  <si>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</si>
  <si>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</si>
  <si>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</si>
  <si>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</si>
  <si>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</si>
  <si>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</si>
  <si>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Half-Month Modified Following</t>
  </si>
  <si>
    <t>AONIA</t>
  </si>
  <si>
    <t>1M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</si>
</sst>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3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6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1" fillId="8" borderId="1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Continuous" vertical="center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right"/>
    </xf>
    <xf numFmtId="0" fontId="10" fillId="0" borderId="15" xfId="0" applyFont="1" applyFill="1" applyBorder="1" applyAlignment="1">
      <alignment horizontal="right"/>
    </xf>
    <xf numFmtId="0" fontId="2" fillId="8" borderId="10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Continuous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0" fontId="10" fillId="0" borderId="14" xfId="0" applyFont="1" applyFill="1" applyBorder="1" applyAlignment="1">
      <alignment horizontal="center" vertical="center"/>
    </xf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7" borderId="20" xfId="0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2" fillId="7" borderId="11" xfId="0" applyFont="1" applyFill="1" applyBorder="1" applyAlignment="1" applyProtection="1">
      <alignment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7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left" vertical="center"/>
    </xf>
    <xf numFmtId="165" fontId="10" fillId="0" borderId="18" xfId="0" applyNumberFormat="1" applyFont="1" applyFill="1" applyBorder="1" applyAlignment="1">
      <alignment horizontal="right" vertical="center"/>
    </xf>
    <xf numFmtId="165" fontId="10" fillId="0" borderId="17" xfId="0" applyNumberFormat="1" applyFont="1" applyFill="1" applyBorder="1" applyAlignment="1">
      <alignment horizontal="right" vertical="center"/>
    </xf>
    <xf numFmtId="165" fontId="10" fillId="0" borderId="19" xfId="0" applyNumberFormat="1" applyFont="1" applyFill="1" applyBorder="1" applyAlignment="1">
      <alignment horizontal="righ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169" fontId="12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20" xfId="0" applyFont="1" applyFill="1" applyBorder="1"/>
    <xf numFmtId="0" fontId="10" fillId="7" borderId="8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right"/>
    </xf>
    <xf numFmtId="0" fontId="10" fillId="7" borderId="13" xfId="0" applyFont="1" applyFill="1" applyBorder="1" applyAlignment="1">
      <alignment horizontal="right"/>
    </xf>
    <xf numFmtId="0" fontId="10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5" borderId="18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right"/>
    </xf>
    <xf numFmtId="170" fontId="10" fillId="10" borderId="18" xfId="0" applyNumberFormat="1" applyFont="1" applyFill="1" applyBorder="1" applyAlignment="1">
      <alignment horizontal="center"/>
    </xf>
    <xf numFmtId="0" fontId="10" fillId="10" borderId="17" xfId="0" applyFont="1" applyFill="1" applyBorder="1" applyAlignment="1">
      <alignment horizontal="left"/>
    </xf>
    <xf numFmtId="0" fontId="10" fillId="10" borderId="17" xfId="0" applyFont="1" applyFill="1" applyBorder="1" applyAlignment="1">
      <alignment horizontal="right"/>
    </xf>
    <xf numFmtId="170" fontId="10" fillId="10" borderId="17" xfId="0" applyNumberFormat="1" applyFont="1" applyFill="1" applyBorder="1" applyAlignment="1">
      <alignment horizontal="center"/>
    </xf>
    <xf numFmtId="0" fontId="10" fillId="10" borderId="19" xfId="0" applyFont="1" applyFill="1" applyBorder="1" applyAlignment="1">
      <alignment horizontal="left"/>
    </xf>
    <xf numFmtId="0" fontId="10" fillId="10" borderId="19" xfId="0" applyFont="1" applyFill="1" applyBorder="1" applyAlignment="1">
      <alignment horizontal="right"/>
    </xf>
    <xf numFmtId="170" fontId="10" fillId="10" borderId="19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10" borderId="18" xfId="0" applyFont="1" applyFill="1" applyBorder="1" applyAlignment="1">
      <alignment horizontal="left" vertical="center"/>
    </xf>
    <xf numFmtId="165" fontId="10" fillId="10" borderId="18" xfId="0" applyNumberFormat="1" applyFont="1" applyFill="1" applyBorder="1" applyAlignment="1">
      <alignment horizontal="left" vertical="center"/>
    </xf>
    <xf numFmtId="170" fontId="10" fillId="10" borderId="18" xfId="13" applyNumberFormat="1" applyFont="1" applyFill="1" applyBorder="1" applyAlignment="1">
      <alignment horizontal="left" vertical="center"/>
    </xf>
    <xf numFmtId="169" fontId="10" fillId="10" borderId="18" xfId="13" applyNumberFormat="1" applyFont="1" applyFill="1" applyBorder="1" applyAlignment="1">
      <alignment horizontal="right" vertical="center"/>
    </xf>
    <xf numFmtId="0" fontId="10" fillId="10" borderId="17" xfId="0" applyFont="1" applyFill="1" applyBorder="1" applyAlignment="1">
      <alignment horizontal="left" vertical="center"/>
    </xf>
    <xf numFmtId="165" fontId="10" fillId="10" borderId="17" xfId="0" applyNumberFormat="1" applyFont="1" applyFill="1" applyBorder="1" applyAlignment="1">
      <alignment horizontal="left" vertical="center"/>
    </xf>
    <xf numFmtId="170" fontId="10" fillId="10" borderId="17" xfId="13" applyNumberFormat="1" applyFont="1" applyFill="1" applyBorder="1" applyAlignment="1">
      <alignment horizontal="left" vertical="center"/>
    </xf>
    <xf numFmtId="169" fontId="10" fillId="10" borderId="17" xfId="13" applyNumberFormat="1" applyFont="1" applyFill="1" applyBorder="1" applyAlignment="1">
      <alignment horizontal="right" vertical="center"/>
    </xf>
    <xf numFmtId="170" fontId="10" fillId="10" borderId="19" xfId="13" applyNumberFormat="1" applyFont="1" applyFill="1" applyBorder="1" applyAlignment="1">
      <alignment horizontal="left" vertical="center"/>
    </xf>
    <xf numFmtId="171" fontId="10" fillId="10" borderId="18" xfId="0" applyNumberFormat="1" applyFont="1" applyFill="1" applyBorder="1" applyAlignment="1">
      <alignment horizontal="left" vertical="center"/>
    </xf>
    <xf numFmtId="171" fontId="10" fillId="10" borderId="17" xfId="0" applyNumberFormat="1" applyFont="1" applyFill="1" applyBorder="1" applyAlignment="1">
      <alignment horizontal="left" vertical="center"/>
    </xf>
    <xf numFmtId="0" fontId="11" fillId="0" borderId="1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/>
    <xf numFmtId="173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2" fillId="0" borderId="18" xfId="0" applyFont="1" applyFill="1" applyBorder="1" applyAlignment="1">
      <alignment horizontal="left"/>
    </xf>
    <xf numFmtId="0" fontId="12" fillId="0" borderId="17" xfId="0" applyFont="1" applyFill="1" applyBorder="1" applyAlignment="1">
      <alignment horizontal="left"/>
    </xf>
    <xf numFmtId="0" fontId="10" fillId="7" borderId="13" xfId="0" applyFont="1" applyFill="1" applyBorder="1"/>
    <xf numFmtId="170" fontId="12" fillId="0" borderId="18" xfId="0" applyNumberFormat="1" applyFont="1" applyFill="1" applyBorder="1" applyAlignment="1">
      <alignment horizontal="center"/>
    </xf>
    <xf numFmtId="170" fontId="12" fillId="0" borderId="17" xfId="0" applyNumberFormat="1" applyFont="1" applyFill="1" applyBorder="1" applyAlignment="1">
      <alignment horizontal="center"/>
    </xf>
    <xf numFmtId="0" fontId="12" fillId="0" borderId="19" xfId="0" applyFont="1" applyFill="1" applyBorder="1" applyAlignment="1">
      <alignment horizontal="left"/>
    </xf>
    <xf numFmtId="170" fontId="12" fillId="0" borderId="19" xfId="0" applyNumberFormat="1" applyFont="1" applyFill="1" applyBorder="1" applyAlignment="1">
      <alignment horizontal="center"/>
    </xf>
    <xf numFmtId="0" fontId="10" fillId="0" borderId="17" xfId="0" applyNumberFormat="1" applyFont="1" applyFill="1" applyBorder="1" applyAlignment="1">
      <alignment horizontal="right" vertical="center"/>
    </xf>
    <xf numFmtId="0" fontId="10" fillId="0" borderId="19" xfId="0" applyNumberFormat="1" applyFont="1" applyFill="1" applyBorder="1" applyAlignment="1">
      <alignment horizontal="right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7"/>
      </tp>
      <tp t="s">
        <v>#N/A Invalid source.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7"/>
      </tp>
      <tp t="s">
        <v>#N/A Invalid source.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7"/>
      </tp>
      <tp t="s">
        <v>#N/A Invalid source.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5" s="7"/>
      </tp>
      <tp t="s">
        <v>#N/A Invalid source.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6" s="7"/>
      </tp>
      <tp t="s">
        <v>#N/A Invalid source.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6" s="7"/>
      </tp>
      <tp t="s">
        <v>#N/A Invalid source.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7" s="7"/>
      </tp>
      <tp t="s">
        <v>#N/A Invalid source.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4" s="7"/>
      </tp>
      <tp t="s">
        <v>#N/A Invalid source.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4" s="7"/>
      </tp>
      <tp t="s">
        <v>#N/A Invalid source.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5" s="7"/>
      </tp>
      <tp t="s">
        <v>#N/A Invalid source.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5" s="7"/>
      </tp>
      <tp t="s">
        <v>#N/A Invalid source.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2" s="7"/>
      </tp>
      <tp t="s">
        <v>#N/A Invalid source.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7"/>
      </tp>
      <tp t="s">
        <v>#N/A Invalid source.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3" s="7"/>
      </tp>
      <tp t="s">
        <v>#N/A Invalid source.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3" s="7"/>
      </tp>
      <tp t="s">
        <v>#N/A Invalid source.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0" s="7"/>
      </tp>
      <tp t="s">
        <v>#N/A Invalid source.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1" s="7"/>
      </tp>
      <tp t="s">
        <v>#N/A Invalid source.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8" s="7"/>
      </tp>
      <tp t="s">
        <v>#N/A Invalid source.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9" s="7"/>
      </tp>
      <tp t="s">
        <v>#N/A Invalid source.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9" s="7"/>
      </tp>
    </main>
    <main first="pldatasource.rtgetrtdserver">
      <tp t="s">
        <v>#N/A Invalid source.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  <tp t="s">
        <v>#N/A Invalid source.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 t="s">
        <v>#N/A Invalid source.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7"/>
      </tp>
      <tp t="s">
        <v>#N/A Invalid source.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 t="s">
        <v>#N/A Invalid source.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  <tp t="s">
        <v>#N/A Invalid source.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 t="s">
        <v>#N/A Invalid source.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 t="s">
        <v>#N/A Invalid source.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 t="s">
        <v>#N/A Invalid source.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 t="s">
        <v>#N/A Invalid source.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" s="7"/>
      </tp>
      <tp t="s">
        <v>#N/A Invalid source.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6" s="7"/>
      </tp>
      <tp t="s">
        <v>#N/A Invalid source.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7"/>
      </tp>
      <tp t="s">
        <v>#N/A Invalid source.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7" s="7"/>
      </tp>
      <tp t="s">
        <v>#N/A Invalid source.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4" s="7"/>
      </tp>
      <tp t="s">
        <v>#N/A Invalid source.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7"/>
      </tp>
      <tp t="s">
        <v>#N/A Invalid source.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5" s="7"/>
      </tp>
      <tp t="s">
        <v>#N/A Invalid source.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7"/>
      </tp>
      <tp t="s">
        <v>#N/A Invalid source.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2" s="7"/>
      </tp>
      <tp t="s">
        <v>#N/A Invalid source.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 t="s">
        <v>#N/A Invalid source.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3" s="7"/>
      </tp>
      <tp t="s">
        <v>#N/A Invalid source.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7"/>
      </tp>
      <tp t="s">
        <v>#N/A Invalid source.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0" s="7"/>
      </tp>
      <tp t="s">
        <v>#N/A Invalid source.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1" s="7"/>
      </tp>
      <tp t="s">
        <v>#N/A Invalid source.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  <tp t="s">
        <v>#N/A Invalid source.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7"/>
      </tp>
      <tp t="s">
        <v>#N/A Invalid source.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9" s="7"/>
      </tp>
    </main>
    <main first="pldatasource.rtgetrtdserver">
      <tp t="s">
        <v>#N/A Invalid source.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0" s="7"/>
      </tp>
      <tp t="s">
        <v>#N/A Invalid source.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1" s="7"/>
      </tp>
      <tp t="s">
        <v>#N/A Invalid source.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2" s="7"/>
      </tp>
      <tp t="s">
        <v>#N/A Invalid source.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3" s="7"/>
      </tp>
      <tp t="s">
        <v>#N/A Invalid source.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4" s="7"/>
      </tp>
      <tp t="s">
        <v>#N/A Invalid source.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5" s="7"/>
      </tp>
    </main>
    <main first="pldatasource.rtgetrtdserver">
      <tp t="s">
        <v>#N/A Invalid source.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" s="7"/>
      </tp>
      <tp t="s">
        <v>#N/A Invalid source.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Invalid source.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" s="7"/>
      </tp>
      <tp t="s">
        <v>#N/A Invalid source.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" s="7"/>
      </tp>
      <tp t="s">
        <v>#N/A Invalid source.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Invalid source.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Invalid source.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Invalid source.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 t="s">
        <v>#N/A Invalid source.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Invalid source.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Invalid source.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Invalid source.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Invalid source.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3" s="7"/>
      </tp>
      <tp t="s">
        <v>#N/A Invalid source.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4" s="7"/>
      </tp>
      <tp t="s">
        <v>#N/A Invalid source.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5" s="7"/>
      </tp>
      <tp t="s">
        <v>#N/A Invalid source.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1" s="7"/>
      </tp>
      <tp t="s">
        <v>#N/A Invalid source.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0" s="7"/>
      </tp>
      <tp t="s">
        <v>#N/A Invalid source.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32" s="7"/>
      </tp>
      <tp t="s">
        <v>#N/A Invalid source.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4" s="7"/>
      </tp>
      <tp t="s">
        <v>#N/A Invalid source.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 t="s">
        <v>#N/A Invalid source.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 t="s">
        <v>#N/A Invalid source.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7"/>
      </tp>
      <tp t="s">
        <v>#N/A Invalid source.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7"/>
      </tp>
      <tp t="s">
        <v>#N/A Invalid source.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7"/>
      </tp>
      <tp t="s">
        <v>#N/A Invalid source.</v>
        <stp/>
        <stp>_x0008_AUD3MM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7"/>
      </tp>
      <tp t="s">
        <v>#N/A Invalid source.</v>
        <stp/>
        <stp>_x0008_AUD3MH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7"/>
      </tp>
      <tp t="s">
        <v>#N/A Invalid source.</v>
        <stp/>
        <stp>_x0008_AUD3MZ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7"/>
      </tp>
      <tp t="s">
        <v>#N/A Invalid source.</v>
        <stp/>
        <stp>_x0008_AUD3MZ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7"/>
      </tp>
      <tp t="s">
        <v>#N/A Invalid source.</v>
        <stp/>
        <stp>_x0008_AUD3MU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7"/>
      </tp>
      <tp t="s">
        <v>#N/A Invalid source.</v>
        <stp/>
        <stp>_x0008_AUD3MU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7"/>
      </tp>
    </main>
    <main first="pldatasource.rtgetrtdserver">
      <tp t="s">
        <v>#N/A Invalid source.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 t="s">
        <v>#N/A Invalid source.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7"/>
      </tp>
      <tp t="s">
        <v>#N/A Invalid source.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 t="s">
        <v>#N/A Invalid source.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 t="s">
        <v>#N/A Invalid source.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 t="s">
        <v>#N/A Invalid source.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 t="s">
        <v>#N/A Invalid source.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9" s="7"/>
      </tp>
      <tp t="s">
        <v>#N/A Invalid source.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4" s="7"/>
      </tp>
      <tp t="s">
        <v>#N/A Invalid source.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5" s="7"/>
      </tp>
      <tp t="s">
        <v>#N/A Invalid source.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6" s="7"/>
      </tp>
      <tp t="s">
        <v>#N/A Invalid source.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7" s="7"/>
      </tp>
      <tp t="s">
        <v>#N/A Invalid source.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0" s="7"/>
      </tp>
      <tp t="s">
        <v>#N/A Invalid source.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2" s="7"/>
      </tp>
      <tp t="s">
        <v>#N/A Invalid source.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23" s="7"/>
      </tp>
      <tp t="s">
        <v>#N/A Invalid source.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3" s="7"/>
      </tp>
    </main>
    <main first="pldatasource.rtgetrtdserver">
      <tp t="s">
        <v>#N/A Invalid source.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 t="s">
        <v>#N/A Invalid source.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 t="s">
        <v>#N/A Invalid source.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 t="s">
        <v>#N/A Invalid source.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" s="7"/>
      </tp>
      <tp t="s">
        <v>#N/A Invalid source.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 t="s">
        <v>#N/A Invalid source.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 t="s">
        <v>#N/A Invalid source.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" s="7"/>
      </tp>
      <tp t="s">
        <v>#N/A Invalid source.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 t="s">
        <v>#N/A Invalid source.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" s="7"/>
      </tp>
      <tp t="s">
        <v>#N/A Invalid source.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Invalid source.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Invalid source.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Invalid source.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Invalid source.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Invalid source.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</main>
    <main first="pldatasource.rtgetrtdserver">
      <tp t="s">
        <v>#N/A Invalid source.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 t="s">
        <v>#N/A Invalid source.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 t="s">
        <v>#N/A Invalid source.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 t="s">
        <v>#N/A Invalid source.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" s="7"/>
      </tp>
      <tp t="s">
        <v>#N/A Invalid source.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 t="s">
        <v>#N/A Invalid source.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7"/>
      </tp>
      <tp t="s">
        <v>#N/A Invalid source.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" s="7"/>
      </tp>
      <tp t="s">
        <v>#N/A Invalid source.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Invalid source.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Invalid source.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Invalid source.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Invalid source.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Invalid source.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 t="s">
        <v>#N/A Invalid source.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Invalid source.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Invalid source.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Invalid source.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Invalid source.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Invalid source.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</main>
    <main first="pldatasource.rtgetrtdserver">
      <tp t="s">
        <v>#N/A Invalid source.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9" s="7"/>
      </tp>
      <tp t="s">
        <v>#N/A Invalid source.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7" s="7"/>
      </tp>
      <tp t="s">
        <v>#N/A Invalid source.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 t="s">
        <v>#N/A Invalid source.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5" s="7"/>
      </tp>
      <tp t="s">
        <v>#N/A Invalid source.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4" s="7"/>
      </tp>
      <tp t="s">
        <v>#N/A Invalid source.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 t="s">
        <v>#N/A Invalid source.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3" s="7"/>
      </tp>
      <tp t="s">
        <v>#N/A Invalid source.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2" s="7"/>
      </tp>
      <tp t="s">
        <v>#N/A Invalid source.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0" s="7"/>
      </tp>
    </main>
    <main first="pldatasource.rtgetrtdserver">
      <tp t="s">
        <v>#N/A Invalid source.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7" s="7"/>
      </tp>
      <tp t="s">
        <v>#N/A Invalid source.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5" s="7"/>
      </tp>
      <tp t="s">
        <v>#N/A Invalid source.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4" s="7"/>
      </tp>
      <tp t="s">
        <v>#N/A Invalid source.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3" s="7"/>
      </tp>
      <tp t="s">
        <v>#N/A Invalid source.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2" s="7"/>
      </tp>
      <tp t="s">
        <v>#N/A Invalid source.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0" s="7"/>
      </tp>
      <tp t="s">
        <v>#N/A Invalid source.</v>
        <stp/>
        <stp>_x0008_AUD3MM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 t="s">
        <v>#N/A Invalid source.</v>
        <stp/>
        <stp>_x0008_AUD3MH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 t="s">
        <v>#N/A Invalid source.</v>
        <stp/>
        <stp>_x0008_AUD3MZ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9" s="7"/>
      </tp>
      <tp t="s">
        <v>#N/A Invalid source.</v>
        <stp/>
        <stp>_x0008_AUD3MZ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 t="s">
        <v>#N/A Invalid source.</v>
        <stp/>
        <stp>_x0008_AUD3MU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 t="s">
        <v>#N/A Invalid source.</v>
        <stp/>
        <stp>_x0008_AUD3MU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 t="s">
        <v>#N/A Invalid source.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 t="s">
        <v>#N/A Invalid source.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 t="s">
        <v>#N/A Invalid source.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 t="s">
        <v>#N/A Invalid source.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 t="s">
        <v>#N/A Invalid source.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 t="s">
        <v>#N/A Invalid source.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 t="s">
        <v>#N/A Invalid source.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 t="s">
        <v>#N/A Invalid source.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4" s="7"/>
      </tp>
      <tp t="s">
        <v>#N/A Invalid source.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 t="s">
        <v>#N/A Invalid source.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 t="s">
        <v>#N/A Invalid source.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  <tp t="s">
        <v>#N/A Invalid source.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  <tp t="s">
        <v>#N/A Invalid source.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" s="7"/>
      </tp>
      <tp t="s">
        <v>#N/A Invalid source.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Invalid source.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" s="7"/>
      </tp>
      <tp t="s">
        <v>#N/A Invalid source.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" s="7"/>
      </tp>
      <tp t="s">
        <v>#N/A Invalid source.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Invalid source.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 t="s">
        <v>#N/A Invalid source.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Invalid source.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Invalid source.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Invalid source.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Invalid source.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Invalid source.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Invalid source.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Invalid source.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Invalid source.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Invalid source.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Invalid source.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Invalid source.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Invalid source.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6" s="7"/>
      </tp>
      <tp t="s">
        <v>#N/A Invalid source.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8" s="7"/>
      </tp>
      <tp t="s">
        <v>#N/A Invalid source.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7" s="7"/>
      </tp>
      <tp t="s">
        <v>#N/A Invalid source.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5" s="7"/>
      </tp>
      <tp t="s">
        <v>#N/A Invalid source.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9" s="7"/>
      </tp>
      <tp t="s">
        <v>#N/A Invalid source.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0" s="7"/>
      </tp>
      <tp t="s">
        <v>#N/A Invalid source.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R11" s="7"/>
      </tp>
      <tp t="s">
        <v>#N/A Invalid source.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 t="s">
        <v>#N/A Invalid source.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Invalid source.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 t="s">
        <v>#N/A Invalid source.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" s="7"/>
      </tp>
      <tp t="s">
        <v>#N/A Invalid source.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Invalid source.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Invalid source.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Invalid source.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7"/>
      </tp>
      <tp t="s">
        <v>#N/A Invalid source.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Invalid source.</v>
        <stp/>
        <stp>_x000B_AUDON1Y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1" s="7"/>
      </tp>
      <tp t="s">
        <v>#N/A Invalid source.</v>
        <stp/>
        <stp>_x000B_AUDON1Y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5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94" customWidth="1"/>
    <col min="3" max="3" width="21.42578125" style="94" bestFit="1" customWidth="1"/>
    <col min="4" max="4" width="28.5703125" style="94" bestFit="1" customWidth="1"/>
    <col min="5" max="5" width="2.7109375" style="94" customWidth="1"/>
    <col min="6" max="6" width="3.42578125" style="94" customWidth="1"/>
    <col min="7" max="16384" width="9.140625" style="94"/>
  </cols>
  <sheetData>
    <row r="1" spans="1:26" s="13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92"/>
      <c r="B2" s="107" t="s">
        <v>4</v>
      </c>
      <c r="C2" s="108"/>
      <c r="D2" s="108"/>
      <c r="E2" s="93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s="13" customFormat="1" ht="11.25" x14ac:dyDescent="0.2">
      <c r="A3" s="2"/>
      <c r="B3" s="95"/>
      <c r="C3" s="96"/>
      <c r="D3" s="96"/>
      <c r="E3" s="9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3" customFormat="1" ht="11.25" x14ac:dyDescent="0.2">
      <c r="A4" s="2"/>
      <c r="B4" s="95"/>
      <c r="C4" s="110" t="s">
        <v>5</v>
      </c>
      <c r="D4" s="98"/>
      <c r="E4" s="9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11.25" x14ac:dyDescent="0.2">
      <c r="A5" s="2"/>
      <c r="B5" s="95"/>
      <c r="C5" s="110" t="s">
        <v>12</v>
      </c>
      <c r="D5" s="98">
        <f>_xll.qlSettingsEvaluationDate(Trigger)</f>
        <v>41876</v>
      </c>
      <c r="E5" s="9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3" customFormat="1" ht="11.25" x14ac:dyDescent="0.2">
      <c r="A6" s="2"/>
      <c r="B6" s="95"/>
      <c r="C6" s="111" t="s">
        <v>94</v>
      </c>
      <c r="D6" s="99">
        <f>[1]!TriggerCounter</f>
        <v>5</v>
      </c>
      <c r="E6" s="9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3" customFormat="1" ht="12" thickBot="1" x14ac:dyDescent="0.25">
      <c r="A7" s="2"/>
      <c r="B7" s="100"/>
      <c r="C7" s="101"/>
      <c r="D7" s="101"/>
      <c r="E7" s="10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6.5" x14ac:dyDescent="0.3">
      <c r="A9" s="92"/>
      <c r="B9" s="107" t="s">
        <v>3</v>
      </c>
      <c r="C9" s="108"/>
      <c r="D9" s="108"/>
      <c r="E9" s="109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s="13" customFormat="1" ht="11.25" x14ac:dyDescent="0.2">
      <c r="A10" s="2"/>
      <c r="B10" s="95"/>
      <c r="C10" s="96"/>
      <c r="D10" s="96"/>
      <c r="E10" s="9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3" customFormat="1" ht="11.25" x14ac:dyDescent="0.2">
      <c r="A11" s="2"/>
      <c r="B11" s="95"/>
      <c r="C11" s="110" t="s">
        <v>6</v>
      </c>
      <c r="D11" s="103" t="s">
        <v>109</v>
      </c>
      <c r="E11" s="9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3" customFormat="1" ht="11.25" x14ac:dyDescent="0.2">
      <c r="A12" s="2"/>
      <c r="B12" s="95"/>
      <c r="C12" s="110" t="s">
        <v>113</v>
      </c>
      <c r="D12" s="103" t="str">
        <f>Currency&amp;"ON"</f>
        <v>AUDON</v>
      </c>
      <c r="E12" s="9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3" customFormat="1" ht="11.25" x14ac:dyDescent="0.2">
      <c r="A13" s="2"/>
      <c r="B13" s="95"/>
      <c r="C13" s="110" t="s">
        <v>11</v>
      </c>
      <c r="D13" s="104" t="str">
        <f>PROPER(Currency)&amp;"BBSW"</f>
        <v>AudBBSW</v>
      </c>
      <c r="E13" s="9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3" customFormat="1" ht="11.25" x14ac:dyDescent="0.2">
      <c r="A14" s="2"/>
      <c r="B14" s="95"/>
      <c r="C14" s="110" t="s">
        <v>13</v>
      </c>
      <c r="D14" s="104" t="s">
        <v>14</v>
      </c>
      <c r="E14" s="9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3" customFormat="1" ht="11.25" x14ac:dyDescent="0.2">
      <c r="A15" s="2"/>
      <c r="B15" s="95"/>
      <c r="C15" s="110" t="s">
        <v>9</v>
      </c>
      <c r="D15" s="105">
        <v>1</v>
      </c>
      <c r="E15" s="9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3" customFormat="1" ht="11.25" x14ac:dyDescent="0.2">
      <c r="A16" s="2"/>
      <c r="B16" s="95"/>
      <c r="C16" s="110" t="s">
        <v>107</v>
      </c>
      <c r="D16" s="104" t="s">
        <v>110</v>
      </c>
      <c r="E16" s="9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3" customFormat="1" ht="11.25" x14ac:dyDescent="0.2">
      <c r="A17" s="2"/>
      <c r="B17" s="95"/>
      <c r="C17" s="110" t="s">
        <v>108</v>
      </c>
      <c r="D17" s="104" t="s">
        <v>110</v>
      </c>
      <c r="E17" s="9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3" customFormat="1" ht="11.25" x14ac:dyDescent="0.2">
      <c r="A18" s="2"/>
      <c r="B18" s="95"/>
      <c r="C18" s="110" t="s">
        <v>106</v>
      </c>
      <c r="D18" s="104" t="b">
        <f>_xll.qlCalendarIsHoliday(LocalCalendar,_xll.qlCalendarAdvance(LiborCalendar,EvaluationDate,SettlementDays&amp;"D","f",FALSE,Trigger))</f>
        <v>0</v>
      </c>
      <c r="E18" s="9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3" customFormat="1" ht="11.25" x14ac:dyDescent="0.2">
      <c r="A19" s="2"/>
      <c r="B19" s="95"/>
      <c r="C19" s="110" t="s">
        <v>7</v>
      </c>
      <c r="D19" s="104" t="str">
        <f>IF(D18,LocalCalendar,LiborCalendar)</f>
        <v>Australia</v>
      </c>
      <c r="E19" s="9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3" customFormat="1" ht="11.25" x14ac:dyDescent="0.2">
      <c r="A20" s="2"/>
      <c r="B20" s="95"/>
      <c r="C20" s="111" t="s">
        <v>10</v>
      </c>
      <c r="D20" s="106">
        <f>_xll.qlCalendarAdvance(Calendar,EvaluationDate,SettlementDays&amp;"d","following",FALSE)</f>
        <v>41877</v>
      </c>
      <c r="E20" s="9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3" customFormat="1" ht="11.25" x14ac:dyDescent="0.2">
      <c r="A21" s="2"/>
      <c r="B21" s="95"/>
      <c r="C21" s="111" t="s">
        <v>82</v>
      </c>
      <c r="D21" s="106" t="s">
        <v>83</v>
      </c>
      <c r="E21" s="9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3" customFormat="1" ht="12" thickBot="1" x14ac:dyDescent="0.25">
      <c r="A22" s="2"/>
      <c r="B22" s="100"/>
      <c r="C22" s="101"/>
      <c r="D22" s="101"/>
      <c r="E22" s="10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x14ac:dyDescent="0.2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x14ac:dyDescent="0.2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x14ac:dyDescent="0.2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x14ac:dyDescent="0.25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x14ac:dyDescent="0.2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x14ac:dyDescent="0.2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x14ac:dyDescent="0.2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x14ac:dyDescent="0.2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x14ac:dyDescent="0.2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x14ac:dyDescent="0.25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x14ac:dyDescent="0.25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x14ac:dyDescent="0.25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x14ac:dyDescent="0.2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x14ac:dyDescent="0.25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x14ac:dyDescent="0.2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x14ac:dyDescent="0.25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x14ac:dyDescent="0.2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x14ac:dyDescent="0.2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x14ac:dyDescent="0.25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x14ac:dyDescent="0.25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x14ac:dyDescent="0.25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x14ac:dyDescent="0.2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x14ac:dyDescent="0.2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x14ac:dyDescent="0.2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x14ac:dyDescent="0.2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x14ac:dyDescent="0.2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00"/>
  <sheetViews>
    <sheetView showGridLines="0" tabSelected="1" workbookViewId="0">
      <selection activeCell="B1" sqref="B1"/>
    </sheetView>
  </sheetViews>
  <sheetFormatPr defaultColWidth="3" defaultRowHeight="11.25" x14ac:dyDescent="0.2"/>
  <cols>
    <col min="1" max="4" width="15.7109375" style="1" customWidth="1"/>
    <col min="5" max="5" width="2.7109375" style="1" customWidth="1"/>
    <col min="6" max="6" width="8" style="1" bestFit="1" customWidth="1"/>
    <col min="7" max="7" width="12" style="1" bestFit="1" customWidth="1"/>
    <col min="8" max="9" width="7" style="1" bestFit="1" customWidth="1"/>
    <col min="10" max="10" width="10" style="5" bestFit="1" customWidth="1"/>
    <col min="11" max="11" width="10" style="13" bestFit="1" customWidth="1"/>
    <col min="12" max="12" width="2.7109375" style="1" customWidth="1"/>
    <col min="13" max="13" width="7" style="1" bestFit="1" customWidth="1"/>
    <col min="14" max="14" width="11" style="1" bestFit="1" customWidth="1"/>
    <col min="15" max="15" width="8" style="1" bestFit="1" customWidth="1"/>
    <col min="16" max="16" width="10" style="1" bestFit="1" customWidth="1"/>
    <col min="17" max="18" width="10" style="5" bestFit="1" customWidth="1"/>
    <col min="19" max="19" width="2.7109375" style="1" customWidth="1"/>
    <col min="20" max="20" width="7" style="1" bestFit="1" customWidth="1"/>
    <col min="21" max="21" width="10" style="1" bestFit="1" customWidth="1"/>
    <col min="22" max="23" width="8" style="1" bestFit="1" customWidth="1"/>
    <col min="24" max="25" width="10" style="5" bestFit="1" customWidth="1"/>
    <col min="26" max="26" width="2.7109375" style="1" customWidth="1"/>
    <col min="27" max="27" width="12" style="1" bestFit="1" customWidth="1"/>
    <col min="28" max="29" width="8" style="1" bestFit="1" customWidth="1"/>
    <col min="30" max="30" width="10" style="1" bestFit="1" customWidth="1"/>
    <col min="31" max="32" width="10" style="5" bestFit="1" customWidth="1"/>
    <col min="33" max="38" width="14.42578125" style="1" customWidth="1"/>
    <col min="39" max="16384" width="3" style="1"/>
  </cols>
  <sheetData>
    <row r="1" spans="1:59" ht="11.25" customHeight="1" x14ac:dyDescent="0.2">
      <c r="A1" s="30" t="s">
        <v>8</v>
      </c>
      <c r="B1" s="58"/>
      <c r="C1" s="2"/>
      <c r="D1" s="2"/>
      <c r="E1" s="2"/>
      <c r="F1" s="29" t="s">
        <v>2</v>
      </c>
      <c r="G1" s="29">
        <v>0</v>
      </c>
      <c r="H1" s="63" t="s">
        <v>0</v>
      </c>
      <c r="I1" s="28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9" ht="11.25" customHeight="1" x14ac:dyDescent="0.2">
      <c r="A2" s="62"/>
      <c r="B2" s="5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9" ht="11.25" customHeight="1" x14ac:dyDescent="0.2">
      <c r="A3" s="47"/>
      <c r="B3" s="47"/>
      <c r="C3" s="47"/>
      <c r="D3" s="47"/>
      <c r="E3" s="153" t="s">
        <v>97</v>
      </c>
      <c r="F3" s="14" t="s">
        <v>89</v>
      </c>
      <c r="G3" s="14"/>
      <c r="H3" s="14"/>
      <c r="I3" s="15"/>
      <c r="J3" s="46"/>
      <c r="K3" s="16"/>
      <c r="L3" s="56" t="s">
        <v>97</v>
      </c>
      <c r="M3" s="14" t="s">
        <v>118</v>
      </c>
      <c r="N3" s="14"/>
      <c r="O3" s="14"/>
      <c r="P3" s="15"/>
      <c r="Q3" s="46"/>
      <c r="R3" s="16"/>
      <c r="S3" s="2" t="s">
        <v>97</v>
      </c>
      <c r="T3" s="14" t="s">
        <v>90</v>
      </c>
      <c r="U3" s="14"/>
      <c r="V3" s="14"/>
      <c r="W3" s="15"/>
      <c r="X3" s="46"/>
      <c r="Y3" s="16"/>
      <c r="Z3" s="56" t="s">
        <v>97</v>
      </c>
      <c r="AA3" s="14" t="s">
        <v>91</v>
      </c>
      <c r="AB3" s="14"/>
      <c r="AC3" s="14"/>
      <c r="AD3" s="15"/>
      <c r="AE3" s="46"/>
      <c r="AF3" s="16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s="50" customFormat="1" ht="11.25" customHeight="1" x14ac:dyDescent="0.2">
      <c r="A4" s="27" t="s">
        <v>15</v>
      </c>
      <c r="B4" s="27" t="s">
        <v>21</v>
      </c>
      <c r="C4" s="27" t="s">
        <v>23</v>
      </c>
      <c r="D4" s="150" t="s">
        <v>14</v>
      </c>
      <c r="E4" s="153" t="s">
        <v>97</v>
      </c>
      <c r="F4" s="32" t="s">
        <v>112</v>
      </c>
      <c r="G4" s="49" t="s">
        <v>92</v>
      </c>
      <c r="H4" s="32" t="s">
        <v>0</v>
      </c>
      <c r="I4" s="32" t="s">
        <v>1</v>
      </c>
      <c r="J4" s="32" t="s">
        <v>98</v>
      </c>
      <c r="K4" s="32" t="s">
        <v>99</v>
      </c>
      <c r="L4" s="57" t="s">
        <v>97</v>
      </c>
      <c r="M4" s="32" t="s">
        <v>112</v>
      </c>
      <c r="N4" s="49" t="s">
        <v>92</v>
      </c>
      <c r="O4" s="32" t="s">
        <v>0</v>
      </c>
      <c r="P4" s="32" t="s">
        <v>1</v>
      </c>
      <c r="Q4" s="32" t="s">
        <v>98</v>
      </c>
      <c r="R4" s="32" t="s">
        <v>99</v>
      </c>
      <c r="S4" s="2" t="s">
        <v>97</v>
      </c>
      <c r="T4" s="32" t="s">
        <v>112</v>
      </c>
      <c r="U4" s="49" t="s">
        <v>92</v>
      </c>
      <c r="V4" s="32" t="s">
        <v>0</v>
      </c>
      <c r="W4" s="32" t="s">
        <v>1</v>
      </c>
      <c r="X4" s="32" t="s">
        <v>98</v>
      </c>
      <c r="Y4" s="32" t="s">
        <v>99</v>
      </c>
      <c r="Z4" s="57" t="s">
        <v>97</v>
      </c>
      <c r="AA4" s="32" t="s">
        <v>112</v>
      </c>
      <c r="AB4" s="49" t="s">
        <v>92</v>
      </c>
      <c r="AC4" s="32" t="s">
        <v>0</v>
      </c>
      <c r="AD4" s="32" t="s">
        <v>1</v>
      </c>
      <c r="AE4" s="32" t="s">
        <v>98</v>
      </c>
      <c r="AF4" s="32" t="s">
        <v>99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</row>
    <row r="5" spans="1:59" ht="11.25" customHeight="1" x14ac:dyDescent="0.2">
      <c r="A5" s="24" t="str">
        <f>IF(Contribute="abcd",IF($G$1&lt;&gt;-1,_xll.RtContribute(SourceAlias,G5,Fields,H5:I5,"SCOPE:SERVER"),_xll.RtContribute(SourceAlias,"DDS_INSERT_S",$G$1:$I$1,H5:I5,"SCOPE:SERVER FTC:ALL")),"stopped")</f>
        <v>stopped</v>
      </c>
      <c r="B5" s="154" t="str">
        <f>IF(Contribute="abcd",IF($G$1&lt;&gt;-1,_xll.RtContribute(SourceAlias,N5,Fields,O5:P5,"SCOPE:SERVER"),_xll.RtContribute(SourceAlias,"DDS_INSERT_S",$G$1:$I$1,N5:P5,"SCOPE:SERVER FTC:ALL")),"stopped")</f>
        <v>stopped</v>
      </c>
      <c r="C5" s="24" t="str">
        <f>IF(Contribute="abcd",IF($G$1&lt;&gt;-1,_xll.RtContribute(SourceAlias,U5,Fields,V5:W5,"SCOPE:SERVER"),_xll.RtContribute(SourceAlias,"DDS_INSERT_S",$G$1:$I$1,U5:W5,"SCOPE:SERVER FTC:ALL")),"stopped")</f>
        <v>stopped</v>
      </c>
      <c r="D5" s="151" t="str">
        <f>IF(Contribute="abcd",IF($G$1&lt;&gt;-1,_xll.RtContribute(SourceAlias,AB5,Fields,AC5:AD5,"SCOPE:SERVER"),_xll.RtContribute(SourceAlias,"DDS_INSERT_S",$G$1:$I$1,AB5:AD5,"SCOPE:SERVER FTC:ALL")),"stopped")</f>
        <v>stopped</v>
      </c>
      <c r="E5" s="153" t="s">
        <v>97</v>
      </c>
      <c r="F5" s="24" t="s">
        <v>52</v>
      </c>
      <c r="G5" s="17" t="str">
        <f t="shared" ref="G5:G16" si="0">Currency&amp;"ON"&amp;F5&amp;"="</f>
        <v>AUDONOND=</v>
      </c>
      <c r="H5" s="18">
        <f>'ON Pricing'!H5*100</f>
        <v>2.5005516180223175</v>
      </c>
      <c r="I5" s="18">
        <f>H5</f>
        <v>2.5005516180223175</v>
      </c>
      <c r="J5" s="18" t="e">
        <f>ABS(_xll.RtGet(SourceAlias,$G5,BID)-H5)</f>
        <v>#VALUE!</v>
      </c>
      <c r="K5" s="18" t="e">
        <f>ABS(_xll.RtGet(SourceAlias,$G5,ASK)-I5)</f>
        <v>#VALUE!</v>
      </c>
      <c r="L5" s="56" t="s">
        <v>97</v>
      </c>
      <c r="M5" s="154" t="s">
        <v>52</v>
      </c>
      <c r="N5" s="154" t="str">
        <f t="shared" ref="N5:N11" si="1">Currency&amp;"1M"&amp;M5&amp;"="</f>
        <v>AUD1MOND=</v>
      </c>
      <c r="O5" s="157">
        <f>'1M Pricing'!H5*100</f>
        <v>2.6158769887351108</v>
      </c>
      <c r="P5" s="157">
        <f>O5</f>
        <v>2.6158769887351108</v>
      </c>
      <c r="Q5" s="157" t="e">
        <f>ABS(_xll.RtGet(SourceAlias,$N5,BID)-O5)</f>
        <v>#VALUE!</v>
      </c>
      <c r="R5" s="157" t="e">
        <f>ABS(_xll.RtGet(SourceAlias,$N5,ASK)-P5)</f>
        <v>#VALUE!</v>
      </c>
      <c r="S5" s="2" t="s">
        <v>97</v>
      </c>
      <c r="T5" s="24" t="s">
        <v>52</v>
      </c>
      <c r="U5" s="17" t="str">
        <f t="shared" ref="U5:U19" si="2">Currency&amp;"3M"&amp;T5&amp;"="</f>
        <v>AUD3MOND=</v>
      </c>
      <c r="V5" s="18">
        <f>'3M Pricing'!J5*100</f>
        <v>2.6836694482883008</v>
      </c>
      <c r="W5" s="18">
        <f>V5</f>
        <v>2.6836694482883008</v>
      </c>
      <c r="X5" s="18" t="e">
        <f>ABS(_xll.RtGet(SourceAlias,$U5,BID)-V5)</f>
        <v>#VALUE!</v>
      </c>
      <c r="Y5" s="18" t="e">
        <f>ABS(_xll.RtGet(SourceAlias,$U5,ASK)-W5)</f>
        <v>#VALUE!</v>
      </c>
      <c r="Z5" s="56" t="s">
        <v>97</v>
      </c>
      <c r="AA5" s="24" t="s">
        <v>52</v>
      </c>
      <c r="AB5" s="17" t="str">
        <f t="shared" ref="AB5:AB20" si="3">Currency&amp;"6M"&amp;AA5&amp;"="</f>
        <v>AUD6MOND=</v>
      </c>
      <c r="AC5" s="18">
        <f>'6M Pricing'!H5*100</f>
        <v>2.744913446725783</v>
      </c>
      <c r="AD5" s="18">
        <f>AC5</f>
        <v>2.744913446725783</v>
      </c>
      <c r="AE5" s="18" t="e">
        <f>ABS(_xll.RtGet(SourceAlias,$AB5,BID)-AC5)</f>
        <v>#VALUE!</v>
      </c>
      <c r="AF5" s="18" t="e">
        <f>ABS(_xll.RtGet(SourceAlias,$AB5,ASK)-AD5)</f>
        <v>#VALUE!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11.25" customHeight="1" x14ac:dyDescent="0.2">
      <c r="A6" s="25" t="str">
        <f>IF(Contribute="abcd",IF($G$1&lt;&gt;-1,_xll.RtContribute(SourceAlias,G6,Fields,H6:I6,"SCOPE:SERVER"),_xll.RtContribute(SourceAlias,"DDS_INSERT_S",$G$1:$I$1,H6:I6,"SCOPE:SERVER FTC:ALL")),"stopped")</f>
        <v>stopped</v>
      </c>
      <c r="B6" s="155" t="str">
        <f>IF(Contribute="abcd",IF($G$1&lt;&gt;-1,_xll.RtContribute(SourceAlias,N6,Fields,O6:P6,"SCOPE:SERVER"),_xll.RtContribute(SourceAlias,"DDS_INSERT_S",$G$1:$I$1,N6:P6,"SCOPE:SERVER FTC:ALL")),"stopped")</f>
        <v>stopped</v>
      </c>
      <c r="C6" s="25" t="str">
        <f>IF(Contribute="abcd",IF($G$1&lt;&gt;-1,_xll.RtContribute(SourceAlias,U6,Fields,V6:W6,"SCOPE:SERVER"),_xll.RtContribute(SourceAlias,"DDS_INSERT_S",$G$1:$I$1,U6:W6,"SCOPE:SERVER FTC:ALL")),"stopped")</f>
        <v>stopped</v>
      </c>
      <c r="D6" s="152" t="str">
        <f>IF(Contribute="abcd",IF($G$1&lt;&gt;-1,_xll.RtContribute(SourceAlias,AB6,Fields,AC6:AD6,"SCOPE:SERVER"),_xll.RtContribute(SourceAlias,"DDS_INSERT_S",$G$1:$I$1,AB6:AD6,"SCOPE:SERVER FTC:ALL")),"stopped")</f>
        <v>stopped</v>
      </c>
      <c r="E6" s="153" t="s">
        <v>97</v>
      </c>
      <c r="F6" s="25" t="s">
        <v>53</v>
      </c>
      <c r="G6" s="19" t="str">
        <f t="shared" si="0"/>
        <v>AUDONTND=</v>
      </c>
      <c r="H6" s="20">
        <f>'ON Pricing'!H6*100</f>
        <v>2.5004628542310003</v>
      </c>
      <c r="I6" s="20">
        <f t="shared" ref="I6:I35" si="4">H6</f>
        <v>2.5004628542310003</v>
      </c>
      <c r="J6" s="20" t="e">
        <f>ABS(_xll.RtGet(SourceAlias,$G6,BID)-H6)</f>
        <v>#VALUE!</v>
      </c>
      <c r="K6" s="20" t="e">
        <f>ABS(_xll.RtGet(SourceAlias,$G6,ASK)-I6)</f>
        <v>#VALUE!</v>
      </c>
      <c r="L6" s="56" t="s">
        <v>97</v>
      </c>
      <c r="M6" s="155" t="s">
        <v>53</v>
      </c>
      <c r="N6" s="155" t="str">
        <f t="shared" si="1"/>
        <v>AUD1MTND=</v>
      </c>
      <c r="O6" s="158">
        <f>'1M Pricing'!H6*100</f>
        <v>2.6160069901762437</v>
      </c>
      <c r="P6" s="158">
        <f t="shared" ref="P6:P35" si="5">O6</f>
        <v>2.6160069901762437</v>
      </c>
      <c r="Q6" s="158" t="e">
        <f>ABS(_xll.RtGet(SourceAlias,$N6,BID)-O6)</f>
        <v>#VALUE!</v>
      </c>
      <c r="R6" s="158" t="e">
        <f>ABS(_xll.RtGet(SourceAlias,$N6,ASK)-P6)</f>
        <v>#VALUE!</v>
      </c>
      <c r="S6" s="2" t="s">
        <v>97</v>
      </c>
      <c r="T6" s="25" t="s">
        <v>53</v>
      </c>
      <c r="U6" s="19" t="str">
        <f t="shared" si="2"/>
        <v>AUD3MTND=</v>
      </c>
      <c r="V6" s="20">
        <f>'3M Pricing'!J6*100</f>
        <v>2.6837537833945149</v>
      </c>
      <c r="W6" s="20">
        <f t="shared" ref="W6:W35" si="6">V6</f>
        <v>2.6837537833945149</v>
      </c>
      <c r="X6" s="20" t="e">
        <f>ABS(_xll.RtGet(SourceAlias,$U6,BID)-V6)</f>
        <v>#VALUE!</v>
      </c>
      <c r="Y6" s="20" t="e">
        <f>ABS(_xll.RtGet(SourceAlias,$U6,ASK)-W6)</f>
        <v>#VALUE!</v>
      </c>
      <c r="Z6" s="56" t="s">
        <v>97</v>
      </c>
      <c r="AA6" s="25" t="s">
        <v>53</v>
      </c>
      <c r="AB6" s="19" t="str">
        <f t="shared" si="3"/>
        <v>AUD6MTND=</v>
      </c>
      <c r="AC6" s="20">
        <f>'6M Pricing'!H6*100</f>
        <v>2.7450103501513423</v>
      </c>
      <c r="AD6" s="20">
        <f t="shared" ref="AD6:AD35" si="7">AC6</f>
        <v>2.7450103501513423</v>
      </c>
      <c r="AE6" s="20" t="e">
        <f>ABS(_xll.RtGet(SourceAlias,$AB6,BID)-AC6)</f>
        <v>#VALUE!</v>
      </c>
      <c r="AF6" s="20" t="e">
        <f>ABS(_xll.RtGet(SourceAlias,$AB6,ASK)-AD6)</f>
        <v>#VALUE!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11.25" customHeight="1" x14ac:dyDescent="0.2">
      <c r="A7" s="25" t="str">
        <f>IF(Contribute="abcd",IF($G$1&lt;&gt;-1,_xll.RtContribute(SourceAlias,G7,Fields,H7:I7,"SCOPE:SERVER"),_xll.RtContribute(SourceAlias,"DDS_INSERT_S",$G$1:$I$1,H7:I7,"SCOPE:SERVER FTC:ALL")),"stopped")</f>
        <v>stopped</v>
      </c>
      <c r="B7" s="155" t="str">
        <f>IF(Contribute="abcd",IF($G$1&lt;&gt;-1,_xll.RtContribute(SourceAlias,N7,Fields,O7:P7,"SCOPE:SERVER"),_xll.RtContribute(SourceAlias,"DDS_INSERT_S",$G$1:$I$1,N7:P7,"SCOPE:SERVER FTC:ALL")),"stopped")</f>
        <v>stopped</v>
      </c>
      <c r="C7" s="25" t="str">
        <f>IF(Contribute="abcd",IF($G$1&lt;&gt;-1,_xll.RtContribute(SourceAlias,U7,Fields,V7:W7,"SCOPE:SERVER"),_xll.RtContribute(SourceAlias,"DDS_INSERT_S",$G$1:$I$1,U7:W7,"SCOPE:SERVER FTC:ALL")),"stopped")</f>
        <v>stopped</v>
      </c>
      <c r="D7" s="152" t="str">
        <f>IF(Contribute="abcd",IF($G$1&lt;&gt;-1,_xll.RtContribute(SourceAlias,AB7,Fields,AC7:AD7,"SCOPE:SERVER"),_xll.RtContribute(SourceAlias,"DDS_INSERT_S",$G$1:$I$1,AB7:AD7,"SCOPE:SERVER FTC:ALL")),"stopped")</f>
        <v>stopped</v>
      </c>
      <c r="E7" s="153" t="s">
        <v>97</v>
      </c>
      <c r="F7" s="25" t="s">
        <v>54</v>
      </c>
      <c r="G7" s="19" t="str">
        <f t="shared" si="0"/>
        <v>AUDONSND=</v>
      </c>
      <c r="H7" s="20">
        <f>'ON Pricing'!H7*100</f>
        <v>2.500285326648366</v>
      </c>
      <c r="I7" s="20">
        <f t="shared" si="4"/>
        <v>2.500285326648366</v>
      </c>
      <c r="J7" s="20" t="e">
        <f>ABS(_xll.RtGet(SourceAlias,$G7,BID)-H7)</f>
        <v>#VALUE!</v>
      </c>
      <c r="K7" s="20" t="e">
        <f>ABS(_xll.RtGet(SourceAlias,$G7,ASK)-I7)</f>
        <v>#VALUE!</v>
      </c>
      <c r="L7" s="56" t="s">
        <v>97</v>
      </c>
      <c r="M7" s="155" t="s">
        <v>54</v>
      </c>
      <c r="N7" s="155" t="str">
        <f t="shared" si="1"/>
        <v>AUD1MSND=</v>
      </c>
      <c r="O7" s="158">
        <f>'1M Pricing'!H7*100</f>
        <v>2.6158769887351108</v>
      </c>
      <c r="P7" s="158">
        <f t="shared" si="5"/>
        <v>2.6158769887351108</v>
      </c>
      <c r="Q7" s="158" t="e">
        <f>ABS(_xll.RtGet(SourceAlias,$N7,BID)-O7)</f>
        <v>#VALUE!</v>
      </c>
      <c r="R7" s="158" t="e">
        <f>ABS(_xll.RtGet(SourceAlias,$N7,ASK)-P7)</f>
        <v>#VALUE!</v>
      </c>
      <c r="S7" s="2" t="s">
        <v>97</v>
      </c>
      <c r="T7" s="25" t="s">
        <v>54</v>
      </c>
      <c r="U7" s="19" t="str">
        <f t="shared" si="2"/>
        <v>AUD3MSND=</v>
      </c>
      <c r="V7" s="20">
        <f>'3M Pricing'!J7*100</f>
        <v>2.6839268403920924</v>
      </c>
      <c r="W7" s="20">
        <f t="shared" si="6"/>
        <v>2.6839268403920924</v>
      </c>
      <c r="X7" s="20" t="e">
        <f>ABS(_xll.RtGet(SourceAlias,$U7,BID)-V7)</f>
        <v>#VALUE!</v>
      </c>
      <c r="Y7" s="20" t="e">
        <f>ABS(_xll.RtGet(SourceAlias,$U7,ASK)-W7)</f>
        <v>#VALUE!</v>
      </c>
      <c r="Z7" s="56" t="s">
        <v>97</v>
      </c>
      <c r="AA7" s="25" t="s">
        <v>54</v>
      </c>
      <c r="AB7" s="19" t="str">
        <f t="shared" si="3"/>
        <v>AUD6MSND=</v>
      </c>
      <c r="AC7" s="20">
        <f>'6M Pricing'!H7*100</f>
        <v>2.744913446725783</v>
      </c>
      <c r="AD7" s="20">
        <f t="shared" si="7"/>
        <v>2.744913446725783</v>
      </c>
      <c r="AE7" s="20" t="e">
        <f>ABS(_xll.RtGet(SourceAlias,$AB7,BID)-AC7)</f>
        <v>#VALUE!</v>
      </c>
      <c r="AF7" s="20" t="e">
        <f>ABS(_xll.RtGet(SourceAlias,$AB7,ASK)-AD7)</f>
        <v>#VALUE!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11.25" customHeight="1" x14ac:dyDescent="0.2">
      <c r="A8" s="25" t="str">
        <f>IF(Contribute="abcd",IF($G$1&lt;&gt;-1,_xll.RtContribute(SourceAlias,G8,Fields,H8:I8,"SCOPE:SERVER"),_xll.RtContribute(SourceAlias,"DDS_INSERT_S",$G$1:$I$1,H8:I8,"SCOPE:SERVER FTC:ALL")),"stopped")</f>
        <v>stopped</v>
      </c>
      <c r="B8" s="155" t="str">
        <f>IF(Contribute="abcd",IF($G$1&lt;&gt;-1,_xll.RtContribute(SourceAlias,N8,Fields,O8:P8,"SCOPE:SERVER"),_xll.RtContribute(SourceAlias,"DDS_INSERT_S",$G$1:$I$1,N8:P8,"SCOPE:SERVER FTC:ALL")),"stopped")</f>
        <v>stopped</v>
      </c>
      <c r="C8" s="25" t="str">
        <f>IF(Contribute="abcd",IF($G$1&lt;&gt;-1,_xll.RtContribute(SourceAlias,U8,Fields,V8:W8,"SCOPE:SERVER"),_xll.RtContribute(SourceAlias,"DDS_INSERT_S",$G$1:$I$1,U8:W8,"SCOPE:SERVER FTC:ALL")),"stopped")</f>
        <v>stopped</v>
      </c>
      <c r="D8" s="152" t="str">
        <f>IF(Contribute="abcd",IF($G$1&lt;&gt;-1,_xll.RtContribute(SourceAlias,AB8,Fields,AC8:AD8,"SCOPE:SERVER"),_xll.RtContribute(SourceAlias,"DDS_INSERT_S",$G$1:$I$1,AB8:AD8,"SCOPE:SERVER FTC:ALL")),"stopped")</f>
        <v>stopped</v>
      </c>
      <c r="E8" s="153" t="s">
        <v>97</v>
      </c>
      <c r="F8" s="25" t="s">
        <v>55</v>
      </c>
      <c r="G8" s="19" t="str">
        <f t="shared" si="0"/>
        <v>AUDONSWD=</v>
      </c>
      <c r="H8" s="20">
        <f>'ON Pricing'!H8*100</f>
        <v>2.4999999987479229</v>
      </c>
      <c r="I8" s="20">
        <f t="shared" si="4"/>
        <v>2.4999999987479229</v>
      </c>
      <c r="J8" s="20" t="e">
        <f>ABS(_xll.RtGet(SourceAlias,$G8,BID)-H8)</f>
        <v>#VALUE!</v>
      </c>
      <c r="K8" s="20" t="e">
        <f>ABS(_xll.RtGet(SourceAlias,$G8,ASK)-I8)</f>
        <v>#VALUE!</v>
      </c>
      <c r="L8" s="56" t="s">
        <v>97</v>
      </c>
      <c r="M8" s="155" t="s">
        <v>55</v>
      </c>
      <c r="N8" s="155" t="str">
        <f t="shared" si="1"/>
        <v>AUD1MSWD=</v>
      </c>
      <c r="O8" s="158">
        <f>'1M Pricing'!H8*100</f>
        <v>2.6167543833118967</v>
      </c>
      <c r="P8" s="158">
        <f t="shared" si="5"/>
        <v>2.6167543833118967</v>
      </c>
      <c r="Q8" s="158" t="e">
        <f>ABS(_xll.RtGet(SourceAlias,$N8,BID)-O8)</f>
        <v>#VALUE!</v>
      </c>
      <c r="R8" s="158" t="e">
        <f>ABS(_xll.RtGet(SourceAlias,$N8,ASK)-P8)</f>
        <v>#VALUE!</v>
      </c>
      <c r="S8" s="56" t="s">
        <v>97</v>
      </c>
      <c r="T8" s="25" t="s">
        <v>55</v>
      </c>
      <c r="U8" s="19" t="str">
        <f t="shared" si="2"/>
        <v>AUD3MSWD=</v>
      </c>
      <c r="V8" s="20">
        <f>'3M Pricing'!J8*100</f>
        <v>2.6844179359598752</v>
      </c>
      <c r="W8" s="20">
        <f t="shared" si="6"/>
        <v>2.6844179359598752</v>
      </c>
      <c r="X8" s="20" t="e">
        <f>ABS(_xll.RtGet(SourceAlias,$U8,BID)-V8)</f>
        <v>#VALUE!</v>
      </c>
      <c r="Y8" s="20" t="e">
        <f>ABS(_xll.RtGet(SourceAlias,$U8,ASK)-W8)</f>
        <v>#VALUE!</v>
      </c>
      <c r="Z8" s="56" t="s">
        <v>97</v>
      </c>
      <c r="AA8" s="25" t="s">
        <v>55</v>
      </c>
      <c r="AB8" s="19" t="str">
        <f t="shared" si="3"/>
        <v>AUD6MSWD=</v>
      </c>
      <c r="AC8" s="20">
        <f>'6M Pricing'!H8*100</f>
        <v>2.7454783904848266</v>
      </c>
      <c r="AD8" s="20">
        <f t="shared" si="7"/>
        <v>2.7454783904848266</v>
      </c>
      <c r="AE8" s="20" t="e">
        <f>ABS(_xll.RtGet(SourceAlias,$AB8,BID)-AC8)</f>
        <v>#VALUE!</v>
      </c>
      <c r="AF8" s="20" t="e">
        <f>ABS(_xll.RtGet(SourceAlias,$AB8,ASK)-AD8)</f>
        <v>#VALUE!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11.25" customHeight="1" x14ac:dyDescent="0.2">
      <c r="A9" s="25"/>
      <c r="B9" s="155" t="str">
        <f>IF(Contribute="abcd",IF($G$1&lt;&gt;-1,_xll.RtContribute(SourceAlias,N9,Fields,O9:P9,"SCOPE:SERVER"),_xll.RtContribute(SourceAlias,"DDS_INSERT_S",$G$1:$I$1,N9:P9,"SCOPE:SERVER FTC:ALL")),"stopped")</f>
        <v>stopped</v>
      </c>
      <c r="C9" s="25" t="str">
        <f>IF(Contribute="abcd",IF($G$1&lt;&gt;-1,_xll.RtContribute(SourceAlias,U9,Fields,V9:W9,"SCOPE:SERVER"),_xll.RtContribute(SourceAlias,"DDS_INSERT_S",$G$1:$I$1,U9:W9,"SCOPE:SERVER FTC:ALL")),"stopped")</f>
        <v>stopped</v>
      </c>
      <c r="D9" s="152" t="str">
        <f>IF(Contribute="abcd",IF($G$1&lt;&gt;-1,_xll.RtContribute(SourceAlias,AB9,Fields,AC9:AD9,"SCOPE:SERVER"),_xll.RtContribute(SourceAlias,"DDS_INSERT_S",$G$1:$I$1,AB9:AD9,"SCOPE:SERVER FTC:ALL")),"stopped")</f>
        <v>stopped</v>
      </c>
      <c r="E9" s="153" t="s">
        <v>97</v>
      </c>
      <c r="F9" s="25"/>
      <c r="G9" s="19"/>
      <c r="H9" s="20"/>
      <c r="I9" s="20"/>
      <c r="J9" s="20"/>
      <c r="K9" s="20"/>
      <c r="L9" s="56" t="s">
        <v>97</v>
      </c>
      <c r="M9" s="155" t="s">
        <v>56</v>
      </c>
      <c r="N9" s="155" t="str">
        <f t="shared" si="1"/>
        <v>AUD1M2WD=</v>
      </c>
      <c r="O9" s="158">
        <f>'1M Pricing'!H9*100</f>
        <v>2.6183758627159284</v>
      </c>
      <c r="P9" s="158">
        <f t="shared" si="5"/>
        <v>2.6183758627159284</v>
      </c>
      <c r="Q9" s="158" t="e">
        <f>ABS(_xll.RtGet(SourceAlias,$N9,BID)-O9)</f>
        <v>#VALUE!</v>
      </c>
      <c r="R9" s="158" t="e">
        <f>ABS(_xll.RtGet(SourceAlias,$N9,ASK)-P9)</f>
        <v>#VALUE!</v>
      </c>
      <c r="S9" s="2" t="s">
        <v>97</v>
      </c>
      <c r="T9" s="25" t="s">
        <v>56</v>
      </c>
      <c r="U9" s="19" t="str">
        <f t="shared" si="2"/>
        <v>AUD3M2WD=</v>
      </c>
      <c r="V9" s="20">
        <f>'3M Pricing'!J9*100</f>
        <v>2.6847993299657604</v>
      </c>
      <c r="W9" s="20">
        <f t="shared" si="6"/>
        <v>2.6847993299657604</v>
      </c>
      <c r="X9" s="20" t="e">
        <f>ABS(_xll.RtGet(SourceAlias,$U9,BID)-V9)</f>
        <v>#VALUE!</v>
      </c>
      <c r="Y9" s="20" t="e">
        <f>ABS(_xll.RtGet(SourceAlias,$U9,ASK)-W9)</f>
        <v>#VALUE!</v>
      </c>
      <c r="Z9" s="56" t="s">
        <v>97</v>
      </c>
      <c r="AA9" s="25" t="s">
        <v>56</v>
      </c>
      <c r="AB9" s="19" t="str">
        <f t="shared" si="3"/>
        <v>AUD6M2WD=</v>
      </c>
      <c r="AC9" s="20">
        <f>'6M Pricing'!H9*100</f>
        <v>2.7460344547039335</v>
      </c>
      <c r="AD9" s="20">
        <f t="shared" si="7"/>
        <v>2.7460344547039335</v>
      </c>
      <c r="AE9" s="20" t="e">
        <f>ABS(_xll.RtGet(SourceAlias,$AB9,BID)-AC9)</f>
        <v>#VALUE!</v>
      </c>
      <c r="AF9" s="20" t="e">
        <f>ABS(_xll.RtGet(SourceAlias,$AB9,ASK)-AD9)</f>
        <v>#VALUE!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11.25" customHeight="1" x14ac:dyDescent="0.2">
      <c r="A10" s="25"/>
      <c r="B10" s="155" t="str">
        <f>IF(Contribute="abcd",IF($G$1&lt;&gt;-1,_xll.RtContribute(SourceAlias,N10,Fields,O10:P10,"SCOPE:SERVER"),_xll.RtContribute(SourceAlias,"DDS_INSERT_S",$G$1:$I$1,N10:P10,"SCOPE:SERVER FTC:ALL")),"stopped")</f>
        <v>stopped</v>
      </c>
      <c r="C10" s="25" t="str">
        <f>IF(Contribute="abcd",IF($G$1&lt;&gt;-1,_xll.RtContribute(SourceAlias,U10,Fields,V10:W10,"SCOPE:SERVER"),_xll.RtContribute(SourceAlias,"DDS_INSERT_S",$G$1:$I$1,U10:W10,"SCOPE:SERVER FTC:ALL")),"stopped")</f>
        <v>stopped</v>
      </c>
      <c r="D10" s="152" t="str">
        <f>IF(Contribute="abcd",IF($G$1&lt;&gt;-1,_xll.RtContribute(SourceAlias,AB10,Fields,AC10:AD10,"SCOPE:SERVER"),_xll.RtContribute(SourceAlias,"DDS_INSERT_S",$G$1:$I$1,AB10:AD10,"SCOPE:SERVER FTC:ALL")),"stopped")</f>
        <v>stopped</v>
      </c>
      <c r="E10" s="153" t="s">
        <v>97</v>
      </c>
      <c r="F10" s="25"/>
      <c r="G10" s="19"/>
      <c r="H10" s="20"/>
      <c r="I10" s="20"/>
      <c r="J10" s="20"/>
      <c r="K10" s="20"/>
      <c r="L10" s="56" t="s">
        <v>97</v>
      </c>
      <c r="M10" s="155" t="s">
        <v>57</v>
      </c>
      <c r="N10" s="155" t="str">
        <f t="shared" si="1"/>
        <v>AUD1M3WD=</v>
      </c>
      <c r="O10" s="158">
        <f>'1M Pricing'!H10*100</f>
        <v>2.6206421071811592</v>
      </c>
      <c r="P10" s="158">
        <f t="shared" si="5"/>
        <v>2.6206421071811592</v>
      </c>
      <c r="Q10" s="158" t="e">
        <f>ABS(_xll.RtGet(SourceAlias,$N10,BID)-O10)</f>
        <v>#VALUE!</v>
      </c>
      <c r="R10" s="158" t="e">
        <f>ABS(_xll.RtGet(SourceAlias,$N10,ASK)-P10)</f>
        <v>#VALUE!</v>
      </c>
      <c r="S10" s="2" t="s">
        <v>97</v>
      </c>
      <c r="T10" s="25" t="s">
        <v>57</v>
      </c>
      <c r="U10" s="19" t="str">
        <f t="shared" si="2"/>
        <v>AUD3M3WD=</v>
      </c>
      <c r="V10" s="20">
        <f>'3M Pricing'!J10*100</f>
        <v>2.6849741350058385</v>
      </c>
      <c r="W10" s="20">
        <f t="shared" si="6"/>
        <v>2.6849741350058385</v>
      </c>
      <c r="X10" s="20" t="e">
        <f>ABS(_xll.RtGet(SourceAlias,$U10,BID)-V10)</f>
        <v>#VALUE!</v>
      </c>
      <c r="Y10" s="20" t="e">
        <f>ABS(_xll.RtGet(SourceAlias,$U10,ASK)-W10)</f>
        <v>#VALUE!</v>
      </c>
      <c r="Z10" s="56" t="s">
        <v>97</v>
      </c>
      <c r="AA10" s="25" t="s">
        <v>57</v>
      </c>
      <c r="AB10" s="19" t="str">
        <f t="shared" si="3"/>
        <v>AUD6M3WD=</v>
      </c>
      <c r="AC10" s="20">
        <f>'6M Pricing'!H10*100</f>
        <v>2.7464793890593802</v>
      </c>
      <c r="AD10" s="20">
        <f t="shared" si="7"/>
        <v>2.7464793890593802</v>
      </c>
      <c r="AE10" s="20" t="e">
        <f>ABS(_xll.RtGet(SourceAlias,$AB10,BID)-AC10)</f>
        <v>#VALUE!</v>
      </c>
      <c r="AF10" s="20" t="e">
        <f>ABS(_xll.RtGet(SourceAlias,$AB10,ASK)-AD10)</f>
        <v>#VALUE!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11.25" customHeight="1" x14ac:dyDescent="0.2">
      <c r="A11" s="25" t="str">
        <f>IF(Contribute="abcd",IF($G$1&lt;&gt;-1,_xll.RtContribute(SourceAlias,G11,Fields,H11:I11,"SCOPE:SERVER"),_xll.RtContribute(SourceAlias,"DDS_INSERT_S",$G$1:$I$1,H11:I11,"SCOPE:SERVER FTC:ALL")),"stopped")</f>
        <v>stopped</v>
      </c>
      <c r="B11" s="155" t="str">
        <f>IF(Contribute="abcd",IF($G$1&lt;&gt;-1,_xll.RtContribute(SourceAlias,N11,Fields,O11:P11,"SCOPE:SERVER"),_xll.RtContribute(SourceAlias,"DDS_INSERT_S",$G$1:$I$1,N11:P11,"SCOPE:SERVER FTC:ALL")),"stopped")</f>
        <v>stopped</v>
      </c>
      <c r="C11" s="25" t="str">
        <f>IF(Contribute="abcd",IF($G$1&lt;&gt;-1,_xll.RtContribute(SourceAlias,U11,Fields,V11:W11,"SCOPE:SERVER"),_xll.RtContribute(SourceAlias,"DDS_INSERT_S",$G$1:$I$1,U11:W11,"SCOPE:SERVER FTC:ALL")),"stopped")</f>
        <v>stopped</v>
      </c>
      <c r="D11" s="152" t="str">
        <f>IF(Contribute="abcd",IF($G$1&lt;&gt;-1,_xll.RtContribute(SourceAlias,AB11,Fields,AC11:AD11,"SCOPE:SERVER"),_xll.RtContribute(SourceAlias,"DDS_INSERT_S",$G$1:$I$1,AB11:AD11,"SCOPE:SERVER FTC:ALL")),"stopped")</f>
        <v>stopped</v>
      </c>
      <c r="E11" s="153" t="s">
        <v>97</v>
      </c>
      <c r="F11" s="25" t="s">
        <v>58</v>
      </c>
      <c r="G11" s="19" t="str">
        <f t="shared" si="0"/>
        <v>AUDON1MD=</v>
      </c>
      <c r="H11" s="20">
        <f>'ON Pricing'!H11*100</f>
        <v>2.49600000066705</v>
      </c>
      <c r="I11" s="20">
        <f t="shared" si="4"/>
        <v>2.49600000066705</v>
      </c>
      <c r="J11" s="20" t="e">
        <f>ABS(_xll.RtGet(SourceAlias,$G11,BID)-H11)</f>
        <v>#VALUE!</v>
      </c>
      <c r="K11" s="20" t="e">
        <f>ABS(_xll.RtGet(SourceAlias,$G11,ASK)-I11)</f>
        <v>#VALUE!</v>
      </c>
      <c r="L11" s="56" t="s">
        <v>97</v>
      </c>
      <c r="M11" s="155" t="s">
        <v>58</v>
      </c>
      <c r="N11" s="155" t="str">
        <f t="shared" si="1"/>
        <v>AUD1M1MD=</v>
      </c>
      <c r="O11" s="158">
        <f>'1M Pricing'!H11*100</f>
        <v>2.6250000001592193</v>
      </c>
      <c r="P11" s="158">
        <f t="shared" si="5"/>
        <v>2.6250000001592193</v>
      </c>
      <c r="Q11" s="158" t="e">
        <f>ABS(_xll.RtGet(SourceAlias,$N11,BID)-O11)</f>
        <v>#VALUE!</v>
      </c>
      <c r="R11" s="158" t="e">
        <f>ABS(_xll.RtGet(SourceAlias,$N11,ASK)-P11)</f>
        <v>#VALUE!</v>
      </c>
      <c r="S11" s="2" t="s">
        <v>97</v>
      </c>
      <c r="T11" s="25" t="s">
        <v>58</v>
      </c>
      <c r="U11" s="19" t="str">
        <f t="shared" si="2"/>
        <v>AUD3M1MD=</v>
      </c>
      <c r="V11" s="20">
        <f>'3M Pricing'!J11*100</f>
        <v>2.6848648560360182</v>
      </c>
      <c r="W11" s="20">
        <f t="shared" si="6"/>
        <v>2.6848648560360182</v>
      </c>
      <c r="X11" s="20" t="e">
        <f>ABS(_xll.RtGet(SourceAlias,$U11,BID)-V11)</f>
        <v>#VALUE!</v>
      </c>
      <c r="Y11" s="20" t="e">
        <f>ABS(_xll.RtGet(SourceAlias,$U11,ASK)-W11)</f>
        <v>#VALUE!</v>
      </c>
      <c r="Z11" s="56" t="s">
        <v>97</v>
      </c>
      <c r="AA11" s="25" t="s">
        <v>58</v>
      </c>
      <c r="AB11" s="19" t="str">
        <f t="shared" si="3"/>
        <v>AUD6M1MD=</v>
      </c>
      <c r="AC11" s="20">
        <f>'6M Pricing'!H11*100</f>
        <v>2.7469218851468993</v>
      </c>
      <c r="AD11" s="20">
        <f t="shared" si="7"/>
        <v>2.7469218851468993</v>
      </c>
      <c r="AE11" s="20" t="e">
        <f>ABS(_xll.RtGet(SourceAlias,$AB11,BID)-AC11)</f>
        <v>#VALUE!</v>
      </c>
      <c r="AF11" s="20" t="e">
        <f>ABS(_xll.RtGet(SourceAlias,$AB11,ASK)-AD11)</f>
        <v>#VALUE!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11.25" customHeight="1" x14ac:dyDescent="0.2">
      <c r="A12" s="25" t="str">
        <f>IF(Contribute="abcd",IF($G$1&lt;&gt;-1,_xll.RtContribute(SourceAlias,G12,Fields,H12:I12,"SCOPE:SERVER"),_xll.RtContribute(SourceAlias,"DDS_INSERT_S",$G$1:$I$1,H12:I12,"SCOPE:SERVER FTC:ALL")),"stopped")</f>
        <v>stopped</v>
      </c>
      <c r="B12" s="155"/>
      <c r="C12" s="25" t="str">
        <f>IF(Contribute="abcd",IF($G$1&lt;&gt;-1,_xll.RtContribute(SourceAlias,U12,Fields,V12:W12,"SCOPE:SERVER"),_xll.RtContribute(SourceAlias,"DDS_INSERT_S",$G$1:$I$1,U12:W12,"SCOPE:SERVER FTC:ALL")),"stopped")</f>
        <v>stopped</v>
      </c>
      <c r="D12" s="152" t="str">
        <f>IF(Contribute="abcd",IF($G$1&lt;&gt;-1,_xll.RtContribute(SourceAlias,AB12,Fields,AC12:AD12,"SCOPE:SERVER"),_xll.RtContribute(SourceAlias,"DDS_INSERT_S",$G$1:$I$1,AB12:AD12,"SCOPE:SERVER FTC:ALL")),"stopped")</f>
        <v>stopped</v>
      </c>
      <c r="E12" s="153" t="s">
        <v>97</v>
      </c>
      <c r="F12" s="25" t="s">
        <v>59</v>
      </c>
      <c r="G12" s="19" t="str">
        <f t="shared" si="0"/>
        <v>AUDON2MD=</v>
      </c>
      <c r="H12" s="20">
        <f>'ON Pricing'!H12*100</f>
        <v>2.4939999997887412</v>
      </c>
      <c r="I12" s="20">
        <f t="shared" si="4"/>
        <v>2.4939999997887412</v>
      </c>
      <c r="J12" s="20" t="e">
        <f>ABS(_xll.RtGet(SourceAlias,$G12,BID)-H12)</f>
        <v>#VALUE!</v>
      </c>
      <c r="K12" s="20" t="e">
        <f>ABS(_xll.RtGet(SourceAlias,$G12,ASK)-I12)</f>
        <v>#VALUE!</v>
      </c>
      <c r="L12" s="56" t="s">
        <v>97</v>
      </c>
      <c r="M12" s="154"/>
      <c r="N12" s="154"/>
      <c r="O12" s="157"/>
      <c r="P12" s="157"/>
      <c r="Q12" s="157"/>
      <c r="R12" s="157"/>
      <c r="S12" s="2" t="s">
        <v>97</v>
      </c>
      <c r="T12" s="25" t="s">
        <v>59</v>
      </c>
      <c r="U12" s="19" t="str">
        <f t="shared" si="2"/>
        <v>AUD3M2MD=</v>
      </c>
      <c r="V12" s="20">
        <f>'3M Pricing'!J12*100</f>
        <v>2.681666758877606</v>
      </c>
      <c r="W12" s="20">
        <f t="shared" si="6"/>
        <v>2.681666758877606</v>
      </c>
      <c r="X12" s="20" t="e">
        <f>ABS(_xll.RtGet(SourceAlias,$U12,BID)-V12)</f>
        <v>#VALUE!</v>
      </c>
      <c r="Y12" s="20" t="e">
        <f>ABS(_xll.RtGet(SourceAlias,$U12,ASK)-W12)</f>
        <v>#VALUE!</v>
      </c>
      <c r="Z12" s="56" t="s">
        <v>97</v>
      </c>
      <c r="AA12" s="25" t="s">
        <v>59</v>
      </c>
      <c r="AB12" s="19" t="str">
        <f t="shared" si="3"/>
        <v>AUD6M2MD=</v>
      </c>
      <c r="AC12" s="20">
        <f>'6M Pricing'!H12*100</f>
        <v>2.7468054315550501</v>
      </c>
      <c r="AD12" s="20">
        <f t="shared" si="7"/>
        <v>2.7468054315550501</v>
      </c>
      <c r="AE12" s="20" t="e">
        <f>ABS(_xll.RtGet(SourceAlias,$AB12,BID)-AC12)</f>
        <v>#VALUE!</v>
      </c>
      <c r="AF12" s="20" t="e">
        <f>ABS(_xll.RtGet(SourceAlias,$AB12,ASK)-AD12)</f>
        <v>#VALUE!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11.25" customHeight="1" x14ac:dyDescent="0.2">
      <c r="A13" s="25" t="str">
        <f>IF(Contribute="abcd",IF($G$1&lt;&gt;-1,_xll.RtContribute(SourceAlias,G13,Fields,H13:I13,"SCOPE:SERVER"),_xll.RtContribute(SourceAlias,"DDS_INSERT_S",$G$1:$I$1,H13:I13,"SCOPE:SERVER FTC:ALL")),"stopped")</f>
        <v>stopped</v>
      </c>
      <c r="B13" s="155" t="str">
        <f>IF(Contribute="abcd",IF($G$1&lt;&gt;-1,_xll.RtContribute(SourceAlias,N13,Fields,O13:P13,"SCOPE:SERVER"),_xll.RtContribute(SourceAlias,"DDS_INSERT_S",$G$1:$I$1,N13:P13,"SCOPE:SERVER FTC:ALL")),"stopped")</f>
        <v>stopped</v>
      </c>
      <c r="C13" s="25" t="str">
        <f>IF(Contribute="abcd",IF($G$1&lt;&gt;-1,_xll.RtContribute(SourceAlias,U13,Fields,V13:W13,"SCOPE:SERVER"),_xll.RtContribute(SourceAlias,"DDS_INSERT_S",$G$1:$I$1,U13:W13,"SCOPE:SERVER FTC:ALL")),"stopped")</f>
        <v>stopped</v>
      </c>
      <c r="D13" s="152" t="str">
        <f>IF(Contribute="abcd",IF($G$1&lt;&gt;-1,_xll.RtContribute(SourceAlias,AB13,Fields,AC13:AD13,"SCOPE:SERVER"),_xll.RtContribute(SourceAlias,"DDS_INSERT_S",$G$1:$I$1,AB13:AD13,"SCOPE:SERVER FTC:ALL")),"stopped")</f>
        <v>stopped</v>
      </c>
      <c r="E13" s="153" t="s">
        <v>97</v>
      </c>
      <c r="F13" s="25" t="s">
        <v>60</v>
      </c>
      <c r="G13" s="19" t="str">
        <f t="shared" si="0"/>
        <v>AUDON3MD=</v>
      </c>
      <c r="H13" s="20">
        <f>'ON Pricing'!H13*100</f>
        <v>2.4899999999179365</v>
      </c>
      <c r="I13" s="20">
        <f t="shared" si="4"/>
        <v>2.4899999999179365</v>
      </c>
      <c r="J13" s="20" t="e">
        <f>ABS(_xll.RtGet(SourceAlias,$G13,BID)-H13)</f>
        <v>#VALUE!</v>
      </c>
      <c r="K13" s="20" t="e">
        <f>ABS(_xll.RtGet(SourceAlias,$G13,ASK)-I13)</f>
        <v>#VALUE!</v>
      </c>
      <c r="L13" s="56" t="s">
        <v>97</v>
      </c>
      <c r="M13" s="155" t="s">
        <v>23</v>
      </c>
      <c r="N13" s="155" t="str">
        <f>Currency&amp;"1M"&amp;M13&amp;"="</f>
        <v>AUD1M3M=</v>
      </c>
      <c r="O13" s="158">
        <f>'1M Pricing'!H13*100</f>
        <v>2.6356590894390952</v>
      </c>
      <c r="P13" s="158">
        <f t="shared" si="5"/>
        <v>2.6356590894390952</v>
      </c>
      <c r="Q13" s="158" t="e">
        <f>ABS(_xll.RtGet(SourceAlias,$N13,BID)-O13)</f>
        <v>#VALUE!</v>
      </c>
      <c r="R13" s="158" t="e">
        <f>ABS(_xll.RtGet(SourceAlias,$N13,ASK)-P13)</f>
        <v>#VALUE!</v>
      </c>
      <c r="S13" s="2" t="s">
        <v>97</v>
      </c>
      <c r="T13" s="25" t="s">
        <v>60</v>
      </c>
      <c r="U13" s="19" t="str">
        <f t="shared" si="2"/>
        <v>AUD3M3MD=</v>
      </c>
      <c r="V13" s="20">
        <f>'3M Pricing'!J13*100</f>
        <v>2.674999999999593</v>
      </c>
      <c r="W13" s="20">
        <f t="shared" si="6"/>
        <v>2.674999999999593</v>
      </c>
      <c r="X13" s="20" t="e">
        <f>ABS(_xll.RtGet(SourceAlias,$U13,BID)-V13)</f>
        <v>#VALUE!</v>
      </c>
      <c r="Y13" s="20" t="e">
        <f>ABS(_xll.RtGet(SourceAlias,$U13,ASK)-W13)</f>
        <v>#VALUE!</v>
      </c>
      <c r="Z13" s="56" t="s">
        <v>97</v>
      </c>
      <c r="AA13" s="25" t="s">
        <v>60</v>
      </c>
      <c r="AB13" s="19" t="str">
        <f t="shared" si="3"/>
        <v>AUD6M3MD=</v>
      </c>
      <c r="AC13" s="20">
        <f>'6M Pricing'!H13*100</f>
        <v>2.7446721500839399</v>
      </c>
      <c r="AD13" s="20">
        <f t="shared" si="7"/>
        <v>2.7446721500839399</v>
      </c>
      <c r="AE13" s="20" t="e">
        <f>ABS(_xll.RtGet(SourceAlias,$AB13,BID)-AC13)</f>
        <v>#VALUE!</v>
      </c>
      <c r="AF13" s="20" t="e">
        <f>ABS(_xll.RtGet(SourceAlias,$AB13,ASK)-AD13)</f>
        <v>#VALUE!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11.25" customHeight="1" x14ac:dyDescent="0.2">
      <c r="A14" s="25" t="str">
        <f>IF(Contribute="abcd",IF($G$1&lt;&gt;-1,_xll.RtContribute(SourceAlias,G14,Fields,H14:I14,"SCOPE:SERVER"),_xll.RtContribute(SourceAlias,"DDS_INSERT_S",$G$1:$I$1,H14:I14,"SCOPE:SERVER FTC:ALL")),"stopped")</f>
        <v>stopped</v>
      </c>
      <c r="B14" s="155"/>
      <c r="C14" s="25" t="str">
        <f>IF(Contribute="abcd",IF($G$1&lt;&gt;-1,_xll.RtContribute(SourceAlias,U14,Fields,V14:W14,"SCOPE:SERVER"),_xll.RtContribute(SourceAlias,"DDS_INSERT_S",$G$1:$I$1,U14:W14,"SCOPE:SERVER FTC:ALL")),"stopped")</f>
        <v>stopped</v>
      </c>
      <c r="D14" s="152" t="str">
        <f>IF(Contribute="abcd",IF($G$1&lt;&gt;-1,_xll.RtContribute(SourceAlias,AB14,Fields,AC14:AD14,"SCOPE:SERVER"),_xll.RtContribute(SourceAlias,"DDS_INSERT_S",$G$1:$I$1,AB14:AD14,"SCOPE:SERVER FTC:ALL")),"stopped")</f>
        <v>stopped</v>
      </c>
      <c r="E14" s="153" t="s">
        <v>97</v>
      </c>
      <c r="F14" s="25" t="s">
        <v>61</v>
      </c>
      <c r="G14" s="19" t="str">
        <f t="shared" si="0"/>
        <v>AUDON4MD=</v>
      </c>
      <c r="H14" s="20">
        <f>'ON Pricing'!H14*100</f>
        <v>2.4849999999191259</v>
      </c>
      <c r="I14" s="20">
        <f t="shared" si="4"/>
        <v>2.4849999999191259</v>
      </c>
      <c r="J14" s="20" t="e">
        <f>ABS(_xll.RtGet(SourceAlias,$G14,BID)-H14)</f>
        <v>#VALUE!</v>
      </c>
      <c r="K14" s="20" t="e">
        <f>ABS(_xll.RtGet(SourceAlias,$G14,ASK)-I14)</f>
        <v>#VALUE!</v>
      </c>
      <c r="L14" s="56" t="s">
        <v>97</v>
      </c>
      <c r="M14" s="155"/>
      <c r="N14" s="155"/>
      <c r="O14" s="158"/>
      <c r="P14" s="158"/>
      <c r="Q14" s="158"/>
      <c r="R14" s="158"/>
      <c r="S14" s="2" t="s">
        <v>97</v>
      </c>
      <c r="T14" s="124" t="str">
        <f>'3M Pricing'!C14</f>
        <v>U4</v>
      </c>
      <c r="U14" s="125" t="str">
        <f t="shared" si="2"/>
        <v>AUD3MU4=</v>
      </c>
      <c r="V14" s="126">
        <f>'3M Pricing'!J14</f>
        <v>97.34078712923575</v>
      </c>
      <c r="W14" s="126">
        <f t="shared" si="6"/>
        <v>97.34078712923575</v>
      </c>
      <c r="X14" s="126" t="e">
        <f>ABS(_xll.RtGet(SourceAlias,$U14,BID)-V14)</f>
        <v>#VALUE!</v>
      </c>
      <c r="Y14" s="126" t="e">
        <f>ABS(_xll.RtGet(SourceAlias,$U14,ASK)-W14)</f>
        <v>#VALUE!</v>
      </c>
      <c r="Z14" s="56" t="s">
        <v>97</v>
      </c>
      <c r="AA14" s="25" t="s">
        <v>61</v>
      </c>
      <c r="AB14" s="19" t="str">
        <f t="shared" si="3"/>
        <v>AUD6M4MD=</v>
      </c>
      <c r="AC14" s="20">
        <f>'6M Pricing'!H14*100</f>
        <v>2.7396984560544588</v>
      </c>
      <c r="AD14" s="20">
        <f t="shared" si="7"/>
        <v>2.7396984560544588</v>
      </c>
      <c r="AE14" s="20" t="e">
        <f>ABS(_xll.RtGet(SourceAlias,$AB14,BID)-AC14)</f>
        <v>#VALUE!</v>
      </c>
      <c r="AF14" s="20" t="e">
        <f>ABS(_xll.RtGet(SourceAlias,$AB14,ASK)-AD14)</f>
        <v>#VALUE!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11.25" customHeight="1" x14ac:dyDescent="0.2">
      <c r="A15" s="25" t="str">
        <f>IF(Contribute="abcd",IF($G$1&lt;&gt;-1,_xll.RtContribute(SourceAlias,G15,Fields,H15:I15,"SCOPE:SERVER"),_xll.RtContribute(SourceAlias,"DDS_INSERT_S",$G$1:$I$1,H15:I15,"SCOPE:SERVER FTC:ALL")),"stopped")</f>
        <v>stopped</v>
      </c>
      <c r="B15" s="155"/>
      <c r="C15" s="25" t="str">
        <f>IF(Contribute="abcd",IF($G$1&lt;&gt;-1,_xll.RtContribute(SourceAlias,U15,Fields,V15:W15,"SCOPE:SERVER"),_xll.RtContribute(SourceAlias,"DDS_INSERT_S",$G$1:$I$1,U15:W15,"SCOPE:SERVER FTC:ALL")),"stopped")</f>
        <v>stopped</v>
      </c>
      <c r="D15" s="152" t="str">
        <f>IF(Contribute="abcd",IF($G$1&lt;&gt;-1,_xll.RtContribute(SourceAlias,AB15,Fields,AC15:AD15,"SCOPE:SERVER"),_xll.RtContribute(SourceAlias,"DDS_INSERT_S",$G$1:$I$1,AB15:AD15,"SCOPE:SERVER FTC:ALL")),"stopped")</f>
        <v>stopped</v>
      </c>
      <c r="E15" s="153" t="s">
        <v>97</v>
      </c>
      <c r="F15" s="25" t="s">
        <v>62</v>
      </c>
      <c r="G15" s="19" t="str">
        <f t="shared" si="0"/>
        <v>AUDON5MD=</v>
      </c>
      <c r="H15" s="20">
        <f>'ON Pricing'!H15*100</f>
        <v>2.4824999999454263</v>
      </c>
      <c r="I15" s="20">
        <f t="shared" si="4"/>
        <v>2.4824999999454263</v>
      </c>
      <c r="J15" s="20" t="e">
        <f>ABS(_xll.RtGet(SourceAlias,$G15,BID)-H15)</f>
        <v>#VALUE!</v>
      </c>
      <c r="K15" s="20" t="e">
        <f>ABS(_xll.RtGet(SourceAlias,$G15,ASK)-I15)</f>
        <v>#VALUE!</v>
      </c>
      <c r="L15" s="56" t="s">
        <v>97</v>
      </c>
      <c r="M15" s="155"/>
      <c r="N15" s="155"/>
      <c r="O15" s="158"/>
      <c r="P15" s="158"/>
      <c r="Q15" s="158"/>
      <c r="R15" s="158"/>
      <c r="S15" s="2" t="s">
        <v>97</v>
      </c>
      <c r="T15" s="127" t="str">
        <f>'3M Pricing'!C15</f>
        <v>Z4</v>
      </c>
      <c r="U15" s="128" t="str">
        <f t="shared" si="2"/>
        <v>AUD3MZ4=</v>
      </c>
      <c r="V15" s="129">
        <f>'3M Pricing'!J15</f>
        <v>97.395000000266904</v>
      </c>
      <c r="W15" s="129">
        <f t="shared" si="6"/>
        <v>97.395000000266904</v>
      </c>
      <c r="X15" s="129" t="e">
        <f>ABS(_xll.RtGet(SourceAlias,$U15,BID)-V15)</f>
        <v>#VALUE!</v>
      </c>
      <c r="Y15" s="129" t="e">
        <f>ABS(_xll.RtGet(SourceAlias,$U15,ASK)-W15)</f>
        <v>#VALUE!</v>
      </c>
      <c r="Z15" s="56" t="s">
        <v>97</v>
      </c>
      <c r="AA15" s="25" t="s">
        <v>62</v>
      </c>
      <c r="AB15" s="19" t="str">
        <f t="shared" si="3"/>
        <v>AUD6M5MD=</v>
      </c>
      <c r="AC15" s="20">
        <f>'6M Pricing'!H15*100</f>
        <v>2.7333330159532232</v>
      </c>
      <c r="AD15" s="20">
        <f t="shared" si="7"/>
        <v>2.7333330159532232</v>
      </c>
      <c r="AE15" s="20" t="e">
        <f>ABS(_xll.RtGet(SourceAlias,$AB15,BID)-AC15)</f>
        <v>#VALUE!</v>
      </c>
      <c r="AF15" s="20" t="e">
        <f>ABS(_xll.RtGet(SourceAlias,$AB15,ASK)-AD15)</f>
        <v>#VALUE!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11.25" customHeight="1" x14ac:dyDescent="0.2">
      <c r="A16" s="25" t="str">
        <f>IF(Contribute="abcd",IF($G$1&lt;&gt;-1,_xll.RtContribute(SourceAlias,G16,Fields,H16:I16,"SCOPE:SERVER"),_xll.RtContribute(SourceAlias,"DDS_INSERT_S",$G$1:$I$1,H16:I16,"SCOPE:SERVER FTC:ALL")),"stopped")</f>
        <v>stopped</v>
      </c>
      <c r="B16" s="155" t="str">
        <f>IF(Contribute="abcd",IF($G$1&lt;&gt;-1,_xll.RtContribute(SourceAlias,N16,Fields,O16:P16,"SCOPE:SERVER"),_xll.RtContribute(SourceAlias,"DDS_INSERT_S",$G$1:$I$1,N16:P16,"SCOPE:SERVER FTC:ALL")),"stopped")</f>
        <v>stopped</v>
      </c>
      <c r="C16" s="25" t="str">
        <f>IF(Contribute="abcd",IF($G$1&lt;&gt;-1,_xll.RtContribute(SourceAlias,U16,Fields,V16:W16,"SCOPE:SERVER"),_xll.RtContribute(SourceAlias,"DDS_INSERT_S",$G$1:$I$1,U16:W16,"SCOPE:SERVER FTC:ALL")),"stopped")</f>
        <v>stopped</v>
      </c>
      <c r="D16" s="152" t="str">
        <f>IF(Contribute="abcd",IF($G$1&lt;&gt;-1,_xll.RtContribute(SourceAlias,AB16,Fields,AC16:AD16,"SCOPE:SERVER"),_xll.RtContribute(SourceAlias,"DDS_INSERT_S",$G$1:$I$1,AB16:AD16,"SCOPE:SERVER FTC:ALL")),"stopped")</f>
        <v>stopped</v>
      </c>
      <c r="E16" s="153" t="s">
        <v>97</v>
      </c>
      <c r="F16" s="25" t="s">
        <v>63</v>
      </c>
      <c r="G16" s="19" t="str">
        <f t="shared" si="0"/>
        <v>AUDON6MD=</v>
      </c>
      <c r="H16" s="20">
        <f>'ON Pricing'!H16*100</f>
        <v>2.4799999999519802</v>
      </c>
      <c r="I16" s="20">
        <f t="shared" si="4"/>
        <v>2.4799999999519802</v>
      </c>
      <c r="J16" s="20" t="e">
        <f>ABS(_xll.RtGet(SourceAlias,$G16,BID)-H16)</f>
        <v>#VALUE!</v>
      </c>
      <c r="K16" s="20" t="e">
        <f>ABS(_xll.RtGet(SourceAlias,$G16,ASK)-I16)</f>
        <v>#VALUE!</v>
      </c>
      <c r="L16" s="56" t="s">
        <v>97</v>
      </c>
      <c r="M16" s="155" t="s">
        <v>14</v>
      </c>
      <c r="N16" s="155" t="str">
        <f>Currency&amp;"1M"&amp;M16&amp;"="</f>
        <v>AUD1M6M=</v>
      </c>
      <c r="O16" s="158">
        <f>'1M Pricing'!H16*100</f>
        <v>2.5956741699398487</v>
      </c>
      <c r="P16" s="158">
        <f t="shared" si="5"/>
        <v>2.5956741699398487</v>
      </c>
      <c r="Q16" s="158" t="e">
        <f>ABS(_xll.RtGet(SourceAlias,$N16,BID)-O16)</f>
        <v>#VALUE!</v>
      </c>
      <c r="R16" s="158" t="e">
        <f>ABS(_xll.RtGet(SourceAlias,$N16,ASK)-P16)</f>
        <v>#VALUE!</v>
      </c>
      <c r="S16" s="2" t="s">
        <v>97</v>
      </c>
      <c r="T16" s="127" t="str">
        <f>'3M Pricing'!C16</f>
        <v>H5</v>
      </c>
      <c r="U16" s="128" t="str">
        <f t="shared" si="2"/>
        <v>AUD3MH5=</v>
      </c>
      <c r="V16" s="129">
        <f>'3M Pricing'!J16</f>
        <v>97.395000000261362</v>
      </c>
      <c r="W16" s="129">
        <f t="shared" si="6"/>
        <v>97.395000000261362</v>
      </c>
      <c r="X16" s="129" t="e">
        <f>ABS(_xll.RtGet(SourceAlias,$U16,BID)-V16)</f>
        <v>#VALUE!</v>
      </c>
      <c r="Y16" s="129" t="e">
        <f>ABS(_xll.RtGet(SourceAlias,$U16,ASK)-W16)</f>
        <v>#VALUE!</v>
      </c>
      <c r="Z16" s="56" t="s">
        <v>97</v>
      </c>
      <c r="AA16" s="25" t="s">
        <v>63</v>
      </c>
      <c r="AB16" s="19" t="str">
        <f t="shared" si="3"/>
        <v>AUD6M6MD=</v>
      </c>
      <c r="AC16" s="20">
        <f>'6M Pricing'!H16*100</f>
        <v>2.7250000000000032</v>
      </c>
      <c r="AD16" s="20">
        <f t="shared" si="7"/>
        <v>2.7250000000000032</v>
      </c>
      <c r="AE16" s="20" t="e">
        <f>ABS(_xll.RtGet(SourceAlias,$AB16,BID)-AC16)</f>
        <v>#VALUE!</v>
      </c>
      <c r="AF16" s="20" t="e">
        <f>ABS(_xll.RtGet(SourceAlias,$AB16,ASK)-AD16)</f>
        <v>#VALUE!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11.25" customHeight="1" x14ac:dyDescent="0.2">
      <c r="A17" s="25"/>
      <c r="B17" s="155"/>
      <c r="C17" s="25" t="str">
        <f>IF(Contribute="abcd",IF($G$1&lt;&gt;-1,_xll.RtContribute(SourceAlias,U17,Fields,V17:W17,"SCOPE:SERVER"),_xll.RtContribute(SourceAlias,"DDS_INSERT_S",$G$1:$I$1,U17:W17,"SCOPE:SERVER FTC:ALL")),"stopped")</f>
        <v>stopped</v>
      </c>
      <c r="D17" s="152"/>
      <c r="E17" s="153" t="s">
        <v>97</v>
      </c>
      <c r="F17" s="25"/>
      <c r="G17" s="19"/>
      <c r="H17" s="20"/>
      <c r="I17" s="20"/>
      <c r="J17" s="20"/>
      <c r="K17" s="20"/>
      <c r="L17" s="56" t="s">
        <v>97</v>
      </c>
      <c r="M17" s="155"/>
      <c r="N17" s="155"/>
      <c r="O17" s="158"/>
      <c r="P17" s="158"/>
      <c r="Q17" s="158"/>
      <c r="R17" s="158"/>
      <c r="S17" s="2" t="s">
        <v>97</v>
      </c>
      <c r="T17" s="127" t="str">
        <f>'3M Pricing'!C17</f>
        <v>M5</v>
      </c>
      <c r="U17" s="128" t="str">
        <f t="shared" si="2"/>
        <v>AUD3MM5=</v>
      </c>
      <c r="V17" s="129">
        <f>'3M Pricing'!J17</f>
        <v>97.350000000084279</v>
      </c>
      <c r="W17" s="129">
        <f t="shared" si="6"/>
        <v>97.350000000084279</v>
      </c>
      <c r="X17" s="129" t="e">
        <f>ABS(_xll.RtGet(SourceAlias,$U17,BID)-V17)</f>
        <v>#VALUE!</v>
      </c>
      <c r="Y17" s="129" t="e">
        <f>ABS(_xll.RtGet(SourceAlias,$U17,ASK)-W17)</f>
        <v>#VALUE!</v>
      </c>
      <c r="Z17" s="56" t="s">
        <v>97</v>
      </c>
      <c r="AA17" s="24"/>
      <c r="AB17" s="17"/>
      <c r="AC17" s="18"/>
      <c r="AD17" s="18"/>
      <c r="AE17" s="18"/>
      <c r="AF17" s="18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ht="11.25" customHeight="1" x14ac:dyDescent="0.2">
      <c r="A18" s="25" t="s">
        <v>97</v>
      </c>
      <c r="B18" s="155"/>
      <c r="C18" s="25" t="str">
        <f>IF(Contribute="abcd",IF($G$1&lt;&gt;-1,_xll.RtContribute(SourceAlias,U18,Fields,V18:W18,"SCOPE:SERVER"),_xll.RtContribute(SourceAlias,"DDS_INSERT_S",$G$1:$I$1,U18:W18,"SCOPE:SERVER FTC:ALL")),"stopped")</f>
        <v>stopped</v>
      </c>
      <c r="D18" s="152"/>
      <c r="E18" s="153" t="s">
        <v>97</v>
      </c>
      <c r="F18" s="25"/>
      <c r="G18" s="19"/>
      <c r="H18" s="20"/>
      <c r="I18" s="20"/>
      <c r="J18" s="20"/>
      <c r="K18" s="20"/>
      <c r="L18" s="56" t="s">
        <v>97</v>
      </c>
      <c r="M18" s="155"/>
      <c r="N18" s="155"/>
      <c r="O18" s="158"/>
      <c r="P18" s="158"/>
      <c r="Q18" s="158"/>
      <c r="R18" s="158"/>
      <c r="S18" s="2" t="s">
        <v>97</v>
      </c>
      <c r="T18" s="127" t="str">
        <f>'3M Pricing'!C18</f>
        <v>U5</v>
      </c>
      <c r="U18" s="128" t="str">
        <f t="shared" si="2"/>
        <v>AUD3MU5=</v>
      </c>
      <c r="V18" s="129">
        <f>'3M Pricing'!J18</f>
        <v>97.27499999999992</v>
      </c>
      <c r="W18" s="129">
        <f t="shared" si="6"/>
        <v>97.27499999999992</v>
      </c>
      <c r="X18" s="129" t="e">
        <f>ABS(_xll.RtGet(SourceAlias,$U18,BID)-V18)</f>
        <v>#VALUE!</v>
      </c>
      <c r="Y18" s="129" t="e">
        <f>ABS(_xll.RtGet(SourceAlias,$U18,ASK)-W18)</f>
        <v>#VALUE!</v>
      </c>
      <c r="Z18" s="56" t="s">
        <v>97</v>
      </c>
      <c r="AA18" s="25"/>
      <c r="AB18" s="19"/>
      <c r="AC18" s="20"/>
      <c r="AD18" s="20"/>
      <c r="AE18" s="20"/>
      <c r="AF18" s="20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ht="11.25" customHeight="1" x14ac:dyDescent="0.2">
      <c r="A19" s="25" t="str">
        <f>IF(Contribute="abcd",IF($G$1&lt;&gt;-1,_xll.RtContribute(SourceAlias,G19,Fields,H19:I19,"SCOPE:SERVER"),_xll.RtContribute(SourceAlias,"DDS_INSERT_S",$G$1:$I$1,H19:I19,"SCOPE:SERVER FTC:ALL")),"stopped")</f>
        <v>stopped</v>
      </c>
      <c r="B19" s="155" t="str">
        <f>IF(Contribute="abcd",IF($G$1&lt;&gt;-1,_xll.RtContribute(SourceAlias,N19,Fields,O19:P19,"SCOPE:SERVER"),_xll.RtContribute(SourceAlias,"DDS_INSERT_S",$G$1:$I$1,N19:P19,"SCOPE:SERVER FTC:ALL")),"stopped")</f>
        <v>stopped</v>
      </c>
      <c r="C19" s="25" t="str">
        <f>IF(Contribute="abcd",IF($G$1&lt;&gt;-1,_xll.RtContribute(SourceAlias,U19,Fields,V19:W19,"SCOPE:SERVER"),_xll.RtContribute(SourceAlias,"DDS_INSERT_S",$G$1:$I$1,U19:W19,"SCOPE:SERVER FTC:ALL")),"stopped")</f>
        <v>stopped</v>
      </c>
      <c r="D19" s="152"/>
      <c r="E19" s="153" t="s">
        <v>97</v>
      </c>
      <c r="F19" s="25" t="s">
        <v>64</v>
      </c>
      <c r="G19" s="19" t="str">
        <f>Currency&amp;"ON"&amp;F19&amp;"="</f>
        <v>AUDON9MD=</v>
      </c>
      <c r="H19" s="20">
        <f>'ON Pricing'!H19*100</f>
        <v>2.4774999998950791</v>
      </c>
      <c r="I19" s="20">
        <f t="shared" ref="I19" si="8">H19</f>
        <v>2.4774999998950791</v>
      </c>
      <c r="J19" s="20" t="e">
        <f>ABS(_xll.RtGet(SourceAlias,$G19,BID)-H19)</f>
        <v>#VALUE!</v>
      </c>
      <c r="K19" s="20" t="e">
        <f>ABS(_xll.RtGet(SourceAlias,$G19,ASK)-I19)</f>
        <v>#VALUE!</v>
      </c>
      <c r="L19" s="56" t="s">
        <v>97</v>
      </c>
      <c r="M19" s="155" t="s">
        <v>28</v>
      </c>
      <c r="N19" s="155" t="str">
        <f>Currency&amp;"1M"&amp;M19&amp;"="</f>
        <v>AUD1M9M=</v>
      </c>
      <c r="O19" s="158">
        <f>'1M Pricing'!H19*100</f>
        <v>2.5818512620161327</v>
      </c>
      <c r="P19" s="158">
        <f t="shared" si="5"/>
        <v>2.5818512620161327</v>
      </c>
      <c r="Q19" s="158" t="e">
        <f>ABS(_xll.RtGet(SourceAlias,$N19,BID)-O19)</f>
        <v>#VALUE!</v>
      </c>
      <c r="R19" s="158" t="e">
        <f>ABS(_xll.RtGet(SourceAlias,$N19,ASK)-P19)</f>
        <v>#VALUE!</v>
      </c>
      <c r="S19" s="2" t="s">
        <v>97</v>
      </c>
      <c r="T19" s="130" t="str">
        <f>'3M Pricing'!C19</f>
        <v>Z5</v>
      </c>
      <c r="U19" s="131" t="str">
        <f t="shared" si="2"/>
        <v>AUD3MZ5=</v>
      </c>
      <c r="V19" s="132">
        <f>'3M Pricing'!J19</f>
        <v>97.212178323962746</v>
      </c>
      <c r="W19" s="132">
        <f t="shared" si="6"/>
        <v>97.212178323962746</v>
      </c>
      <c r="X19" s="132" t="e">
        <f>ABS(_xll.RtGet(SourceAlias,$U19,BID)-V19)</f>
        <v>#VALUE!</v>
      </c>
      <c r="Y19" s="132" t="e">
        <f>ABS(_xll.RtGet(SourceAlias,$U19,ASK)-W19)</f>
        <v>#VALUE!</v>
      </c>
      <c r="Z19" s="56" t="s">
        <v>97</v>
      </c>
      <c r="AA19" s="26"/>
      <c r="AB19" s="21"/>
      <c r="AC19" s="22"/>
      <c r="AD19" s="22"/>
      <c r="AE19" s="22"/>
      <c r="AF19" s="2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ht="11.25" customHeight="1" x14ac:dyDescent="0.2">
      <c r="A20" s="25" t="str">
        <f>IF(Contribute="abcd",IF($G$1&lt;&gt;-1,_xll.RtContribute(SourceAlias,G20,Fields,H20:I20,"SCOPE:SERVER"),_xll.RtContribute(SourceAlias,"DDS_INSERT_S",$G$1:$I$1,H20:I20,"SCOPE:SERVER FTC:ALL")),"stopped")</f>
        <v>stopped</v>
      </c>
      <c r="B20" s="155" t="str">
        <f>IF(Contribute="abcd",IF($G$1&lt;&gt;-1,_xll.RtContribute(SourceAlias,N20,Fields,O20:P20,"SCOPE:SERVER"),_xll.RtContribute(SourceAlias,"DDS_INSERT_S",$G$1:$I$1,N20:P20,"SCOPE:SERVER FTC:ALL")),"stopped")</f>
        <v>stopped</v>
      </c>
      <c r="C20" s="25" t="str">
        <f>IF(Contribute="abcd",IF($G$1&lt;&gt;-1,_xll.RtContribute(SourceAlias,U20,Fields,V20:W20,"SCOPE:SERVER"),_xll.RtContribute(SourceAlias,"DDS_INSERT_S",$G$1:$I$1,U20:W20,"SCOPE:SERVER FTC:ALL")),"stopped")</f>
        <v>stopped</v>
      </c>
      <c r="D20" s="152" t="str">
        <f>IF(Contribute="abcd",IF($G$1&lt;&gt;-1,_xll.RtContribute(SourceAlias,AB20,Fields,AC20:AD20,"SCOPE:SERVER"),_xll.RtContribute(SourceAlias,"DDS_INSERT_S",$G$1:$I$1,AB20:AD20,"SCOPE:SERVER FTC:ALL")),"stopped")</f>
        <v>stopped</v>
      </c>
      <c r="E20" s="153" t="s">
        <v>97</v>
      </c>
      <c r="F20" s="25" t="s">
        <v>65</v>
      </c>
      <c r="G20" s="19" t="str">
        <f>Currency&amp;"ON"&amp;F20&amp;"="</f>
        <v>AUDON1YD=</v>
      </c>
      <c r="H20" s="20">
        <f>'ON Pricing'!H20*100</f>
        <v>2.4880000000240656</v>
      </c>
      <c r="I20" s="20">
        <f t="shared" si="4"/>
        <v>2.4880000000240656</v>
      </c>
      <c r="J20" s="20" t="e">
        <f>ABS(_xll.RtGet(SourceAlias,$G20,BID)-H20)</f>
        <v>#VALUE!</v>
      </c>
      <c r="K20" s="20" t="e">
        <f>ABS(_xll.RtGet(SourceAlias,$G20,ASK)-I20)</f>
        <v>#VALUE!</v>
      </c>
      <c r="L20" s="56" t="s">
        <v>97</v>
      </c>
      <c r="M20" s="155" t="s">
        <v>29</v>
      </c>
      <c r="N20" s="155" t="str">
        <f>Currency&amp;"1M"&amp;M20&amp;"="</f>
        <v>AUD1M1Y=</v>
      </c>
      <c r="O20" s="158">
        <f>'1M Pricing'!H20*100</f>
        <v>2.5662499999999078</v>
      </c>
      <c r="P20" s="158">
        <f t="shared" si="5"/>
        <v>2.5662499999999078</v>
      </c>
      <c r="Q20" s="158" t="e">
        <f>ABS(_xll.RtGet(SourceAlias,$N20,BID)-O20)</f>
        <v>#VALUE!</v>
      </c>
      <c r="R20" s="158" t="e">
        <f>ABS(_xll.RtGet(SourceAlias,$N20,ASK)-P20)</f>
        <v>#VALUE!</v>
      </c>
      <c r="S20" s="2" t="s">
        <v>97</v>
      </c>
      <c r="T20" s="113" t="s">
        <v>29</v>
      </c>
      <c r="U20" s="17" t="str">
        <f t="shared" ref="U20:U35" si="9">Currency&amp;"3M"&amp;T20&amp;"="</f>
        <v>AUD3M1Y=</v>
      </c>
      <c r="V20" s="18">
        <f>'3M Pricing'!J20*100</f>
        <v>2.62250000004697</v>
      </c>
      <c r="W20" s="18">
        <f t="shared" si="6"/>
        <v>2.62250000004697</v>
      </c>
      <c r="X20" s="18" t="e">
        <f>ABS(_xll.RtGet(SourceAlias,$U20,BID)-V20)</f>
        <v>#VALUE!</v>
      </c>
      <c r="Y20" s="18" t="e">
        <f>ABS(_xll.RtGet(SourceAlias,$U20,ASK)-W20)</f>
        <v>#VALUE!</v>
      </c>
      <c r="Z20" s="56" t="s">
        <v>97</v>
      </c>
      <c r="AA20" s="24" t="s">
        <v>29</v>
      </c>
      <c r="AB20" s="17" t="str">
        <f t="shared" si="3"/>
        <v>AUD6M1Y=</v>
      </c>
      <c r="AC20" s="18">
        <f>'6M Pricing'!H20*100</f>
        <v>2.6727206612874159</v>
      </c>
      <c r="AD20" s="18">
        <f t="shared" si="7"/>
        <v>2.6727206612874159</v>
      </c>
      <c r="AE20" s="18" t="e">
        <f>ABS(_xll.RtGet(SourceAlias,$AB20,BID)-AC20)</f>
        <v>#VALUE!</v>
      </c>
      <c r="AF20" s="18" t="e">
        <f>ABS(_xll.RtGet(SourceAlias,$AB20,ASK)-AD20)</f>
        <v>#VALUE!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ht="11.25" customHeight="1" x14ac:dyDescent="0.2">
      <c r="A21" s="25" t="str">
        <f>IF(Contribute="abcd",IF($G$1&lt;&gt;-1,_xll.RtContribute(SourceAlias,G21,Fields,H21:I21,"SCOPE:SERVER"),_xll.RtContribute(SourceAlias,"DDS_INSERT_S",$G$1:$I$1,H21:I21,"SCOPE:SERVER FTC:ALL")),"stopped")</f>
        <v>stopped</v>
      </c>
      <c r="B21" s="155"/>
      <c r="C21" s="25"/>
      <c r="D21" s="152"/>
      <c r="E21" s="153" t="s">
        <v>97</v>
      </c>
      <c r="F21" s="25" t="s">
        <v>96</v>
      </c>
      <c r="G21" s="19" t="str">
        <f t="shared" ref="G21:G35" si="10">Currency&amp;"ON"&amp;F21&amp;"="</f>
        <v>AUDON1Y6MD=</v>
      </c>
      <c r="H21" s="20">
        <f>'ON Pricing'!H21*100</f>
        <v>2.5152984693574609</v>
      </c>
      <c r="I21" s="20">
        <f t="shared" si="4"/>
        <v>2.5152984693574609</v>
      </c>
      <c r="J21" s="20" t="e">
        <f>ABS(_xll.RtGet(SourceAlias,$G21,BID)-H21)</f>
        <v>#VALUE!</v>
      </c>
      <c r="K21" s="20" t="e">
        <f>ABS(_xll.RtGet(SourceAlias,$G21,ASK)-I21)</f>
        <v>#VALUE!</v>
      </c>
      <c r="L21" s="56" t="s">
        <v>97</v>
      </c>
      <c r="M21" s="155"/>
      <c r="N21" s="155"/>
      <c r="O21" s="158"/>
      <c r="P21" s="158"/>
      <c r="Q21" s="158"/>
      <c r="R21" s="158"/>
      <c r="S21" s="2" t="s">
        <v>97</v>
      </c>
      <c r="T21" s="25"/>
      <c r="U21" s="19"/>
      <c r="V21" s="20"/>
      <c r="W21" s="20"/>
      <c r="X21" s="20"/>
      <c r="Y21" s="20"/>
      <c r="Z21" s="56" t="s">
        <v>97</v>
      </c>
      <c r="AA21" s="25"/>
      <c r="AB21" s="19"/>
      <c r="AC21" s="20"/>
      <c r="AD21" s="20"/>
      <c r="AE21" s="20"/>
      <c r="AF21" s="20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ht="11.25" customHeight="1" x14ac:dyDescent="0.2">
      <c r="A22" s="25" t="str">
        <f>IF(Contribute="abcd",IF($G$1&lt;&gt;-1,_xll.RtContribute(SourceAlias,G22,Fields,H22:I22,"SCOPE:SERVER"),_xll.RtContribute(SourceAlias,"DDS_INSERT_S",$G$1:$I$1,H22:I22,"SCOPE:SERVER FTC:ALL")),"stopped")</f>
        <v>stopped</v>
      </c>
      <c r="B22" s="155" t="str">
        <f>IF(Contribute="abcd",IF($G$1&lt;&gt;-1,_xll.RtContribute(SourceAlias,N22,Fields,O22:P22,"SCOPE:SERVER"),_xll.RtContribute(SourceAlias,"DDS_INSERT_S",$G$1:$I$1,N22:P22,"SCOPE:SERVER FTC:ALL")),"stopped")</f>
        <v>stopped</v>
      </c>
      <c r="C22" s="25" t="str">
        <f>IF(Contribute="abcd",IF($G$1&lt;&gt;-1,_xll.RtContribute(SourceAlias,U22,Fields,V22:W22,"SCOPE:SERVER"),_xll.RtContribute(SourceAlias,"DDS_INSERT_S",$G$1:$I$1,U22:W22,"SCOPE:SERVER FTC:ALL")),"stopped")</f>
        <v>stopped</v>
      </c>
      <c r="D22" s="152" t="str">
        <f>IF(Contribute="abcd",IF($G$1&lt;&gt;-1,_xll.RtContribute(SourceAlias,AB22,Fields,AC22:AD22,"SCOPE:SERVER"),_xll.RtContribute(SourceAlias,"DDS_INSERT_S",$G$1:$I$1,AB22:AD22,"SCOPE:SERVER FTC:ALL")),"stopped")</f>
        <v>stopped</v>
      </c>
      <c r="E22" s="153" t="s">
        <v>97</v>
      </c>
      <c r="F22" s="25" t="s">
        <v>66</v>
      </c>
      <c r="G22" s="19" t="str">
        <f t="shared" si="10"/>
        <v>AUDON2YD=</v>
      </c>
      <c r="H22" s="20">
        <f>'ON Pricing'!H22*100</f>
        <v>2.5800000000143797</v>
      </c>
      <c r="I22" s="20">
        <f t="shared" si="4"/>
        <v>2.5800000000143797</v>
      </c>
      <c r="J22" s="20" t="e">
        <f>ABS(_xll.RtGet(SourceAlias,$G22,BID)-H22)</f>
        <v>#VALUE!</v>
      </c>
      <c r="K22" s="20" t="e">
        <f>ABS(_xll.RtGet(SourceAlias,$G22,ASK)-I22)</f>
        <v>#VALUE!</v>
      </c>
      <c r="L22" s="56" t="s">
        <v>97</v>
      </c>
      <c r="M22" s="155" t="s">
        <v>30</v>
      </c>
      <c r="N22" s="155" t="str">
        <f>Currency&amp;"1M"&amp;M22&amp;"="</f>
        <v>AUD1M2Y=</v>
      </c>
      <c r="O22" s="158">
        <f>'1M Pricing'!H22*100</f>
        <v>2.6674999999979079</v>
      </c>
      <c r="P22" s="158">
        <f t="shared" si="5"/>
        <v>2.6674999999979079</v>
      </c>
      <c r="Q22" s="158" t="e">
        <f>ABS(_xll.RtGet(SourceAlias,$N22,BID)-O22)</f>
        <v>#VALUE!</v>
      </c>
      <c r="R22" s="158" t="e">
        <f>ABS(_xll.RtGet(SourceAlias,$N22,ASK)-P22)</f>
        <v>#VALUE!</v>
      </c>
      <c r="S22" s="2" t="s">
        <v>97</v>
      </c>
      <c r="T22" s="25" t="s">
        <v>30</v>
      </c>
      <c r="U22" s="19" t="str">
        <f t="shared" si="9"/>
        <v>AUD3M2Y=</v>
      </c>
      <c r="V22" s="20">
        <f>'3M Pricing'!J22*100</f>
        <v>2.7349999998858925</v>
      </c>
      <c r="W22" s="20">
        <f t="shared" si="6"/>
        <v>2.7349999998858925</v>
      </c>
      <c r="X22" s="20" t="e">
        <f>ABS(_xll.RtGet(SourceAlias,$U22,BID)-V22)</f>
        <v>#VALUE!</v>
      </c>
      <c r="Y22" s="20" t="e">
        <f>ABS(_xll.RtGet(SourceAlias,$U22,ASK)-W22)</f>
        <v>#VALUE!</v>
      </c>
      <c r="Z22" s="56" t="s">
        <v>97</v>
      </c>
      <c r="AA22" s="25" t="s">
        <v>30</v>
      </c>
      <c r="AB22" s="19" t="str">
        <f t="shared" ref="AB22:AB35" si="11">Currency&amp;"6M"&amp;AA22&amp;"="</f>
        <v>AUD6M2Y=</v>
      </c>
      <c r="AC22" s="20">
        <f>'6M Pricing'!H22*100</f>
        <v>2.7988456063922884</v>
      </c>
      <c r="AD22" s="20">
        <f t="shared" si="7"/>
        <v>2.7988456063922884</v>
      </c>
      <c r="AE22" s="20" t="e">
        <f>ABS(_xll.RtGet(SourceAlias,$AB22,BID)-AC22)</f>
        <v>#VALUE!</v>
      </c>
      <c r="AF22" s="20" t="e">
        <f>ABS(_xll.RtGet(SourceAlias,$AB22,ASK)-AD22)</f>
        <v>#VALUE!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ht="11.25" customHeight="1" x14ac:dyDescent="0.2">
      <c r="A23" s="25" t="str">
        <f>IF(Contribute="abcd",IF($G$1&lt;&gt;-1,_xll.RtContribute(SourceAlias,G23,Fields,H23:I23,"SCOPE:SERVER"),_xll.RtContribute(SourceAlias,"DDS_INSERT_S",$G$1:$I$1,H23:I23,"SCOPE:SERVER FTC:ALL")),"stopped")</f>
        <v>stopped</v>
      </c>
      <c r="B23" s="155" t="str">
        <f>IF(Contribute="abcd",IF($G$1&lt;&gt;-1,_xll.RtContribute(SourceAlias,N23,Fields,O23:P23,"SCOPE:SERVER"),_xll.RtContribute(SourceAlias,"DDS_INSERT_S",$G$1:$I$1,N23:P23,"SCOPE:SERVER FTC:ALL")),"stopped")</f>
        <v>stopped</v>
      </c>
      <c r="C23" s="25" t="str">
        <f>IF(Contribute="abcd",IF($G$1&lt;&gt;-1,_xll.RtContribute(SourceAlias,U23,Fields,V23:W23,"SCOPE:SERVER"),_xll.RtContribute(SourceAlias,"DDS_INSERT_S",$G$1:$I$1,U23:W23,"SCOPE:SERVER FTC:ALL")),"stopped")</f>
        <v>stopped</v>
      </c>
      <c r="D23" s="152" t="str">
        <f>IF(Contribute="abcd",IF($G$1&lt;&gt;-1,_xll.RtContribute(SourceAlias,AB23,Fields,AC23:AD23,"SCOPE:SERVER"),_xll.RtContribute(SourceAlias,"DDS_INSERT_S",$G$1:$I$1,AB23:AD23,"SCOPE:SERVER FTC:ALL")),"stopped")</f>
        <v>stopped</v>
      </c>
      <c r="E23" s="153" t="s">
        <v>97</v>
      </c>
      <c r="F23" s="25" t="s">
        <v>67</v>
      </c>
      <c r="G23" s="19" t="str">
        <f t="shared" si="10"/>
        <v>AUDON3YD=</v>
      </c>
      <c r="H23" s="20">
        <f>'ON Pricing'!H23*100</f>
        <v>2.7250000000261356</v>
      </c>
      <c r="I23" s="20">
        <f t="shared" si="4"/>
        <v>2.7250000000261356</v>
      </c>
      <c r="J23" s="20" t="e">
        <f>ABS(_xll.RtGet(SourceAlias,$G23,BID)-H23)</f>
        <v>#VALUE!</v>
      </c>
      <c r="K23" s="20" t="e">
        <f>ABS(_xll.RtGet(SourceAlias,$G23,ASK)-I23)</f>
        <v>#VALUE!</v>
      </c>
      <c r="L23" s="56" t="s">
        <v>97</v>
      </c>
      <c r="M23" s="155" t="s">
        <v>31</v>
      </c>
      <c r="N23" s="155" t="str">
        <f>Currency&amp;"1M"&amp;M23&amp;"="</f>
        <v>AUD1M3Y=</v>
      </c>
      <c r="O23" s="158">
        <f>'1M Pricing'!H23*100</f>
        <v>2.8162499999985271</v>
      </c>
      <c r="P23" s="158">
        <f t="shared" si="5"/>
        <v>2.8162499999985271</v>
      </c>
      <c r="Q23" s="158" t="e">
        <f>ABS(_xll.RtGet(SourceAlias,$N23,BID)-O23)</f>
        <v>#VALUE!</v>
      </c>
      <c r="R23" s="158" t="e">
        <f>ABS(_xll.RtGet(SourceAlias,$N23,ASK)-P23)</f>
        <v>#VALUE!</v>
      </c>
      <c r="S23" s="2" t="s">
        <v>97</v>
      </c>
      <c r="T23" s="25" t="s">
        <v>31</v>
      </c>
      <c r="U23" s="19" t="str">
        <f t="shared" si="9"/>
        <v>AUD3M3Y=</v>
      </c>
      <c r="V23" s="20">
        <f>'3M Pricing'!J23*100</f>
        <v>2.8899999999156814</v>
      </c>
      <c r="W23" s="20">
        <f t="shared" si="6"/>
        <v>2.8899999999156814</v>
      </c>
      <c r="X23" s="20" t="e">
        <f>ABS(_xll.RtGet(SourceAlias,$U23,BID)-V23)</f>
        <v>#VALUE!</v>
      </c>
      <c r="Y23" s="20" t="e">
        <f>ABS(_xll.RtGet(SourceAlias,$U23,ASK)-W23)</f>
        <v>#VALUE!</v>
      </c>
      <c r="Z23" s="56" t="s">
        <v>97</v>
      </c>
      <c r="AA23" s="25" t="s">
        <v>31</v>
      </c>
      <c r="AB23" s="19" t="str">
        <f t="shared" si="11"/>
        <v>AUD6M3Y=</v>
      </c>
      <c r="AC23" s="20">
        <f>'6M Pricing'!H23*100</f>
        <v>2.9589246560361881</v>
      </c>
      <c r="AD23" s="20">
        <f t="shared" si="7"/>
        <v>2.9589246560361881</v>
      </c>
      <c r="AE23" s="20" t="e">
        <f>ABS(_xll.RtGet(SourceAlias,$AB23,BID)-AC23)</f>
        <v>#VALUE!</v>
      </c>
      <c r="AF23" s="20" t="e">
        <f>ABS(_xll.RtGet(SourceAlias,$AB23,ASK)-AD23)</f>
        <v>#VALUE!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ht="11.25" customHeight="1" x14ac:dyDescent="0.2">
      <c r="A24" s="25" t="str">
        <f>IF(Contribute="abcd",IF($G$1&lt;&gt;-1,_xll.RtContribute(SourceAlias,G24,Fields,H24:I24,"SCOPE:SERVER"),_xll.RtContribute(SourceAlias,"DDS_INSERT_S",$G$1:$I$1,H24:I24,"SCOPE:SERVER FTC:ALL")),"stopped")</f>
        <v>stopped</v>
      </c>
      <c r="B24" s="155" t="str">
        <f>IF(Contribute="abcd",IF($G$1&lt;&gt;-1,_xll.RtContribute(SourceAlias,N24,Fields,O24:P24,"SCOPE:SERVER"),_xll.RtContribute(SourceAlias,"DDS_INSERT_S",$G$1:$I$1,N24:P24,"SCOPE:SERVER FTC:ALL")),"stopped")</f>
        <v>stopped</v>
      </c>
      <c r="C24" s="25" t="str">
        <f>IF(Contribute="abcd",IF($G$1&lt;&gt;-1,_xll.RtContribute(SourceAlias,U24,Fields,V24:W24,"SCOPE:SERVER"),_xll.RtContribute(SourceAlias,"DDS_INSERT_S",$G$1:$I$1,U24:W24,"SCOPE:SERVER FTC:ALL")),"stopped")</f>
        <v>stopped</v>
      </c>
      <c r="D24" s="152" t="str">
        <f>IF(Contribute="abcd",IF($G$1&lt;&gt;-1,_xll.RtContribute(SourceAlias,AB24,Fields,AC24:AD24,"SCOPE:SERVER"),_xll.RtContribute(SourceAlias,"DDS_INSERT_S",$G$1:$I$1,AB24:AD24,"SCOPE:SERVER FTC:ALL")),"stopped")</f>
        <v>stopped</v>
      </c>
      <c r="E24" s="153" t="s">
        <v>97</v>
      </c>
      <c r="F24" s="25" t="s">
        <v>68</v>
      </c>
      <c r="G24" s="19" t="str">
        <f t="shared" si="10"/>
        <v>AUDON4YD=</v>
      </c>
      <c r="H24" s="20">
        <f>'ON Pricing'!H24*100</f>
        <v>2.8600000000146797</v>
      </c>
      <c r="I24" s="20">
        <f t="shared" si="4"/>
        <v>2.8600000000146797</v>
      </c>
      <c r="J24" s="20" t="e">
        <f>ABS(_xll.RtGet(SourceAlias,$G24,BID)-H24)</f>
        <v>#VALUE!</v>
      </c>
      <c r="K24" s="20" t="e">
        <f>ABS(_xll.RtGet(SourceAlias,$G24,ASK)-I24)</f>
        <v>#VALUE!</v>
      </c>
      <c r="L24" s="56" t="s">
        <v>97</v>
      </c>
      <c r="M24" s="155" t="s">
        <v>32</v>
      </c>
      <c r="N24" s="155" t="str">
        <f>Currency&amp;"1M"&amp;M24&amp;"="</f>
        <v>AUD1M4Y=</v>
      </c>
      <c r="O24" s="158">
        <f>'1M Pricing'!H24*100</f>
        <v>2.9638679553071605</v>
      </c>
      <c r="P24" s="158">
        <f t="shared" si="5"/>
        <v>2.9638679553071605</v>
      </c>
      <c r="Q24" s="158" t="e">
        <f>ABS(_xll.RtGet(SourceAlias,$N24,BID)-O24)</f>
        <v>#VALUE!</v>
      </c>
      <c r="R24" s="158" t="e">
        <f>ABS(_xll.RtGet(SourceAlias,$N24,ASK)-P24)</f>
        <v>#VALUE!</v>
      </c>
      <c r="S24" s="2" t="s">
        <v>97</v>
      </c>
      <c r="T24" s="25" t="s">
        <v>32</v>
      </c>
      <c r="U24" s="19" t="str">
        <f t="shared" si="9"/>
        <v>AUD3M4Y=</v>
      </c>
      <c r="V24" s="20">
        <f>'3M Pricing'!J24*100</f>
        <v>3.0401179553076574</v>
      </c>
      <c r="W24" s="20">
        <f t="shared" si="6"/>
        <v>3.0401179553076574</v>
      </c>
      <c r="X24" s="20" t="e">
        <f>ABS(_xll.RtGet(SourceAlias,$U24,BID)-V24)</f>
        <v>#VALUE!</v>
      </c>
      <c r="Y24" s="20" t="e">
        <f>ABS(_xll.RtGet(SourceAlias,$U24,ASK)-W24)</f>
        <v>#VALUE!</v>
      </c>
      <c r="Z24" s="56" t="s">
        <v>97</v>
      </c>
      <c r="AA24" s="25" t="s">
        <v>32</v>
      </c>
      <c r="AB24" s="19" t="str">
        <f t="shared" si="11"/>
        <v>AUD6M4Y=</v>
      </c>
      <c r="AC24" s="20">
        <f>'6M Pricing'!H24*100</f>
        <v>3.1250000000004592</v>
      </c>
      <c r="AD24" s="20">
        <f t="shared" si="7"/>
        <v>3.1250000000004592</v>
      </c>
      <c r="AE24" s="20" t="e">
        <f>ABS(_xll.RtGet(SourceAlias,$AB24,BID)-AC24)</f>
        <v>#VALUE!</v>
      </c>
      <c r="AF24" s="20" t="e">
        <f>ABS(_xll.RtGet(SourceAlias,$AB24,ASK)-AD24)</f>
        <v>#VALUE!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ht="11.25" customHeight="1" x14ac:dyDescent="0.2">
      <c r="A25" s="25" t="str">
        <f>IF(Contribute="abcd",IF($G$1&lt;&gt;-1,_xll.RtContribute(SourceAlias,G25,Fields,H25:I25,"SCOPE:SERVER"),_xll.RtContribute(SourceAlias,"DDS_INSERT_S",$G$1:$I$1,H25:I25,"SCOPE:SERVER FTC:ALL")),"stopped")</f>
        <v>stopped</v>
      </c>
      <c r="B25" s="155" t="str">
        <f>IF(Contribute="abcd",IF($G$1&lt;&gt;-1,_xll.RtContribute(SourceAlias,N25,Fields,O25:P25,"SCOPE:SERVER"),_xll.RtContribute(SourceAlias,"DDS_INSERT_S",$G$1:$I$1,N25:P25,"SCOPE:SERVER FTC:ALL")),"stopped")</f>
        <v>stopped</v>
      </c>
      <c r="C25" s="25" t="str">
        <f>IF(Contribute="abcd",IF($G$1&lt;&gt;-1,_xll.RtContribute(SourceAlias,U25,Fields,V25:W25,"SCOPE:SERVER"),_xll.RtContribute(SourceAlias,"DDS_INSERT_S",$G$1:$I$1,U25:W25,"SCOPE:SERVER FTC:ALL")),"stopped")</f>
        <v>stopped</v>
      </c>
      <c r="D25" s="152" t="str">
        <f>IF(Contribute="abcd",IF($G$1&lt;&gt;-1,_xll.RtContribute(SourceAlias,AB25,Fields,AC25:AD25,"SCOPE:SERVER"),_xll.RtContribute(SourceAlias,"DDS_INSERT_S",$G$1:$I$1,AB25:AD25,"SCOPE:SERVER FTC:ALL")),"stopped")</f>
        <v>stopped</v>
      </c>
      <c r="E25" s="153" t="s">
        <v>97</v>
      </c>
      <c r="F25" s="25" t="s">
        <v>69</v>
      </c>
      <c r="G25" s="19" t="str">
        <f t="shared" si="10"/>
        <v>AUDON5YD=</v>
      </c>
      <c r="H25" s="20">
        <f>'ON Pricing'!H25*100</f>
        <v>2.9950000000094281</v>
      </c>
      <c r="I25" s="20">
        <f t="shared" si="4"/>
        <v>2.9950000000094281</v>
      </c>
      <c r="J25" s="20" t="e">
        <f>ABS(_xll.RtGet(SourceAlias,$G25,BID)-H25)</f>
        <v>#VALUE!</v>
      </c>
      <c r="K25" s="20" t="e">
        <f>ABS(_xll.RtGet(SourceAlias,$G25,ASK)-I25)</f>
        <v>#VALUE!</v>
      </c>
      <c r="L25" s="56" t="s">
        <v>97</v>
      </c>
      <c r="M25" s="155" t="s">
        <v>33</v>
      </c>
      <c r="N25" s="155" t="str">
        <f>Currency&amp;"1M"&amp;M25&amp;"="</f>
        <v>AUD1M5Y=</v>
      </c>
      <c r="O25" s="158">
        <f>'1M Pricing'!H25*100</f>
        <v>3.1040652080302076</v>
      </c>
      <c r="P25" s="158">
        <f t="shared" si="5"/>
        <v>3.1040652080302076</v>
      </c>
      <c r="Q25" s="158" t="e">
        <f>ABS(_xll.RtGet(SourceAlias,$N25,BID)-O25)</f>
        <v>#VALUE!</v>
      </c>
      <c r="R25" s="158" t="e">
        <f>ABS(_xll.RtGet(SourceAlias,$N25,ASK)-P25)</f>
        <v>#VALUE!</v>
      </c>
      <c r="S25" s="2" t="s">
        <v>97</v>
      </c>
      <c r="T25" s="25" t="s">
        <v>33</v>
      </c>
      <c r="U25" s="19" t="str">
        <f t="shared" si="9"/>
        <v>AUD3M5Y=</v>
      </c>
      <c r="V25" s="20">
        <f>'3M Pricing'!J25*100</f>
        <v>3.1828152080302896</v>
      </c>
      <c r="W25" s="20">
        <f t="shared" si="6"/>
        <v>3.1828152080302896</v>
      </c>
      <c r="X25" s="20" t="e">
        <f>ABS(_xll.RtGet(SourceAlias,$U25,BID)-V25)</f>
        <v>#VALUE!</v>
      </c>
      <c r="Y25" s="20" t="e">
        <f>ABS(_xll.RtGet(SourceAlias,$U25,ASK)-W25)</f>
        <v>#VALUE!</v>
      </c>
      <c r="Z25" s="56" t="s">
        <v>97</v>
      </c>
      <c r="AA25" s="25" t="s">
        <v>33</v>
      </c>
      <c r="AB25" s="19" t="str">
        <f t="shared" si="11"/>
        <v>AUD6M5Y=</v>
      </c>
      <c r="AC25" s="20">
        <f>'6M Pricing'!H25*100</f>
        <v>3.2725000000004112</v>
      </c>
      <c r="AD25" s="20">
        <f t="shared" si="7"/>
        <v>3.2725000000004112</v>
      </c>
      <c r="AE25" s="20" t="e">
        <f>ABS(_xll.RtGet(SourceAlias,$AB25,BID)-AC25)</f>
        <v>#VALUE!</v>
      </c>
      <c r="AF25" s="20" t="e">
        <f>ABS(_xll.RtGet(SourceAlias,$AB25,ASK)-AD25)</f>
        <v>#VALUE!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ht="11.25" customHeight="1" x14ac:dyDescent="0.2">
      <c r="A26" s="25" t="str">
        <f>IF(Contribute="abcd",IF($G$1&lt;&gt;-1,_xll.RtContribute(SourceAlias,G26,Fields,H26:I26,"SCOPE:SERVER"),_xll.RtContribute(SourceAlias,"DDS_INSERT_S",$G$1:$I$1,H26:I26,"SCOPE:SERVER FTC:ALL")),"stopped")</f>
        <v>stopped</v>
      </c>
      <c r="B26" s="155"/>
      <c r="C26" s="25"/>
      <c r="D26" s="152"/>
      <c r="E26" s="153" t="s">
        <v>97</v>
      </c>
      <c r="F26" s="25" t="s">
        <v>70</v>
      </c>
      <c r="G26" s="19" t="str">
        <f t="shared" si="10"/>
        <v>AUDON6YD=</v>
      </c>
      <c r="H26" s="20">
        <f>'ON Pricing'!H26*100</f>
        <v>3.1180000000065951</v>
      </c>
      <c r="I26" s="20">
        <f t="shared" si="4"/>
        <v>3.1180000000065951</v>
      </c>
      <c r="J26" s="20" t="e">
        <f>ABS(_xll.RtGet(SourceAlias,$G26,BID)-H26)</f>
        <v>#VALUE!</v>
      </c>
      <c r="K26" s="20" t="e">
        <f>ABS(_xll.RtGet(SourceAlias,$G26,ASK)-I26)</f>
        <v>#VALUE!</v>
      </c>
      <c r="L26" s="56" t="s">
        <v>97</v>
      </c>
      <c r="M26" s="155"/>
      <c r="N26" s="155"/>
      <c r="O26" s="158"/>
      <c r="P26" s="158"/>
      <c r="Q26" s="158"/>
      <c r="R26" s="158"/>
      <c r="S26" s="2" t="s">
        <v>97</v>
      </c>
      <c r="T26" s="25"/>
      <c r="U26" s="19"/>
      <c r="V26" s="20"/>
      <c r="W26" s="20"/>
      <c r="X26" s="20"/>
      <c r="Y26" s="20"/>
      <c r="Z26" s="56" t="s">
        <v>97</v>
      </c>
      <c r="AA26" s="25"/>
      <c r="AB26" s="19"/>
      <c r="AC26" s="20"/>
      <c r="AD26" s="20"/>
      <c r="AE26" s="20"/>
      <c r="AF26" s="20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ht="11.25" customHeight="1" x14ac:dyDescent="0.2">
      <c r="A27" s="25" t="str">
        <f>IF(Contribute="abcd",IF($G$1&lt;&gt;-1,_xll.RtContribute(SourceAlias,G27,Fields,H27:I27,"SCOPE:SERVER"),_xll.RtContribute(SourceAlias,"DDS_INSERT_S",$G$1:$I$1,H27:I27,"SCOPE:SERVER FTC:ALL")),"stopped")</f>
        <v>stopped</v>
      </c>
      <c r="B27" s="155" t="str">
        <f>IF(Contribute="abcd",IF($G$1&lt;&gt;-1,_xll.RtContribute(SourceAlias,N27,Fields,O27:P27,"SCOPE:SERVER"),_xll.RtContribute(SourceAlias,"DDS_INSERT_S",$G$1:$I$1,N27:P27,"SCOPE:SERVER FTC:ALL")),"stopped")</f>
        <v>stopped</v>
      </c>
      <c r="C27" s="25" t="str">
        <f>IF(Contribute="abcd",IF($G$1&lt;&gt;-1,_xll.RtContribute(SourceAlias,U27,Fields,V27:W27,"SCOPE:SERVER"),_xll.RtContribute(SourceAlias,"DDS_INSERT_S",$G$1:$I$1,U27:W27,"SCOPE:SERVER FTC:ALL")),"stopped")</f>
        <v>stopped</v>
      </c>
      <c r="D27" s="152" t="str">
        <f>IF(Contribute="abcd",IF($G$1&lt;&gt;-1,_xll.RtContribute(SourceAlias,AB27,Fields,AC27:AD27,"SCOPE:SERVER"),_xll.RtContribute(SourceAlias,"DDS_INSERT_S",$G$1:$I$1,AB27:AD27,"SCOPE:SERVER FTC:ALL")),"stopped")</f>
        <v>stopped</v>
      </c>
      <c r="E27" s="153" t="s">
        <v>97</v>
      </c>
      <c r="F27" s="25" t="s">
        <v>71</v>
      </c>
      <c r="G27" s="19" t="str">
        <f t="shared" si="10"/>
        <v>AUDON7YD=</v>
      </c>
      <c r="H27" s="20">
        <f>'ON Pricing'!H27*100</f>
        <v>3.2400000000048559</v>
      </c>
      <c r="I27" s="20">
        <f t="shared" si="4"/>
        <v>3.2400000000048559</v>
      </c>
      <c r="J27" s="20" t="e">
        <f>ABS(_xll.RtGet(SourceAlias,$G27,BID)-H27)</f>
        <v>#VALUE!</v>
      </c>
      <c r="K27" s="20" t="e">
        <f>ABS(_xll.RtGet(SourceAlias,$G27,ASK)-I27)</f>
        <v>#VALUE!</v>
      </c>
      <c r="L27" s="56" t="s">
        <v>97</v>
      </c>
      <c r="M27" s="155" t="s">
        <v>35</v>
      </c>
      <c r="N27" s="155" t="str">
        <f>Currency&amp;"1M"&amp;M27&amp;"="</f>
        <v>AUD1M7Y=</v>
      </c>
      <c r="O27" s="158">
        <f>'1M Pricing'!H27*100</f>
        <v>3.3558094563164746</v>
      </c>
      <c r="P27" s="158">
        <f t="shared" si="5"/>
        <v>3.3558094563164746</v>
      </c>
      <c r="Q27" s="158" t="e">
        <f>ABS(_xll.RtGet(SourceAlias,$N27,BID)-O27)</f>
        <v>#VALUE!</v>
      </c>
      <c r="R27" s="158" t="e">
        <f>ABS(_xll.RtGet(SourceAlias,$N27,ASK)-P27)</f>
        <v>#VALUE!</v>
      </c>
      <c r="S27" s="2" t="s">
        <v>97</v>
      </c>
      <c r="T27" s="25" t="s">
        <v>35</v>
      </c>
      <c r="U27" s="19" t="str">
        <f t="shared" si="9"/>
        <v>AUD3M7Y=</v>
      </c>
      <c r="V27" s="20">
        <f>'3M Pricing'!J27*100</f>
        <v>3.4383094563247356</v>
      </c>
      <c r="W27" s="20">
        <f t="shared" si="6"/>
        <v>3.4383094563247356</v>
      </c>
      <c r="X27" s="20" t="e">
        <f>ABS(_xll.RtGet(SourceAlias,$U27,BID)-V27)</f>
        <v>#VALUE!</v>
      </c>
      <c r="Y27" s="20" t="e">
        <f>ABS(_xll.RtGet(SourceAlias,$U27,ASK)-W27)</f>
        <v>#VALUE!</v>
      </c>
      <c r="Z27" s="56" t="s">
        <v>97</v>
      </c>
      <c r="AA27" s="25" t="s">
        <v>35</v>
      </c>
      <c r="AB27" s="19" t="str">
        <f t="shared" si="11"/>
        <v>AUD6M7Y=</v>
      </c>
      <c r="AC27" s="20">
        <f>'6M Pricing'!H27*100</f>
        <v>3.5300000000002947</v>
      </c>
      <c r="AD27" s="20">
        <f t="shared" si="7"/>
        <v>3.5300000000002947</v>
      </c>
      <c r="AE27" s="20" t="e">
        <f>ABS(_xll.RtGet(SourceAlias,$AB27,BID)-AC27)</f>
        <v>#VALUE!</v>
      </c>
      <c r="AF27" s="20" t="e">
        <f>ABS(_xll.RtGet(SourceAlias,$AB27,ASK)-AD27)</f>
        <v>#VALUE!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ht="11.25" customHeight="1" x14ac:dyDescent="0.2">
      <c r="A28" s="25" t="str">
        <f>IF(Contribute="abcd",IF($G$1&lt;&gt;-1,_xll.RtContribute(SourceAlias,G28,Fields,H28:I28,"SCOPE:SERVER"),_xll.RtContribute(SourceAlias,"DDS_INSERT_S",$G$1:$I$1,H28:I28,"SCOPE:SERVER FTC:ALL")),"stopped")</f>
        <v>stopped</v>
      </c>
      <c r="B28" s="155"/>
      <c r="C28" s="25"/>
      <c r="D28" s="152"/>
      <c r="E28" s="153" t="s">
        <v>97</v>
      </c>
      <c r="F28" s="25" t="s">
        <v>72</v>
      </c>
      <c r="G28" s="19" t="str">
        <f t="shared" si="10"/>
        <v>AUDON8YD=</v>
      </c>
      <c r="H28" s="20">
        <f>'ON Pricing'!H28*100</f>
        <v>3.323000000003745</v>
      </c>
      <c r="I28" s="20">
        <f t="shared" si="4"/>
        <v>3.323000000003745</v>
      </c>
      <c r="J28" s="20" t="e">
        <f>ABS(_xll.RtGet(SourceAlias,$G28,BID)-H28)</f>
        <v>#VALUE!</v>
      </c>
      <c r="K28" s="20" t="e">
        <f>ABS(_xll.RtGet(SourceAlias,$G28,ASK)-I28)</f>
        <v>#VALUE!</v>
      </c>
      <c r="L28" s="56" t="s">
        <v>97</v>
      </c>
      <c r="M28" s="155"/>
      <c r="N28" s="155"/>
      <c r="O28" s="158"/>
      <c r="P28" s="158"/>
      <c r="Q28" s="158"/>
      <c r="R28" s="158"/>
      <c r="S28" s="2" t="s">
        <v>97</v>
      </c>
      <c r="T28" s="25"/>
      <c r="U28" s="19"/>
      <c r="V28" s="20"/>
      <c r="W28" s="20"/>
      <c r="X28" s="20"/>
      <c r="Y28" s="20"/>
      <c r="Z28" s="56" t="s">
        <v>97</v>
      </c>
      <c r="AA28" s="25"/>
      <c r="AB28" s="19"/>
      <c r="AC28" s="20"/>
      <c r="AD28" s="20"/>
      <c r="AE28" s="20"/>
      <c r="AF28" s="20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ht="11.25" customHeight="1" x14ac:dyDescent="0.2">
      <c r="A29" s="25" t="str">
        <f>IF(Contribute="abcd",IF($G$1&lt;&gt;-1,_xll.RtContribute(SourceAlias,G29,Fields,H29:I29,"SCOPE:SERVER"),_xll.RtContribute(SourceAlias,"DDS_INSERT_S",$G$1:$I$1,H29:I29,"SCOPE:SERVER FTC:ALL")),"stopped")</f>
        <v>stopped</v>
      </c>
      <c r="B29" s="155"/>
      <c r="C29" s="25"/>
      <c r="D29" s="152"/>
      <c r="E29" s="153" t="s">
        <v>97</v>
      </c>
      <c r="F29" s="25" t="s">
        <v>73</v>
      </c>
      <c r="G29" s="19" t="str">
        <f t="shared" si="10"/>
        <v>AUDON9YD=</v>
      </c>
      <c r="H29" s="20">
        <f>'ON Pricing'!H29*100</f>
        <v>3.4030000000030007</v>
      </c>
      <c r="I29" s="20">
        <f t="shared" si="4"/>
        <v>3.4030000000030007</v>
      </c>
      <c r="J29" s="20" t="e">
        <f>ABS(_xll.RtGet(SourceAlias,$G29,BID)-H29)</f>
        <v>#VALUE!</v>
      </c>
      <c r="K29" s="20" t="e">
        <f>ABS(_xll.RtGet(SourceAlias,$G29,ASK)-I29)</f>
        <v>#VALUE!</v>
      </c>
      <c r="L29" s="56" t="s">
        <v>97</v>
      </c>
      <c r="M29" s="155"/>
      <c r="N29" s="155"/>
      <c r="O29" s="158"/>
      <c r="P29" s="158"/>
      <c r="Q29" s="158"/>
      <c r="R29" s="158"/>
      <c r="S29" s="2" t="s">
        <v>97</v>
      </c>
      <c r="T29" s="25"/>
      <c r="U29" s="19"/>
      <c r="V29" s="20"/>
      <c r="W29" s="20"/>
      <c r="X29" s="20"/>
      <c r="Y29" s="20"/>
      <c r="Z29" s="56" t="s">
        <v>97</v>
      </c>
      <c r="AA29" s="25"/>
      <c r="AB29" s="19"/>
      <c r="AC29" s="20"/>
      <c r="AD29" s="20"/>
      <c r="AE29" s="20"/>
      <c r="AF29" s="20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ht="11.25" customHeight="1" x14ac:dyDescent="0.2">
      <c r="A30" s="25" t="str">
        <f>IF(Contribute="abcd",IF($G$1&lt;&gt;-1,_xll.RtContribute(SourceAlias,G30,Fields,H30:I30,"SCOPE:SERVER"),_xll.RtContribute(SourceAlias,"DDS_INSERT_S",$G$1:$I$1,H30:I30,"SCOPE:SERVER FTC:ALL")),"stopped")</f>
        <v>stopped</v>
      </c>
      <c r="B30" s="155" t="str">
        <f>IF(Contribute="abcd",IF($G$1&lt;&gt;-1,_xll.RtContribute(SourceAlias,N30,Fields,O30:P30,"SCOPE:SERVER"),_xll.RtContribute(SourceAlias,"DDS_INSERT_S",$G$1:$I$1,N30:P30,"SCOPE:SERVER FTC:ALL")),"stopped")</f>
        <v>stopped</v>
      </c>
      <c r="C30" s="25" t="str">
        <f>IF(Contribute="abcd",IF($G$1&lt;&gt;-1,_xll.RtContribute(SourceAlias,U30,Fields,V30:W30,"SCOPE:SERVER"),_xll.RtContribute(SourceAlias,"DDS_INSERT_S",$G$1:$I$1,U30:W30,"SCOPE:SERVER FTC:ALL")),"stopped")</f>
        <v>stopped</v>
      </c>
      <c r="D30" s="152" t="str">
        <f>IF(Contribute="abcd",IF($G$1&lt;&gt;-1,_xll.RtContribute(SourceAlias,AB30,Fields,AC30:AD30,"SCOPE:SERVER"),_xll.RtContribute(SourceAlias,"DDS_INSERT_S",$G$1:$I$1,AB30:AD30,"SCOPE:SERVER FTC:ALL")),"stopped")</f>
        <v>stopped</v>
      </c>
      <c r="E30" s="153" t="s">
        <v>97</v>
      </c>
      <c r="F30" s="25" t="s">
        <v>74</v>
      </c>
      <c r="G30" s="19" t="str">
        <f t="shared" si="10"/>
        <v>AUDON10YD=</v>
      </c>
      <c r="H30" s="20">
        <f>'ON Pricing'!H30*100</f>
        <v>3.4850000000024495</v>
      </c>
      <c r="I30" s="20">
        <f t="shared" si="4"/>
        <v>3.4850000000024495</v>
      </c>
      <c r="J30" s="20" t="e">
        <f>ABS(_xll.RtGet(SourceAlias,$G30,BID)-H30)</f>
        <v>#VALUE!</v>
      </c>
      <c r="K30" s="20" t="e">
        <f>ABS(_xll.RtGet(SourceAlias,$G30,ASK)-I30)</f>
        <v>#VALUE!</v>
      </c>
      <c r="L30" s="56" t="s">
        <v>97</v>
      </c>
      <c r="M30" s="155" t="s">
        <v>38</v>
      </c>
      <c r="N30" s="155" t="str">
        <f t="shared" ref="N30:N35" si="12">Currency&amp;"1M"&amp;M30&amp;"="</f>
        <v>AUD1M10Y=</v>
      </c>
      <c r="O30" s="158">
        <f>'1M Pricing'!H30*100</f>
        <v>3.6198618698315146</v>
      </c>
      <c r="P30" s="158">
        <f t="shared" si="5"/>
        <v>3.6198618698315146</v>
      </c>
      <c r="Q30" s="158" t="e">
        <f>ABS(_xll.RtGet(SourceAlias,$N30,BID)-O30)</f>
        <v>#VALUE!</v>
      </c>
      <c r="R30" s="158" t="e">
        <f>ABS(_xll.RtGet(SourceAlias,$N30,ASK)-P30)</f>
        <v>#VALUE!</v>
      </c>
      <c r="S30" s="2" t="s">
        <v>97</v>
      </c>
      <c r="T30" s="25" t="s">
        <v>38</v>
      </c>
      <c r="U30" s="19" t="str">
        <f t="shared" si="9"/>
        <v>AUD3M10Y=</v>
      </c>
      <c r="V30" s="20">
        <f>'3M Pricing'!J30*100</f>
        <v>3.7048618698306059</v>
      </c>
      <c r="W30" s="20">
        <f t="shared" si="6"/>
        <v>3.7048618698306059</v>
      </c>
      <c r="X30" s="20" t="e">
        <f>ABS(_xll.RtGet(SourceAlias,$U30,BID)-V30)</f>
        <v>#VALUE!</v>
      </c>
      <c r="Y30" s="20" t="e">
        <f>ABS(_xll.RtGet(SourceAlias,$U30,ASK)-W30)</f>
        <v>#VALUE!</v>
      </c>
      <c r="Z30" s="56" t="s">
        <v>97</v>
      </c>
      <c r="AA30" s="25" t="s">
        <v>38</v>
      </c>
      <c r="AB30" s="19" t="str">
        <f t="shared" si="11"/>
        <v>AUD6M10Y=</v>
      </c>
      <c r="AC30" s="20">
        <f>'6M Pricing'!H30*100</f>
        <v>3.8000000000106455</v>
      </c>
      <c r="AD30" s="20">
        <f t="shared" si="7"/>
        <v>3.8000000000106455</v>
      </c>
      <c r="AE30" s="20" t="e">
        <f>ABS(_xll.RtGet(SourceAlias,$AB30,BID)-AC30)</f>
        <v>#VALUE!</v>
      </c>
      <c r="AF30" s="20" t="e">
        <f>ABS(_xll.RtGet(SourceAlias,$AB30,ASK)-AD30)</f>
        <v>#VALUE!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ht="11.25" customHeight="1" x14ac:dyDescent="0.2">
      <c r="A31" s="25" t="str">
        <f>IF(Contribute="abcd",IF($G$1&lt;&gt;-1,_xll.RtContribute(SourceAlias,G31,Fields,H31:I31,"SCOPE:SERVER"),_xll.RtContribute(SourceAlias,"DDS_INSERT_S",$G$1:$I$1,H31:I31,"SCOPE:SERVER FTC:ALL")),"stopped")</f>
        <v>stopped</v>
      </c>
      <c r="B31" s="155" t="str">
        <f>IF(Contribute="abcd",IF($G$1&lt;&gt;-1,_xll.RtContribute(SourceAlias,N31,Fields,O31:P31,"SCOPE:SERVER"),_xll.RtContribute(SourceAlias,"DDS_INSERT_S",$G$1:$I$1,N31:P31,"SCOPE:SERVER FTC:ALL")),"stopped")</f>
        <v>stopped</v>
      </c>
      <c r="C31" s="25" t="str">
        <f>IF(Contribute="abcd",IF($G$1&lt;&gt;-1,_xll.RtContribute(SourceAlias,U31,Fields,V31:W31,"SCOPE:SERVER"),_xll.RtContribute(SourceAlias,"DDS_INSERT_S",$G$1:$I$1,U31:W31,"SCOPE:SERVER FTC:ALL")),"stopped")</f>
        <v>stopped</v>
      </c>
      <c r="D31" s="152" t="str">
        <f>IF(Contribute="abcd",IF($G$1&lt;&gt;-1,_xll.RtContribute(SourceAlias,AB31,Fields,AC31:AD31,"SCOPE:SERVER"),_xll.RtContribute(SourceAlias,"DDS_INSERT_S",$G$1:$I$1,AB31:AD31,"SCOPE:SERVER FTC:ALL")),"stopped")</f>
        <v>stopped</v>
      </c>
      <c r="E31" s="153" t="s">
        <v>97</v>
      </c>
      <c r="F31" s="25" t="s">
        <v>75</v>
      </c>
      <c r="G31" s="19" t="str">
        <f t="shared" si="10"/>
        <v>AUDON12YD=</v>
      </c>
      <c r="H31" s="20">
        <f>'ON Pricing'!H31*100</f>
        <v>3.6129999999987423</v>
      </c>
      <c r="I31" s="20">
        <f t="shared" si="4"/>
        <v>3.6129999999987423</v>
      </c>
      <c r="J31" s="20" t="e">
        <f>ABS(_xll.RtGet(SourceAlias,$G31,BID)-H31)</f>
        <v>#VALUE!</v>
      </c>
      <c r="K31" s="20" t="e">
        <f>ABS(_xll.RtGet(SourceAlias,$G31,ASK)-I31)</f>
        <v>#VALUE!</v>
      </c>
      <c r="L31" s="56" t="s">
        <v>97</v>
      </c>
      <c r="M31" s="155" t="s">
        <v>39</v>
      </c>
      <c r="N31" s="155" t="str">
        <f t="shared" si="12"/>
        <v>AUD1M12Y=</v>
      </c>
      <c r="O31" s="158">
        <f>'1M Pricing'!H31*100</f>
        <v>3.7624145277892942</v>
      </c>
      <c r="P31" s="158">
        <f t="shared" si="5"/>
        <v>3.7624145277892942</v>
      </c>
      <c r="Q31" s="158" t="e">
        <f>ABS(_xll.RtGet(SourceAlias,$N31,BID)-O31)</f>
        <v>#VALUE!</v>
      </c>
      <c r="R31" s="158" t="e">
        <f>ABS(_xll.RtGet(SourceAlias,$N31,ASK)-P31)</f>
        <v>#VALUE!</v>
      </c>
      <c r="S31" s="2" t="s">
        <v>97</v>
      </c>
      <c r="T31" s="25" t="s">
        <v>39</v>
      </c>
      <c r="U31" s="19" t="str">
        <f t="shared" si="9"/>
        <v>AUD3M12Y=</v>
      </c>
      <c r="V31" s="20">
        <f>'3M Pricing'!J31*100</f>
        <v>3.8461645277930243</v>
      </c>
      <c r="W31" s="20">
        <f t="shared" si="6"/>
        <v>3.8461645277930243</v>
      </c>
      <c r="X31" s="20" t="e">
        <f>ABS(_xll.RtGet(SourceAlias,$U31,BID)-V31)</f>
        <v>#VALUE!</v>
      </c>
      <c r="Y31" s="20" t="e">
        <f>ABS(_xll.RtGet(SourceAlias,$U31,ASK)-W31)</f>
        <v>#VALUE!</v>
      </c>
      <c r="Z31" s="56" t="s">
        <v>97</v>
      </c>
      <c r="AA31" s="25" t="s">
        <v>39</v>
      </c>
      <c r="AB31" s="19" t="str">
        <f t="shared" si="11"/>
        <v>AUD6M12Y=</v>
      </c>
      <c r="AC31" s="20">
        <f>'6M Pricing'!H31*100</f>
        <v>3.9400000000002331</v>
      </c>
      <c r="AD31" s="20">
        <f t="shared" si="7"/>
        <v>3.9400000000002331</v>
      </c>
      <c r="AE31" s="20" t="e">
        <f>ABS(_xll.RtGet(SourceAlias,$AB31,BID)-AC31)</f>
        <v>#VALUE!</v>
      </c>
      <c r="AF31" s="20" t="e">
        <f>ABS(_xll.RtGet(SourceAlias,$AB31,ASK)-AD31)</f>
        <v>#VALUE!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ht="11.25" customHeight="1" x14ac:dyDescent="0.2">
      <c r="A32" s="25" t="str">
        <f>IF(Contribute="abcd",IF($G$1&lt;&gt;-1,_xll.RtContribute(SourceAlias,G32,Fields,H32:I32,"SCOPE:SERVER"),_xll.RtContribute(SourceAlias,"DDS_INSERT_S",$G$1:$I$1,H32:I32,"SCOPE:SERVER FTC:ALL")),"stopped")</f>
        <v>stopped</v>
      </c>
      <c r="B32" s="155" t="str">
        <f>IF(Contribute="abcd",IF($G$1&lt;&gt;-1,_xll.RtContribute(SourceAlias,N32,Fields,O32:P32,"SCOPE:SERVER"),_xll.RtContribute(SourceAlias,"DDS_INSERT_S",$G$1:$I$1,N32:P32,"SCOPE:SERVER FTC:ALL")),"stopped")</f>
        <v>stopped</v>
      </c>
      <c r="C32" s="25" t="str">
        <f>IF(Contribute="abcd",IF($G$1&lt;&gt;-1,_xll.RtContribute(SourceAlias,U32,Fields,V32:W32,"SCOPE:SERVER"),_xll.RtContribute(SourceAlias,"DDS_INSERT_S",$G$1:$I$1,U32:W32,"SCOPE:SERVER FTC:ALL")),"stopped")</f>
        <v>stopped</v>
      </c>
      <c r="D32" s="152" t="str">
        <f>IF(Contribute="abcd",IF($G$1&lt;&gt;-1,_xll.RtContribute(SourceAlias,AB32,Fields,AC32:AD32,"SCOPE:SERVER"),_xll.RtContribute(SourceAlias,"DDS_INSERT_S",$G$1:$I$1,AB32:AD32,"SCOPE:SERVER FTC:ALL")),"stopped")</f>
        <v>stopped</v>
      </c>
      <c r="E32" s="153" t="s">
        <v>97</v>
      </c>
      <c r="F32" s="25" t="s">
        <v>76</v>
      </c>
      <c r="G32" s="19" t="str">
        <f t="shared" si="10"/>
        <v>AUDON15YD=</v>
      </c>
      <c r="H32" s="20">
        <f>'ON Pricing'!H32*100</f>
        <v>3.7599999999983003</v>
      </c>
      <c r="I32" s="20">
        <f t="shared" si="4"/>
        <v>3.7599999999983003</v>
      </c>
      <c r="J32" s="20" t="e">
        <f>ABS(_xll.RtGet(SourceAlias,$G32,BID)-H32)</f>
        <v>#VALUE!</v>
      </c>
      <c r="K32" s="20" t="e">
        <f>ABS(_xll.RtGet(SourceAlias,$G32,ASK)-I32)</f>
        <v>#VALUE!</v>
      </c>
      <c r="L32" s="56" t="s">
        <v>97</v>
      </c>
      <c r="M32" s="155" t="s">
        <v>40</v>
      </c>
      <c r="N32" s="155" t="str">
        <f t="shared" si="12"/>
        <v>AUD1M15Y=</v>
      </c>
      <c r="O32" s="158">
        <f>'1M Pricing'!H32*100</f>
        <v>3.9160377361159049</v>
      </c>
      <c r="P32" s="158">
        <f t="shared" si="5"/>
        <v>3.9160377361159049</v>
      </c>
      <c r="Q32" s="158" t="e">
        <f>ABS(_xll.RtGet(SourceAlias,$N32,BID)-O32)</f>
        <v>#VALUE!</v>
      </c>
      <c r="R32" s="158" t="e">
        <f>ABS(_xll.RtGet(SourceAlias,$N32,ASK)-P32)</f>
        <v>#VALUE!</v>
      </c>
      <c r="S32" s="2" t="s">
        <v>97</v>
      </c>
      <c r="T32" s="25" t="s">
        <v>40</v>
      </c>
      <c r="U32" s="19" t="str">
        <f t="shared" si="9"/>
        <v>AUD3M15Y=</v>
      </c>
      <c r="V32" s="20">
        <f>'3M Pricing'!J32*100</f>
        <v>3.999787736119055</v>
      </c>
      <c r="W32" s="20">
        <f t="shared" si="6"/>
        <v>3.999787736119055</v>
      </c>
      <c r="X32" s="20" t="e">
        <f>ABS(_xll.RtGet(SourceAlias,$U32,BID)-V32)</f>
        <v>#VALUE!</v>
      </c>
      <c r="Y32" s="20" t="e">
        <f>ABS(_xll.RtGet(SourceAlias,$U32,ASK)-W32)</f>
        <v>#VALUE!</v>
      </c>
      <c r="Z32" s="56" t="s">
        <v>97</v>
      </c>
      <c r="AA32" s="25" t="s">
        <v>40</v>
      </c>
      <c r="AB32" s="19" t="str">
        <f t="shared" si="11"/>
        <v>AUD6M15Y=</v>
      </c>
      <c r="AC32" s="20">
        <f>'6M Pricing'!H32*100</f>
        <v>4.0875000000026258</v>
      </c>
      <c r="AD32" s="20">
        <f t="shared" si="7"/>
        <v>4.0875000000026258</v>
      </c>
      <c r="AE32" s="20" t="e">
        <f>ABS(_xll.RtGet(SourceAlias,$AB32,BID)-AC32)</f>
        <v>#VALUE!</v>
      </c>
      <c r="AF32" s="20" t="e">
        <f>ABS(_xll.RtGet(SourceAlias,$AB32,ASK)-AD32)</f>
        <v>#VALUE!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ht="11.25" customHeight="1" x14ac:dyDescent="0.2">
      <c r="A33" s="25" t="str">
        <f>IF(Contribute="abcd",IF($G$1&lt;&gt;-1,_xll.RtContribute(SourceAlias,G33,Fields,H33:I33,"SCOPE:SERVER"),_xll.RtContribute(SourceAlias,"DDS_INSERT_S",$G$1:$I$1,H33:I33,"SCOPE:SERVER FTC:ALL")),"stopped")</f>
        <v>stopped</v>
      </c>
      <c r="B33" s="155" t="str">
        <f>IF(Contribute="abcd",IF($G$1&lt;&gt;-1,_xll.RtContribute(SourceAlias,N33,Fields,O33:P33,"SCOPE:SERVER"),_xll.RtContribute(SourceAlias,"DDS_INSERT_S",$G$1:$I$1,N33:P33,"SCOPE:SERVER FTC:ALL")),"stopped")</f>
        <v>stopped</v>
      </c>
      <c r="C33" s="25" t="str">
        <f>IF(Contribute="abcd",IF($G$1&lt;&gt;-1,_xll.RtContribute(SourceAlias,U33,Fields,V33:W33,"SCOPE:SERVER"),_xll.RtContribute(SourceAlias,"DDS_INSERT_S",$G$1:$I$1,U33:W33,"SCOPE:SERVER FTC:ALL")),"stopped")</f>
        <v>stopped</v>
      </c>
      <c r="D33" s="152" t="str">
        <f>IF(Contribute="abcd",IF($G$1&lt;&gt;-1,_xll.RtContribute(SourceAlias,AB33,Fields,AC33:AD33,"SCOPE:SERVER"),_xll.RtContribute(SourceAlias,"DDS_INSERT_S",$G$1:$I$1,AB33:AD33,"SCOPE:SERVER FTC:ALL")),"stopped")</f>
        <v>stopped</v>
      </c>
      <c r="E33" s="153" t="s">
        <v>97</v>
      </c>
      <c r="F33" s="25" t="s">
        <v>77</v>
      </c>
      <c r="G33" s="19" t="str">
        <f t="shared" si="10"/>
        <v>AUDON20YD=</v>
      </c>
      <c r="H33" s="20">
        <f>'ON Pricing'!H33*100</f>
        <v>3.9180000000027886</v>
      </c>
      <c r="I33" s="20">
        <f t="shared" si="4"/>
        <v>3.9180000000027886</v>
      </c>
      <c r="J33" s="20" t="e">
        <f>ABS(_xll.RtGet(SourceAlias,$G33,BID)-H33)</f>
        <v>#VALUE!</v>
      </c>
      <c r="K33" s="20" t="e">
        <f>ABS(_xll.RtGet(SourceAlias,$G33,ASK)-I33)</f>
        <v>#VALUE!</v>
      </c>
      <c r="L33" s="56" t="s">
        <v>97</v>
      </c>
      <c r="M33" s="155" t="s">
        <v>41</v>
      </c>
      <c r="N33" s="155" t="str">
        <f t="shared" si="12"/>
        <v>AUD1M20Y=</v>
      </c>
      <c r="O33" s="158">
        <f>'1M Pricing'!H33*100</f>
        <v>4.0833156032829088</v>
      </c>
      <c r="P33" s="158">
        <f t="shared" si="5"/>
        <v>4.0833156032829088</v>
      </c>
      <c r="Q33" s="158" t="e">
        <f>ABS(_xll.RtGet(SourceAlias,$N33,BID)-O33)</f>
        <v>#VALUE!</v>
      </c>
      <c r="R33" s="158" t="e">
        <f>ABS(_xll.RtGet(SourceAlias,$N33,ASK)-P33)</f>
        <v>#VALUE!</v>
      </c>
      <c r="S33" s="2" t="s">
        <v>97</v>
      </c>
      <c r="T33" s="25" t="s">
        <v>41</v>
      </c>
      <c r="U33" s="19" t="str">
        <f t="shared" si="9"/>
        <v>AUD3M20Y=</v>
      </c>
      <c r="V33" s="20">
        <f>'3M Pricing'!J33*100</f>
        <v>4.1583156032851267</v>
      </c>
      <c r="W33" s="20">
        <f t="shared" si="6"/>
        <v>4.1583156032851267</v>
      </c>
      <c r="X33" s="20" t="e">
        <f>ABS(_xll.RtGet(SourceAlias,$U33,BID)-V33)</f>
        <v>#VALUE!</v>
      </c>
      <c r="Y33" s="20" t="e">
        <f>ABS(_xll.RtGet(SourceAlias,$U33,ASK)-W33)</f>
        <v>#VALUE!</v>
      </c>
      <c r="Z33" s="56" t="s">
        <v>97</v>
      </c>
      <c r="AA33" s="25" t="s">
        <v>41</v>
      </c>
      <c r="AB33" s="19" t="str">
        <f t="shared" si="11"/>
        <v>AUD6M20Y=</v>
      </c>
      <c r="AC33" s="20">
        <f>'6M Pricing'!H33*100</f>
        <v>4.2350000000022554</v>
      </c>
      <c r="AD33" s="20">
        <f t="shared" si="7"/>
        <v>4.2350000000022554</v>
      </c>
      <c r="AE33" s="20" t="e">
        <f>ABS(_xll.RtGet(SourceAlias,$AB33,BID)-AC33)</f>
        <v>#VALUE!</v>
      </c>
      <c r="AF33" s="20" t="e">
        <f>ABS(_xll.RtGet(SourceAlias,$AB33,ASK)-AD33)</f>
        <v>#VALUE!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ht="11.25" customHeight="1" x14ac:dyDescent="0.2">
      <c r="A34" s="25" t="str">
        <f>IF(Contribute="abcd",IF($G$1&lt;&gt;-1,_xll.RtContribute(SourceAlias,G34,Fields,H34:I34,"SCOPE:SERVER"),_xll.RtContribute(SourceAlias,"DDS_INSERT_S",$G$1:$I$1,H34:I34,"SCOPE:SERVER FTC:ALL")),"stopped")</f>
        <v>stopped</v>
      </c>
      <c r="B34" s="155" t="str">
        <f>IF(Contribute="abcd",IF($G$1&lt;&gt;-1,_xll.RtContribute(SourceAlias,N34,Fields,O34:P34,"SCOPE:SERVER"),_xll.RtContribute(SourceAlias,"DDS_INSERT_S",$G$1:$I$1,N34:P34,"SCOPE:SERVER FTC:ALL")),"stopped")</f>
        <v>stopped</v>
      </c>
      <c r="C34" s="25" t="str">
        <f>IF(Contribute="abcd",IF($G$1&lt;&gt;-1,_xll.RtContribute(SourceAlias,U34,Fields,V34:W34,"SCOPE:SERVER"),_xll.RtContribute(SourceAlias,"DDS_INSERT_S",$G$1:$I$1,U34:W34,"SCOPE:SERVER FTC:ALL")),"stopped")</f>
        <v>stopped</v>
      </c>
      <c r="D34" s="152" t="str">
        <f>IF(Contribute="abcd",IF($G$1&lt;&gt;-1,_xll.RtContribute(SourceAlias,AB34,Fields,AC34:AD34,"SCOPE:SERVER"),_xll.RtContribute(SourceAlias,"DDS_INSERT_S",$G$1:$I$1,AB34:AD34,"SCOPE:SERVER FTC:ALL")),"stopped")</f>
        <v>stopped</v>
      </c>
      <c r="E34" s="153" t="s">
        <v>97</v>
      </c>
      <c r="F34" s="25" t="s">
        <v>78</v>
      </c>
      <c r="G34" s="19" t="str">
        <f t="shared" si="10"/>
        <v>AUDON25YD=</v>
      </c>
      <c r="H34" s="20">
        <f>'ON Pricing'!H34*100</f>
        <v>3.9800000000044098</v>
      </c>
      <c r="I34" s="20">
        <f t="shared" si="4"/>
        <v>3.9800000000044098</v>
      </c>
      <c r="J34" s="20" t="e">
        <f>ABS(_xll.RtGet(SourceAlias,$G34,BID)-H34)</f>
        <v>#VALUE!</v>
      </c>
      <c r="K34" s="20" t="e">
        <f>ABS(_xll.RtGet(SourceAlias,$G34,ASK)-I34)</f>
        <v>#VALUE!</v>
      </c>
      <c r="L34" s="56" t="s">
        <v>97</v>
      </c>
      <c r="M34" s="155" t="s">
        <v>42</v>
      </c>
      <c r="N34" s="155" t="str">
        <f t="shared" si="12"/>
        <v>AUD1M25Y=</v>
      </c>
      <c r="O34" s="158">
        <f>'1M Pricing'!H34*100</f>
        <v>4.1577587093433239</v>
      </c>
      <c r="P34" s="158">
        <f t="shared" si="5"/>
        <v>4.1577587093433239</v>
      </c>
      <c r="Q34" s="158" t="e">
        <f>ABS(_xll.RtGet(SourceAlias,$N34,BID)-O34)</f>
        <v>#VALUE!</v>
      </c>
      <c r="R34" s="158" t="e">
        <f>ABS(_xll.RtGet(SourceAlias,$N34,ASK)-P34)</f>
        <v>#VALUE!</v>
      </c>
      <c r="S34" s="2" t="s">
        <v>97</v>
      </c>
      <c r="T34" s="25" t="s">
        <v>42</v>
      </c>
      <c r="U34" s="19" t="str">
        <f t="shared" si="9"/>
        <v>AUD3M25Y=</v>
      </c>
      <c r="V34" s="20">
        <f>'3M Pricing'!J34*100</f>
        <v>4.221508709340104</v>
      </c>
      <c r="W34" s="20">
        <f t="shared" si="6"/>
        <v>4.221508709340104</v>
      </c>
      <c r="X34" s="20" t="e">
        <f>ABS(_xll.RtGet(SourceAlias,$U34,BID)-V34)</f>
        <v>#VALUE!</v>
      </c>
      <c r="Y34" s="20" t="e">
        <f>ABS(_xll.RtGet(SourceAlias,$U34,ASK)-W34)</f>
        <v>#VALUE!</v>
      </c>
      <c r="Z34" s="56" t="s">
        <v>97</v>
      </c>
      <c r="AA34" s="25" t="s">
        <v>42</v>
      </c>
      <c r="AB34" s="19" t="str">
        <f t="shared" si="11"/>
        <v>AUD6M25Y=</v>
      </c>
      <c r="AC34" s="20">
        <f>'6M Pricing'!H34*100</f>
        <v>4.2874999999986629</v>
      </c>
      <c r="AD34" s="20">
        <f t="shared" si="7"/>
        <v>4.2874999999986629</v>
      </c>
      <c r="AE34" s="20" t="e">
        <f>ABS(_xll.RtGet(SourceAlias,$AB34,BID)-AC34)</f>
        <v>#VALUE!</v>
      </c>
      <c r="AF34" s="20" t="e">
        <f>ABS(_xll.RtGet(SourceAlias,$AB34,ASK)-AD34)</f>
        <v>#VALUE!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ht="11.25" customHeight="1" x14ac:dyDescent="0.2">
      <c r="A35" s="25" t="str">
        <f>IF(Contribute="abcd",IF($G$1&lt;&gt;-1,_xll.RtContribute(SourceAlias,G35,Fields,H35:I35,"SCOPE:SERVER"),_xll.RtContribute(SourceAlias,"DDS_INSERT_S",$G$1:$I$1,H35:I35,"SCOPE:SERVER FTC:ALL")),"stopped")</f>
        <v>stopped</v>
      </c>
      <c r="B35" s="155" t="str">
        <f>IF(Contribute="abcd",IF($G$1&lt;&gt;-1,_xll.RtContribute(SourceAlias,N35,Fields,O35:P35,"SCOPE:SERVER"),_xll.RtContribute(SourceAlias,"DDS_INSERT_S",$G$1:$I$1,N35:P35,"SCOPE:SERVER FTC:ALL")),"stopped")</f>
        <v>stopped</v>
      </c>
      <c r="C35" s="25" t="str">
        <f>IF(Contribute="abcd",IF($G$1&lt;&gt;-1,_xll.RtContribute(SourceAlias,U35,Fields,V35:W35,"SCOPE:SERVER"),_xll.RtContribute(SourceAlias,"DDS_INSERT_S",$G$1:$I$1,U35:W35,"SCOPE:SERVER FTC:ALL")),"stopped")</f>
        <v>stopped</v>
      </c>
      <c r="D35" s="152" t="str">
        <f>IF(Contribute="abcd",IF($G$1&lt;&gt;-1,_xll.RtContribute(SourceAlias,AB35,Fields,AC35:AD35,"SCOPE:SERVER"),_xll.RtContribute(SourceAlias,"DDS_INSERT_S",$G$1:$I$1,AB35:AD35,"SCOPE:SERVER FTC:ALL")),"stopped")</f>
        <v>stopped</v>
      </c>
      <c r="E35" s="153" t="s">
        <v>97</v>
      </c>
      <c r="F35" s="26" t="s">
        <v>79</v>
      </c>
      <c r="G35" s="21" t="str">
        <f t="shared" si="10"/>
        <v>AUDON30YD=</v>
      </c>
      <c r="H35" s="22">
        <f>'ON Pricing'!H35*100</f>
        <v>4.0149999999983761</v>
      </c>
      <c r="I35" s="22">
        <f t="shared" si="4"/>
        <v>4.0149999999983761</v>
      </c>
      <c r="J35" s="22" t="e">
        <f>ABS(_xll.RtGet(SourceAlias,$G35,BID)-H35)</f>
        <v>#VALUE!</v>
      </c>
      <c r="K35" s="22" t="e">
        <f>ABS(_xll.RtGet(SourceAlias,$G35,ASK)-I35)</f>
        <v>#VALUE!</v>
      </c>
      <c r="L35" s="56" t="s">
        <v>97</v>
      </c>
      <c r="M35" s="159" t="s">
        <v>43</v>
      </c>
      <c r="N35" s="159" t="str">
        <f t="shared" si="12"/>
        <v>AUD1M30Y=</v>
      </c>
      <c r="O35" s="160">
        <f>'1M Pricing'!H35*100</f>
        <v>4.1887339187192758</v>
      </c>
      <c r="P35" s="160">
        <f t="shared" si="5"/>
        <v>4.1887339187192758</v>
      </c>
      <c r="Q35" s="160" t="e">
        <f>ABS(_xll.RtGet(SourceAlias,$N35,BID)-O35)</f>
        <v>#VALUE!</v>
      </c>
      <c r="R35" s="160" t="e">
        <f>ABS(_xll.RtGet(SourceAlias,$N35,ASK)-P35)</f>
        <v>#VALUE!</v>
      </c>
      <c r="S35" s="2" t="s">
        <v>97</v>
      </c>
      <c r="T35" s="26" t="s">
        <v>43</v>
      </c>
      <c r="U35" s="21" t="str">
        <f t="shared" si="9"/>
        <v>AUD3M30Y=</v>
      </c>
      <c r="V35" s="22">
        <f>'3M Pricing'!J35*100</f>
        <v>4.2499839187192752</v>
      </c>
      <c r="W35" s="22">
        <f t="shared" si="6"/>
        <v>4.2499839187192752</v>
      </c>
      <c r="X35" s="22" t="e">
        <f>ABS(_xll.RtGet(SourceAlias,$U35,BID)-V35)</f>
        <v>#VALUE!</v>
      </c>
      <c r="Y35" s="22" t="e">
        <f>ABS(_xll.RtGet(SourceAlias,$U35,ASK)-W35)</f>
        <v>#VALUE!</v>
      </c>
      <c r="Z35" s="56" t="s">
        <v>97</v>
      </c>
      <c r="AA35" s="26" t="s">
        <v>43</v>
      </c>
      <c r="AB35" s="21" t="str">
        <f t="shared" si="11"/>
        <v>AUD6M30Y=</v>
      </c>
      <c r="AC35" s="22">
        <f>'6M Pricing'!H35*100</f>
        <v>4.3074999999999992</v>
      </c>
      <c r="AD35" s="22">
        <f t="shared" si="7"/>
        <v>4.3074999999999992</v>
      </c>
      <c r="AE35" s="22" t="e">
        <f>ABS(_xll.RtGet(SourceAlias,$AB35,BID)-AC35)</f>
        <v>#VALUE!</v>
      </c>
      <c r="AF35" s="22" t="e">
        <f>ABS(_xll.RtGet(SourceAlias,$AB35,ASK)-AD35)</f>
        <v>#VALUE!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">
      <c r="A36" s="156"/>
      <c r="B36" s="156"/>
      <c r="C36" s="156"/>
      <c r="D36" s="156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3"/>
      <c r="R36" s="3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3"/>
      <c r="AF36" s="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9" x14ac:dyDescent="0.2">
      <c r="A37" s="2"/>
      <c r="B37" s="2"/>
      <c r="C37" s="2"/>
      <c r="D37" s="2"/>
      <c r="E37" s="2"/>
      <c r="F37" s="112"/>
      <c r="G37" s="2"/>
      <c r="H37" s="2"/>
      <c r="I37" s="2"/>
      <c r="J37" s="3"/>
      <c r="K37" s="2"/>
      <c r="L37" s="2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3"/>
      <c r="AF37" s="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9" x14ac:dyDescent="0.2">
      <c r="A38" s="2"/>
      <c r="B38" s="2"/>
      <c r="C38" s="2"/>
      <c r="D38" s="2"/>
      <c r="E38" s="2"/>
      <c r="F38" s="112"/>
      <c r="G38" s="2"/>
      <c r="H38" s="2"/>
      <c r="I38" s="2"/>
      <c r="J38" s="3"/>
      <c r="K38" s="2"/>
      <c r="L38" s="2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3"/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9" x14ac:dyDescent="0.2">
      <c r="A39" s="2"/>
      <c r="B39" s="2"/>
      <c r="C39" s="2"/>
      <c r="D39" s="2"/>
      <c r="E39" s="2"/>
      <c r="F39" s="112"/>
      <c r="G39" s="2"/>
      <c r="H39" s="2"/>
      <c r="I39" s="2"/>
      <c r="J39" s="3"/>
      <c r="K39" s="2"/>
      <c r="L39" s="2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3"/>
      <c r="AF39" s="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9" x14ac:dyDescent="0.2">
      <c r="A40" s="2"/>
      <c r="B40" s="2"/>
      <c r="C40" s="2"/>
      <c r="D40" s="2"/>
      <c r="E40" s="2"/>
      <c r="F40" s="112"/>
      <c r="G40" s="2"/>
      <c r="H40" s="2"/>
      <c r="I40" s="2"/>
      <c r="J40" s="3"/>
      <c r="K40" s="2"/>
      <c r="L40" s="2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3"/>
      <c r="AF40" s="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9" x14ac:dyDescent="0.2">
      <c r="A41" s="2"/>
      <c r="B41" s="2"/>
      <c r="C41" s="2"/>
      <c r="D41" s="2"/>
      <c r="E41" s="2"/>
      <c r="F41" s="112"/>
      <c r="G41" s="2"/>
      <c r="H41" s="2"/>
      <c r="I41" s="2"/>
      <c r="J41" s="3"/>
      <c r="K41" s="2"/>
      <c r="L41" s="2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9" x14ac:dyDescent="0.2">
      <c r="A42" s="2"/>
      <c r="B42" s="2"/>
      <c r="C42" s="2"/>
      <c r="D42" s="2"/>
      <c r="E42" s="2"/>
      <c r="F42" s="112"/>
      <c r="G42" s="2"/>
      <c r="H42" s="2"/>
      <c r="I42" s="2"/>
      <c r="J42" s="3"/>
      <c r="K42" s="2"/>
      <c r="L42" s="2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3"/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9" x14ac:dyDescent="0.2">
      <c r="A43" s="2"/>
      <c r="B43" s="2"/>
      <c r="C43" s="2"/>
      <c r="D43" s="2"/>
      <c r="E43" s="2"/>
      <c r="F43" s="112"/>
      <c r="G43" s="2"/>
      <c r="H43" s="2"/>
      <c r="I43" s="2"/>
      <c r="J43" s="3"/>
      <c r="K43" s="2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3"/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9" x14ac:dyDescent="0.2">
      <c r="A44" s="2"/>
      <c r="B44" s="2"/>
      <c r="C44" s="2"/>
      <c r="D44" s="2"/>
      <c r="E44" s="2"/>
      <c r="F44" s="112"/>
      <c r="G44" s="2"/>
      <c r="H44" s="2"/>
      <c r="I44" s="2"/>
      <c r="J44" s="3"/>
      <c r="K44" s="2"/>
      <c r="L44" s="2"/>
      <c r="M44" s="2"/>
      <c r="N44" s="2"/>
      <c r="O44" s="2"/>
      <c r="P44" s="2"/>
      <c r="Q44" s="3"/>
      <c r="R44" s="3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3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9" x14ac:dyDescent="0.2">
      <c r="A45" s="2"/>
      <c r="B45" s="2"/>
      <c r="C45" s="2"/>
      <c r="D45" s="2"/>
      <c r="E45" s="2"/>
      <c r="F45" s="112"/>
      <c r="G45" s="2"/>
      <c r="H45" s="2"/>
      <c r="I45" s="2"/>
      <c r="J45" s="3"/>
      <c r="K45" s="2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3"/>
      <c r="AF45" s="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9" x14ac:dyDescent="0.2">
      <c r="A46" s="2"/>
      <c r="B46" s="2"/>
      <c r="C46" s="2"/>
      <c r="D46" s="2"/>
      <c r="E46" s="2"/>
      <c r="F46" s="112"/>
      <c r="G46" s="2"/>
      <c r="H46" s="2"/>
      <c r="I46" s="2"/>
      <c r="J46" s="3"/>
      <c r="K46" s="2"/>
      <c r="L46" s="2"/>
      <c r="M46" s="2"/>
      <c r="N46" s="2"/>
      <c r="O46" s="2"/>
      <c r="P46" s="2"/>
      <c r="Q46" s="3"/>
      <c r="R46" s="3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3"/>
      <c r="AF46" s="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9" x14ac:dyDescent="0.2">
      <c r="A47" s="2"/>
      <c r="B47" s="2"/>
      <c r="C47" s="2"/>
      <c r="D47" s="2"/>
      <c r="E47" s="2"/>
      <c r="F47" s="112"/>
      <c r="G47" s="2"/>
      <c r="H47" s="2"/>
      <c r="I47" s="2"/>
      <c r="J47" s="3"/>
      <c r="K47" s="2"/>
      <c r="L47" s="2"/>
      <c r="M47" s="2"/>
      <c r="N47" s="2"/>
      <c r="O47" s="2"/>
      <c r="P47" s="2"/>
      <c r="Q47" s="3"/>
      <c r="R47" s="3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3"/>
      <c r="AF47" s="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9" x14ac:dyDescent="0.2">
      <c r="A48" s="2"/>
      <c r="B48" s="2"/>
      <c r="C48" s="2"/>
      <c r="D48" s="2"/>
      <c r="E48" s="2"/>
      <c r="F48" s="112"/>
      <c r="G48" s="2"/>
      <c r="H48" s="2"/>
      <c r="I48" s="2"/>
      <c r="J48" s="3"/>
      <c r="K48" s="2"/>
      <c r="L48" s="2"/>
      <c r="M48" s="2"/>
      <c r="N48" s="2"/>
      <c r="O48" s="2"/>
      <c r="P48" s="2"/>
      <c r="Q48" s="3"/>
      <c r="R48" s="3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3"/>
      <c r="AF48" s="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 x14ac:dyDescent="0.2">
      <c r="A49" s="2"/>
      <c r="B49" s="2"/>
      <c r="C49" s="2"/>
      <c r="D49" s="2"/>
      <c r="E49" s="2"/>
      <c r="F49" s="112"/>
      <c r="G49" s="2"/>
      <c r="H49" s="2"/>
      <c r="I49" s="2"/>
      <c r="J49" s="3"/>
      <c r="K49" s="2"/>
      <c r="L49" s="2"/>
      <c r="M49" s="2"/>
      <c r="N49" s="2"/>
      <c r="O49" s="2"/>
      <c r="P49" s="2"/>
      <c r="Q49" s="3"/>
      <c r="R49" s="3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3"/>
      <c r="AF49" s="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x14ac:dyDescent="0.2">
      <c r="A50" s="2"/>
      <c r="B50" s="2"/>
      <c r="C50" s="2"/>
      <c r="D50" s="2"/>
      <c r="E50" s="2"/>
      <c r="F50" s="112"/>
      <c r="G50" s="2"/>
      <c r="H50" s="2"/>
      <c r="I50" s="2"/>
      <c r="J50" s="3"/>
      <c r="K50" s="2"/>
      <c r="L50" s="2"/>
      <c r="M50" s="2"/>
      <c r="N50" s="2"/>
      <c r="O50" s="2"/>
      <c r="P50" s="2"/>
      <c r="Q50" s="3"/>
      <c r="R50" s="3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3"/>
      <c r="AF50" s="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x14ac:dyDescent="0.2">
      <c r="A51" s="2"/>
      <c r="B51" s="2"/>
      <c r="C51" s="2"/>
      <c r="D51" s="2"/>
      <c r="E51" s="2"/>
      <c r="F51" s="112"/>
      <c r="G51" s="2"/>
      <c r="H51" s="2"/>
      <c r="I51" s="2"/>
      <c r="J51" s="3"/>
      <c r="K51" s="2"/>
      <c r="L51" s="2"/>
      <c r="M51" s="2"/>
      <c r="N51" s="2"/>
      <c r="O51" s="2"/>
      <c r="P51" s="2"/>
      <c r="Q51" s="3"/>
      <c r="R51" s="3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3"/>
      <c r="AF51" s="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x14ac:dyDescent="0.2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3"/>
      <c r="R52" s="3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3"/>
      <c r="AF52" s="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 x14ac:dyDescent="0.2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3"/>
      <c r="R53" s="3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3"/>
      <c r="AF53" s="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x14ac:dyDescent="0.2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3"/>
      <c r="R54" s="3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3"/>
      <c r="AF54" s="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spans="1:58" x14ac:dyDescent="0.2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3"/>
      <c r="R55" s="3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3"/>
      <c r="AF55" s="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spans="1:58" x14ac:dyDescent="0.2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3"/>
      <c r="R56" s="3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3"/>
      <c r="AF56" s="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spans="1:58" x14ac:dyDescent="0.2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3"/>
      <c r="R57" s="3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3"/>
      <c r="AF57" s="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1:58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3"/>
      <c r="R58" s="3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3"/>
      <c r="AF58" s="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 x14ac:dyDescent="0.2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3"/>
      <c r="R59" s="3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3"/>
      <c r="AF59" s="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spans="1:58" x14ac:dyDescent="0.2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3"/>
      <c r="R60" s="3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3"/>
      <c r="AF60" s="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</row>
    <row r="61" spans="1:58" x14ac:dyDescent="0.2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3"/>
      <c r="R61" s="3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3"/>
      <c r="AF61" s="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</row>
    <row r="62" spans="1:58" x14ac:dyDescent="0.2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3"/>
      <c r="R62" s="3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3"/>
      <c r="AF62" s="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r="63" spans="1:58" x14ac:dyDescent="0.2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3"/>
      <c r="R63" s="3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3"/>
      <c r="AF63" s="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</row>
    <row r="64" spans="1:58" x14ac:dyDescent="0.2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3"/>
      <c r="R64" s="3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3"/>
      <c r="AF64" s="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r="65" spans="1:58" x14ac:dyDescent="0.2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3"/>
      <c r="R65" s="3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3"/>
      <c r="AF65" s="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r="66" spans="1:58" x14ac:dyDescent="0.2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3"/>
      <c r="R66" s="3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3"/>
      <c r="AF66" s="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spans="1:58" x14ac:dyDescent="0.2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3"/>
      <c r="R67" s="3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3"/>
      <c r="AF67" s="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spans="1:58" x14ac:dyDescent="0.2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3"/>
      <c r="R68" s="3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3"/>
      <c r="AF68" s="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 x14ac:dyDescent="0.2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3"/>
      <c r="R69" s="3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3"/>
      <c r="AF69" s="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spans="1:58" x14ac:dyDescent="0.2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3"/>
      <c r="R70" s="3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3"/>
      <c r="AF70" s="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 x14ac:dyDescent="0.2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3"/>
      <c r="R71" s="3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3"/>
      <c r="AF71" s="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1:58" x14ac:dyDescent="0.2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3"/>
      <c r="R72" s="3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3"/>
      <c r="AF72" s="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58" x14ac:dyDescent="0.2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3"/>
      <c r="R73" s="3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3"/>
      <c r="AF73" s="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 x14ac:dyDescent="0.2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3"/>
      <c r="R74" s="3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3"/>
      <c r="AF74" s="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58" x14ac:dyDescent="0.2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3"/>
      <c r="R75" s="3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3"/>
      <c r="AF75" s="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58" x14ac:dyDescent="0.2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3"/>
      <c r="R76" s="3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3"/>
      <c r="AF76" s="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 x14ac:dyDescent="0.2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3"/>
      <c r="R77" s="3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3"/>
      <c r="AF77" s="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 x14ac:dyDescent="0.2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3"/>
      <c r="R78" s="3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3"/>
      <c r="AF78" s="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58" x14ac:dyDescent="0.2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3"/>
      <c r="R79" s="3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3"/>
      <c r="AF79" s="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58" x14ac:dyDescent="0.2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3"/>
      <c r="R80" s="3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3"/>
      <c r="AF80" s="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 x14ac:dyDescent="0.2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3"/>
      <c r="R81" s="3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3"/>
      <c r="AF81" s="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 x14ac:dyDescent="0.2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3"/>
      <c r="R82" s="3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3"/>
      <c r="AF82" s="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58" x14ac:dyDescent="0.2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3"/>
      <c r="R83" s="3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3"/>
      <c r="AF83" s="3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spans="1:58" x14ac:dyDescent="0.2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3"/>
      <c r="R84" s="3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3"/>
      <c r="AF84" s="3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 x14ac:dyDescent="0.2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3"/>
      <c r="R85" s="3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3"/>
      <c r="AF85" s="3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 x14ac:dyDescent="0.2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3"/>
      <c r="R86" s="3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3"/>
      <c r="AF86" s="3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 x14ac:dyDescent="0.2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3"/>
      <c r="R87" s="3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3"/>
      <c r="AF87" s="3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 x14ac:dyDescent="0.2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3"/>
      <c r="R88" s="3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3"/>
      <c r="AF88" s="3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 x14ac:dyDescent="0.2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3"/>
      <c r="R89" s="3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3"/>
      <c r="AF89" s="3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58" x14ac:dyDescent="0.2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3"/>
      <c r="R90" s="3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3"/>
      <c r="AF90" s="3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 x14ac:dyDescent="0.2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3"/>
      <c r="R91" s="3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3"/>
      <c r="AF91" s="3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 x14ac:dyDescent="0.2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3"/>
      <c r="R92" s="3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3"/>
      <c r="AF92" s="3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spans="1:58" x14ac:dyDescent="0.2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3"/>
      <c r="R93" s="3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3"/>
      <c r="AF93" s="3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58" x14ac:dyDescent="0.2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3"/>
      <c r="R94" s="3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3"/>
      <c r="AF94" s="3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58" x14ac:dyDescent="0.2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3"/>
      <c r="R95" s="3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3"/>
      <c r="AF95" s="3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spans="1:58" x14ac:dyDescent="0.2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3"/>
      <c r="R96" s="3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3"/>
      <c r="AF96" s="3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 x14ac:dyDescent="0.2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3"/>
      <c r="R97" s="3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3"/>
      <c r="AF97" s="3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spans="1:58" x14ac:dyDescent="0.2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3"/>
      <c r="R98" s="3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3"/>
      <c r="AF98" s="3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 spans="1:58" x14ac:dyDescent="0.2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3"/>
      <c r="R99" s="3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3"/>
      <c r="AF99" s="3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 spans="1:5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3"/>
      <c r="R100" s="3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3"/>
      <c r="AF100" s="3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</sheetData>
  <conditionalFormatting sqref="B1">
    <cfRule type="cellIs" dxfId="0" priority="10" operator="equal">
      <formula>"abcd"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7" customWidth="1"/>
    <col min="2" max="2" width="4" style="12" bestFit="1" customWidth="1"/>
    <col min="3" max="3" width="4" style="7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7.28515625" style="1" hidden="1" customWidth="1" outlineLevel="1"/>
    <col min="15" max="16" width="19.28515625" style="1" hidden="1" customWidth="1" outlineLevel="1"/>
    <col min="17" max="17" width="14.85546875" style="1" customWidth="1" collapsed="1"/>
    <col min="18" max="25" width="14.85546875" style="1" customWidth="1"/>
    <col min="26" max="29" width="14.85546875" style="13" customWidth="1"/>
    <col min="30" max="146" width="14.85546875" style="1" customWidth="1"/>
    <col min="147" max="16384" width="2.85546875" style="1"/>
  </cols>
  <sheetData>
    <row r="1" spans="1:25" x14ac:dyDescent="0.2">
      <c r="A1" s="122"/>
      <c r="B1" s="88"/>
      <c r="C1" s="81"/>
      <c r="D1" s="8" t="s">
        <v>103</v>
      </c>
      <c r="E1" s="23" t="s">
        <v>15</v>
      </c>
      <c r="F1" s="81"/>
      <c r="G1" s="81"/>
      <c r="H1" s="81"/>
      <c r="I1" s="81"/>
      <c r="J1" s="83"/>
      <c r="K1" s="81"/>
      <c r="L1" s="81"/>
      <c r="M1" s="56"/>
      <c r="N1" s="5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22"/>
      <c r="B2" s="88"/>
      <c r="C2" s="6"/>
      <c r="D2" s="70" t="s">
        <v>104</v>
      </c>
      <c r="E2" s="23" t="str">
        <f>Currency&amp;CurveTenor</f>
        <v>AUDON</v>
      </c>
      <c r="F2" s="81"/>
      <c r="G2" s="81"/>
      <c r="H2" s="81"/>
      <c r="I2" s="81"/>
      <c r="J2" s="83"/>
      <c r="K2" s="81"/>
      <c r="L2" s="6"/>
      <c r="M2" s="56"/>
      <c r="N2" s="56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22"/>
      <c r="B3" s="88"/>
      <c r="C3" s="81"/>
      <c r="D3" s="6"/>
      <c r="E3" s="81"/>
      <c r="F3" s="81"/>
      <c r="G3" s="81"/>
      <c r="H3" s="81"/>
      <c r="I3" s="81"/>
      <c r="J3" s="83"/>
      <c r="K3" s="81"/>
      <c r="L3" s="81"/>
      <c r="M3" s="56"/>
      <c r="N3" s="56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22"/>
      <c r="B4" s="146"/>
      <c r="C4" s="31"/>
      <c r="D4" s="31" t="s">
        <v>51</v>
      </c>
      <c r="E4" s="31" t="s">
        <v>84</v>
      </c>
      <c r="F4" s="31" t="s">
        <v>100</v>
      </c>
      <c r="G4" s="31" t="s">
        <v>49</v>
      </c>
      <c r="H4" s="32" t="s">
        <v>48</v>
      </c>
      <c r="I4" s="32" t="s">
        <v>101</v>
      </c>
      <c r="J4" s="32" t="s">
        <v>102</v>
      </c>
      <c r="K4" s="84"/>
      <c r="L4" s="8" t="s">
        <v>95</v>
      </c>
      <c r="M4" s="56"/>
      <c r="N4" s="56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22"/>
      <c r="B5" s="147"/>
      <c r="C5" s="33" t="s">
        <v>15</v>
      </c>
      <c r="D5" s="33" t="s">
        <v>88</v>
      </c>
      <c r="E5" s="64">
        <f t="shared" ref="E5" si="0">EvaluationDate</f>
        <v>41876</v>
      </c>
      <c r="F5" s="64">
        <f>_xll.qlInterestRateIndexValueDate(OvernightIndex,E5)</f>
        <v>41876</v>
      </c>
      <c r="G5" s="64">
        <f>_xll.qlInterestRateIndexMaturity(OvernightIndex,F5)</f>
        <v>41877</v>
      </c>
      <c r="H5" s="65">
        <f>_xll.qlIndexFixing(OvernightIndex,E5,TRUE,InterestRatesTrigger)</f>
        <v>2.5005516180223175E-2</v>
      </c>
      <c r="I5" s="53" t="str">
        <f>Contribution!G5</f>
        <v>AUDONOND=</v>
      </c>
      <c r="J5" s="78" t="str">
        <f>"AU"&amp;"CASH"&amp;"="&amp;"RBAA"</f>
        <v>AUCASH=RBAA</v>
      </c>
      <c r="K5" s="84"/>
      <c r="L5" s="149" t="s">
        <v>117</v>
      </c>
      <c r="M5" s="56"/>
      <c r="N5" s="56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22"/>
      <c r="B6" s="147"/>
      <c r="C6" s="35" t="s">
        <v>16</v>
      </c>
      <c r="D6" s="35" t="s">
        <v>88</v>
      </c>
      <c r="E6" s="67">
        <f>G5</f>
        <v>41877</v>
      </c>
      <c r="F6" s="67">
        <f>_xll.qlInterestRateIndexValueDate(OvernightIndex,E6)</f>
        <v>41877</v>
      </c>
      <c r="G6" s="67">
        <f>_xll.qlInterestRateIndexMaturity(OvernightIndex,F6)</f>
        <v>41878</v>
      </c>
      <c r="H6" s="66">
        <f>_xll.qlIndexFixing(OvernightIndex,E6,TRUE,InterestRatesTrigger)</f>
        <v>2.5004628542310003E-2</v>
      </c>
      <c r="I6" s="53" t="str">
        <f>Contribution!G6</f>
        <v>AUDONTND=</v>
      </c>
      <c r="J6" s="78"/>
      <c r="K6" s="85"/>
      <c r="L6" s="86"/>
      <c r="M6" s="56"/>
      <c r="N6" s="56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22"/>
      <c r="B7" s="147"/>
      <c r="C7" s="37" t="s">
        <v>17</v>
      </c>
      <c r="D7" s="37" t="s">
        <v>88</v>
      </c>
      <c r="E7" s="68">
        <f>G6</f>
        <v>41878</v>
      </c>
      <c r="F7" s="68">
        <f>_xll.qlInterestRateIndexValueDate(OvernightIndex,E7)</f>
        <v>41878</v>
      </c>
      <c r="G7" s="68">
        <f>_xll.qlInterestRateIndexMaturity(OvernightIndex,F7)</f>
        <v>41879</v>
      </c>
      <c r="H7" s="69">
        <f>_xll.qlIndexFixing(OvernightIndex,E7,TRUE,InterestRatesTrigger)</f>
        <v>2.500285326648366E-2</v>
      </c>
      <c r="I7" s="53" t="str">
        <f>Contribution!G7</f>
        <v>AUDONSND=</v>
      </c>
      <c r="J7" s="78"/>
      <c r="K7" s="84"/>
      <c r="L7" s="121" t="s">
        <v>50</v>
      </c>
      <c r="M7" s="123"/>
      <c r="N7" s="117" t="s">
        <v>45</v>
      </c>
      <c r="O7" s="117" t="s">
        <v>105</v>
      </c>
      <c r="P7" s="117" t="s">
        <v>46</v>
      </c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22"/>
      <c r="B8" s="147"/>
      <c r="C8" s="35" t="s">
        <v>18</v>
      </c>
      <c r="D8" s="35" t="s">
        <v>80</v>
      </c>
      <c r="E8" s="67">
        <f t="shared" ref="E8:E35" si="1">EvaluationDate</f>
        <v>41876</v>
      </c>
      <c r="F8" s="67">
        <f>_xll.qlInterestRateIndexValueDate(L8,E8)</f>
        <v>41877</v>
      </c>
      <c r="G8" s="67">
        <f>_xll.qlInterestRateIndexMaturity(L8,F8)</f>
        <v>41884</v>
      </c>
      <c r="H8" s="66">
        <f>_xll.qlIndexFixing(L8,E8,TRUE,InterestRatesTrigger)</f>
        <v>2.4999999987479229E-2</v>
      </c>
      <c r="I8" s="54" t="str">
        <f>Contribution!G8</f>
        <v>AUDONSWD=</v>
      </c>
      <c r="J8" s="54" t="str">
        <f>Currency&amp;C8&amp;"OIS=ICAA"</f>
        <v>AUDSWOIS=ICAA</v>
      </c>
      <c r="K8" s="84"/>
      <c r="L8" s="35" t="str">
        <f>_xll.qlSwapIndex(,"Aonia",IF(C8="SW","1W",C8),SettlementDays,Currency,Calendar,FixedLegTenor,FixedLegBDC,FixedLegDayCounter,OvernightIndex,YieldCurve,,Trigger)</f>
        <v>obj_003ad#0001</v>
      </c>
      <c r="M8" s="56"/>
      <c r="N8" s="118" t="s">
        <v>29</v>
      </c>
      <c r="O8" s="133" t="s">
        <v>81</v>
      </c>
      <c r="P8" s="118" t="s">
        <v>47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22"/>
      <c r="B9" s="147"/>
      <c r="C9" s="35" t="s">
        <v>19</v>
      </c>
      <c r="D9" s="35" t="s">
        <v>80</v>
      </c>
      <c r="E9" s="67">
        <f t="shared" si="1"/>
        <v>41876</v>
      </c>
      <c r="F9" s="67">
        <f>_xll.qlInterestRateIndexValueDate(L9,E9)</f>
        <v>41877</v>
      </c>
      <c r="G9" s="67">
        <f>_xll.qlInterestRateIndexMaturity(L9,F9)</f>
        <v>41891</v>
      </c>
      <c r="H9" s="66">
        <f>_xll.qlIndexFixing(L9,E9,TRUE,InterestRatesTrigger)</f>
        <v>2.4985799011462528E-2</v>
      </c>
      <c r="I9" s="53"/>
      <c r="J9" s="53"/>
      <c r="K9" s="84"/>
      <c r="L9" s="35" t="str">
        <f>_xll.qlSwapIndex(,"Aonia",IF(C9="SW","1W",C9),SettlementDays,Currency,Calendar,FixedLegTenor,FixedLegBDC,FixedLegDayCounter,OvernightIndex,YieldCurve,,Trigger)</f>
        <v>obj_003bd#0001</v>
      </c>
      <c r="M9" s="56"/>
      <c r="N9" s="56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22"/>
      <c r="B10" s="147"/>
      <c r="C10" s="35" t="s">
        <v>20</v>
      </c>
      <c r="D10" s="35" t="s">
        <v>80</v>
      </c>
      <c r="E10" s="67">
        <f t="shared" si="1"/>
        <v>41876</v>
      </c>
      <c r="F10" s="67">
        <f>_xll.qlInterestRateIndexValueDate(L10,E10)</f>
        <v>41877</v>
      </c>
      <c r="G10" s="67">
        <f>_xll.qlInterestRateIndexMaturity(L10,F10)</f>
        <v>41898</v>
      </c>
      <c r="H10" s="66">
        <f>_xll.qlIndexFixing(L10,E10,TRUE,InterestRatesTrigger)</f>
        <v>2.4972676347302821E-2</v>
      </c>
      <c r="I10" s="53"/>
      <c r="J10" s="53"/>
      <c r="K10" s="84"/>
      <c r="L10" s="35" t="str">
        <f>_xll.qlSwapIndex(,"Aonia",IF(C10="SW","1W",C10),SettlementDays,Currency,Calendar,FixedLegTenor,FixedLegBDC,FixedLegDayCounter,OvernightIndex,YieldCurve,,Trigger)</f>
        <v>obj_003a3#0001</v>
      </c>
      <c r="M10" s="56"/>
      <c r="N10" s="5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22"/>
      <c r="B11" s="147"/>
      <c r="C11" s="35" t="s">
        <v>21</v>
      </c>
      <c r="D11" s="35" t="s">
        <v>80</v>
      </c>
      <c r="E11" s="67">
        <f t="shared" si="1"/>
        <v>41876</v>
      </c>
      <c r="F11" s="67">
        <f>_xll.qlInterestRateIndexValueDate(L11,E11)</f>
        <v>41877</v>
      </c>
      <c r="G11" s="67">
        <f>_xll.qlInterestRateIndexMaturity(L11,F11)</f>
        <v>41908</v>
      </c>
      <c r="H11" s="66">
        <f>_xll.qlIndexFixing(L11,E11,TRUE,InterestRatesTrigger)</f>
        <v>2.4960000006670501E-2</v>
      </c>
      <c r="I11" s="53" t="str">
        <f>Contribution!G11</f>
        <v>AUDON1MD=</v>
      </c>
      <c r="J11" s="53" t="str">
        <f t="shared" ref="J11:J16" si="2">Currency&amp;C11&amp;"OIS=ICAA"</f>
        <v>AUD1MOIS=ICAA</v>
      </c>
      <c r="K11" s="84"/>
      <c r="L11" s="35" t="str">
        <f>_xll.qlSwapIndex(,"Aonia",IF(C11="SW","1W",C11),SettlementDays,Currency,Calendar,FixedLegTenor,FixedLegBDC,FixedLegDayCounter,OvernightIndex,YieldCurve,,Trigger)</f>
        <v>obj_003ec#0001</v>
      </c>
      <c r="M11" s="56"/>
      <c r="N11" s="5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22"/>
      <c r="B12" s="147"/>
      <c r="C12" s="35" t="s">
        <v>22</v>
      </c>
      <c r="D12" s="35" t="s">
        <v>80</v>
      </c>
      <c r="E12" s="67">
        <f t="shared" si="1"/>
        <v>41876</v>
      </c>
      <c r="F12" s="67">
        <f>_xll.qlInterestRateIndexValueDate(L12,E12)</f>
        <v>41877</v>
      </c>
      <c r="G12" s="67">
        <f>_xll.qlInterestRateIndexMaturity(L12,F12)</f>
        <v>41939</v>
      </c>
      <c r="H12" s="66">
        <f>_xll.qlIndexFixing(L12,E12,TRUE,InterestRatesTrigger)</f>
        <v>2.4939999997887412E-2</v>
      </c>
      <c r="I12" s="53" t="str">
        <f>Contribution!G12</f>
        <v>AUDON2MD=</v>
      </c>
      <c r="J12" s="53" t="str">
        <f t="shared" si="2"/>
        <v>AUD2MOIS=ICAA</v>
      </c>
      <c r="K12" s="84"/>
      <c r="L12" s="35" t="str">
        <f>_xll.qlSwapIndex(,"Aonia",IF(C12="SW","1W",C12),SettlementDays,Currency,Calendar,FixedLegTenor,FixedLegBDC,FixedLegDayCounter,OvernightIndex,YieldCurve,,Trigger)</f>
        <v>obj_003a4#0001</v>
      </c>
      <c r="M12" s="56"/>
      <c r="N12" s="5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22"/>
      <c r="B13" s="147"/>
      <c r="C13" s="35" t="s">
        <v>23</v>
      </c>
      <c r="D13" s="35" t="s">
        <v>80</v>
      </c>
      <c r="E13" s="67">
        <f t="shared" si="1"/>
        <v>41876</v>
      </c>
      <c r="F13" s="67">
        <f>_xll.qlInterestRateIndexValueDate(L13,E13)</f>
        <v>41877</v>
      </c>
      <c r="G13" s="67">
        <f>_xll.qlInterestRateIndexMaturity(L13,F13)</f>
        <v>41969</v>
      </c>
      <c r="H13" s="66">
        <f>_xll.qlIndexFixing(L13,E13,TRUE,InterestRatesTrigger)</f>
        <v>2.4899999999179367E-2</v>
      </c>
      <c r="I13" s="53" t="str">
        <f>Contribution!G13</f>
        <v>AUDON3MD=</v>
      </c>
      <c r="J13" s="53" t="str">
        <f t="shared" si="2"/>
        <v>AUD3MOIS=ICAA</v>
      </c>
      <c r="K13" s="84"/>
      <c r="L13" s="35" t="str">
        <f>_xll.qlSwapIndex(,"Aonia",IF(C13="SW","1W",C13),SettlementDays,Currency,Calendar,FixedLegTenor,FixedLegBDC,FixedLegDayCounter,OvernightIndex,YieldCurve,,Trigger)</f>
        <v>obj_0039d#0001</v>
      </c>
      <c r="M13" s="56"/>
      <c r="N13" s="5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22"/>
      <c r="B14" s="147"/>
      <c r="C14" s="35" t="s">
        <v>24</v>
      </c>
      <c r="D14" s="35" t="s">
        <v>80</v>
      </c>
      <c r="E14" s="67">
        <f t="shared" si="1"/>
        <v>41876</v>
      </c>
      <c r="F14" s="67">
        <f>_xll.qlInterestRateIndexValueDate(L14,E14)</f>
        <v>41877</v>
      </c>
      <c r="G14" s="67">
        <f>_xll.qlInterestRateIndexMaturity(L14,F14)</f>
        <v>42002</v>
      </c>
      <c r="H14" s="66">
        <f>_xll.qlIndexFixing(L14,E14,TRUE,InterestRatesTrigger)</f>
        <v>2.4849999999191259E-2</v>
      </c>
      <c r="I14" s="53" t="str">
        <f>Contribution!G14</f>
        <v>AUDON4MD=</v>
      </c>
      <c r="J14" s="53" t="str">
        <f t="shared" si="2"/>
        <v>AUD4MOIS=ICAA</v>
      </c>
      <c r="K14" s="84"/>
      <c r="L14" s="35" t="str">
        <f>_xll.qlSwapIndex(,"Aonia",IF(C14="SW","1W",C14),SettlementDays,Currency,Calendar,FixedLegTenor,FixedLegBDC,FixedLegDayCounter,OvernightIndex,YieldCurve,,Trigger)</f>
        <v>obj_003a6#0001</v>
      </c>
      <c r="M14" s="56"/>
      <c r="N14" s="5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22"/>
      <c r="B15" s="88"/>
      <c r="C15" s="35" t="s">
        <v>25</v>
      </c>
      <c r="D15" s="35" t="s">
        <v>80</v>
      </c>
      <c r="E15" s="67">
        <f t="shared" si="1"/>
        <v>41876</v>
      </c>
      <c r="F15" s="67">
        <f>_xll.qlInterestRateIndexValueDate(L15,E15)</f>
        <v>41877</v>
      </c>
      <c r="G15" s="67">
        <f>_xll.qlInterestRateIndexMaturity(L15,F15)</f>
        <v>42031</v>
      </c>
      <c r="H15" s="66">
        <f>_xll.qlIndexFixing(L15,E15,TRUE,InterestRatesTrigger)</f>
        <v>2.4824999999454263E-2</v>
      </c>
      <c r="I15" s="53" t="str">
        <f>Contribution!G15</f>
        <v>AUDON5MD=</v>
      </c>
      <c r="J15" s="53" t="str">
        <f t="shared" si="2"/>
        <v>AUD5MOIS=ICAA</v>
      </c>
      <c r="K15" s="84"/>
      <c r="L15" s="35" t="str">
        <f>_xll.qlSwapIndex(,"Aonia",IF(C15="SW","1W",C15),SettlementDays,Currency,Calendar,FixedLegTenor,FixedLegBDC,FixedLegDayCounter,OvernightIndex,YieldCurve,,Trigger)</f>
        <v>obj_003c2#0001</v>
      </c>
      <c r="M15" s="56"/>
      <c r="N15" s="5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22"/>
      <c r="B16" s="88"/>
      <c r="C16" s="35" t="s">
        <v>14</v>
      </c>
      <c r="D16" s="35" t="s">
        <v>80</v>
      </c>
      <c r="E16" s="67">
        <f t="shared" si="1"/>
        <v>41876</v>
      </c>
      <c r="F16" s="67">
        <f>_xll.qlInterestRateIndexValueDate(L16,E16)</f>
        <v>41877</v>
      </c>
      <c r="G16" s="67">
        <f>_xll.qlInterestRateIndexMaturity(L16,F16)</f>
        <v>42061</v>
      </c>
      <c r="H16" s="66">
        <f>_xll.qlIndexFixing(L16,E16,TRUE,InterestRatesTrigger)</f>
        <v>2.47999999995198E-2</v>
      </c>
      <c r="I16" s="53" t="str">
        <f>Contribution!G16</f>
        <v>AUDON6MD=</v>
      </c>
      <c r="J16" s="53" t="str">
        <f t="shared" si="2"/>
        <v>AUD6MOIS=ICAA</v>
      </c>
      <c r="K16" s="84"/>
      <c r="L16" s="35" t="str">
        <f>_xll.qlSwapIndex(,"Aonia",IF(C16="SW","1W",C16),SettlementDays,Currency,Calendar,FixedLegTenor,FixedLegBDC,FixedLegDayCounter,OvernightIndex,YieldCurve,,Trigger)</f>
        <v>obj_003e3#0001</v>
      </c>
      <c r="M16" s="56"/>
      <c r="N16" s="56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22"/>
      <c r="B17" s="88"/>
      <c r="C17" s="35" t="s">
        <v>26</v>
      </c>
      <c r="D17" s="35" t="s">
        <v>80</v>
      </c>
      <c r="E17" s="67">
        <f t="shared" si="1"/>
        <v>41876</v>
      </c>
      <c r="F17" s="67">
        <f>_xll.qlInterestRateIndexValueDate(L17,E17)</f>
        <v>41877</v>
      </c>
      <c r="G17" s="67">
        <f>_xll.qlInterestRateIndexMaturity(L17,F17)</f>
        <v>42089</v>
      </c>
      <c r="H17" s="66">
        <f>_xll.qlIndexFixing(L17,E17,TRUE,InterestRatesTrigger)</f>
        <v>2.4780577504100378E-2</v>
      </c>
      <c r="I17" s="53"/>
      <c r="J17" s="53"/>
      <c r="K17" s="84"/>
      <c r="L17" s="35" t="str">
        <f>_xll.qlSwapIndex(,"Aonia",IF(C17="SW","1W",C17),SettlementDays,Currency,Calendar,FixedLegTenor,FixedLegBDC,FixedLegDayCounter,OvernightIndex,YieldCurve,,Trigger)</f>
        <v>obj_003e4#0001</v>
      </c>
      <c r="M17" s="56"/>
      <c r="N17" s="5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122"/>
      <c r="B18" s="88"/>
      <c r="C18" s="35" t="s">
        <v>27</v>
      </c>
      <c r="D18" s="35" t="s">
        <v>80</v>
      </c>
      <c r="E18" s="67">
        <f t="shared" si="1"/>
        <v>41876</v>
      </c>
      <c r="F18" s="67">
        <f>_xll.qlInterestRateIndexValueDate(L18,E18)</f>
        <v>41877</v>
      </c>
      <c r="G18" s="67">
        <f>_xll.qlInterestRateIndexMaturity(L18,F18)</f>
        <v>42121</v>
      </c>
      <c r="H18" s="66">
        <f>_xll.qlIndexFixing(L18,E18,TRUE,InterestRatesTrigger)</f>
        <v>2.4770042290267861E-2</v>
      </c>
      <c r="I18" s="53"/>
      <c r="J18" s="53"/>
      <c r="K18" s="84"/>
      <c r="L18" s="35" t="str">
        <f>_xll.qlSwapIndex(,"Aonia",IF(C18="SW","1W",C18),SettlementDays,Currency,Calendar,FixedLegTenor,FixedLegBDC,FixedLegDayCounter,OvernightIndex,YieldCurve,,Trigger)</f>
        <v>obj_0039c#0001</v>
      </c>
      <c r="M18" s="56"/>
      <c r="N18" s="5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122"/>
      <c r="B19" s="88"/>
      <c r="C19" s="35" t="s">
        <v>28</v>
      </c>
      <c r="D19" s="35" t="s">
        <v>80</v>
      </c>
      <c r="E19" s="67">
        <f t="shared" si="1"/>
        <v>41876</v>
      </c>
      <c r="F19" s="67">
        <f>_xll.qlInterestRateIndexValueDate(L19,E19)</f>
        <v>41877</v>
      </c>
      <c r="G19" s="67">
        <f>_xll.qlInterestRateIndexMaturity(L19,F19)</f>
        <v>42150</v>
      </c>
      <c r="H19" s="66">
        <f>_xll.qlIndexFixing(L19,E19,TRUE,InterestRatesTrigger)</f>
        <v>2.4774999998950793E-2</v>
      </c>
      <c r="I19" s="53" t="str">
        <f>Contribution!G19</f>
        <v>AUDON9MD=</v>
      </c>
      <c r="J19" s="53" t="str">
        <f>Currency&amp;C19&amp;"OIS=ICAA"</f>
        <v>AUD9MOIS=ICAA</v>
      </c>
      <c r="K19" s="84"/>
      <c r="L19" s="35" t="str">
        <f>_xll.qlSwapIndex(,"Aonia",IF(C19="SW","1W",C19),SettlementDays,Currency,Calendar,FixedLegTenor,FixedLegBDC,FixedLegDayCounter,OvernightIndex,YieldCurve,,Trigger)</f>
        <v>obj_003de#0001</v>
      </c>
      <c r="M19" s="56"/>
      <c r="N19" s="5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22"/>
      <c r="B20" s="88"/>
      <c r="C20" s="35" t="s">
        <v>29</v>
      </c>
      <c r="D20" s="35" t="s">
        <v>80</v>
      </c>
      <c r="E20" s="67">
        <f t="shared" si="1"/>
        <v>41876</v>
      </c>
      <c r="F20" s="67">
        <f>_xll.qlInterestRateIndexValueDate(L20,E20)</f>
        <v>41877</v>
      </c>
      <c r="G20" s="67">
        <f>_xll.qlInterestRateIndexMaturity(L20,F20)</f>
        <v>42242</v>
      </c>
      <c r="H20" s="66">
        <f>_xll.qlIndexFixing(L20,E20,TRUE,InterestRatesTrigger)</f>
        <v>2.4880000000240654E-2</v>
      </c>
      <c r="I20" s="53" t="str">
        <f>Contribution!G20</f>
        <v>AUDON1YD=</v>
      </c>
      <c r="J20" s="53" t="str">
        <f t="shared" ref="J20:J35" si="3">Currency&amp;C20&amp;"MTOIS=ICAA"</f>
        <v>AUD1YMTOIS=ICAA</v>
      </c>
      <c r="K20" s="84"/>
      <c r="L20" s="35" t="str">
        <f>_xll.qlSwapIndex(,"Aonia",IF(C20="SW","1W",C20),SettlementDays,Currency,Calendar,FixedLegTenor,FixedLegBDC,FixedLegDayCounter,OvernightIndex,YieldCurve,,Trigger)</f>
        <v>obj_00398#0001</v>
      </c>
      <c r="M20" s="56"/>
      <c r="N20" s="5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22"/>
      <c r="B21" s="88"/>
      <c r="C21" s="25" t="s">
        <v>93</v>
      </c>
      <c r="D21" s="35" t="s">
        <v>80</v>
      </c>
      <c r="E21" s="67">
        <f t="shared" si="1"/>
        <v>41876</v>
      </c>
      <c r="F21" s="67">
        <f>_xll.qlInterestRateIndexValueDate(L21,E21)</f>
        <v>41877</v>
      </c>
      <c r="G21" s="67">
        <f>_xll.qlInterestRateIndexMaturity(L21,F21)</f>
        <v>42426</v>
      </c>
      <c r="H21" s="66">
        <f>_xll.qlIndexFixing(L21,E21,TRUE,InterestRatesTrigger)</f>
        <v>2.5152984693574607E-2</v>
      </c>
      <c r="I21" s="53" t="str">
        <f>Contribution!G21</f>
        <v>AUDON1Y6MD=</v>
      </c>
      <c r="J21" s="53" t="str">
        <f t="shared" si="3"/>
        <v>AUD18MMTOIS=ICAA</v>
      </c>
      <c r="K21" s="84"/>
      <c r="L21" s="35" t="str">
        <f>_xll.qlSwapIndex(,"Aonia",IF(C21="SW","1W",C21),SettlementDays,Currency,Calendar,FixedLegTenor,FixedLegBDC,FixedLegDayCounter,OvernightIndex,YieldCurve,,Trigger)</f>
        <v>obj_003b2#0001</v>
      </c>
      <c r="M21" s="56"/>
      <c r="N21" s="5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22"/>
      <c r="B22" s="88"/>
      <c r="C22" s="35" t="s">
        <v>30</v>
      </c>
      <c r="D22" s="35" t="s">
        <v>80</v>
      </c>
      <c r="E22" s="67">
        <f t="shared" si="1"/>
        <v>41876</v>
      </c>
      <c r="F22" s="67">
        <f>_xll.qlInterestRateIndexValueDate(L22,E22)</f>
        <v>41877</v>
      </c>
      <c r="G22" s="67">
        <f>_xll.qlInterestRateIndexMaturity(L22,F22)</f>
        <v>42608</v>
      </c>
      <c r="H22" s="66">
        <f>_xll.qlIndexFixing(L22,E22,TRUE,InterestRatesTrigger)</f>
        <v>2.5800000000143795E-2</v>
      </c>
      <c r="I22" s="53" t="str">
        <f>Contribution!G22</f>
        <v>AUDON2YD=</v>
      </c>
      <c r="J22" s="53" t="str">
        <f t="shared" si="3"/>
        <v>AUD2YMTOIS=ICAA</v>
      </c>
      <c r="K22" s="84"/>
      <c r="L22" s="35" t="str">
        <f>_xll.qlSwapIndex(,"Aonia",IF(C22="SW","1W",C22),SettlementDays,Currency,Calendar,FixedLegTenor,FixedLegBDC,FixedLegDayCounter,OvernightIndex,YieldCurve,,Trigger)</f>
        <v>obj_0038b#0001</v>
      </c>
      <c r="M22" s="56"/>
      <c r="N22" s="5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122"/>
      <c r="B23" s="88"/>
      <c r="C23" s="35" t="s">
        <v>31</v>
      </c>
      <c r="D23" s="35" t="s">
        <v>80</v>
      </c>
      <c r="E23" s="67">
        <f t="shared" si="1"/>
        <v>41876</v>
      </c>
      <c r="F23" s="67">
        <f>_xll.qlInterestRateIndexValueDate(L23,E23)</f>
        <v>41877</v>
      </c>
      <c r="G23" s="67">
        <f>_xll.qlInterestRateIndexMaturity(L23,F23)</f>
        <v>42975</v>
      </c>
      <c r="H23" s="66">
        <f>_xll.qlIndexFixing(L23,E23,TRUE,InterestRatesTrigger)</f>
        <v>2.7250000000261357E-2</v>
      </c>
      <c r="I23" s="53" t="str">
        <f>Contribution!G23</f>
        <v>AUDON3YD=</v>
      </c>
      <c r="J23" s="53" t="str">
        <f t="shared" si="3"/>
        <v>AUD3YMTOIS=ICAA</v>
      </c>
      <c r="K23" s="84"/>
      <c r="L23" s="35" t="str">
        <f>_xll.qlSwapIndex(,"Aonia",IF(C23="SW","1W",C23),SettlementDays,Currency,Calendar,FixedLegTenor,FixedLegBDC,FixedLegDayCounter,OvernightIndex,YieldCurve,,Trigger)</f>
        <v>obj_003b5#0001</v>
      </c>
      <c r="M23" s="56"/>
      <c r="N23" s="5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122"/>
      <c r="B24" s="88"/>
      <c r="C24" s="35" t="s">
        <v>32</v>
      </c>
      <c r="D24" s="35" t="s">
        <v>80</v>
      </c>
      <c r="E24" s="67">
        <f t="shared" si="1"/>
        <v>41876</v>
      </c>
      <c r="F24" s="67">
        <f>_xll.qlInterestRateIndexValueDate(L24,E24)</f>
        <v>41877</v>
      </c>
      <c r="G24" s="67">
        <f>_xll.qlInterestRateIndexMaturity(L24,F24)</f>
        <v>43339</v>
      </c>
      <c r="H24" s="66">
        <f>_xll.qlIndexFixing(L24,E24,TRUE,InterestRatesTrigger)</f>
        <v>2.8600000000146796E-2</v>
      </c>
      <c r="I24" s="53" t="str">
        <f>Contribution!G24</f>
        <v>AUDON4YD=</v>
      </c>
      <c r="J24" s="53" t="str">
        <f t="shared" si="3"/>
        <v>AUD4YMTOIS=ICAA</v>
      </c>
      <c r="K24" s="84"/>
      <c r="L24" s="35" t="str">
        <f>_xll.qlSwapIndex(,"Aonia",IF(C24="SW","1W",C24),SettlementDays,Currency,Calendar,FixedLegTenor,FixedLegBDC,FixedLegDayCounter,OvernightIndex,YieldCurve,,Trigger)</f>
        <v>obj_003d4#0001</v>
      </c>
      <c r="M24" s="56"/>
      <c r="N24" s="5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22"/>
      <c r="B25" s="88"/>
      <c r="C25" s="35" t="s">
        <v>33</v>
      </c>
      <c r="D25" s="35" t="s">
        <v>80</v>
      </c>
      <c r="E25" s="67">
        <f t="shared" si="1"/>
        <v>41876</v>
      </c>
      <c r="F25" s="67">
        <f>_xll.qlInterestRateIndexValueDate(L25,E25)</f>
        <v>41877</v>
      </c>
      <c r="G25" s="67">
        <f>_xll.qlInterestRateIndexMaturity(L25,F25)</f>
        <v>43703</v>
      </c>
      <c r="H25" s="66">
        <f>_xll.qlIndexFixing(L25,E25,TRUE,InterestRatesTrigger)</f>
        <v>2.995000000009428E-2</v>
      </c>
      <c r="I25" s="53" t="str">
        <f>Contribution!G25</f>
        <v>AUDON5YD=</v>
      </c>
      <c r="J25" s="53" t="str">
        <f t="shared" si="3"/>
        <v>AUD5YMTOIS=ICAA</v>
      </c>
      <c r="K25" s="84"/>
      <c r="L25" s="35" t="str">
        <f>_xll.qlSwapIndex(,"Aonia",IF(C25="SW","1W",C25),SettlementDays,Currency,Calendar,FixedLegTenor,FixedLegBDC,FixedLegDayCounter,OvernightIndex,YieldCurve,,Trigger)</f>
        <v>obj_003c5#0001</v>
      </c>
      <c r="M25" s="56"/>
      <c r="N25" s="5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22"/>
      <c r="B26" s="88"/>
      <c r="C26" s="35" t="s">
        <v>34</v>
      </c>
      <c r="D26" s="35" t="s">
        <v>80</v>
      </c>
      <c r="E26" s="67">
        <f t="shared" si="1"/>
        <v>41876</v>
      </c>
      <c r="F26" s="67">
        <f>_xll.qlInterestRateIndexValueDate(L26,E26)</f>
        <v>41877</v>
      </c>
      <c r="G26" s="67">
        <f>_xll.qlInterestRateIndexMaturity(L26,F26)</f>
        <v>44069</v>
      </c>
      <c r="H26" s="66">
        <f>_xll.qlIndexFixing(L26,E26,TRUE,InterestRatesTrigger)</f>
        <v>3.118000000006595E-2</v>
      </c>
      <c r="I26" s="53" t="str">
        <f>Contribution!G26</f>
        <v>AUDON6YD=</v>
      </c>
      <c r="J26" s="53" t="str">
        <f t="shared" si="3"/>
        <v>AUD6YMTOIS=ICAA</v>
      </c>
      <c r="K26" s="84"/>
      <c r="L26" s="35" t="str">
        <f>_xll.qlSwapIndex(,"Aonia",IF(C26="SW","1W",C26),SettlementDays,Currency,Calendar,FixedLegTenor,FixedLegBDC,FixedLegDayCounter,OvernightIndex,YieldCurve,,Trigger)</f>
        <v>obj_003e7#0001</v>
      </c>
      <c r="M26" s="56"/>
      <c r="N26" s="56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22"/>
      <c r="B27" s="88"/>
      <c r="C27" s="35" t="s">
        <v>35</v>
      </c>
      <c r="D27" s="35" t="s">
        <v>80</v>
      </c>
      <c r="E27" s="67">
        <f t="shared" si="1"/>
        <v>41876</v>
      </c>
      <c r="F27" s="67">
        <f>_xll.qlInterestRateIndexValueDate(L27,E27)</f>
        <v>41877</v>
      </c>
      <c r="G27" s="67">
        <f>_xll.qlInterestRateIndexMaturity(L27,F27)</f>
        <v>44434</v>
      </c>
      <c r="H27" s="66">
        <f>_xll.qlIndexFixing(L27,E27,TRUE,InterestRatesTrigger)</f>
        <v>3.2400000000048557E-2</v>
      </c>
      <c r="I27" s="53" t="str">
        <f>Contribution!G27</f>
        <v>AUDON7YD=</v>
      </c>
      <c r="J27" s="53" t="str">
        <f t="shared" si="3"/>
        <v>AUD7YMTOIS=ICAA</v>
      </c>
      <c r="K27" s="84"/>
      <c r="L27" s="35" t="str">
        <f>_xll.qlSwapIndex(,"Aonia",IF(C27="SW","1W",C27),SettlementDays,Currency,Calendar,FixedLegTenor,FixedLegBDC,FixedLegDayCounter,OvernightIndex,YieldCurve,,Trigger)</f>
        <v>obj_003b3#0001</v>
      </c>
      <c r="M27" s="56"/>
      <c r="N27" s="56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122"/>
      <c r="B28" s="88"/>
      <c r="C28" s="35" t="s">
        <v>36</v>
      </c>
      <c r="D28" s="35" t="s">
        <v>80</v>
      </c>
      <c r="E28" s="67">
        <f t="shared" si="1"/>
        <v>41876</v>
      </c>
      <c r="F28" s="67">
        <f>_xll.qlInterestRateIndexValueDate(L28,E28)</f>
        <v>41877</v>
      </c>
      <c r="G28" s="67">
        <f>_xll.qlInterestRateIndexMaturity(L28,F28)</f>
        <v>44799</v>
      </c>
      <c r="H28" s="66">
        <f>_xll.qlIndexFixing(L28,E28,TRUE,InterestRatesTrigger)</f>
        <v>3.3230000000037452E-2</v>
      </c>
      <c r="I28" s="53" t="str">
        <f>Contribution!G28</f>
        <v>AUDON8YD=</v>
      </c>
      <c r="J28" s="53" t="str">
        <f t="shared" si="3"/>
        <v>AUD8YMTOIS=ICAA</v>
      </c>
      <c r="K28" s="84"/>
      <c r="L28" s="35" t="str">
        <f>_xll.qlSwapIndex(,"Aonia",IF(C28="SW","1W",C28),SettlementDays,Currency,Calendar,FixedLegTenor,FixedLegBDC,FixedLegDayCounter,OvernightIndex,YieldCurve,,Trigger)</f>
        <v>obj_003d1#0001</v>
      </c>
      <c r="M28" s="56"/>
      <c r="N28" s="56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122"/>
      <c r="B29" s="88"/>
      <c r="C29" s="35" t="s">
        <v>37</v>
      </c>
      <c r="D29" s="35" t="s">
        <v>80</v>
      </c>
      <c r="E29" s="67">
        <f t="shared" si="1"/>
        <v>41876</v>
      </c>
      <c r="F29" s="67">
        <f>_xll.qlInterestRateIndexValueDate(L29,E29)</f>
        <v>41877</v>
      </c>
      <c r="G29" s="67">
        <f>_xll.qlInterestRateIndexMaturity(L29,F29)</f>
        <v>45166</v>
      </c>
      <c r="H29" s="66">
        <f>_xll.qlIndexFixing(L29,E29,TRUE,InterestRatesTrigger)</f>
        <v>3.4030000000030008E-2</v>
      </c>
      <c r="I29" s="53" t="str">
        <f>Contribution!G29</f>
        <v>AUDON9YD=</v>
      </c>
      <c r="J29" s="53" t="str">
        <f t="shared" si="3"/>
        <v>AUD9YMTOIS=ICAA</v>
      </c>
      <c r="K29" s="84"/>
      <c r="L29" s="35" t="str">
        <f>_xll.qlSwapIndex(,"Aonia",IF(C29="SW","1W",C29),SettlementDays,Currency,Calendar,FixedLegTenor,FixedLegBDC,FixedLegDayCounter,OvernightIndex,YieldCurve,,Trigger)</f>
        <v>obj_003cb#0001</v>
      </c>
      <c r="M29" s="56"/>
      <c r="N29" s="56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22"/>
      <c r="B30" s="88"/>
      <c r="C30" s="35" t="s">
        <v>38</v>
      </c>
      <c r="D30" s="35" t="s">
        <v>80</v>
      </c>
      <c r="E30" s="67">
        <f t="shared" si="1"/>
        <v>41876</v>
      </c>
      <c r="F30" s="67">
        <f>_xll.qlInterestRateIndexValueDate(L30,E30)</f>
        <v>41877</v>
      </c>
      <c r="G30" s="67">
        <f>_xll.qlInterestRateIndexMaturity(L30,F30)</f>
        <v>45530</v>
      </c>
      <c r="H30" s="66">
        <f>_xll.qlIndexFixing(L30,E30,TRUE,InterestRatesTrigger)</f>
        <v>3.4850000000024493E-2</v>
      </c>
      <c r="I30" s="53" t="str">
        <f>Contribution!G30</f>
        <v>AUDON10YD=</v>
      </c>
      <c r="J30" s="53" t="str">
        <f t="shared" si="3"/>
        <v>AUD10YMTOIS=ICAA</v>
      </c>
      <c r="K30" s="84"/>
      <c r="L30" s="35" t="str">
        <f>_xll.qlSwapIndex(,"Aonia",IF(C30="SW","1W",C30),SettlementDays,Currency,Calendar,FixedLegTenor,FixedLegBDC,FixedLegDayCounter,OvernightIndex,YieldCurve,,Trigger)</f>
        <v>obj_003bc#0001</v>
      </c>
      <c r="M30" s="56"/>
      <c r="N30" s="56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22"/>
      <c r="B31" s="88"/>
      <c r="C31" s="35" t="s">
        <v>39</v>
      </c>
      <c r="D31" s="35" t="s">
        <v>80</v>
      </c>
      <c r="E31" s="67">
        <f t="shared" si="1"/>
        <v>41876</v>
      </c>
      <c r="F31" s="67">
        <f>_xll.qlInterestRateIndexValueDate(L31,E31)</f>
        <v>41877</v>
      </c>
      <c r="G31" s="67">
        <f>_xll.qlInterestRateIndexMaturity(L31,F31)</f>
        <v>46260</v>
      </c>
      <c r="H31" s="66">
        <f>_xll.qlIndexFixing(L31,E31,TRUE,InterestRatesTrigger)</f>
        <v>3.6129999999987422E-2</v>
      </c>
      <c r="I31" s="53" t="str">
        <f>Contribution!G31</f>
        <v>AUDON12YD=</v>
      </c>
      <c r="J31" s="53" t="str">
        <f t="shared" si="3"/>
        <v>AUD12YMTOIS=ICAA</v>
      </c>
      <c r="K31" s="84"/>
      <c r="L31" s="35" t="str">
        <f>_xll.qlSwapIndex(,"Aonia",IF(C31="SW","1W",C31),SettlementDays,Currency,Calendar,FixedLegTenor,FixedLegBDC,FixedLegDayCounter,OvernightIndex,YieldCurve,,Trigger)</f>
        <v>obj_003df#0001</v>
      </c>
      <c r="M31" s="56"/>
      <c r="N31" s="56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22"/>
      <c r="B32" s="88"/>
      <c r="C32" s="35" t="s">
        <v>40</v>
      </c>
      <c r="D32" s="35" t="s">
        <v>80</v>
      </c>
      <c r="E32" s="67">
        <f t="shared" si="1"/>
        <v>41876</v>
      </c>
      <c r="F32" s="67">
        <f>_xll.qlInterestRateIndexValueDate(L32,E32)</f>
        <v>41877</v>
      </c>
      <c r="G32" s="67">
        <f>_xll.qlInterestRateIndexMaturity(L32,F32)</f>
        <v>47357</v>
      </c>
      <c r="H32" s="66">
        <f>_xll.qlIndexFixing(L32,E32,TRUE,InterestRatesTrigger)</f>
        <v>3.7599999999983001E-2</v>
      </c>
      <c r="I32" s="53" t="str">
        <f>Contribution!G32</f>
        <v>AUDON15YD=</v>
      </c>
      <c r="J32" s="53" t="str">
        <f t="shared" si="3"/>
        <v>AUD15YMTOIS=ICAA</v>
      </c>
      <c r="K32" s="84"/>
      <c r="L32" s="35" t="str">
        <f>_xll.qlSwapIndex(,"Aonia",IF(C32="SW","1W",C32),SettlementDays,Currency,Calendar,FixedLegTenor,FixedLegBDC,FixedLegDayCounter,OvernightIndex,YieldCurve,,Trigger)</f>
        <v>obj_003cc#0001</v>
      </c>
      <c r="M32" s="56"/>
      <c r="N32" s="56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122"/>
      <c r="B33" s="88"/>
      <c r="C33" s="35" t="s">
        <v>41</v>
      </c>
      <c r="D33" s="35" t="s">
        <v>80</v>
      </c>
      <c r="E33" s="67">
        <f t="shared" si="1"/>
        <v>41876</v>
      </c>
      <c r="F33" s="67">
        <f>_xll.qlInterestRateIndexValueDate(L33,E33)</f>
        <v>41877</v>
      </c>
      <c r="G33" s="67">
        <f>_xll.qlInterestRateIndexMaturity(L33,F33)</f>
        <v>49184</v>
      </c>
      <c r="H33" s="66">
        <f>_xll.qlIndexFixing(L33,E33,TRUE,InterestRatesTrigger)</f>
        <v>3.9180000000027887E-2</v>
      </c>
      <c r="I33" s="53" t="str">
        <f>Contribution!G33</f>
        <v>AUDON20YD=</v>
      </c>
      <c r="J33" s="53" t="str">
        <f t="shared" si="3"/>
        <v>AUD20YMTOIS=ICAA</v>
      </c>
      <c r="K33" s="84"/>
      <c r="L33" s="35" t="str">
        <f>_xll.qlSwapIndex(,"Aonia",IF(C33="SW","1W",C33),SettlementDays,Currency,Calendar,FixedLegTenor,FixedLegBDC,FixedLegDayCounter,OvernightIndex,YieldCurve,,Trigger)</f>
        <v>obj_003c8#0001</v>
      </c>
      <c r="M33" s="56"/>
      <c r="N33" s="56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122"/>
      <c r="B34" s="88"/>
      <c r="C34" s="35" t="s">
        <v>42</v>
      </c>
      <c r="D34" s="35" t="s">
        <v>80</v>
      </c>
      <c r="E34" s="67">
        <f t="shared" si="1"/>
        <v>41876</v>
      </c>
      <c r="F34" s="67">
        <f>_xll.qlInterestRateIndexValueDate(L34,E34)</f>
        <v>41877</v>
      </c>
      <c r="G34" s="67">
        <f>_xll.qlInterestRateIndexMaturity(L34,F34)</f>
        <v>51008</v>
      </c>
      <c r="H34" s="66">
        <f>_xll.qlIndexFixing(L34,E34,TRUE,InterestRatesTrigger)</f>
        <v>3.9800000000044099E-2</v>
      </c>
      <c r="I34" s="53" t="str">
        <f>Contribution!G34</f>
        <v>AUDON25YD=</v>
      </c>
      <c r="J34" s="53" t="str">
        <f t="shared" si="3"/>
        <v>AUD25YMTOIS=ICAA</v>
      </c>
      <c r="K34" s="84"/>
      <c r="L34" s="35" t="str">
        <f>_xll.qlSwapIndex(,"Aonia",IF(C34="SW","1W",C34),SettlementDays,Currency,Calendar,FixedLegTenor,FixedLegBDC,FixedLegDayCounter,OvernightIndex,YieldCurve,,Trigger)</f>
        <v>obj_0039a#0001</v>
      </c>
      <c r="M34" s="56"/>
      <c r="N34" s="5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22"/>
      <c r="B35" s="88"/>
      <c r="C35" s="37" t="s">
        <v>43</v>
      </c>
      <c r="D35" s="35" t="s">
        <v>80</v>
      </c>
      <c r="E35" s="67">
        <f t="shared" si="1"/>
        <v>41876</v>
      </c>
      <c r="F35" s="67">
        <f>_xll.qlInterestRateIndexValueDate(L35,E35)</f>
        <v>41877</v>
      </c>
      <c r="G35" s="67">
        <f>_xll.qlInterestRateIndexMaturity(L35,F35)</f>
        <v>52835</v>
      </c>
      <c r="H35" s="66">
        <f>_xll.qlIndexFixing(L35,E35,TRUE,InterestRatesTrigger)</f>
        <v>4.0149999999983761E-2</v>
      </c>
      <c r="I35" s="55" t="str">
        <f>Contribution!G35</f>
        <v>AUDON30YD=</v>
      </c>
      <c r="J35" s="55" t="str">
        <f t="shared" si="3"/>
        <v>AUD30YMTOIS=ICAA</v>
      </c>
      <c r="K35" s="84"/>
      <c r="L35" s="37" t="str">
        <f>_xll.qlSwapIndex(,"Aonia",IF(C35="SW","1W",C35),SettlementDays,Currency,Calendar,FixedLegTenor,FixedLegBDC,FixedLegDayCounter,OvernightIndex,YieldCurve,,Trigger)</f>
        <v>obj_0038d#0001</v>
      </c>
      <c r="M35" s="56"/>
      <c r="N35" s="56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122"/>
      <c r="B36" s="88"/>
      <c r="C36" s="82"/>
      <c r="D36" s="82"/>
      <c r="E36" s="82"/>
      <c r="F36" s="82"/>
      <c r="G36" s="82"/>
      <c r="H36" s="82"/>
      <c r="I36" s="82"/>
      <c r="J36" s="83"/>
      <c r="K36" s="81"/>
      <c r="L36" s="82"/>
      <c r="M36" s="56"/>
      <c r="N36" s="56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122"/>
      <c r="B37" s="88"/>
      <c r="C37" s="81"/>
      <c r="D37" s="81"/>
      <c r="E37" s="81"/>
      <c r="F37" s="81"/>
      <c r="G37" s="81"/>
      <c r="H37" s="81"/>
      <c r="I37" s="81"/>
      <c r="J37" s="83"/>
      <c r="K37" s="81"/>
      <c r="L37" s="81"/>
      <c r="M37" s="5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122"/>
      <c r="B38" s="11"/>
      <c r="C38" s="6"/>
      <c r="D38" s="6"/>
      <c r="E38" s="6"/>
      <c r="F38" s="6"/>
      <c r="G38" s="6"/>
      <c r="H38" s="6"/>
      <c r="I38" s="6"/>
      <c r="J38" s="9"/>
      <c r="K38" s="6"/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22"/>
      <c r="B39" s="11"/>
      <c r="C39" s="6"/>
      <c r="D39" s="6"/>
      <c r="E39" s="6"/>
      <c r="F39" s="6"/>
      <c r="G39" s="6"/>
      <c r="H39" s="6"/>
      <c r="I39" s="6"/>
      <c r="J39" s="9"/>
      <c r="K39" s="6"/>
      <c r="L39" s="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6"/>
      <c r="B40" s="11"/>
      <c r="C40" s="6"/>
      <c r="D40" s="6"/>
      <c r="E40" s="6"/>
      <c r="F40" s="6"/>
      <c r="G40" s="6"/>
      <c r="H40" s="6"/>
      <c r="I40" s="6"/>
      <c r="J40" s="9"/>
      <c r="K40" s="6"/>
      <c r="L40" s="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6"/>
      <c r="B41" s="11"/>
      <c r="C41" s="6"/>
      <c r="D41" s="6"/>
      <c r="E41" s="6"/>
      <c r="F41" s="6"/>
      <c r="G41" s="6"/>
      <c r="H41" s="6"/>
      <c r="I41" s="6"/>
      <c r="J41" s="9"/>
      <c r="K41" s="6"/>
      <c r="L41" s="6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6"/>
      <c r="B42" s="11"/>
      <c r="C42" s="6"/>
      <c r="D42" s="6"/>
      <c r="E42" s="6"/>
      <c r="F42" s="6"/>
      <c r="G42" s="6"/>
      <c r="H42" s="6"/>
      <c r="I42" s="6"/>
      <c r="J42" s="9"/>
      <c r="K42" s="6"/>
      <c r="L42" s="6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6"/>
      <c r="B43" s="11"/>
      <c r="C43" s="6"/>
      <c r="D43" s="6"/>
      <c r="E43" s="6"/>
      <c r="F43" s="6"/>
      <c r="G43" s="6"/>
      <c r="H43" s="148"/>
      <c r="I43" s="6"/>
      <c r="J43" s="9"/>
      <c r="K43" s="6"/>
      <c r="L43" s="6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6"/>
      <c r="B44" s="11"/>
      <c r="C44" s="6"/>
      <c r="D44" s="6"/>
      <c r="E44" s="6"/>
      <c r="F44" s="6"/>
      <c r="G44" s="6"/>
      <c r="H44" s="148"/>
      <c r="I44" s="6"/>
      <c r="J44" s="9"/>
      <c r="K44" s="6"/>
      <c r="L44" s="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6"/>
      <c r="B45" s="11"/>
      <c r="C45" s="6"/>
      <c r="D45" s="6"/>
      <c r="E45" s="6"/>
      <c r="F45" s="6"/>
      <c r="G45" s="6"/>
      <c r="H45" s="148"/>
      <c r="I45" s="6"/>
      <c r="J45" s="9"/>
      <c r="K45" s="6"/>
      <c r="L45" s="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6"/>
      <c r="B46" s="11"/>
      <c r="C46" s="6"/>
      <c r="D46" s="6"/>
      <c r="E46" s="6"/>
      <c r="F46" s="6"/>
      <c r="G46" s="6"/>
      <c r="H46" s="6"/>
      <c r="I46" s="6"/>
      <c r="J46" s="9"/>
      <c r="K46" s="6"/>
      <c r="L46" s="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11"/>
      <c r="C47" s="6"/>
      <c r="D47" s="6"/>
      <c r="E47" s="6"/>
      <c r="F47" s="6"/>
      <c r="G47" s="6"/>
      <c r="H47" s="6"/>
      <c r="I47" s="6"/>
      <c r="J47" s="9"/>
      <c r="K47" s="6"/>
      <c r="L47" s="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11"/>
      <c r="C48" s="6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11"/>
      <c r="C49" s="6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11"/>
      <c r="C50" s="6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11"/>
      <c r="C51" s="6"/>
      <c r="D51" s="6"/>
      <c r="E51" s="6"/>
      <c r="F51" s="6"/>
      <c r="G51" s="6"/>
      <c r="H51" s="6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11"/>
      <c r="C52" s="6"/>
      <c r="D52" s="6"/>
      <c r="E52" s="6"/>
      <c r="F52" s="6"/>
      <c r="G52" s="6"/>
      <c r="H52" s="6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11"/>
      <c r="C53" s="6"/>
      <c r="D53" s="6"/>
      <c r="E53" s="6"/>
      <c r="F53" s="6"/>
      <c r="G53" s="6"/>
      <c r="H53" s="6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11"/>
      <c r="C54" s="6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11"/>
      <c r="C55" s="6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11"/>
      <c r="C56" s="6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11"/>
      <c r="C57" s="6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11"/>
      <c r="C58" s="6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11"/>
      <c r="C59" s="6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11"/>
      <c r="C60" s="6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11"/>
      <c r="C61" s="6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11"/>
      <c r="C62" s="6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11"/>
      <c r="C63" s="6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11"/>
      <c r="C64" s="6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11"/>
      <c r="C65" s="6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11"/>
      <c r="C66" s="6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11"/>
      <c r="C67" s="6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11"/>
      <c r="C68" s="6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11"/>
      <c r="C69" s="6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11"/>
      <c r="C70" s="6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11"/>
      <c r="C71" s="6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11"/>
      <c r="C72" s="6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11"/>
      <c r="C73" s="6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11"/>
      <c r="C74" s="6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11"/>
      <c r="C75" s="6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11"/>
      <c r="C76" s="6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11"/>
      <c r="C77" s="6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11"/>
      <c r="C78" s="6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11"/>
      <c r="C79" s="6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11"/>
      <c r="C80" s="6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11"/>
      <c r="C81" s="6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11"/>
      <c r="C82" s="6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11"/>
      <c r="C83" s="6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11"/>
      <c r="C84" s="6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11"/>
      <c r="C85" s="6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11"/>
      <c r="C86" s="6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11"/>
      <c r="C87" s="6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11"/>
      <c r="C88" s="6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11"/>
      <c r="C89" s="6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11"/>
      <c r="C90" s="6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11"/>
      <c r="C91" s="6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11"/>
      <c r="C92" s="6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11"/>
      <c r="C93" s="6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11"/>
      <c r="C94" s="6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11"/>
      <c r="C95" s="6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11"/>
      <c r="C96" s="6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6"/>
      <c r="B97" s="11"/>
      <c r="C97" s="6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6"/>
      <c r="B98" s="11"/>
    </row>
    <row r="99" spans="1:25" x14ac:dyDescent="0.2">
      <c r="A99" s="6"/>
      <c r="B99" s="11"/>
    </row>
    <row r="100" spans="1:25" x14ac:dyDescent="0.2">
      <c r="A100" s="6"/>
      <c r="B100" s="11"/>
    </row>
  </sheetData>
  <dataValidations count="2">
    <dataValidation type="list" allowBlank="1" showInputMessage="1" showErrorMessage="1" sqref="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8">
      <formula1>"Following,Modified Following,Preceding,Modified Preceding,Unadjusted,Half-Month Modified Following"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1" customWidth="1"/>
    <col min="2" max="2" width="4" style="12" bestFit="1" customWidth="1"/>
    <col min="3" max="3" width="4" style="5" bestFit="1" customWidth="1"/>
    <col min="4" max="4" width="15.140625" style="7" bestFit="1" customWidth="1"/>
    <col min="5" max="7" width="17.28515625" style="7" bestFit="1" customWidth="1"/>
    <col min="8" max="8" width="8" style="7" bestFit="1" customWidth="1"/>
    <col min="9" max="9" width="13.140625" style="1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5" width="30.7109375" style="1" hidden="1" customWidth="1" outlineLevel="1"/>
    <col min="16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51" customWidth="1"/>
    <col min="27" max="29" width="27.28515625" style="13" customWidth="1"/>
    <col min="30" max="82" width="27.28515625" style="1" customWidth="1"/>
    <col min="83" max="16384" width="2.85546875" style="1"/>
  </cols>
  <sheetData>
    <row r="1" spans="1:25" x14ac:dyDescent="0.2">
      <c r="A1" s="116"/>
      <c r="B1" s="88"/>
      <c r="C1" s="116"/>
      <c r="D1" s="27" t="s">
        <v>103</v>
      </c>
      <c r="E1" s="39" t="s">
        <v>21</v>
      </c>
      <c r="F1" s="122"/>
      <c r="G1" s="122"/>
      <c r="H1" s="122"/>
      <c r="I1" s="56"/>
      <c r="J1" s="122"/>
      <c r="K1" s="122"/>
      <c r="L1" s="122"/>
      <c r="M1" s="122"/>
      <c r="N1" s="122"/>
      <c r="O1" s="122"/>
      <c r="P1" s="122"/>
      <c r="Q1" s="122"/>
      <c r="R1" s="56"/>
      <c r="S1" s="2"/>
      <c r="T1" s="2"/>
      <c r="U1" s="2"/>
      <c r="V1" s="2"/>
      <c r="W1" s="2"/>
      <c r="X1" s="2"/>
      <c r="Y1" s="2"/>
    </row>
    <row r="2" spans="1:25" x14ac:dyDescent="0.2">
      <c r="A2" s="116"/>
      <c r="B2" s="88"/>
      <c r="C2" s="3"/>
      <c r="D2" s="27" t="s">
        <v>104</v>
      </c>
      <c r="E2" s="118" t="str">
        <f>Currency&amp;CurveTenor</f>
        <v>AUD1M</v>
      </c>
      <c r="F2" s="122"/>
      <c r="G2" s="122"/>
      <c r="H2" s="122"/>
      <c r="I2" s="56"/>
      <c r="J2" s="6"/>
      <c r="K2" s="6"/>
      <c r="L2" s="122"/>
      <c r="M2" s="6"/>
      <c r="N2" s="122"/>
      <c r="O2" s="122"/>
      <c r="P2" s="122"/>
      <c r="Q2" s="122"/>
      <c r="R2" s="56"/>
      <c r="S2" s="2"/>
      <c r="T2" s="2"/>
      <c r="U2" s="2"/>
      <c r="V2" s="2"/>
      <c r="W2" s="2"/>
      <c r="X2" s="2"/>
      <c r="Y2" s="2"/>
    </row>
    <row r="3" spans="1:25" x14ac:dyDescent="0.2">
      <c r="A3" s="116"/>
      <c r="B3" s="88"/>
      <c r="C3" s="116"/>
      <c r="D3" s="122"/>
      <c r="E3" s="122"/>
      <c r="F3" s="122"/>
      <c r="G3" s="122"/>
      <c r="H3" s="122"/>
      <c r="I3" s="56"/>
      <c r="J3" s="122"/>
      <c r="K3" s="122"/>
      <c r="L3" s="122"/>
      <c r="M3" s="122"/>
      <c r="N3" s="122"/>
      <c r="O3" s="122"/>
      <c r="P3" s="122"/>
      <c r="Q3" s="122"/>
      <c r="R3" s="56"/>
      <c r="S3" s="2"/>
      <c r="T3" s="2"/>
      <c r="U3" s="2"/>
      <c r="V3" s="2"/>
      <c r="W3" s="2"/>
      <c r="X3" s="2"/>
      <c r="Y3" s="2"/>
    </row>
    <row r="4" spans="1:25" x14ac:dyDescent="0.2">
      <c r="A4" s="116"/>
      <c r="B4" s="43"/>
      <c r="C4" s="44"/>
      <c r="D4" s="31" t="s">
        <v>51</v>
      </c>
      <c r="E4" s="31" t="s">
        <v>84</v>
      </c>
      <c r="F4" s="31" t="s">
        <v>100</v>
      </c>
      <c r="G4" s="31" t="s">
        <v>49</v>
      </c>
      <c r="H4" s="32" t="s">
        <v>48</v>
      </c>
      <c r="I4" s="31" t="s">
        <v>101</v>
      </c>
      <c r="J4" s="31" t="s">
        <v>102</v>
      </c>
      <c r="K4" s="56"/>
      <c r="L4" s="27" t="s">
        <v>85</v>
      </c>
      <c r="M4" s="116"/>
      <c r="N4" s="122"/>
      <c r="O4" s="122"/>
      <c r="P4" s="122"/>
      <c r="Q4" s="56"/>
      <c r="R4" s="56"/>
      <c r="S4" s="2"/>
      <c r="T4" s="2"/>
      <c r="U4" s="2"/>
      <c r="V4" s="2"/>
      <c r="W4" s="2"/>
      <c r="X4" s="2"/>
      <c r="Y4" s="2"/>
    </row>
    <row r="5" spans="1:25" x14ac:dyDescent="0.2">
      <c r="A5" s="116"/>
      <c r="B5" s="60">
        <f t="shared" ref="B5:B11" si="0">G5-EvaluationDate</f>
        <v>1</v>
      </c>
      <c r="C5" s="24" t="s">
        <v>15</v>
      </c>
      <c r="D5" s="33" t="s">
        <v>86</v>
      </c>
      <c r="E5" s="64">
        <f t="shared" ref="E5:E35" si="1">EvaluationDate</f>
        <v>41876</v>
      </c>
      <c r="F5" s="64">
        <f>EvaluationDate</f>
        <v>41876</v>
      </c>
      <c r="G5" s="64">
        <f>_xll.qlCalendarAdvance(Calendar,EvaluationDate,"1D","f",TRUE,Trigger)</f>
        <v>41877</v>
      </c>
      <c r="H5" s="72">
        <f>_xll.qlInterpolationInterpolate($L$5,B5,TRUE)</f>
        <v>2.6158769887351108E-2</v>
      </c>
      <c r="I5" s="73" t="str">
        <f>Contribution!AB5</f>
        <v>AUD6MOND=</v>
      </c>
      <c r="J5" s="73"/>
      <c r="K5" s="56"/>
      <c r="L5" s="118" t="str">
        <f>_xll.qlInterpolation(,InterpolationType,B7:B11,H7:H11,,Trigger)</f>
        <v>obj_003ef#0005</v>
      </c>
      <c r="M5" s="116"/>
      <c r="N5" s="122"/>
      <c r="O5" s="122"/>
      <c r="P5" s="122"/>
      <c r="Q5" s="56"/>
      <c r="R5" s="56"/>
      <c r="S5" s="2"/>
      <c r="T5" s="2"/>
      <c r="U5" s="2"/>
      <c r="V5" s="2"/>
      <c r="W5" s="2"/>
      <c r="X5" s="2"/>
      <c r="Y5" s="2"/>
    </row>
    <row r="6" spans="1:25" x14ac:dyDescent="0.2">
      <c r="A6" s="116"/>
      <c r="B6" s="61">
        <f t="shared" si="0"/>
        <v>2</v>
      </c>
      <c r="C6" s="25" t="s">
        <v>16</v>
      </c>
      <c r="D6" s="35" t="s">
        <v>86</v>
      </c>
      <c r="E6" s="67">
        <f t="shared" si="1"/>
        <v>41876</v>
      </c>
      <c r="F6" s="67">
        <f>G5</f>
        <v>41877</v>
      </c>
      <c r="G6" s="67">
        <f>_xll.qlCalendarAdvance(Calendar,EvaluationDate,"2D","f",TRUE,Trigger)</f>
        <v>41878</v>
      </c>
      <c r="H6" s="71">
        <f>_xll.qlInterpolationInterpolate($L$5,B6,TRUE)</f>
        <v>2.6160069901762437E-2</v>
      </c>
      <c r="I6" s="74" t="str">
        <f>Contribution!AB6</f>
        <v>AUD6MTND=</v>
      </c>
      <c r="J6" s="74"/>
      <c r="K6" s="56"/>
      <c r="L6" s="117" t="s">
        <v>44</v>
      </c>
      <c r="M6" s="116"/>
      <c r="N6" s="122"/>
      <c r="O6" s="117" t="s">
        <v>114</v>
      </c>
      <c r="P6" s="117" t="s">
        <v>115</v>
      </c>
      <c r="Q6" s="56"/>
      <c r="R6" s="56"/>
      <c r="S6" s="2"/>
      <c r="T6" s="2"/>
      <c r="U6" s="2"/>
      <c r="V6" s="2"/>
      <c r="W6" s="2"/>
      <c r="X6" s="2"/>
      <c r="Y6" s="2"/>
    </row>
    <row r="7" spans="1:25" x14ac:dyDescent="0.2">
      <c r="A7" s="116"/>
      <c r="B7" s="60">
        <f t="shared" si="0"/>
        <v>1</v>
      </c>
      <c r="C7" s="24" t="s">
        <v>17</v>
      </c>
      <c r="D7" s="33" t="s">
        <v>88</v>
      </c>
      <c r="E7" s="64">
        <f t="shared" si="1"/>
        <v>41876</v>
      </c>
      <c r="F7" s="64">
        <f>_xll.qlInterestRateIndexValueDate(L7,E7,Trigger)</f>
        <v>41876</v>
      </c>
      <c r="G7" s="64">
        <f>_xll.qlInterestRateIndexMaturity(L7,F7,Trigger)</f>
        <v>41877</v>
      </c>
      <c r="H7" s="65">
        <f>_xll.qlIndexFixing(L7,E7,TRUE,InterestRatesTrigger)</f>
        <v>2.6158769887351108E-2</v>
      </c>
      <c r="I7" s="73" t="str">
        <f>Contribution!AB7</f>
        <v>AUD6MSND=</v>
      </c>
      <c r="J7" s="73"/>
      <c r="K7" s="56"/>
      <c r="L7" s="119" t="str">
        <f>_xll.qlIborIndex(,"BBSW",IF(C7="SN","1D",IF(C7="SW","1W",C7)),0,Currency,Calendar,BDayConvention,FALSE,DayCounter,YieldCurve,,Trigger)</f>
        <v>obj_003be#0001</v>
      </c>
      <c r="M7" s="116"/>
      <c r="N7" s="122"/>
      <c r="O7" s="118" t="s">
        <v>116</v>
      </c>
      <c r="P7" s="118" t="s">
        <v>47</v>
      </c>
      <c r="Q7" s="56"/>
      <c r="R7" s="56"/>
      <c r="S7" s="2"/>
      <c r="T7" s="2"/>
      <c r="U7" s="2"/>
      <c r="V7" s="2"/>
      <c r="W7" s="2"/>
      <c r="X7" s="2"/>
      <c r="Y7" s="2"/>
    </row>
    <row r="8" spans="1:25" x14ac:dyDescent="0.2">
      <c r="A8" s="116"/>
      <c r="B8" s="61">
        <f t="shared" si="0"/>
        <v>7</v>
      </c>
      <c r="C8" s="25" t="s">
        <v>18</v>
      </c>
      <c r="D8" s="35" t="s">
        <v>88</v>
      </c>
      <c r="E8" s="67">
        <f t="shared" si="1"/>
        <v>41876</v>
      </c>
      <c r="F8" s="67">
        <f>_xll.qlInterestRateIndexValueDate(L8,E8,Trigger)</f>
        <v>41876</v>
      </c>
      <c r="G8" s="67">
        <f>_xll.qlInterestRateIndexMaturity(L8,F8,Trigger)</f>
        <v>41883</v>
      </c>
      <c r="H8" s="66">
        <f>_xll.qlIndexFixing(L8,E8,TRUE,InterestRatesTrigger)</f>
        <v>2.6167543833118968E-2</v>
      </c>
      <c r="I8" s="74" t="str">
        <f>Contribution!AB8</f>
        <v>AUD6MSWD=</v>
      </c>
      <c r="J8" s="74"/>
      <c r="K8" s="56"/>
      <c r="L8" s="36" t="str">
        <f>_xll.qlIborIndex(,"BBSW",IF(C8="SN","1D",IF(C8="SW","1W",C8)),0,Currency,Calendar,BDayConvention,FALSE,DayCounter,YieldCurve,,Trigger)</f>
        <v>obj_003e5#0001</v>
      </c>
      <c r="M8" s="116"/>
      <c r="N8" s="122"/>
      <c r="O8" s="122"/>
      <c r="P8" s="122"/>
      <c r="Q8" s="56"/>
      <c r="R8" s="56"/>
      <c r="S8" s="2"/>
      <c r="T8" s="2"/>
      <c r="U8" s="2"/>
      <c r="V8" s="2"/>
      <c r="W8" s="2"/>
      <c r="X8" s="2"/>
      <c r="Y8" s="2"/>
    </row>
    <row r="9" spans="1:25" x14ac:dyDescent="0.2">
      <c r="A9" s="116"/>
      <c r="B9" s="61">
        <f t="shared" si="0"/>
        <v>14</v>
      </c>
      <c r="C9" s="25" t="s">
        <v>19</v>
      </c>
      <c r="D9" s="35" t="s">
        <v>88</v>
      </c>
      <c r="E9" s="67">
        <f t="shared" si="1"/>
        <v>41876</v>
      </c>
      <c r="F9" s="67">
        <f>_xll.qlInterestRateIndexValueDate(L9,E9,Trigger)</f>
        <v>41876</v>
      </c>
      <c r="G9" s="67">
        <f>_xll.qlInterestRateIndexMaturity(L9,F9,Trigger)</f>
        <v>41890</v>
      </c>
      <c r="H9" s="66">
        <f>_xll.qlIndexFixing(L9,E9,TRUE,InterestRatesTrigger)</f>
        <v>2.6183758627159284E-2</v>
      </c>
      <c r="I9" s="74" t="str">
        <f>Contribution!AB9</f>
        <v>AUD6M2WD=</v>
      </c>
      <c r="J9" s="74"/>
      <c r="K9" s="56"/>
      <c r="L9" s="36" t="str">
        <f>_xll.qlIborIndex(,"BBSW",IF(C9="SN","1D",IF(C9="SW","1W",C9)),0,Currency,Calendar,BDayConvention,FALSE,DayCounter,YieldCurve,,Trigger)</f>
        <v>obj_003bf#0001</v>
      </c>
      <c r="M9" s="116"/>
      <c r="N9" s="122"/>
      <c r="O9" s="122"/>
      <c r="P9" s="122"/>
      <c r="Q9" s="56"/>
      <c r="R9" s="56"/>
      <c r="S9" s="2"/>
      <c r="T9" s="2"/>
      <c r="U9" s="2"/>
      <c r="V9" s="2"/>
      <c r="W9" s="2"/>
      <c r="X9" s="2"/>
      <c r="Y9" s="2"/>
    </row>
    <row r="10" spans="1:25" x14ac:dyDescent="0.2">
      <c r="A10" s="116"/>
      <c r="B10" s="61">
        <f>G10-EvaluationDate</f>
        <v>21</v>
      </c>
      <c r="C10" s="25" t="s">
        <v>20</v>
      </c>
      <c r="D10" s="35" t="s">
        <v>88</v>
      </c>
      <c r="E10" s="67">
        <f t="shared" si="1"/>
        <v>41876</v>
      </c>
      <c r="F10" s="67">
        <f>_xll.qlInterestRateIndexValueDate(L10,E10,Trigger)</f>
        <v>41876</v>
      </c>
      <c r="G10" s="67">
        <f>_xll.qlInterestRateIndexMaturity(L10,F10,Trigger)</f>
        <v>41897</v>
      </c>
      <c r="H10" s="66">
        <f>_xll.qlIndexFixing(L10,E10,TRUE,InterestRatesTrigger)</f>
        <v>2.6206421071811592E-2</v>
      </c>
      <c r="I10" s="74" t="str">
        <f>Contribution!AB10</f>
        <v>AUD6M3WD=</v>
      </c>
      <c r="J10" s="74"/>
      <c r="K10" s="56"/>
      <c r="L10" s="36" t="str">
        <f>_xll.qlIborIndex(,"BBSW",IF(C10="SN","1D",IF(C10="SW","1W",C10)),0,Currency,Calendar,BDayConvention,FALSE,DayCounter,YieldCurve,,Trigger)</f>
        <v>obj_00396#0001</v>
      </c>
      <c r="M10" s="116"/>
      <c r="N10" s="122"/>
      <c r="O10" s="122"/>
      <c r="P10" s="122"/>
      <c r="Q10" s="56"/>
      <c r="R10" s="56"/>
      <c r="S10" s="2"/>
      <c r="T10" s="2"/>
      <c r="U10" s="2"/>
      <c r="V10" s="2"/>
      <c r="W10" s="2"/>
      <c r="X10" s="2"/>
      <c r="Y10" s="2"/>
    </row>
    <row r="11" spans="1:25" x14ac:dyDescent="0.2">
      <c r="A11" s="116"/>
      <c r="B11" s="61">
        <f t="shared" si="0"/>
        <v>31</v>
      </c>
      <c r="C11" s="25" t="s">
        <v>21</v>
      </c>
      <c r="D11" s="35" t="s">
        <v>88</v>
      </c>
      <c r="E11" s="67">
        <f t="shared" si="1"/>
        <v>41876</v>
      </c>
      <c r="F11" s="67">
        <f>_xll.qlInterestRateIndexValueDate(L11,E11,Trigger)</f>
        <v>41876</v>
      </c>
      <c r="G11" s="67">
        <f>_xll.qlInterestRateIndexMaturity(L11,F11,Trigger)</f>
        <v>41907</v>
      </c>
      <c r="H11" s="66">
        <f>_xll.qlIndexFixing(L11,E11,TRUE,InterestRatesTrigger)</f>
        <v>2.6250000001592194E-2</v>
      </c>
      <c r="I11" s="74" t="str">
        <f>Contribution!AB11</f>
        <v>AUD6M1MD=</v>
      </c>
      <c r="J11" s="74" t="str">
        <f>"AU"&amp;CurveTenor&amp;"BA"&amp;"="</f>
        <v>AU1MBA=</v>
      </c>
      <c r="K11" s="56"/>
      <c r="L11" s="145" t="str">
        <f>IborIndexFamily&amp;CurveTenor</f>
        <v>AudBBSW1M</v>
      </c>
      <c r="M11" s="116"/>
      <c r="N11" s="122"/>
      <c r="O11" s="122"/>
      <c r="P11" s="122"/>
      <c r="Q11" s="56"/>
      <c r="R11" s="56"/>
      <c r="S11" s="2"/>
      <c r="T11" s="2"/>
      <c r="U11" s="2"/>
      <c r="V11" s="2"/>
      <c r="W11" s="2"/>
      <c r="X11" s="2"/>
      <c r="Y11" s="2"/>
    </row>
    <row r="12" spans="1:25" x14ac:dyDescent="0.2">
      <c r="A12" s="116"/>
      <c r="B12" s="60"/>
      <c r="C12" s="24"/>
      <c r="D12" s="33"/>
      <c r="E12" s="64"/>
      <c r="F12" s="64"/>
      <c r="G12" s="64"/>
      <c r="H12" s="65"/>
      <c r="I12" s="73"/>
      <c r="J12" s="73"/>
      <c r="K12" s="56"/>
      <c r="L12" s="117" t="s">
        <v>50</v>
      </c>
      <c r="M12" s="116"/>
      <c r="N12" s="117" t="s">
        <v>45</v>
      </c>
      <c r="O12" s="117" t="s">
        <v>105</v>
      </c>
      <c r="P12" s="117" t="s">
        <v>46</v>
      </c>
      <c r="Q12" s="56"/>
      <c r="R12" s="56"/>
      <c r="S12" s="2"/>
      <c r="T12" s="2"/>
      <c r="U12" s="2"/>
      <c r="V12" s="2"/>
      <c r="W12" s="2"/>
      <c r="X12" s="2"/>
      <c r="Y12" s="2"/>
    </row>
    <row r="13" spans="1:25" x14ac:dyDescent="0.2">
      <c r="A13" s="116"/>
      <c r="B13" s="61"/>
      <c r="C13" s="25" t="s">
        <v>23</v>
      </c>
      <c r="D13" s="35" t="s">
        <v>87</v>
      </c>
      <c r="E13" s="67">
        <f t="shared" si="1"/>
        <v>41876</v>
      </c>
      <c r="F13" s="67">
        <f>_xll.qlInterestRateIndexValueDate(L13,E13,Trigger)</f>
        <v>41877</v>
      </c>
      <c r="G13" s="67">
        <f>_xll.qlInterestRateIndexMaturity(L13,F13,Trigger)</f>
        <v>41969</v>
      </c>
      <c r="H13" s="66">
        <f>_xll.qlIndexFixing(L13,E13,TRUE,InterestRatesTrigger)</f>
        <v>2.6356590894390953E-2</v>
      </c>
      <c r="I13" s="74" t="str">
        <f>Contribution!N13</f>
        <v>AUD1M3M=</v>
      </c>
      <c r="J13" s="74"/>
      <c r="K13" s="56"/>
      <c r="L13" s="119" t="str">
        <f>_xll.qlSwapIndex(,"BBSW",C13,SettlementDays,Currency,Calendar,FixedLegTenor,FixedLegBDC,FixedLegDayCounter,IborIndex,DiscountingCurve,,Trigger)</f>
        <v>obj_003a0#0001</v>
      </c>
      <c r="M13" s="116"/>
      <c r="N13" s="118" t="s">
        <v>21</v>
      </c>
      <c r="O13" s="118" t="s">
        <v>81</v>
      </c>
      <c r="P13" s="118" t="s">
        <v>47</v>
      </c>
      <c r="Q13" s="56"/>
      <c r="R13" s="56"/>
      <c r="S13" s="2"/>
      <c r="T13" s="2"/>
      <c r="U13" s="2"/>
      <c r="V13" s="2"/>
      <c r="W13" s="2"/>
      <c r="X13" s="2"/>
      <c r="Y13" s="2"/>
    </row>
    <row r="14" spans="1:25" x14ac:dyDescent="0.2">
      <c r="A14" s="116"/>
      <c r="B14" s="61"/>
      <c r="C14" s="25" t="s">
        <v>24</v>
      </c>
      <c r="D14" s="35" t="s">
        <v>87</v>
      </c>
      <c r="E14" s="67">
        <f t="shared" si="1"/>
        <v>41876</v>
      </c>
      <c r="F14" s="67">
        <f>_xll.qlInterestRateIndexValueDate(L14,E14,Trigger)</f>
        <v>41877</v>
      </c>
      <c r="G14" s="67">
        <f>_xll.qlInterestRateIndexMaturity(L14,F14,Trigger)</f>
        <v>42002</v>
      </c>
      <c r="H14" s="66">
        <f>_xll.qlIndexFixing(L14,E14,TRUE,InterestRatesTrigger)</f>
        <v>2.6209500236902789E-2</v>
      </c>
      <c r="I14" s="161"/>
      <c r="J14" s="74"/>
      <c r="K14" s="56"/>
      <c r="L14" s="36" t="str">
        <f>_xll.qlSwapIndex(,"BBSW",C14,SettlementDays,Currency,Calendar,FixedLegTenor,FixedLegBDC,FixedLegDayCounter,IborIndex,DiscountingCurve,,Trigger)</f>
        <v>obj_003a8#0001</v>
      </c>
      <c r="M14" s="116"/>
      <c r="N14" s="122"/>
      <c r="O14" s="122"/>
      <c r="P14" s="122"/>
      <c r="Q14" s="56"/>
      <c r="R14" s="56"/>
      <c r="S14" s="2"/>
      <c r="T14" s="2"/>
      <c r="U14" s="2"/>
      <c r="V14" s="2"/>
      <c r="W14" s="2"/>
      <c r="X14" s="2"/>
      <c r="Y14" s="2"/>
    </row>
    <row r="15" spans="1:25" x14ac:dyDescent="0.2">
      <c r="A15" s="116"/>
      <c r="B15" s="41"/>
      <c r="C15" s="25" t="s">
        <v>25</v>
      </c>
      <c r="D15" s="35" t="s">
        <v>87</v>
      </c>
      <c r="E15" s="67">
        <f t="shared" si="1"/>
        <v>41876</v>
      </c>
      <c r="F15" s="67">
        <f>_xll.qlInterestRateIndexValueDate(L15,E15,Trigger)</f>
        <v>41877</v>
      </c>
      <c r="G15" s="67">
        <f>_xll.qlInterestRateIndexMaturity(L15,F15,Trigger)</f>
        <v>42031</v>
      </c>
      <c r="H15" s="66">
        <f>_xll.qlIndexFixing(L15,E15,TRUE,InterestRatesTrigger)</f>
        <v>2.6065550035611409E-2</v>
      </c>
      <c r="I15" s="161"/>
      <c r="J15" s="74"/>
      <c r="K15" s="56"/>
      <c r="L15" s="36" t="str">
        <f>_xll.qlSwapIndex(,"BBSW",C15,SettlementDays,Currency,Calendar,FixedLegTenor,FixedLegBDC,FixedLegDayCounter,IborIndex,DiscountingCurve,,Trigger)</f>
        <v>obj_003ce#0001</v>
      </c>
      <c r="M15" s="116"/>
      <c r="N15" s="122"/>
      <c r="O15" s="122"/>
      <c r="P15" s="122"/>
      <c r="Q15" s="56"/>
      <c r="R15" s="56"/>
      <c r="S15" s="2"/>
      <c r="T15" s="2"/>
      <c r="U15" s="2"/>
      <c r="V15" s="2"/>
      <c r="W15" s="2"/>
      <c r="X15" s="2"/>
      <c r="Y15" s="2"/>
    </row>
    <row r="16" spans="1:25" x14ac:dyDescent="0.2">
      <c r="A16" s="116"/>
      <c r="B16" s="41"/>
      <c r="C16" s="25" t="s">
        <v>14</v>
      </c>
      <c r="D16" s="35" t="s">
        <v>87</v>
      </c>
      <c r="E16" s="67">
        <f t="shared" si="1"/>
        <v>41876</v>
      </c>
      <c r="F16" s="67">
        <f>_xll.qlInterestRateIndexValueDate(L16,E16,Trigger)</f>
        <v>41877</v>
      </c>
      <c r="G16" s="67">
        <f>_xll.qlInterestRateIndexMaturity(L16,F16,Trigger)</f>
        <v>42061</v>
      </c>
      <c r="H16" s="66">
        <f>_xll.qlIndexFixing(L16,E16,TRUE,InterestRatesTrigger)</f>
        <v>2.5956741699398485E-2</v>
      </c>
      <c r="I16" s="161" t="str">
        <f>Contribution!N16</f>
        <v>AUD1M6M=</v>
      </c>
      <c r="J16" s="74"/>
      <c r="K16" s="56"/>
      <c r="L16" s="36" t="str">
        <f>_xll.qlSwapIndex(,"BBSW",C16,SettlementDays,Currency,Calendar,FixedLegTenor,FixedLegBDC,FixedLegDayCounter,IborIndex,DiscountingCurve,,Trigger)</f>
        <v>obj_003e1#0001</v>
      </c>
      <c r="M16" s="116"/>
      <c r="N16" s="122"/>
      <c r="O16" s="116"/>
      <c r="P16" s="122"/>
      <c r="Q16" s="56"/>
      <c r="R16" s="56"/>
      <c r="S16" s="2"/>
      <c r="T16" s="2"/>
      <c r="U16" s="2"/>
      <c r="V16" s="2"/>
      <c r="W16" s="2"/>
      <c r="X16" s="2"/>
      <c r="Y16" s="2"/>
    </row>
    <row r="17" spans="1:25" x14ac:dyDescent="0.2">
      <c r="A17" s="116"/>
      <c r="B17" s="41"/>
      <c r="C17" s="25" t="s">
        <v>26</v>
      </c>
      <c r="D17" s="35" t="s">
        <v>87</v>
      </c>
      <c r="E17" s="67">
        <f t="shared" si="1"/>
        <v>41876</v>
      </c>
      <c r="F17" s="67">
        <f>_xll.qlInterestRateIndexValueDate(L17,E17,Trigger)</f>
        <v>41877</v>
      </c>
      <c r="G17" s="67">
        <f>_xll.qlInterestRateIndexMaturity(L17,F17,Trigger)</f>
        <v>42089</v>
      </c>
      <c r="H17" s="66">
        <f>_xll.qlIndexFixing(L17,E17,TRUE,InterestRatesTrigger)</f>
        <v>2.5902482422034905E-2</v>
      </c>
      <c r="I17" s="161"/>
      <c r="J17" s="74"/>
      <c r="K17" s="56"/>
      <c r="L17" s="36" t="str">
        <f>_xll.qlSwapIndex(,"BBSW",C17,SettlementDays,Currency,Calendar,FixedLegTenor,FixedLegBDC,FixedLegDayCounter,IborIndex,DiscountingCurve,,Trigger)</f>
        <v>obj_003b7#0001</v>
      </c>
      <c r="M17" s="116"/>
      <c r="N17" s="122"/>
      <c r="O17" s="116"/>
      <c r="P17" s="122"/>
      <c r="Q17" s="56"/>
      <c r="R17" s="56"/>
      <c r="S17" s="2"/>
      <c r="T17" s="2"/>
      <c r="U17" s="2"/>
      <c r="V17" s="2"/>
      <c r="W17" s="2"/>
      <c r="X17" s="2"/>
      <c r="Y17" s="2"/>
    </row>
    <row r="18" spans="1:25" x14ac:dyDescent="0.2">
      <c r="A18" s="116"/>
      <c r="B18" s="41"/>
      <c r="C18" s="25" t="s">
        <v>27</v>
      </c>
      <c r="D18" s="35" t="s">
        <v>87</v>
      </c>
      <c r="E18" s="67">
        <f t="shared" si="1"/>
        <v>41876</v>
      </c>
      <c r="F18" s="67">
        <f>_xll.qlInterestRateIndexValueDate(L18,E18,Trigger)</f>
        <v>41877</v>
      </c>
      <c r="G18" s="67">
        <f>_xll.qlInterestRateIndexMaturity(L18,F18,Trigger)</f>
        <v>42121</v>
      </c>
      <c r="H18" s="66">
        <f>_xll.qlIndexFixing(L18,E18,TRUE,InterestRatesTrigger)</f>
        <v>2.5862292439251779E-2</v>
      </c>
      <c r="I18" s="161"/>
      <c r="J18" s="74"/>
      <c r="K18" s="56"/>
      <c r="L18" s="36" t="str">
        <f>_xll.qlSwapIndex(,"BBSW",C18,SettlementDays,Currency,Calendar,FixedLegTenor,FixedLegBDC,FixedLegDayCounter,IborIndex,DiscountingCurve,,Trigger)</f>
        <v>obj_003e9#0001</v>
      </c>
      <c r="M18" s="116"/>
      <c r="N18" s="122"/>
      <c r="O18" s="116"/>
      <c r="P18" s="122"/>
      <c r="Q18" s="56"/>
      <c r="R18" s="56"/>
      <c r="S18" s="2"/>
      <c r="T18" s="2"/>
      <c r="U18" s="2"/>
      <c r="V18" s="2"/>
      <c r="W18" s="2"/>
      <c r="X18" s="2"/>
      <c r="Y18" s="2"/>
    </row>
    <row r="19" spans="1:25" x14ac:dyDescent="0.2">
      <c r="A19" s="116"/>
      <c r="B19" s="41"/>
      <c r="C19" s="25" t="s">
        <v>28</v>
      </c>
      <c r="D19" s="35" t="s">
        <v>87</v>
      </c>
      <c r="E19" s="67">
        <f t="shared" si="1"/>
        <v>41876</v>
      </c>
      <c r="F19" s="67">
        <f>_xll.qlInterestRateIndexValueDate(L19,E19,Trigger)</f>
        <v>41877</v>
      </c>
      <c r="G19" s="67">
        <f>_xll.qlInterestRateIndexMaturity(L19,F19,Trigger)</f>
        <v>42150</v>
      </c>
      <c r="H19" s="66">
        <f>_xll.qlIndexFixing(L19,E19,TRUE,InterestRatesTrigger)</f>
        <v>2.5818512620161327E-2</v>
      </c>
      <c r="I19" s="161" t="str">
        <f>Contribution!N19</f>
        <v>AUD1M9M=</v>
      </c>
      <c r="J19" s="74"/>
      <c r="K19" s="56"/>
      <c r="L19" s="36" t="str">
        <f>_xll.qlSwapIndex(,"BBSW",C19,SettlementDays,Currency,Calendar,FixedLegTenor,FixedLegBDC,FixedLegDayCounter,IborIndex,DiscountingCurve,,Trigger)</f>
        <v>obj_00387#0001</v>
      </c>
      <c r="M19" s="123"/>
      <c r="N19" s="122"/>
      <c r="O19" s="116"/>
      <c r="P19" s="122"/>
      <c r="Q19" s="56"/>
      <c r="R19" s="56"/>
      <c r="S19" s="2"/>
      <c r="T19" s="2"/>
      <c r="U19" s="2"/>
      <c r="V19" s="2"/>
      <c r="W19" s="2"/>
      <c r="X19" s="2"/>
      <c r="Y19" s="2"/>
    </row>
    <row r="20" spans="1:25" x14ac:dyDescent="0.2">
      <c r="A20" s="116"/>
      <c r="B20" s="41"/>
      <c r="C20" s="25" t="s">
        <v>29</v>
      </c>
      <c r="D20" s="35" t="s">
        <v>87</v>
      </c>
      <c r="E20" s="67">
        <f t="shared" si="1"/>
        <v>41876</v>
      </c>
      <c r="F20" s="67">
        <f>_xll.qlInterestRateIndexValueDate(L20,E20,Trigger)</f>
        <v>41877</v>
      </c>
      <c r="G20" s="67">
        <f>_xll.qlInterestRateIndexMaturity(L20,F20,Trigger)</f>
        <v>42242</v>
      </c>
      <c r="H20" s="66">
        <f>_xll.qlIndexFixing(L20,E20,TRUE,InterestRatesTrigger)</f>
        <v>2.5662499999999078E-2</v>
      </c>
      <c r="I20" s="161" t="str">
        <f>Contribution!N20</f>
        <v>AUD1M1Y=</v>
      </c>
      <c r="J20" s="74"/>
      <c r="K20" s="56"/>
      <c r="L20" s="36" t="str">
        <f>_xll.qlSwapIndex(,"BBSW",C20,SettlementDays,Currency,Calendar,FixedLegTenor,FixedLegBDC,FixedLegDayCounter,IborIndex,DiscountingCurve,,Trigger)</f>
        <v>obj_003a1#0001</v>
      </c>
      <c r="M20" s="116"/>
      <c r="N20" s="122"/>
      <c r="O20" s="116"/>
      <c r="P20" s="122"/>
      <c r="Q20" s="56"/>
      <c r="R20" s="56"/>
      <c r="S20" s="2"/>
      <c r="T20" s="2"/>
      <c r="U20" s="2"/>
      <c r="V20" s="2"/>
      <c r="W20" s="2"/>
      <c r="X20" s="2"/>
      <c r="Y20" s="2"/>
    </row>
    <row r="21" spans="1:25" x14ac:dyDescent="0.2">
      <c r="A21" s="116"/>
      <c r="B21" s="41"/>
      <c r="C21" s="25" t="s">
        <v>93</v>
      </c>
      <c r="D21" s="35" t="s">
        <v>87</v>
      </c>
      <c r="E21" s="67">
        <f t="shared" si="1"/>
        <v>41876</v>
      </c>
      <c r="F21" s="67">
        <f>_xll.qlInterestRateIndexValueDate(L21,E21,Trigger)</f>
        <v>41877</v>
      </c>
      <c r="G21" s="67">
        <f>_xll.qlInterestRateIndexMaturity(L21,F21,Trigger)</f>
        <v>42426</v>
      </c>
      <c r="H21" s="66">
        <f>_xll.qlIndexFixing(L21,E21,TRUE,InterestRatesTrigger)</f>
        <v>2.5997753869136424E-2</v>
      </c>
      <c r="I21" s="161"/>
      <c r="J21" s="74"/>
      <c r="K21" s="56"/>
      <c r="L21" s="120" t="str">
        <f>_xll.qlSwapIndex(,"BBSW",C21,SettlementDays,Currency,Calendar,FixedLegTenor,FixedLegBDC,FixedLegDayCounter,IborIndex,DiscountingCurve,,Trigger)</f>
        <v>obj_00397#0001</v>
      </c>
      <c r="M21" s="123"/>
      <c r="N21" s="122"/>
      <c r="O21" s="116"/>
      <c r="P21" s="122"/>
      <c r="Q21" s="56"/>
      <c r="R21" s="56"/>
      <c r="S21" s="2"/>
      <c r="T21" s="2"/>
      <c r="U21" s="2"/>
      <c r="V21" s="2"/>
      <c r="W21" s="2"/>
      <c r="X21" s="2"/>
      <c r="Y21" s="2"/>
    </row>
    <row r="22" spans="1:25" x14ac:dyDescent="0.2">
      <c r="A22" s="116"/>
      <c r="B22" s="41"/>
      <c r="C22" s="25" t="s">
        <v>30</v>
      </c>
      <c r="D22" s="35" t="s">
        <v>87</v>
      </c>
      <c r="E22" s="67">
        <f t="shared" si="1"/>
        <v>41876</v>
      </c>
      <c r="F22" s="67">
        <f>_xll.qlInterestRateIndexValueDate(L22,E22,Trigger)</f>
        <v>41877</v>
      </c>
      <c r="G22" s="67">
        <f>_xll.qlInterestRateIndexMaturity(L22,F22,Trigger)</f>
        <v>42608</v>
      </c>
      <c r="H22" s="66">
        <f>_xll.qlIndexFixing(L22,E22,TRUE,InterestRatesTrigger)</f>
        <v>2.6674999999979077E-2</v>
      </c>
      <c r="I22" s="161" t="str">
        <f>Contribution!N22</f>
        <v>AUD1M2Y=</v>
      </c>
      <c r="J22" s="74"/>
      <c r="K22" s="56"/>
      <c r="L22" s="120" t="str">
        <f>_xll.qlSwapIndex(,"BBSW",C22,SettlementDays,Currency,Calendar,FixedLegTenor,FixedLegBDC,FixedLegDayCounter,IborIndex,DiscountingCurve,,Trigger)</f>
        <v>obj_003d2#0001</v>
      </c>
      <c r="M22" s="123"/>
      <c r="N22" s="122"/>
      <c r="O22" s="116"/>
      <c r="P22" s="122"/>
      <c r="Q22" s="56"/>
      <c r="R22" s="56"/>
      <c r="S22" s="2"/>
      <c r="T22" s="2"/>
      <c r="U22" s="2"/>
      <c r="V22" s="2"/>
      <c r="W22" s="2"/>
      <c r="X22" s="2"/>
      <c r="Y22" s="2"/>
    </row>
    <row r="23" spans="1:25" x14ac:dyDescent="0.2">
      <c r="A23" s="116"/>
      <c r="B23" s="41"/>
      <c r="C23" s="25" t="s">
        <v>31</v>
      </c>
      <c r="D23" s="35" t="s">
        <v>87</v>
      </c>
      <c r="E23" s="67">
        <f t="shared" si="1"/>
        <v>41876</v>
      </c>
      <c r="F23" s="67">
        <f>_xll.qlInterestRateIndexValueDate(L23,E23,Trigger)</f>
        <v>41877</v>
      </c>
      <c r="G23" s="67">
        <f>_xll.qlInterestRateIndexMaturity(L23,F23,Trigger)</f>
        <v>42975</v>
      </c>
      <c r="H23" s="66">
        <f>_xll.qlIndexFixing(L23,E23,TRUE,InterestRatesTrigger)</f>
        <v>2.8162499999985272E-2</v>
      </c>
      <c r="I23" s="161" t="str">
        <f>Contribution!N23</f>
        <v>AUD1M3Y=</v>
      </c>
      <c r="J23" s="74"/>
      <c r="K23" s="56"/>
      <c r="L23" s="120" t="str">
        <f>_xll.qlSwapIndex(,"BBSW",C23,SettlementDays,Currency,Calendar,FixedLegTenor,FixedLegBDC,FixedLegDayCounter,IborIndex,DiscountingCurve,,Trigger)</f>
        <v>obj_003db#0001</v>
      </c>
      <c r="M23" s="123"/>
      <c r="N23" s="122"/>
      <c r="O23" s="116"/>
      <c r="P23" s="122"/>
      <c r="Q23" s="56"/>
      <c r="R23" s="56"/>
      <c r="S23" s="2"/>
      <c r="T23" s="2"/>
      <c r="U23" s="2"/>
      <c r="V23" s="2"/>
      <c r="W23" s="2"/>
      <c r="X23" s="2"/>
      <c r="Y23" s="2"/>
    </row>
    <row r="24" spans="1:25" x14ac:dyDescent="0.2">
      <c r="A24" s="116"/>
      <c r="B24" s="41"/>
      <c r="C24" s="25" t="s">
        <v>32</v>
      </c>
      <c r="D24" s="35" t="s">
        <v>87</v>
      </c>
      <c r="E24" s="67">
        <f t="shared" si="1"/>
        <v>41876</v>
      </c>
      <c r="F24" s="67">
        <f>_xll.qlInterestRateIndexValueDate(L24,E24,Trigger)</f>
        <v>41877</v>
      </c>
      <c r="G24" s="67">
        <f>_xll.qlInterestRateIndexMaturity(L24,F24,Trigger)</f>
        <v>43339</v>
      </c>
      <c r="H24" s="66">
        <f>_xll.qlIndexFixing(L24,E24,TRUE,InterestRatesTrigger)</f>
        <v>2.9638679553071607E-2</v>
      </c>
      <c r="I24" s="161" t="str">
        <f>Contribution!N24</f>
        <v>AUD1M4Y=</v>
      </c>
      <c r="J24" s="74"/>
      <c r="K24" s="56"/>
      <c r="L24" s="120" t="str">
        <f>_xll.qlSwapIndex(,"BBSW",C24,SettlementDays,Currency,Calendar,FixedLegTenor,FixedLegBDC,FixedLegDayCounter,IborIndex,DiscountingCurve,,Trigger)</f>
        <v>obj_003a9#0001</v>
      </c>
      <c r="M24" s="123"/>
      <c r="N24" s="122"/>
      <c r="O24" s="116"/>
      <c r="P24" s="122"/>
      <c r="Q24" s="56"/>
      <c r="R24" s="56"/>
      <c r="S24" s="2"/>
      <c r="T24" s="2"/>
      <c r="U24" s="2"/>
      <c r="V24" s="2"/>
      <c r="W24" s="2"/>
      <c r="X24" s="2"/>
      <c r="Y24" s="2"/>
    </row>
    <row r="25" spans="1:25" x14ac:dyDescent="0.2">
      <c r="A25" s="116"/>
      <c r="B25" s="41"/>
      <c r="C25" s="25" t="s">
        <v>33</v>
      </c>
      <c r="D25" s="35" t="s">
        <v>87</v>
      </c>
      <c r="E25" s="67">
        <f t="shared" si="1"/>
        <v>41876</v>
      </c>
      <c r="F25" s="67">
        <f>_xll.qlInterestRateIndexValueDate(L25,E25,Trigger)</f>
        <v>41877</v>
      </c>
      <c r="G25" s="67">
        <f>_xll.qlInterestRateIndexMaturity(L25,F25,Trigger)</f>
        <v>43703</v>
      </c>
      <c r="H25" s="66">
        <f>_xll.qlIndexFixing(L25,E25,TRUE,InterestRatesTrigger)</f>
        <v>3.1040652080302076E-2</v>
      </c>
      <c r="I25" s="161" t="str">
        <f>Contribution!N25</f>
        <v>AUD1M5Y=</v>
      </c>
      <c r="J25" s="74"/>
      <c r="K25" s="56"/>
      <c r="L25" s="120" t="str">
        <f>_xll.qlSwapIndex(,"BBSW",C25,SettlementDays,Currency,Calendar,FixedLegTenor,FixedLegBDC,FixedLegDayCounter,IborIndex,DiscountingCurve,,Trigger)</f>
        <v>obj_003b0#0001</v>
      </c>
      <c r="M25" s="123"/>
      <c r="N25" s="122"/>
      <c r="O25" s="116"/>
      <c r="P25" s="122"/>
      <c r="Q25" s="56"/>
      <c r="R25" s="56"/>
      <c r="S25" s="2"/>
      <c r="T25" s="2"/>
      <c r="U25" s="2"/>
      <c r="V25" s="2"/>
      <c r="W25" s="2"/>
      <c r="X25" s="2"/>
      <c r="Y25" s="2"/>
    </row>
    <row r="26" spans="1:25" x14ac:dyDescent="0.2">
      <c r="A26" s="116"/>
      <c r="B26" s="41"/>
      <c r="C26" s="25" t="s">
        <v>34</v>
      </c>
      <c r="D26" s="35" t="s">
        <v>87</v>
      </c>
      <c r="E26" s="67">
        <f t="shared" si="1"/>
        <v>41876</v>
      </c>
      <c r="F26" s="67">
        <f>_xll.qlInterestRateIndexValueDate(L26,E26,Trigger)</f>
        <v>41877</v>
      </c>
      <c r="G26" s="67">
        <f>_xll.qlInterestRateIndexMaturity(L26,F26,Trigger)</f>
        <v>44069</v>
      </c>
      <c r="H26" s="66">
        <f>_xll.qlIndexFixing(L26,E26,TRUE,InterestRatesTrigger)</f>
        <v>3.2379996670867918E-2</v>
      </c>
      <c r="I26" s="161"/>
      <c r="J26" s="74"/>
      <c r="K26" s="56"/>
      <c r="L26" s="120" t="str">
        <f>_xll.qlSwapIndex(,"BBSW",C26,SettlementDays,Currency,Calendar,FixedLegTenor,FixedLegBDC,FixedLegDayCounter,IborIndex,DiscountingCurve,,Trigger)</f>
        <v>obj_003bb#0001</v>
      </c>
      <c r="M26" s="123"/>
      <c r="N26" s="122"/>
      <c r="O26" s="116"/>
      <c r="P26" s="122"/>
      <c r="Q26" s="56"/>
      <c r="R26" s="56"/>
      <c r="S26" s="2"/>
      <c r="T26" s="2"/>
      <c r="U26" s="2"/>
      <c r="V26" s="2"/>
      <c r="W26" s="2"/>
      <c r="X26" s="2"/>
      <c r="Y26" s="2"/>
    </row>
    <row r="27" spans="1:25" x14ac:dyDescent="0.2">
      <c r="A27" s="116"/>
      <c r="B27" s="41"/>
      <c r="C27" s="25" t="s">
        <v>35</v>
      </c>
      <c r="D27" s="35" t="s">
        <v>87</v>
      </c>
      <c r="E27" s="67">
        <f t="shared" si="1"/>
        <v>41876</v>
      </c>
      <c r="F27" s="67">
        <f>_xll.qlInterestRateIndexValueDate(L27,E27,Trigger)</f>
        <v>41877</v>
      </c>
      <c r="G27" s="67">
        <f>_xll.qlInterestRateIndexMaturity(L27,F27,Trigger)</f>
        <v>44434</v>
      </c>
      <c r="H27" s="66">
        <f>_xll.qlIndexFixing(L27,E27,TRUE,InterestRatesTrigger)</f>
        <v>3.3558094563164748E-2</v>
      </c>
      <c r="I27" s="161" t="str">
        <f>Contribution!N27</f>
        <v>AUD1M7Y=</v>
      </c>
      <c r="J27" s="74"/>
      <c r="K27" s="56"/>
      <c r="L27" s="120" t="str">
        <f>_xll.qlSwapIndex(,"BBSW",C27,SettlementDays,Currency,Calendar,FixedLegTenor,FixedLegBDC,FixedLegDayCounter,IborIndex,DiscountingCurve,,Trigger)</f>
        <v>obj_003d7#0001</v>
      </c>
      <c r="M27" s="123"/>
      <c r="N27" s="122"/>
      <c r="O27" s="116"/>
      <c r="P27" s="122"/>
      <c r="Q27" s="56"/>
      <c r="R27" s="56"/>
      <c r="S27" s="2"/>
      <c r="T27" s="2"/>
      <c r="U27" s="2"/>
      <c r="V27" s="2"/>
      <c r="W27" s="2"/>
      <c r="X27" s="2"/>
      <c r="Y27" s="2"/>
    </row>
    <row r="28" spans="1:25" x14ac:dyDescent="0.2">
      <c r="A28" s="116"/>
      <c r="B28" s="41"/>
      <c r="C28" s="25" t="s">
        <v>36</v>
      </c>
      <c r="D28" s="35" t="s">
        <v>87</v>
      </c>
      <c r="E28" s="67">
        <f t="shared" si="1"/>
        <v>41876</v>
      </c>
      <c r="F28" s="67">
        <f>_xll.qlInterestRateIndexValueDate(L28,E28,Trigger)</f>
        <v>41877</v>
      </c>
      <c r="G28" s="67">
        <f>_xll.qlInterestRateIndexMaturity(L28,F28,Trigger)</f>
        <v>44799</v>
      </c>
      <c r="H28" s="66">
        <f>_xll.qlIndexFixing(L28,E28,TRUE,InterestRatesTrigger)</f>
        <v>3.4542797876065942E-2</v>
      </c>
      <c r="I28" s="161"/>
      <c r="J28" s="74"/>
      <c r="K28" s="56"/>
      <c r="L28" s="120" t="str">
        <f>_xll.qlSwapIndex(,"BBSW",C28,SettlementDays,Currency,Calendar,FixedLegTenor,FixedLegBDC,FixedLegDayCounter,IborIndex,DiscountingCurve,,Trigger)</f>
        <v>obj_003e0#0001</v>
      </c>
      <c r="M28" s="123"/>
      <c r="N28" s="122"/>
      <c r="O28" s="116"/>
      <c r="P28" s="122"/>
      <c r="Q28" s="56"/>
      <c r="R28" s="56"/>
      <c r="S28" s="2"/>
      <c r="T28" s="2"/>
      <c r="U28" s="2"/>
      <c r="V28" s="2"/>
      <c r="W28" s="2"/>
      <c r="X28" s="2"/>
      <c r="Y28" s="2"/>
    </row>
    <row r="29" spans="1:25" x14ac:dyDescent="0.2">
      <c r="A29" s="116"/>
      <c r="B29" s="41"/>
      <c r="C29" s="25" t="s">
        <v>37</v>
      </c>
      <c r="D29" s="35" t="s">
        <v>87</v>
      </c>
      <c r="E29" s="67">
        <f t="shared" si="1"/>
        <v>41876</v>
      </c>
      <c r="F29" s="67">
        <f>_xll.qlInterestRateIndexValueDate(L29,E29,Trigger)</f>
        <v>41877</v>
      </c>
      <c r="G29" s="67">
        <f>_xll.qlInterestRateIndexMaturity(L29,F29,Trigger)</f>
        <v>45166</v>
      </c>
      <c r="H29" s="66">
        <f>_xll.qlIndexFixing(L29,E29,TRUE,InterestRatesTrigger)</f>
        <v>3.5407407889837629E-2</v>
      </c>
      <c r="I29" s="161"/>
      <c r="J29" s="74"/>
      <c r="K29" s="56"/>
      <c r="L29" s="120" t="str">
        <f>_xll.qlSwapIndex(,"BBSW",C29,SettlementDays,Currency,Calendar,FixedLegTenor,FixedLegBDC,FixedLegDayCounter,IborIndex,DiscountingCurve,,Trigger)</f>
        <v>obj_003b1#0001</v>
      </c>
      <c r="M29" s="123"/>
      <c r="N29" s="122"/>
      <c r="O29" s="116"/>
      <c r="P29" s="122"/>
      <c r="Q29" s="56"/>
      <c r="R29" s="56"/>
      <c r="S29" s="2"/>
      <c r="T29" s="2"/>
      <c r="U29" s="2"/>
      <c r="V29" s="2"/>
      <c r="W29" s="2"/>
      <c r="X29" s="2"/>
      <c r="Y29" s="2"/>
    </row>
    <row r="30" spans="1:25" x14ac:dyDescent="0.2">
      <c r="A30" s="116"/>
      <c r="B30" s="41"/>
      <c r="C30" s="25" t="s">
        <v>38</v>
      </c>
      <c r="D30" s="35" t="s">
        <v>87</v>
      </c>
      <c r="E30" s="67">
        <f t="shared" si="1"/>
        <v>41876</v>
      </c>
      <c r="F30" s="67">
        <f>_xll.qlInterestRateIndexValueDate(L30,E30,Trigger)</f>
        <v>41877</v>
      </c>
      <c r="G30" s="67">
        <f>_xll.qlInterestRateIndexMaturity(L30,F30,Trigger)</f>
        <v>45530</v>
      </c>
      <c r="H30" s="66">
        <f>_xll.qlIndexFixing(L30,E30,TRUE,InterestRatesTrigger)</f>
        <v>3.6198618698315144E-2</v>
      </c>
      <c r="I30" s="161" t="str">
        <f>Contribution!N30</f>
        <v>AUD1M10Y=</v>
      </c>
      <c r="J30" s="74"/>
      <c r="K30" s="56"/>
      <c r="L30" s="120" t="str">
        <f>_xll.qlSwapIndex(,"BBSW",C30,SettlementDays,Currency,Calendar,FixedLegTenor,FixedLegBDC,FixedLegDayCounter,IborIndex,DiscountingCurve,,Trigger)</f>
        <v>obj_00388#0001</v>
      </c>
      <c r="M30" s="123"/>
      <c r="N30" s="122"/>
      <c r="O30" s="116"/>
      <c r="P30" s="122"/>
      <c r="Q30" s="56"/>
      <c r="R30" s="56"/>
      <c r="S30" s="2"/>
      <c r="T30" s="2"/>
      <c r="U30" s="2"/>
      <c r="V30" s="2"/>
      <c r="W30" s="2"/>
      <c r="X30" s="2"/>
      <c r="Y30" s="2"/>
    </row>
    <row r="31" spans="1:25" x14ac:dyDescent="0.2">
      <c r="A31" s="116"/>
      <c r="B31" s="41"/>
      <c r="C31" s="25" t="s">
        <v>39</v>
      </c>
      <c r="D31" s="35" t="s">
        <v>87</v>
      </c>
      <c r="E31" s="67">
        <f t="shared" si="1"/>
        <v>41876</v>
      </c>
      <c r="F31" s="67">
        <f>_xll.qlInterestRateIndexValueDate(L31,E31,Trigger)</f>
        <v>41877</v>
      </c>
      <c r="G31" s="67">
        <f>_xll.qlInterestRateIndexMaturity(L31,F31,Trigger)</f>
        <v>46260</v>
      </c>
      <c r="H31" s="66">
        <f>_xll.qlIndexFixing(L31,E31,TRUE,InterestRatesTrigger)</f>
        <v>3.7624145277892942E-2</v>
      </c>
      <c r="I31" s="161" t="str">
        <f>Contribution!N31</f>
        <v>AUD1M12Y=</v>
      </c>
      <c r="J31" s="74"/>
      <c r="K31" s="56"/>
      <c r="L31" s="120" t="str">
        <f>_xll.qlSwapIndex(,"BBSW",C31,SettlementDays,Currency,Calendar,FixedLegTenor,FixedLegBDC,FixedLegDayCounter,IborIndex,DiscountingCurve,,Trigger)</f>
        <v>obj_003a2#0001</v>
      </c>
      <c r="M31" s="123"/>
      <c r="N31" s="122"/>
      <c r="O31" s="116"/>
      <c r="P31" s="122"/>
      <c r="Q31" s="56"/>
      <c r="R31" s="56"/>
      <c r="S31" s="2"/>
      <c r="T31" s="2"/>
      <c r="U31" s="2"/>
      <c r="V31" s="2"/>
      <c r="W31" s="2"/>
      <c r="X31" s="2"/>
      <c r="Y31" s="2"/>
    </row>
    <row r="32" spans="1:25" x14ac:dyDescent="0.2">
      <c r="A32" s="116"/>
      <c r="B32" s="41"/>
      <c r="C32" s="25" t="s">
        <v>40</v>
      </c>
      <c r="D32" s="35" t="s">
        <v>87</v>
      </c>
      <c r="E32" s="67">
        <f t="shared" si="1"/>
        <v>41876</v>
      </c>
      <c r="F32" s="67">
        <f>_xll.qlInterestRateIndexValueDate(L32,E32,Trigger)</f>
        <v>41877</v>
      </c>
      <c r="G32" s="67">
        <f>_xll.qlInterestRateIndexMaturity(L32,F32,Trigger)</f>
        <v>47357</v>
      </c>
      <c r="H32" s="66">
        <f>_xll.qlIndexFixing(L32,E32,TRUE,InterestRatesTrigger)</f>
        <v>3.916037736115905E-2</v>
      </c>
      <c r="I32" s="161" t="str">
        <f>Contribution!N32</f>
        <v>AUD1M15Y=</v>
      </c>
      <c r="J32" s="74"/>
      <c r="K32" s="56"/>
      <c r="L32" s="120" t="str">
        <f>_xll.qlSwapIndex(,"BBSW",C32,SettlementDays,Currency,Calendar,FixedLegTenor,FixedLegBDC,FixedLegDayCounter,IborIndex,DiscountingCurve,,Trigger)</f>
        <v>obj_003ca#0001</v>
      </c>
      <c r="M32" s="123"/>
      <c r="N32" s="122"/>
      <c r="O32" s="122"/>
      <c r="P32" s="116"/>
      <c r="Q32" s="122"/>
      <c r="R32" s="122"/>
      <c r="S32" s="122"/>
      <c r="T32" s="2"/>
      <c r="U32" s="2"/>
      <c r="V32" s="2"/>
      <c r="W32" s="2"/>
      <c r="X32" s="2"/>
      <c r="Y32" s="2"/>
    </row>
    <row r="33" spans="1:25" x14ac:dyDescent="0.2">
      <c r="A33" s="116"/>
      <c r="B33" s="41"/>
      <c r="C33" s="25" t="s">
        <v>41</v>
      </c>
      <c r="D33" s="35" t="s">
        <v>87</v>
      </c>
      <c r="E33" s="67">
        <f t="shared" si="1"/>
        <v>41876</v>
      </c>
      <c r="F33" s="67">
        <f>_xll.qlInterestRateIndexValueDate(L33,E33,Trigger)</f>
        <v>41877</v>
      </c>
      <c r="G33" s="67">
        <f>_xll.qlInterestRateIndexMaturity(L33,F33,Trigger)</f>
        <v>49184</v>
      </c>
      <c r="H33" s="66">
        <f>_xll.qlIndexFixing(L33,E33,TRUE,InterestRatesTrigger)</f>
        <v>4.0833156032829089E-2</v>
      </c>
      <c r="I33" s="161" t="str">
        <f>Contribution!N33</f>
        <v>AUD1M20Y=</v>
      </c>
      <c r="J33" s="74"/>
      <c r="K33" s="56"/>
      <c r="L33" s="120" t="str">
        <f>_xll.qlSwapIndex(,"BBSW",C33,SettlementDays,Currency,Calendar,FixedLegTenor,FixedLegBDC,FixedLegDayCounter,IborIndex,DiscountingCurve,,Trigger)</f>
        <v>obj_00389#0001</v>
      </c>
      <c r="M33" s="123"/>
      <c r="N33" s="122"/>
      <c r="O33" s="116"/>
      <c r="P33" s="122"/>
      <c r="Q33" s="56"/>
      <c r="R33" s="56"/>
      <c r="S33" s="2"/>
      <c r="T33" s="2"/>
      <c r="U33" s="2"/>
      <c r="V33" s="2"/>
      <c r="W33" s="2"/>
      <c r="X33" s="2"/>
      <c r="Y33" s="2"/>
    </row>
    <row r="34" spans="1:25" x14ac:dyDescent="0.2">
      <c r="A34" s="116"/>
      <c r="B34" s="41"/>
      <c r="C34" s="25" t="s">
        <v>42</v>
      </c>
      <c r="D34" s="35" t="s">
        <v>87</v>
      </c>
      <c r="E34" s="67">
        <f t="shared" si="1"/>
        <v>41876</v>
      </c>
      <c r="F34" s="67">
        <f>_xll.qlInterestRateIndexValueDate(L34,E34,Trigger)</f>
        <v>41877</v>
      </c>
      <c r="G34" s="67">
        <f>_xll.qlInterestRateIndexMaturity(L34,F34,Trigger)</f>
        <v>51008</v>
      </c>
      <c r="H34" s="66">
        <f>_xll.qlIndexFixing(L34,E34,TRUE,InterestRatesTrigger)</f>
        <v>4.1577587093433239E-2</v>
      </c>
      <c r="I34" s="161" t="str">
        <f>Contribution!N34</f>
        <v>AUD1M25Y=</v>
      </c>
      <c r="J34" s="74"/>
      <c r="K34" s="56"/>
      <c r="L34" s="120" t="str">
        <f>_xll.qlSwapIndex(,"BBSW",C34,SettlementDays,Currency,Calendar,FixedLegTenor,FixedLegBDC,FixedLegDayCounter,IborIndex,DiscountingCurve,,Trigger)</f>
        <v>obj_003c3#0001</v>
      </c>
      <c r="M34" s="123"/>
      <c r="N34" s="122"/>
      <c r="O34" s="116"/>
      <c r="P34" s="122"/>
      <c r="Q34" s="56"/>
      <c r="R34" s="56"/>
      <c r="S34" s="2"/>
      <c r="T34" s="2"/>
      <c r="U34" s="2"/>
      <c r="V34" s="2"/>
      <c r="W34" s="2"/>
      <c r="X34" s="2"/>
      <c r="Y34" s="2"/>
    </row>
    <row r="35" spans="1:25" x14ac:dyDescent="0.2">
      <c r="A35" s="116"/>
      <c r="B35" s="42"/>
      <c r="C35" s="26" t="s">
        <v>43</v>
      </c>
      <c r="D35" s="37" t="s">
        <v>87</v>
      </c>
      <c r="E35" s="68">
        <f t="shared" si="1"/>
        <v>41876</v>
      </c>
      <c r="F35" s="68">
        <f>_xll.qlInterestRateIndexValueDate(L35,E35,Trigger)</f>
        <v>41877</v>
      </c>
      <c r="G35" s="68">
        <f>_xll.qlInterestRateIndexMaturity(L35,F35,Trigger)</f>
        <v>52835</v>
      </c>
      <c r="H35" s="69">
        <f>_xll.qlIndexFixing(L35,E35,TRUE,InterestRatesTrigger)</f>
        <v>4.1887339187192757E-2</v>
      </c>
      <c r="I35" s="162" t="str">
        <f>Contribution!N35</f>
        <v>AUD1M30Y=</v>
      </c>
      <c r="J35" s="75"/>
      <c r="K35" s="56"/>
      <c r="L35" s="80" t="str">
        <f>_xll.qlSwapIndex(,"BBSW",C35,SettlementDays,Currency,Calendar,FixedLegTenor,FixedLegBDC,FixedLegDayCounter,IborIndex,DiscountingCurve,,Trigger)</f>
        <v>obj_003b4#0001</v>
      </c>
      <c r="M35" s="123"/>
      <c r="N35" s="122"/>
      <c r="O35" s="116"/>
      <c r="P35" s="122"/>
      <c r="Q35" s="56"/>
      <c r="R35" s="56"/>
      <c r="S35" s="2"/>
      <c r="T35" s="2"/>
      <c r="U35" s="2"/>
      <c r="V35" s="2"/>
      <c r="W35" s="2"/>
      <c r="X35" s="2"/>
      <c r="Y35" s="2"/>
    </row>
    <row r="36" spans="1:25" x14ac:dyDescent="0.2">
      <c r="A36" s="116"/>
      <c r="B36" s="89"/>
      <c r="C36" s="90"/>
      <c r="D36" s="82"/>
      <c r="E36" s="82"/>
      <c r="F36" s="122"/>
      <c r="G36" s="122"/>
      <c r="H36" s="122"/>
      <c r="I36" s="56"/>
      <c r="J36" s="82"/>
      <c r="K36" s="122"/>
      <c r="L36" s="82"/>
      <c r="M36" s="122"/>
      <c r="N36" s="122"/>
      <c r="O36" s="56"/>
      <c r="P36" s="122"/>
      <c r="Q36" s="122"/>
      <c r="R36" s="56"/>
      <c r="S36" s="2"/>
      <c r="T36" s="2"/>
      <c r="U36" s="2"/>
      <c r="V36" s="2"/>
      <c r="W36" s="2"/>
      <c r="X36" s="2"/>
      <c r="Y36" s="2"/>
    </row>
    <row r="37" spans="1:25" x14ac:dyDescent="0.2">
      <c r="A37" s="87"/>
      <c r="B37" s="88"/>
      <c r="C37" s="116"/>
      <c r="D37" s="122"/>
      <c r="E37" s="122"/>
      <c r="F37" s="122"/>
      <c r="G37" s="122"/>
      <c r="H37" s="122"/>
      <c r="I37" s="56"/>
      <c r="J37" s="122"/>
      <c r="K37" s="122"/>
      <c r="L37" s="122"/>
      <c r="M37" s="122"/>
      <c r="N37" s="122"/>
      <c r="O37" s="56"/>
      <c r="P37" s="56"/>
      <c r="Q37" s="56"/>
      <c r="R37" s="56"/>
      <c r="S37" s="2"/>
      <c r="T37" s="2"/>
      <c r="U37" s="2"/>
      <c r="V37" s="2"/>
      <c r="W37" s="2"/>
      <c r="X37" s="2"/>
      <c r="Y37" s="2"/>
    </row>
    <row r="38" spans="1:25" x14ac:dyDescent="0.2">
      <c r="A38" s="3"/>
      <c r="B38" s="11"/>
      <c r="C38" s="3"/>
      <c r="D38" s="6"/>
      <c r="E38" s="6"/>
      <c r="F38" s="6"/>
      <c r="G38" s="6"/>
      <c r="H38" s="6"/>
      <c r="I38" s="2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3"/>
      <c r="B39" s="11"/>
      <c r="C39" s="3"/>
      <c r="D39" s="6"/>
      <c r="E39" s="6"/>
      <c r="F39" s="6"/>
      <c r="G39" s="6"/>
      <c r="H39" s="6"/>
      <c r="I39" s="2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3"/>
      <c r="B40" s="11"/>
      <c r="C40" s="3"/>
      <c r="D40" s="6"/>
      <c r="E40" s="6"/>
      <c r="F40" s="6"/>
      <c r="G40" s="6"/>
      <c r="H40" s="6"/>
      <c r="I40" s="2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3"/>
      <c r="B41" s="11"/>
      <c r="C41" s="3"/>
      <c r="D41" s="6"/>
      <c r="E41" s="6"/>
      <c r="F41" s="6"/>
      <c r="G41" s="6"/>
      <c r="H41" s="6"/>
      <c r="I41" s="2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3"/>
      <c r="B42" s="11"/>
      <c r="C42" s="3"/>
      <c r="D42" s="6"/>
      <c r="E42" s="6"/>
      <c r="F42" s="6"/>
      <c r="G42" s="6"/>
      <c r="H42" s="6"/>
      <c r="I42" s="2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3"/>
      <c r="B43" s="11"/>
      <c r="C43" s="3"/>
      <c r="D43" s="6"/>
      <c r="E43" s="6"/>
      <c r="F43" s="6"/>
      <c r="G43" s="6"/>
      <c r="H43" s="6"/>
      <c r="I43" s="2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3"/>
      <c r="B44" s="11"/>
      <c r="C44" s="3"/>
      <c r="D44" s="6"/>
      <c r="E44" s="6"/>
      <c r="F44" s="6"/>
      <c r="G44" s="6"/>
      <c r="H44" s="6"/>
      <c r="I44" s="2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3"/>
      <c r="B45" s="11"/>
      <c r="C45" s="3"/>
      <c r="D45" s="6"/>
      <c r="E45" s="6"/>
      <c r="F45" s="6"/>
      <c r="G45" s="6"/>
      <c r="H45" s="6"/>
      <c r="I45" s="2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3"/>
      <c r="B46" s="11"/>
      <c r="C46" s="3"/>
      <c r="D46" s="6"/>
      <c r="E46" s="6"/>
      <c r="F46" s="6"/>
      <c r="G46" s="6"/>
      <c r="H46" s="6"/>
      <c r="I46" s="2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3"/>
      <c r="B47" s="11"/>
      <c r="C47" s="3"/>
      <c r="D47" s="6"/>
      <c r="E47" s="6"/>
      <c r="F47" s="6"/>
      <c r="G47" s="6"/>
      <c r="H47" s="6"/>
      <c r="I47" s="2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3"/>
      <c r="B48" s="11"/>
      <c r="C48" s="3"/>
      <c r="D48" s="6"/>
      <c r="E48" s="6"/>
      <c r="F48" s="6"/>
      <c r="G48" s="6"/>
      <c r="H48" s="6"/>
      <c r="I48" s="2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3"/>
      <c r="B49" s="11"/>
      <c r="C49" s="3"/>
      <c r="D49" s="6"/>
      <c r="E49" s="6"/>
      <c r="F49" s="6"/>
      <c r="G49" s="6"/>
      <c r="H49" s="6"/>
      <c r="I49" s="2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3"/>
      <c r="B50" s="11"/>
      <c r="C50" s="3"/>
      <c r="D50" s="6"/>
      <c r="E50" s="6"/>
      <c r="F50" s="6"/>
      <c r="G50" s="6"/>
      <c r="H50" s="6"/>
      <c r="I50" s="2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3"/>
      <c r="B51" s="11"/>
      <c r="C51" s="3"/>
      <c r="D51" s="6"/>
      <c r="E51" s="6"/>
      <c r="F51" s="6"/>
      <c r="G51" s="6"/>
      <c r="H51" s="6"/>
      <c r="I51" s="2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3"/>
      <c r="B52" s="11"/>
      <c r="C52" s="3"/>
      <c r="D52" s="6"/>
      <c r="E52" s="6"/>
      <c r="F52" s="6"/>
      <c r="G52" s="6"/>
      <c r="H52" s="6"/>
      <c r="I52" s="2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3"/>
      <c r="B53" s="11"/>
      <c r="C53" s="3"/>
      <c r="D53" s="6"/>
      <c r="E53" s="6"/>
      <c r="F53" s="6"/>
      <c r="G53" s="6"/>
      <c r="H53" s="6"/>
      <c r="I53" s="2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3"/>
      <c r="B54" s="11"/>
      <c r="C54" s="3"/>
      <c r="D54" s="6"/>
      <c r="E54" s="6"/>
      <c r="F54" s="6"/>
      <c r="G54" s="6"/>
      <c r="H54" s="6"/>
      <c r="I54" s="2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3"/>
      <c r="B55" s="11"/>
      <c r="C55" s="3"/>
      <c r="D55" s="6"/>
      <c r="E55" s="6"/>
      <c r="F55" s="6"/>
      <c r="G55" s="6"/>
      <c r="H55" s="6"/>
      <c r="I55" s="2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3"/>
      <c r="B56" s="11"/>
      <c r="C56" s="3"/>
      <c r="D56" s="6"/>
      <c r="E56" s="6"/>
      <c r="F56" s="6"/>
      <c r="G56" s="6"/>
      <c r="H56" s="6"/>
      <c r="I56" s="2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3"/>
      <c r="B57" s="11"/>
      <c r="C57" s="3"/>
      <c r="D57" s="6"/>
      <c r="E57" s="6"/>
      <c r="F57" s="6"/>
      <c r="G57" s="6"/>
      <c r="H57" s="6"/>
      <c r="I57" s="2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3"/>
      <c r="B58" s="11"/>
      <c r="C58" s="3"/>
      <c r="D58" s="6"/>
      <c r="E58" s="6"/>
      <c r="F58" s="6"/>
      <c r="G58" s="6"/>
      <c r="H58" s="6"/>
      <c r="I58" s="2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3"/>
      <c r="B59" s="11"/>
      <c r="C59" s="3"/>
      <c r="D59" s="6"/>
      <c r="E59" s="6"/>
      <c r="F59" s="6"/>
      <c r="G59" s="6"/>
      <c r="H59" s="6"/>
      <c r="I59" s="2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3"/>
      <c r="B60" s="11"/>
      <c r="C60" s="3"/>
      <c r="D60" s="6"/>
      <c r="E60" s="6"/>
      <c r="F60" s="6"/>
      <c r="G60" s="6"/>
      <c r="H60" s="6"/>
      <c r="I60" s="2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3"/>
      <c r="B61" s="11"/>
      <c r="C61" s="3"/>
      <c r="D61" s="6"/>
      <c r="E61" s="6"/>
      <c r="F61" s="6"/>
      <c r="G61" s="6"/>
      <c r="H61" s="6"/>
      <c r="I61" s="2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3"/>
      <c r="B62" s="11"/>
      <c r="C62" s="3"/>
      <c r="D62" s="6"/>
      <c r="E62" s="6"/>
      <c r="F62" s="6"/>
      <c r="G62" s="6"/>
      <c r="H62" s="6"/>
      <c r="I62" s="2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3"/>
      <c r="B63" s="11"/>
      <c r="C63" s="3"/>
      <c r="D63" s="6"/>
      <c r="E63" s="6"/>
      <c r="F63" s="6"/>
      <c r="G63" s="6"/>
      <c r="H63" s="6"/>
      <c r="I63" s="2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3"/>
      <c r="B64" s="11"/>
      <c r="C64" s="3"/>
      <c r="D64" s="6"/>
      <c r="E64" s="6"/>
      <c r="F64" s="6"/>
      <c r="G64" s="6"/>
      <c r="H64" s="6"/>
      <c r="I64" s="2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3"/>
      <c r="B65" s="11"/>
      <c r="C65" s="3"/>
      <c r="D65" s="6"/>
      <c r="E65" s="6"/>
      <c r="F65" s="6"/>
      <c r="G65" s="6"/>
      <c r="H65" s="6"/>
      <c r="I65" s="2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3"/>
      <c r="B66" s="11"/>
      <c r="C66" s="3"/>
      <c r="D66" s="6"/>
      <c r="E66" s="6"/>
      <c r="F66" s="6"/>
      <c r="G66" s="6"/>
      <c r="H66" s="6"/>
      <c r="I66" s="2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11"/>
      <c r="C67" s="3"/>
      <c r="D67" s="6"/>
      <c r="E67" s="6"/>
      <c r="F67" s="6"/>
      <c r="G67" s="6"/>
      <c r="H67" s="6"/>
      <c r="I67" s="2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11"/>
      <c r="C68" s="3"/>
      <c r="D68" s="6"/>
      <c r="E68" s="6"/>
      <c r="F68" s="6"/>
      <c r="G68" s="6"/>
      <c r="H68" s="6"/>
      <c r="I68" s="2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11"/>
      <c r="C69" s="3"/>
      <c r="D69" s="6"/>
      <c r="E69" s="6"/>
      <c r="F69" s="6"/>
      <c r="G69" s="6"/>
      <c r="H69" s="6"/>
      <c r="I69" s="2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11"/>
      <c r="C70" s="3"/>
      <c r="D70" s="6"/>
      <c r="E70" s="6"/>
      <c r="F70" s="6"/>
      <c r="G70" s="6"/>
      <c r="H70" s="6"/>
      <c r="I70" s="2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11"/>
      <c r="C71" s="3"/>
      <c r="D71" s="6"/>
      <c r="E71" s="6"/>
      <c r="F71" s="6"/>
      <c r="G71" s="6"/>
      <c r="H71" s="6"/>
      <c r="I71" s="2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11"/>
      <c r="C72" s="3"/>
      <c r="D72" s="6"/>
      <c r="E72" s="6"/>
      <c r="F72" s="6"/>
      <c r="G72" s="6"/>
      <c r="H72" s="6"/>
      <c r="I72" s="2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11"/>
      <c r="C73" s="3"/>
      <c r="D73" s="6"/>
      <c r="E73" s="6"/>
      <c r="F73" s="6"/>
      <c r="G73" s="6"/>
      <c r="H73" s="6"/>
      <c r="I73" s="2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11"/>
      <c r="C74" s="3"/>
      <c r="D74" s="6"/>
      <c r="E74" s="6"/>
      <c r="F74" s="6"/>
      <c r="G74" s="6"/>
      <c r="H74" s="6"/>
      <c r="I74" s="2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11"/>
      <c r="C75" s="3"/>
      <c r="D75" s="6"/>
      <c r="E75" s="6"/>
      <c r="F75" s="6"/>
      <c r="G75" s="6"/>
      <c r="H75" s="6"/>
      <c r="I75" s="2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11"/>
      <c r="C76" s="3"/>
      <c r="D76" s="6"/>
      <c r="E76" s="6"/>
      <c r="F76" s="6"/>
      <c r="G76" s="6"/>
      <c r="H76" s="6"/>
      <c r="I76" s="2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11"/>
      <c r="C77" s="3"/>
      <c r="D77" s="6"/>
      <c r="E77" s="6"/>
      <c r="F77" s="6"/>
      <c r="G77" s="6"/>
      <c r="H77" s="6"/>
      <c r="I77" s="2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11"/>
      <c r="C78" s="3"/>
      <c r="D78" s="6"/>
      <c r="E78" s="6"/>
      <c r="F78" s="6"/>
      <c r="G78" s="6"/>
      <c r="H78" s="6"/>
      <c r="I78" s="2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11"/>
      <c r="C79" s="3"/>
      <c r="D79" s="6"/>
      <c r="E79" s="6"/>
      <c r="F79" s="6"/>
      <c r="G79" s="6"/>
      <c r="H79" s="6"/>
      <c r="I79" s="2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11"/>
      <c r="C80" s="3"/>
      <c r="D80" s="6"/>
      <c r="E80" s="6"/>
      <c r="F80" s="6"/>
      <c r="G80" s="6"/>
      <c r="H80" s="6"/>
      <c r="I80" s="2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11"/>
      <c r="C81" s="3"/>
      <c r="D81" s="6"/>
      <c r="E81" s="6"/>
      <c r="F81" s="6"/>
      <c r="G81" s="6"/>
      <c r="H81" s="6"/>
      <c r="I81" s="2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11"/>
      <c r="C82" s="3"/>
      <c r="D82" s="6"/>
      <c r="E82" s="6"/>
      <c r="F82" s="6"/>
      <c r="G82" s="6"/>
      <c r="H82" s="6"/>
      <c r="I82" s="2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11"/>
      <c r="C83" s="3"/>
      <c r="D83" s="6"/>
      <c r="E83" s="6"/>
      <c r="F83" s="6"/>
      <c r="G83" s="6"/>
      <c r="H83" s="6"/>
      <c r="I83" s="2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11"/>
      <c r="C84" s="3"/>
      <c r="D84" s="6"/>
      <c r="E84" s="6"/>
      <c r="F84" s="6"/>
      <c r="G84" s="6"/>
      <c r="H84" s="6"/>
      <c r="I84" s="2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11"/>
      <c r="C85" s="3"/>
      <c r="D85" s="6"/>
      <c r="E85" s="6"/>
      <c r="F85" s="6"/>
      <c r="G85" s="6"/>
      <c r="H85" s="6"/>
      <c r="I85" s="2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11"/>
      <c r="C86" s="3"/>
      <c r="D86" s="6"/>
      <c r="E86" s="6"/>
      <c r="F86" s="6"/>
      <c r="G86" s="6"/>
      <c r="H86" s="6"/>
      <c r="I86" s="2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11"/>
      <c r="C87" s="3"/>
      <c r="D87" s="6"/>
      <c r="E87" s="6"/>
      <c r="F87" s="6"/>
      <c r="G87" s="6"/>
      <c r="H87" s="6"/>
      <c r="I87" s="2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11"/>
      <c r="C88" s="3"/>
      <c r="D88" s="6"/>
      <c r="E88" s="6"/>
      <c r="F88" s="6"/>
      <c r="G88" s="6"/>
      <c r="H88" s="6"/>
      <c r="I88" s="2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11"/>
      <c r="C89" s="3"/>
      <c r="D89" s="6"/>
      <c r="E89" s="6"/>
      <c r="F89" s="6"/>
      <c r="G89" s="6"/>
      <c r="H89" s="6"/>
      <c r="I89" s="2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11"/>
      <c r="C90" s="3"/>
      <c r="D90" s="6"/>
      <c r="E90" s="6"/>
      <c r="F90" s="6"/>
      <c r="G90" s="6"/>
      <c r="H90" s="6"/>
      <c r="I90" s="2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11"/>
      <c r="C91" s="3"/>
      <c r="D91" s="6"/>
      <c r="E91" s="6"/>
      <c r="F91" s="6"/>
      <c r="G91" s="6"/>
      <c r="H91" s="6"/>
      <c r="I91" s="2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11"/>
      <c r="C92" s="3"/>
      <c r="D92" s="6"/>
      <c r="E92" s="6"/>
      <c r="F92" s="6"/>
      <c r="G92" s="6"/>
      <c r="H92" s="6"/>
      <c r="I92" s="2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11"/>
      <c r="C93" s="3"/>
      <c r="D93" s="6"/>
      <c r="E93" s="6"/>
      <c r="F93" s="6"/>
      <c r="G93" s="6"/>
      <c r="H93" s="6"/>
      <c r="I93" s="2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11"/>
      <c r="C94" s="3"/>
      <c r="D94" s="6"/>
      <c r="E94" s="6"/>
      <c r="F94" s="6"/>
      <c r="G94" s="6"/>
      <c r="H94" s="6"/>
      <c r="I94" s="2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11"/>
      <c r="C95" s="3"/>
      <c r="D95" s="6"/>
      <c r="E95" s="6"/>
      <c r="F95" s="6"/>
      <c r="G95" s="6"/>
      <c r="H95" s="6"/>
      <c r="I95" s="2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11"/>
      <c r="C96" s="3"/>
      <c r="D96" s="6"/>
      <c r="E96" s="6"/>
      <c r="F96" s="6"/>
      <c r="G96" s="6"/>
      <c r="H96" s="6"/>
      <c r="I96" s="2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11"/>
      <c r="C97" s="3"/>
      <c r="D97" s="6"/>
      <c r="E97" s="6"/>
      <c r="F97" s="6"/>
      <c r="G97" s="6"/>
      <c r="H97" s="6"/>
      <c r="I97" s="2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11"/>
      <c r="C98" s="3"/>
      <c r="D98" s="6"/>
      <c r="E98" s="6"/>
      <c r="F98" s="6"/>
      <c r="G98" s="6"/>
      <c r="H98" s="6"/>
      <c r="I98" s="2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11"/>
      <c r="C99" s="3"/>
      <c r="D99" s="6"/>
      <c r="E99" s="6"/>
      <c r="F99" s="6"/>
      <c r="G99" s="6"/>
      <c r="H99" s="6"/>
      <c r="I99" s="2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11"/>
      <c r="C100" s="3"/>
      <c r="D100" s="6"/>
      <c r="E100" s="6"/>
      <c r="F100" s="6"/>
      <c r="G100" s="6"/>
      <c r="H100" s="6"/>
      <c r="I100" s="2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dataValidations disablePrompts="1" count="2">
    <dataValidation type="list" allowBlank="1" showInputMessage="1" showErrorMessage="1" sqref="P13 P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13 O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showGridLines="0" workbookViewId="0">
      <selection activeCell="G1" sqref="G1"/>
    </sheetView>
  </sheetViews>
  <sheetFormatPr defaultColWidth="2.85546875" defaultRowHeight="11.25" outlineLevelCol="1" x14ac:dyDescent="0.2"/>
  <cols>
    <col min="1" max="1" width="2.7109375" style="7" customWidth="1"/>
    <col min="2" max="2" width="4" style="12" bestFit="1" customWidth="1"/>
    <col min="3" max="3" width="4" style="5" bestFit="1" customWidth="1"/>
    <col min="4" max="4" width="10" style="7" hidden="1" customWidth="1" outlineLevel="1"/>
    <col min="5" max="5" width="5" style="7" hidden="1" customWidth="1" outlineLevel="1"/>
    <col min="6" max="6" width="15.140625" style="7" bestFit="1" customWidth="1" collapsed="1"/>
    <col min="7" max="9" width="17.28515625" style="7" customWidth="1"/>
    <col min="10" max="10" width="8" style="7" bestFit="1" customWidth="1"/>
    <col min="11" max="11" width="13.140625" style="7" bestFit="1" customWidth="1"/>
    <col min="12" max="12" width="16.140625" style="7" bestFit="1" customWidth="1"/>
    <col min="13" max="13" width="2.7109375" style="7" hidden="1" customWidth="1" outlineLevel="1"/>
    <col min="14" max="14" width="15.140625" style="7" hidden="1" customWidth="1" outlineLevel="1"/>
    <col min="15" max="15" width="2.7109375" style="7" hidden="1" customWidth="1" outlineLevel="1"/>
    <col min="16" max="16" width="14.140625" style="7" hidden="1" customWidth="1" outlineLevel="1"/>
    <col min="17" max="17" width="30.7109375" style="7" hidden="1" customWidth="1" outlineLevel="1"/>
    <col min="18" max="18" width="19.28515625" style="7" hidden="1" customWidth="1" outlineLevel="1"/>
    <col min="19" max="19" width="2.7109375" style="1" customWidth="1" collapsed="1"/>
    <col min="20" max="27" width="14.85546875" style="1" customWidth="1"/>
    <col min="28" max="30" width="14.85546875" style="51" customWidth="1"/>
    <col min="31" max="151" width="14.85546875" style="1" customWidth="1"/>
    <col min="152" max="16384" width="2.85546875" style="1"/>
  </cols>
  <sheetData>
    <row r="1" spans="1:27" x14ac:dyDescent="0.2">
      <c r="A1" s="81"/>
      <c r="B1" s="88"/>
      <c r="C1" s="116"/>
      <c r="D1" s="122"/>
      <c r="E1" s="122"/>
      <c r="F1" s="8" t="s">
        <v>103</v>
      </c>
      <c r="G1" s="23" t="s">
        <v>23</v>
      </c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56"/>
      <c r="T1" s="56"/>
      <c r="U1" s="56"/>
      <c r="V1" s="56"/>
      <c r="W1" s="56"/>
      <c r="X1" s="56"/>
      <c r="Y1" s="56"/>
      <c r="Z1" s="56"/>
      <c r="AA1" s="56"/>
    </row>
    <row r="2" spans="1:27" x14ac:dyDescent="0.2">
      <c r="A2" s="81"/>
      <c r="B2" s="88"/>
      <c r="C2" s="3"/>
      <c r="D2" s="6"/>
      <c r="E2" s="6"/>
      <c r="F2" s="8" t="s">
        <v>104</v>
      </c>
      <c r="G2" s="23" t="str">
        <f>Currency&amp;CurveTenor</f>
        <v>AUD3M</v>
      </c>
      <c r="H2" s="81"/>
      <c r="I2" s="81"/>
      <c r="J2" s="81"/>
      <c r="K2" s="81"/>
      <c r="L2" s="81"/>
      <c r="M2" s="81"/>
      <c r="N2" s="6"/>
      <c r="O2" s="81"/>
      <c r="P2" s="6"/>
      <c r="Q2" s="81"/>
      <c r="R2" s="81"/>
      <c r="S2" s="56"/>
      <c r="T2" s="56"/>
      <c r="U2" s="2"/>
      <c r="V2" s="2"/>
      <c r="W2" s="2"/>
      <c r="X2" s="2"/>
      <c r="Y2" s="2"/>
      <c r="Z2" s="2"/>
      <c r="AA2" s="2"/>
    </row>
    <row r="3" spans="1:27" x14ac:dyDescent="0.2">
      <c r="A3" s="81"/>
      <c r="B3" s="88"/>
      <c r="C3" s="116"/>
      <c r="D3" s="122"/>
      <c r="E3" s="122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56"/>
      <c r="T3" s="56"/>
      <c r="U3" s="2"/>
      <c r="V3" s="2"/>
      <c r="W3" s="2"/>
      <c r="X3" s="2"/>
      <c r="Y3" s="2"/>
      <c r="Z3" s="2"/>
      <c r="AA3" s="2"/>
    </row>
    <row r="4" spans="1:27" x14ac:dyDescent="0.2">
      <c r="A4" s="81"/>
      <c r="B4" s="43"/>
      <c r="C4" s="44"/>
      <c r="D4" s="44"/>
      <c r="E4" s="44"/>
      <c r="F4" s="31" t="s">
        <v>51</v>
      </c>
      <c r="G4" s="31" t="s">
        <v>84</v>
      </c>
      <c r="H4" s="31" t="s">
        <v>100</v>
      </c>
      <c r="I4" s="31" t="s">
        <v>49</v>
      </c>
      <c r="J4" s="32" t="s">
        <v>48</v>
      </c>
      <c r="K4" s="32" t="s">
        <v>101</v>
      </c>
      <c r="L4" s="32" t="s">
        <v>102</v>
      </c>
      <c r="M4" s="81"/>
      <c r="N4" s="27" t="s">
        <v>85</v>
      </c>
      <c r="O4" s="81"/>
      <c r="P4" s="81"/>
      <c r="Q4" s="81"/>
      <c r="R4" s="81"/>
      <c r="S4" s="56"/>
      <c r="T4" s="56"/>
      <c r="U4" s="2"/>
      <c r="V4" s="2"/>
      <c r="W4" s="2"/>
      <c r="X4" s="2"/>
      <c r="Y4" s="2"/>
      <c r="Z4" s="2"/>
      <c r="AA4" s="2"/>
    </row>
    <row r="5" spans="1:27" x14ac:dyDescent="0.2">
      <c r="A5" s="81"/>
      <c r="B5" s="60">
        <f t="shared" ref="B5:B13" si="0">I5-EvaluationDate</f>
        <v>1</v>
      </c>
      <c r="C5" s="24" t="s">
        <v>15</v>
      </c>
      <c r="D5" s="33"/>
      <c r="E5" s="33"/>
      <c r="F5" s="33" t="s">
        <v>86</v>
      </c>
      <c r="G5" s="64">
        <f t="shared" ref="G5:G13" si="1">EvaluationDate</f>
        <v>41876</v>
      </c>
      <c r="H5" s="64">
        <f>EvaluationDate</f>
        <v>41876</v>
      </c>
      <c r="I5" s="64">
        <f>_xll.qlCalendarAdvance(Calendar,EvaluationDate,"1D","f",TRUE,Trigger)</f>
        <v>41877</v>
      </c>
      <c r="J5" s="72">
        <f>_xll.qlInterpolationInterpolate(N5,-2,TRUE)</f>
        <v>2.6836694482883006E-2</v>
      </c>
      <c r="K5" s="76" t="str">
        <f>Contribution!U5</f>
        <v>AUD3MOND=</v>
      </c>
      <c r="L5" s="77"/>
      <c r="M5" s="81"/>
      <c r="N5" s="23" t="str">
        <f>_xll.qlInterpolation(,InterpolationType,B7:B13,J7:J13,,Trigger)</f>
        <v>obj_003ed#0005</v>
      </c>
      <c r="O5" s="81"/>
      <c r="P5" s="81"/>
      <c r="Q5" s="81"/>
      <c r="R5" s="81"/>
      <c r="S5" s="56"/>
      <c r="T5" s="56"/>
      <c r="U5" s="2"/>
      <c r="V5" s="2"/>
      <c r="W5" s="2"/>
      <c r="X5" s="2"/>
      <c r="Y5" s="2"/>
      <c r="Z5" s="2"/>
      <c r="AA5" s="2"/>
    </row>
    <row r="6" spans="1:27" x14ac:dyDescent="0.2">
      <c r="A6" s="81"/>
      <c r="B6" s="61">
        <f t="shared" si="0"/>
        <v>2</v>
      </c>
      <c r="C6" s="25" t="s">
        <v>16</v>
      </c>
      <c r="D6" s="35"/>
      <c r="E6" s="35"/>
      <c r="F6" s="35" t="s">
        <v>86</v>
      </c>
      <c r="G6" s="67">
        <f t="shared" si="1"/>
        <v>41876</v>
      </c>
      <c r="H6" s="67">
        <f>I5</f>
        <v>41877</v>
      </c>
      <c r="I6" s="67">
        <f>_xll.qlCalendarAdvance(Calendar,EvaluationDate,"2D","f",TRUE,Trigger)</f>
        <v>41878</v>
      </c>
      <c r="J6" s="71">
        <f>_xll.qlInterpolationInterpolate(N5,-1,TRUE)</f>
        <v>2.6837537833945151E-2</v>
      </c>
      <c r="K6" s="78" t="str">
        <f>Contribution!U6</f>
        <v>AUD3MTND=</v>
      </c>
      <c r="L6" s="79"/>
      <c r="M6" s="81"/>
      <c r="N6" s="8" t="s">
        <v>44</v>
      </c>
      <c r="O6" s="81"/>
      <c r="P6" s="81"/>
      <c r="Q6" s="117" t="s">
        <v>114</v>
      </c>
      <c r="R6" s="117" t="s">
        <v>115</v>
      </c>
      <c r="S6" s="56"/>
      <c r="T6" s="56"/>
      <c r="U6" s="2"/>
      <c r="V6" s="2"/>
      <c r="W6" s="2"/>
      <c r="X6" s="2"/>
      <c r="Y6" s="2"/>
      <c r="Z6" s="2"/>
      <c r="AA6" s="2"/>
    </row>
    <row r="7" spans="1:27" x14ac:dyDescent="0.2">
      <c r="A7" s="81"/>
      <c r="B7" s="60">
        <f t="shared" si="0"/>
        <v>1</v>
      </c>
      <c r="C7" s="24" t="s">
        <v>17</v>
      </c>
      <c r="D7" s="33"/>
      <c r="E7" s="33"/>
      <c r="F7" s="33" t="s">
        <v>88</v>
      </c>
      <c r="G7" s="64">
        <f t="shared" si="1"/>
        <v>41876</v>
      </c>
      <c r="H7" s="64">
        <f>_xll.qlInterestRateIndexValueDate(N7,G7,Trigger)</f>
        <v>41876</v>
      </c>
      <c r="I7" s="64">
        <f>_xll.qlInterestRateIndexMaturity(N7,H7,Trigger)</f>
        <v>41877</v>
      </c>
      <c r="J7" s="65">
        <f>_xll.qlIndexFixing(N7,G7,TRUE,InterestRatesTrigger)</f>
        <v>2.6839268403920924E-2</v>
      </c>
      <c r="K7" s="54" t="str">
        <f>Contribution!U7</f>
        <v>AUD3MSND=</v>
      </c>
      <c r="L7" s="54"/>
      <c r="M7" s="81"/>
      <c r="N7" s="34" t="str">
        <f>_xll.qlIborIndex(,"BBSW",IF(C7="SN","1D",IF(C7="SW","1W",C7)),0,Currency,Calendar,BDayConvention,FALSE,DayCounter,YieldCurve,,Trigger)</f>
        <v>obj_003a7#0001</v>
      </c>
      <c r="O7" s="81"/>
      <c r="P7" s="81"/>
      <c r="Q7" s="118" t="s">
        <v>116</v>
      </c>
      <c r="R7" s="118" t="s">
        <v>47</v>
      </c>
      <c r="S7" s="56"/>
      <c r="T7" s="56"/>
      <c r="U7" s="2"/>
      <c r="V7" s="2"/>
      <c r="W7" s="2"/>
      <c r="X7" s="2"/>
      <c r="Y7" s="2"/>
      <c r="Z7" s="2"/>
      <c r="AA7" s="2"/>
    </row>
    <row r="8" spans="1:27" x14ac:dyDescent="0.2">
      <c r="A8" s="81"/>
      <c r="B8" s="61">
        <f t="shared" si="0"/>
        <v>7</v>
      </c>
      <c r="C8" s="25" t="s">
        <v>18</v>
      </c>
      <c r="D8" s="35"/>
      <c r="E8" s="35"/>
      <c r="F8" s="35" t="s">
        <v>88</v>
      </c>
      <c r="G8" s="67">
        <f t="shared" si="1"/>
        <v>41876</v>
      </c>
      <c r="H8" s="67">
        <f>_xll.qlInterestRateIndexValueDate(N8,G8,Trigger)</f>
        <v>41876</v>
      </c>
      <c r="I8" s="67">
        <f>_xll.qlInterestRateIndexMaturity(N8,H8,Trigger)</f>
        <v>41883</v>
      </c>
      <c r="J8" s="66">
        <f>_xll.qlIndexFixing(N8,G8,TRUE,InterestRatesTrigger)</f>
        <v>2.6844179359598753E-2</v>
      </c>
      <c r="K8" s="53" t="str">
        <f>Contribution!U8</f>
        <v>AUD3MSWD=</v>
      </c>
      <c r="L8" s="53"/>
      <c r="M8" s="81"/>
      <c r="N8" s="36" t="str">
        <f>_xll.qlIborIndex(,"BBSW",IF(C8="SN","1D",IF(C8="SW","1W",C8)),0,Currency,Calendar,BDayConvention,FALSE,DayCounter,YieldCurve,,Trigger)</f>
        <v>obj_003aa#0001</v>
      </c>
      <c r="O8" s="81"/>
      <c r="P8" s="81"/>
      <c r="Q8" s="81"/>
      <c r="R8" s="81"/>
      <c r="S8" s="56"/>
      <c r="T8" s="56"/>
      <c r="U8" s="2"/>
      <c r="V8" s="2"/>
      <c r="W8" s="2"/>
      <c r="X8" s="2"/>
      <c r="Y8" s="2"/>
      <c r="Z8" s="2"/>
      <c r="AA8" s="2"/>
    </row>
    <row r="9" spans="1:27" x14ac:dyDescent="0.2">
      <c r="A9" s="81"/>
      <c r="B9" s="61">
        <f t="shared" si="0"/>
        <v>14</v>
      </c>
      <c r="C9" s="25" t="s">
        <v>19</v>
      </c>
      <c r="D9" s="35"/>
      <c r="E9" s="35"/>
      <c r="F9" s="35" t="s">
        <v>88</v>
      </c>
      <c r="G9" s="67">
        <f t="shared" si="1"/>
        <v>41876</v>
      </c>
      <c r="H9" s="67">
        <f>_xll.qlInterestRateIndexValueDate(N9,G9,Trigger)</f>
        <v>41876</v>
      </c>
      <c r="I9" s="67">
        <f>_xll.qlInterestRateIndexMaturity(N9,H9,Trigger)</f>
        <v>41890</v>
      </c>
      <c r="J9" s="66">
        <f>_xll.qlIndexFixing(N9,G9,TRUE,InterestRatesTrigger)</f>
        <v>2.6847993299657605E-2</v>
      </c>
      <c r="K9" s="53" t="str">
        <f>Contribution!U9</f>
        <v>AUD3M2WD=</v>
      </c>
      <c r="L9" s="53"/>
      <c r="M9" s="81"/>
      <c r="N9" s="36" t="str">
        <f>_xll.qlIborIndex(,"BBSW",IF(C9="SN","1D",IF(C9="SW","1W",C9)),0,Currency,Calendar,BDayConvention,FALSE,DayCounter,YieldCurve,,Trigger)</f>
        <v>obj_003d6#0001</v>
      </c>
      <c r="O9" s="81"/>
      <c r="P9" s="81"/>
      <c r="Q9" s="81"/>
      <c r="R9" s="81"/>
      <c r="S9" s="56"/>
      <c r="T9" s="56"/>
      <c r="U9" s="2"/>
      <c r="V9" s="2"/>
      <c r="W9" s="2"/>
      <c r="X9" s="2"/>
      <c r="Y9" s="2"/>
      <c r="Z9" s="2"/>
      <c r="AA9" s="2"/>
    </row>
    <row r="10" spans="1:27" x14ac:dyDescent="0.2">
      <c r="A10" s="81"/>
      <c r="B10" s="61">
        <f t="shared" si="0"/>
        <v>21</v>
      </c>
      <c r="C10" s="25" t="s">
        <v>20</v>
      </c>
      <c r="D10" s="35"/>
      <c r="E10" s="35"/>
      <c r="F10" s="35" t="s">
        <v>88</v>
      </c>
      <c r="G10" s="67">
        <f t="shared" si="1"/>
        <v>41876</v>
      </c>
      <c r="H10" s="67">
        <f>_xll.qlInterestRateIndexValueDate(N10,G10,Trigger)</f>
        <v>41876</v>
      </c>
      <c r="I10" s="67">
        <f>_xll.qlInterestRateIndexMaturity(N10,H10,Trigger)</f>
        <v>41897</v>
      </c>
      <c r="J10" s="66">
        <f>_xll.qlIndexFixing(N10,G10,TRUE,InterestRatesTrigger)</f>
        <v>2.6849741350058385E-2</v>
      </c>
      <c r="K10" s="53" t="str">
        <f>Contribution!U10</f>
        <v>AUD3M3WD=</v>
      </c>
      <c r="L10" s="53"/>
      <c r="M10" s="81"/>
      <c r="N10" s="36" t="str">
        <f>_xll.qlIborIndex(,"BBSW",IF(C10="SN","1D",IF(C10="SW","1W",C10)),0,Currency,Calendar,BDayConvention,FALSE,DayCounter,YieldCurve,,Trigger)</f>
        <v>obj_003d9#0001</v>
      </c>
      <c r="O10" s="81"/>
      <c r="P10" s="81"/>
      <c r="Q10" s="81"/>
      <c r="R10" s="81"/>
      <c r="S10" s="56"/>
      <c r="T10" s="56"/>
      <c r="U10" s="2"/>
      <c r="V10" s="2"/>
      <c r="W10" s="2"/>
      <c r="X10" s="2"/>
      <c r="Y10" s="2"/>
      <c r="Z10" s="2"/>
      <c r="AA10" s="2"/>
    </row>
    <row r="11" spans="1:27" x14ac:dyDescent="0.2">
      <c r="A11" s="81"/>
      <c r="B11" s="61">
        <f t="shared" si="0"/>
        <v>31</v>
      </c>
      <c r="C11" s="25" t="s">
        <v>21</v>
      </c>
      <c r="D11" s="35"/>
      <c r="E11" s="35"/>
      <c r="F11" s="35" t="s">
        <v>88</v>
      </c>
      <c r="G11" s="67">
        <f t="shared" si="1"/>
        <v>41876</v>
      </c>
      <c r="H11" s="67">
        <f>_xll.qlInterestRateIndexValueDate(N11,G11,Trigger)</f>
        <v>41876</v>
      </c>
      <c r="I11" s="67">
        <f>_xll.qlInterestRateIndexMaturity(N11,H11,Trigger)</f>
        <v>41907</v>
      </c>
      <c r="J11" s="66">
        <f>_xll.qlIndexFixing(N11,G11,TRUE,InterestRatesTrigger)</f>
        <v>2.6848648560360181E-2</v>
      </c>
      <c r="K11" s="53" t="str">
        <f>Contribution!U11</f>
        <v>AUD3M1MD=</v>
      </c>
      <c r="L11" s="53"/>
      <c r="M11" s="81"/>
      <c r="N11" s="36" t="str">
        <f>_xll.qlIborIndex(,"BBSW",IF(C11="SN","1D",IF(C11="SW","1W",C11)),0,Currency,Calendar,BDayConvention,FALSE,DayCounter,YieldCurve,,Trigger)</f>
        <v>obj_0039b#0001</v>
      </c>
      <c r="O11" s="81"/>
      <c r="P11" s="81"/>
      <c r="Q11" s="81"/>
      <c r="R11" s="81"/>
      <c r="S11" s="56"/>
      <c r="T11" s="56"/>
      <c r="U11" s="2"/>
      <c r="V11" s="2"/>
      <c r="W11" s="2"/>
      <c r="X11" s="2"/>
      <c r="Y11" s="2"/>
      <c r="Z11" s="2"/>
      <c r="AA11" s="2"/>
    </row>
    <row r="12" spans="1:27" x14ac:dyDescent="0.2">
      <c r="A12" s="81"/>
      <c r="B12" s="61">
        <f t="shared" si="0"/>
        <v>63</v>
      </c>
      <c r="C12" s="25" t="s">
        <v>22</v>
      </c>
      <c r="D12" s="35"/>
      <c r="E12" s="35"/>
      <c r="F12" s="35" t="s">
        <v>88</v>
      </c>
      <c r="G12" s="67">
        <f t="shared" si="1"/>
        <v>41876</v>
      </c>
      <c r="H12" s="67">
        <f>_xll.qlInterestRateIndexValueDate(N12,G12,Trigger)</f>
        <v>41876</v>
      </c>
      <c r="I12" s="67">
        <f>_xll.qlInterestRateIndexMaturity(N12,H12,Trigger)</f>
        <v>41939</v>
      </c>
      <c r="J12" s="66">
        <f>_xll.qlIndexFixing(N12,G12,TRUE,InterestRatesTrigger)</f>
        <v>2.6816667588776058E-2</v>
      </c>
      <c r="K12" s="53" t="str">
        <f>Contribution!U12</f>
        <v>AUD3M2MD=</v>
      </c>
      <c r="L12" s="53"/>
      <c r="M12" s="81"/>
      <c r="N12" s="36" t="str">
        <f>_xll.qlIborIndex(,"BBSW",IF(C12="SN","1D",IF(C12="SW","1W",C12)),0,Currency,Calendar,BDayConvention,FALSE,DayCounter,YieldCurve,,Trigger)</f>
        <v>obj_003ae#0001</v>
      </c>
      <c r="O12" s="81"/>
      <c r="P12" s="81"/>
      <c r="Q12" s="81"/>
      <c r="R12" s="81"/>
      <c r="S12" s="56"/>
      <c r="T12" s="56"/>
      <c r="U12" s="2"/>
      <c r="V12" s="2"/>
      <c r="W12" s="2"/>
      <c r="X12" s="2"/>
      <c r="Y12" s="2"/>
      <c r="Z12" s="2"/>
      <c r="AA12" s="2"/>
    </row>
    <row r="13" spans="1:27" x14ac:dyDescent="0.2">
      <c r="A13" s="81"/>
      <c r="B13" s="61">
        <f t="shared" si="0"/>
        <v>92</v>
      </c>
      <c r="C13" s="25" t="s">
        <v>23</v>
      </c>
      <c r="D13" s="35"/>
      <c r="E13" s="35"/>
      <c r="F13" s="35" t="s">
        <v>88</v>
      </c>
      <c r="G13" s="67">
        <f t="shared" si="1"/>
        <v>41876</v>
      </c>
      <c r="H13" s="67">
        <f>_xll.qlInterestRateIndexValueDate(N13,G13,Trigger)</f>
        <v>41876</v>
      </c>
      <c r="I13" s="67">
        <f>_xll.qlInterestRateIndexMaturity(N13,H13,Trigger)</f>
        <v>41968</v>
      </c>
      <c r="J13" s="66">
        <f>_xll.qlIndexFixing(N13,G13,TRUE,InterestRatesTrigger)</f>
        <v>2.674999999999593E-2</v>
      </c>
      <c r="K13" s="53" t="str">
        <f>Contribution!U13</f>
        <v>AUD3M3MD=</v>
      </c>
      <c r="L13" s="53" t="str">
        <f>"AU"&amp;CurveTenor&amp;"BA"&amp;"="</f>
        <v>AU3MBA=</v>
      </c>
      <c r="M13" s="81"/>
      <c r="N13" s="45" t="str">
        <f>IborIndexFamily&amp;CurveTenor</f>
        <v>AudBBSW3M</v>
      </c>
      <c r="O13" s="81"/>
      <c r="P13" s="81"/>
      <c r="Q13" s="81"/>
      <c r="R13" s="81"/>
      <c r="S13" s="56"/>
      <c r="T13" s="56"/>
      <c r="U13" s="2"/>
      <c r="V13" s="2"/>
      <c r="W13" s="2"/>
      <c r="X13" s="2"/>
      <c r="Y13" s="2"/>
      <c r="Z13" s="2"/>
      <c r="AA13" s="2"/>
    </row>
    <row r="14" spans="1:27" x14ac:dyDescent="0.2">
      <c r="A14" s="81"/>
      <c r="B14" s="60"/>
      <c r="C14" s="24" t="str">
        <f>_xll.qlIMMcode(D14,Trigger)</f>
        <v>U4</v>
      </c>
      <c r="D14" s="143">
        <f t="array" ref="D14:D19">_xll.qlIMMNextDates(_xll.qlSettingsEvaluationDate(Trigger),E14:E19)</f>
        <v>41899</v>
      </c>
      <c r="E14" s="134" t="b">
        <v>1</v>
      </c>
      <c r="F14" s="134" t="s">
        <v>111</v>
      </c>
      <c r="G14" s="135">
        <f>_xll.qlInterestRateIndexFixingDate(IborIndex,H14)</f>
        <v>41899</v>
      </c>
      <c r="H14" s="135">
        <f>_xll.qlIMMdate(C14)</f>
        <v>41899</v>
      </c>
      <c r="I14" s="135">
        <f>_xll.qlInterestRateIndexMaturity(IborIndex,H14,Trigger)</f>
        <v>41990</v>
      </c>
      <c r="J14" s="136">
        <f>(1-_xll.qlIndexFixing(IborIndex,G14,TRUE,InterestRatesTrigger))*100</f>
        <v>97.34078712923575</v>
      </c>
      <c r="K14" s="137" t="str">
        <f>Contribution!U14</f>
        <v>AUD3MU4=</v>
      </c>
      <c r="L14" s="137" t="str">
        <f>"YBA"&amp;C14</f>
        <v>YBAU4</v>
      </c>
      <c r="M14" s="81"/>
      <c r="N14" s="82"/>
      <c r="O14" s="81"/>
      <c r="P14" s="81"/>
      <c r="Q14" s="81"/>
      <c r="R14" s="81"/>
      <c r="S14" s="56"/>
      <c r="T14" s="56"/>
      <c r="U14" s="2"/>
      <c r="V14" s="2"/>
      <c r="W14" s="2"/>
      <c r="X14" s="2"/>
      <c r="Y14" s="2"/>
      <c r="Z14" s="2"/>
      <c r="AA14" s="2"/>
    </row>
    <row r="15" spans="1:27" x14ac:dyDescent="0.2">
      <c r="A15" s="81"/>
      <c r="B15" s="41"/>
      <c r="C15" s="25" t="str">
        <f>_xll.qlIMMcode(D15,Trigger)</f>
        <v>Z4</v>
      </c>
      <c r="D15" s="144">
        <v>41990</v>
      </c>
      <c r="E15" s="138" t="b">
        <v>1</v>
      </c>
      <c r="F15" s="138" t="s">
        <v>111</v>
      </c>
      <c r="G15" s="139">
        <f>_xll.qlInterestRateIndexFixingDate(IborIndex,H15)</f>
        <v>41990</v>
      </c>
      <c r="H15" s="139">
        <f>_xll.qlIMMdate(C15)</f>
        <v>41990</v>
      </c>
      <c r="I15" s="139">
        <f>_xll.qlInterestRateIndexMaturity(IborIndex,H15,Trigger)</f>
        <v>42080</v>
      </c>
      <c r="J15" s="140">
        <f>(1-_xll.qlIndexFixing(IborIndex,G15,TRUE,InterestRatesTrigger))*100</f>
        <v>97.395000000266904</v>
      </c>
      <c r="K15" s="141" t="str">
        <f>Contribution!U15</f>
        <v>AUD3MZ4=</v>
      </c>
      <c r="L15" s="141" t="str">
        <f t="shared" ref="L15:L19" si="2">"YBA"&amp;C15</f>
        <v>YBAZ4</v>
      </c>
      <c r="M15" s="81"/>
      <c r="N15" s="81"/>
      <c r="O15" s="81"/>
      <c r="P15" s="81"/>
      <c r="Q15" s="81"/>
      <c r="R15" s="81"/>
      <c r="S15" s="56"/>
      <c r="T15" s="56"/>
      <c r="U15" s="2"/>
      <c r="V15" s="2"/>
      <c r="W15" s="2"/>
      <c r="X15" s="2"/>
      <c r="Y15" s="2"/>
      <c r="Z15" s="2"/>
      <c r="AA15" s="2"/>
    </row>
    <row r="16" spans="1:27" x14ac:dyDescent="0.2">
      <c r="A16" s="81"/>
      <c r="B16" s="41"/>
      <c r="C16" s="25" t="str">
        <f>_xll.qlIMMcode(D16,Trigger)</f>
        <v>H5</v>
      </c>
      <c r="D16" s="144">
        <v>42081</v>
      </c>
      <c r="E16" s="138" t="b">
        <v>1</v>
      </c>
      <c r="F16" s="138" t="s">
        <v>111</v>
      </c>
      <c r="G16" s="139">
        <f>_xll.qlInterestRateIndexFixingDate(IborIndex,H16)</f>
        <v>42081</v>
      </c>
      <c r="H16" s="139">
        <f>_xll.qlIMMdate(C16)</f>
        <v>42081</v>
      </c>
      <c r="I16" s="139">
        <f>_xll.qlInterestRateIndexMaturity(IborIndex,H16,Trigger)</f>
        <v>42173</v>
      </c>
      <c r="J16" s="140">
        <f>(1-_xll.qlIndexFixing(IborIndex,G16,TRUE,InterestRatesTrigger))*100</f>
        <v>97.395000000261362</v>
      </c>
      <c r="K16" s="141" t="str">
        <f>Contribution!U16</f>
        <v>AUD3MH5=</v>
      </c>
      <c r="L16" s="141" t="str">
        <f t="shared" si="2"/>
        <v>YBAH5</v>
      </c>
      <c r="M16" s="81"/>
      <c r="N16" s="122"/>
      <c r="O16" s="122"/>
      <c r="P16" s="122"/>
      <c r="Q16" s="122"/>
      <c r="R16" s="122"/>
      <c r="S16" s="56"/>
      <c r="T16" s="56"/>
      <c r="U16" s="2"/>
      <c r="V16" s="2"/>
      <c r="W16" s="2"/>
      <c r="X16" s="2"/>
      <c r="Y16" s="2"/>
      <c r="Z16" s="2"/>
      <c r="AA16" s="2"/>
    </row>
    <row r="17" spans="1:27" x14ac:dyDescent="0.2">
      <c r="A17" s="81"/>
      <c r="B17" s="41"/>
      <c r="C17" s="25" t="str">
        <f>_xll.qlIMMcode(D17,Trigger)</f>
        <v>M5</v>
      </c>
      <c r="D17" s="144">
        <v>42172</v>
      </c>
      <c r="E17" s="138" t="b">
        <v>1</v>
      </c>
      <c r="F17" s="138" t="s">
        <v>111</v>
      </c>
      <c r="G17" s="139">
        <f>_xll.qlInterestRateIndexFixingDate(IborIndex,H17)</f>
        <v>42172</v>
      </c>
      <c r="H17" s="139">
        <f>_xll.qlIMMdate(C17)</f>
        <v>42172</v>
      </c>
      <c r="I17" s="139">
        <f>_xll.qlInterestRateIndexMaturity(IborIndex,H17,Trigger)</f>
        <v>42264</v>
      </c>
      <c r="J17" s="140">
        <f>(1-_xll.qlIndexFixing(IborIndex,G17,TRUE,InterestRatesTrigger))*100</f>
        <v>97.350000000084279</v>
      </c>
      <c r="K17" s="141" t="str">
        <f>Contribution!U17</f>
        <v>AUD3MM5=</v>
      </c>
      <c r="L17" s="141" t="str">
        <f t="shared" si="2"/>
        <v>YBAM5</v>
      </c>
      <c r="M17" s="81"/>
      <c r="N17" s="122"/>
      <c r="O17" s="122"/>
      <c r="P17" s="122"/>
      <c r="Q17" s="122"/>
      <c r="R17" s="122"/>
      <c r="S17" s="56"/>
      <c r="T17" s="56"/>
      <c r="U17" s="2"/>
      <c r="V17" s="2"/>
      <c r="W17" s="2"/>
      <c r="X17" s="2"/>
      <c r="Y17" s="2"/>
      <c r="Z17" s="2"/>
      <c r="AA17" s="2"/>
    </row>
    <row r="18" spans="1:27" x14ac:dyDescent="0.2">
      <c r="A18" s="81"/>
      <c r="B18" s="41"/>
      <c r="C18" s="25" t="str">
        <f>_xll.qlIMMcode(D18,Trigger)</f>
        <v>U5</v>
      </c>
      <c r="D18" s="144">
        <v>42263</v>
      </c>
      <c r="E18" s="138" t="b">
        <v>1</v>
      </c>
      <c r="F18" s="138" t="s">
        <v>111</v>
      </c>
      <c r="G18" s="139">
        <f>_xll.qlInterestRateIndexFixingDate(IborIndex,H18)</f>
        <v>42263</v>
      </c>
      <c r="H18" s="139">
        <f>_xll.qlIMMdate(C18)</f>
        <v>42263</v>
      </c>
      <c r="I18" s="139">
        <f>_xll.qlInterestRateIndexMaturity(IborIndex,H18,Trigger)</f>
        <v>42354</v>
      </c>
      <c r="J18" s="140">
        <f>(1-_xll.qlIndexFixing(IborIndex,G18,TRUE,InterestRatesTrigger))*100</f>
        <v>97.27499999999992</v>
      </c>
      <c r="K18" s="141" t="str">
        <f>Contribution!U18</f>
        <v>AUD3MU5=</v>
      </c>
      <c r="L18" s="141" t="str">
        <f t="shared" si="2"/>
        <v>YBAU5</v>
      </c>
      <c r="M18" s="81"/>
      <c r="N18" s="122"/>
      <c r="O18" s="122"/>
      <c r="P18" s="122"/>
      <c r="Q18" s="122"/>
      <c r="R18" s="122"/>
      <c r="S18" s="56"/>
      <c r="T18" s="56"/>
      <c r="U18" s="2"/>
      <c r="V18" s="2"/>
      <c r="W18" s="2"/>
      <c r="X18" s="2"/>
      <c r="Y18" s="2"/>
      <c r="Z18" s="2"/>
      <c r="AA18" s="2"/>
    </row>
    <row r="19" spans="1:27" x14ac:dyDescent="0.2">
      <c r="A19" s="81"/>
      <c r="B19" s="42"/>
      <c r="C19" s="26" t="str">
        <f>_xll.qlIMMcode(D19,Trigger)</f>
        <v>Z5</v>
      </c>
      <c r="D19" s="144">
        <v>42354</v>
      </c>
      <c r="E19" s="138" t="b">
        <v>1</v>
      </c>
      <c r="F19" s="138" t="s">
        <v>111</v>
      </c>
      <c r="G19" s="139">
        <f>_xll.qlInterestRateIndexFixingDate(IborIndex,H19)</f>
        <v>42354</v>
      </c>
      <c r="H19" s="139">
        <f>_xll.qlIMMdate(C19)</f>
        <v>42354</v>
      </c>
      <c r="I19" s="139">
        <f>_xll.qlInterestRateIndexMaturity(IborIndex,H19,Trigger)</f>
        <v>42445</v>
      </c>
      <c r="J19" s="142">
        <f>(1-_xll.qlIndexFixing(IborIndex,G19,TRUE,InterestRatesTrigger))*100</f>
        <v>97.212178323962746</v>
      </c>
      <c r="K19" s="141" t="str">
        <f>Contribution!U19</f>
        <v>AUD3MZ5=</v>
      </c>
      <c r="L19" s="141" t="str">
        <f t="shared" si="2"/>
        <v>YBAZ5</v>
      </c>
      <c r="M19" s="81"/>
      <c r="N19" s="121" t="s">
        <v>50</v>
      </c>
      <c r="O19" s="123"/>
      <c r="P19" s="117" t="s">
        <v>45</v>
      </c>
      <c r="Q19" s="117" t="s">
        <v>105</v>
      </c>
      <c r="R19" s="117" t="s">
        <v>46</v>
      </c>
      <c r="S19" s="56"/>
      <c r="T19" s="56"/>
      <c r="U19" s="2"/>
      <c r="V19" s="2"/>
      <c r="W19" s="2"/>
      <c r="X19" s="2"/>
      <c r="Y19" s="2"/>
      <c r="Z19" s="2"/>
      <c r="AA19" s="2"/>
    </row>
    <row r="20" spans="1:27" x14ac:dyDescent="0.2">
      <c r="A20" s="81"/>
      <c r="B20" s="40"/>
      <c r="C20" s="24" t="s">
        <v>29</v>
      </c>
      <c r="D20" s="33"/>
      <c r="E20" s="33"/>
      <c r="F20" s="33" t="s">
        <v>87</v>
      </c>
      <c r="G20" s="64">
        <f t="shared" ref="G20:G21" si="3">EvaluationDate</f>
        <v>41876</v>
      </c>
      <c r="H20" s="64">
        <f>_xll.qlInterestRateIndexValueDate(N20,G20,Trigger)</f>
        <v>41877</v>
      </c>
      <c r="I20" s="64">
        <f>_xll.qlInterestRateIndexMaturity(N20,H20,Trigger)</f>
        <v>42242</v>
      </c>
      <c r="J20" s="65">
        <f>_xll.qlIndexFixing(N20,G20,TRUE,InterestRatesTrigger)</f>
        <v>2.6225000000469699E-2</v>
      </c>
      <c r="K20" s="54" t="str">
        <f>Contribution!U20</f>
        <v>AUD3M1Y=</v>
      </c>
      <c r="L20" s="76" t="str">
        <f>Currency&amp;"QM3AB"&amp;C20&amp;"=ICAA"</f>
        <v>AUDQM3AB1Y=ICAA</v>
      </c>
      <c r="M20" s="81"/>
      <c r="N20" s="36" t="str">
        <f>_xll.qlSwapIndex(,"BBSW",C20,SettlementDays,Currency,Calendar,FixedLegTenor,FixedLegBDC,FixedLegDayCounter,IborIndex,DiscountingCurve,,Trigger)</f>
        <v>obj_003c4#0001</v>
      </c>
      <c r="O20" s="81"/>
      <c r="P20" s="36" t="s">
        <v>23</v>
      </c>
      <c r="Q20" s="36" t="s">
        <v>81</v>
      </c>
      <c r="R20" s="36" t="s">
        <v>47</v>
      </c>
      <c r="S20" s="56"/>
      <c r="T20" s="56"/>
      <c r="U20" s="2"/>
      <c r="V20" s="2"/>
      <c r="W20" s="2"/>
      <c r="X20" s="2"/>
      <c r="Y20" s="2"/>
      <c r="Z20" s="2"/>
      <c r="AA20" s="2"/>
    </row>
    <row r="21" spans="1:27" x14ac:dyDescent="0.2">
      <c r="A21" s="81"/>
      <c r="B21" s="41"/>
      <c r="C21" s="25" t="s">
        <v>93</v>
      </c>
      <c r="D21" s="35"/>
      <c r="E21" s="35"/>
      <c r="F21" s="35" t="s">
        <v>87</v>
      </c>
      <c r="G21" s="67">
        <f t="shared" si="3"/>
        <v>41876</v>
      </c>
      <c r="H21" s="67">
        <f>_xll.qlInterestRateIndexValueDate(N21,G21,Trigger)</f>
        <v>41877</v>
      </c>
      <c r="I21" s="67">
        <f>_xll.qlInterestRateIndexMaturity(N21,H21,Trigger)</f>
        <v>42426</v>
      </c>
      <c r="J21" s="66">
        <f>_xll.qlIndexFixing(N21,G21,TRUE,InterestRatesTrigger)</f>
        <v>2.6662666105286732E-2</v>
      </c>
      <c r="K21" s="53"/>
      <c r="L21" s="78"/>
      <c r="M21" s="81"/>
      <c r="N21" s="36" t="str">
        <f>_xll.qlSwapIndex(,"BBSW",C21,SettlementDays,Currency,Calendar,FixedLegTenor,FixedLegBDC,FixedLegDayCounter,IborIndex,DiscountingCurve,,Trigger)</f>
        <v>obj_00399#0001</v>
      </c>
      <c r="O21" s="81"/>
      <c r="P21" s="82"/>
      <c r="Q21" s="82"/>
      <c r="R21" s="82"/>
      <c r="S21" s="56"/>
      <c r="T21" s="56"/>
      <c r="U21" s="2"/>
      <c r="V21" s="2"/>
      <c r="W21" s="2"/>
      <c r="X21" s="2"/>
      <c r="Y21" s="2"/>
      <c r="Z21" s="2"/>
      <c r="AA21" s="2"/>
    </row>
    <row r="22" spans="1:27" x14ac:dyDescent="0.2">
      <c r="A22" s="81"/>
      <c r="B22" s="41"/>
      <c r="C22" s="25" t="s">
        <v>30</v>
      </c>
      <c r="D22" s="35"/>
      <c r="E22" s="35"/>
      <c r="F22" s="35" t="s">
        <v>87</v>
      </c>
      <c r="G22" s="67">
        <f t="shared" ref="G22:G35" si="4">EvaluationDate</f>
        <v>41876</v>
      </c>
      <c r="H22" s="67">
        <f>_xll.qlInterestRateIndexValueDate(N22,G22,Trigger)</f>
        <v>41877</v>
      </c>
      <c r="I22" s="67">
        <f>_xll.qlInterestRateIndexMaturity(N22,H22,Trigger)</f>
        <v>42608</v>
      </c>
      <c r="J22" s="66">
        <f>_xll.qlIndexFixing(N22,G22,TRUE,InterestRatesTrigger)</f>
        <v>2.7349999998858926E-2</v>
      </c>
      <c r="K22" s="53" t="str">
        <f>Contribution!U22</f>
        <v>AUD3M2Y=</v>
      </c>
      <c r="L22" s="78" t="str">
        <f>Currency&amp;"QM3AB"&amp;C22&amp;"=ICAA"</f>
        <v>AUDQM3AB2Y=ICAA</v>
      </c>
      <c r="M22" s="81"/>
      <c r="N22" s="36" t="str">
        <f>_xll.qlSwapIndex(,"BBSW",C22,SettlementDays,Currency,Calendar,FixedLegTenor,FixedLegBDC,FixedLegDayCounter,IborIndex,DiscountingCurve,,Trigger)</f>
        <v>obj_003d3#0001</v>
      </c>
      <c r="O22" s="81"/>
      <c r="P22" s="122"/>
      <c r="Q22" s="122"/>
      <c r="R22" s="122"/>
      <c r="S22" s="56"/>
      <c r="T22" s="56"/>
      <c r="U22" s="2"/>
      <c r="V22" s="2"/>
      <c r="W22" s="2"/>
      <c r="X22" s="2"/>
      <c r="Y22" s="2"/>
      <c r="Z22" s="2"/>
      <c r="AA22" s="2"/>
    </row>
    <row r="23" spans="1:27" x14ac:dyDescent="0.2">
      <c r="A23" s="81"/>
      <c r="B23" s="41"/>
      <c r="C23" s="25" t="s">
        <v>31</v>
      </c>
      <c r="D23" s="35"/>
      <c r="E23" s="35"/>
      <c r="F23" s="35" t="s">
        <v>87</v>
      </c>
      <c r="G23" s="67">
        <f t="shared" si="4"/>
        <v>41876</v>
      </c>
      <c r="H23" s="67">
        <f>_xll.qlInterestRateIndexValueDate(N23,G23,Trigger)</f>
        <v>41877</v>
      </c>
      <c r="I23" s="67">
        <f>_xll.qlInterestRateIndexMaturity(N23,H23,Trigger)</f>
        <v>42975</v>
      </c>
      <c r="J23" s="66">
        <f>_xll.qlIndexFixing(N23,G23,TRUE,InterestRatesTrigger)</f>
        <v>2.8899999999156812E-2</v>
      </c>
      <c r="K23" s="53" t="str">
        <f>Contribution!U23</f>
        <v>AUD3M3Y=</v>
      </c>
      <c r="L23" s="78" t="str">
        <f>Currency&amp;"QM3AB"&amp;C23&amp;"=ICAA"</f>
        <v>AUDQM3AB3Y=ICAA</v>
      </c>
      <c r="M23" s="81"/>
      <c r="N23" s="36" t="str">
        <f>_xll.qlSwapIndex(,"BBSW",C23,SettlementDays,Currency,Calendar,FixedLegTenor,FixedLegBDC,FixedLegDayCounter,IborIndex,DiscountingCurve,,Trigger)</f>
        <v>obj_003b6#0001</v>
      </c>
      <c r="O23" s="81"/>
      <c r="P23" s="81"/>
      <c r="Q23" s="81"/>
      <c r="R23" s="81"/>
      <c r="S23" s="56"/>
      <c r="T23" s="56"/>
      <c r="U23" s="2"/>
      <c r="V23" s="2"/>
      <c r="W23" s="2"/>
      <c r="X23" s="2"/>
      <c r="Y23" s="2"/>
      <c r="Z23" s="2"/>
      <c r="AA23" s="2"/>
    </row>
    <row r="24" spans="1:27" x14ac:dyDescent="0.2">
      <c r="A24" s="81"/>
      <c r="B24" s="41"/>
      <c r="C24" s="25" t="s">
        <v>32</v>
      </c>
      <c r="D24" s="35"/>
      <c r="E24" s="35"/>
      <c r="F24" s="35" t="s">
        <v>87</v>
      </c>
      <c r="G24" s="67">
        <f t="shared" si="4"/>
        <v>41876</v>
      </c>
      <c r="H24" s="67">
        <f>_xll.qlInterestRateIndexValueDate(N24,G24,Trigger)</f>
        <v>41877</v>
      </c>
      <c r="I24" s="67">
        <f>_xll.qlInterestRateIndexMaturity(N24,H24,Trigger)</f>
        <v>43339</v>
      </c>
      <c r="J24" s="66">
        <f>_xll.qlIndexFixing(N24,G24,TRUE,InterestRatesTrigger)</f>
        <v>3.0401179553076575E-2</v>
      </c>
      <c r="K24" s="53" t="str">
        <f>Contribution!U24</f>
        <v>AUD3M4Y=</v>
      </c>
      <c r="L24" s="78"/>
      <c r="M24" s="81"/>
      <c r="N24" s="36" t="str">
        <f>_xll.qlSwapIndex(,"BBSW",C24,SettlementDays,Currency,Calendar,FixedLegTenor,FixedLegBDC,FixedLegDayCounter,IborIndex,DiscountingCurve,,Trigger)</f>
        <v>obj_00390#0001</v>
      </c>
      <c r="O24" s="81"/>
      <c r="P24" s="81"/>
      <c r="Q24" s="81"/>
      <c r="R24" s="81"/>
      <c r="S24" s="56"/>
      <c r="T24" s="56"/>
      <c r="U24" s="2"/>
      <c r="V24" s="2"/>
      <c r="W24" s="2"/>
      <c r="X24" s="2"/>
      <c r="Y24" s="2"/>
      <c r="Z24" s="2"/>
      <c r="AA24" s="2"/>
    </row>
    <row r="25" spans="1:27" x14ac:dyDescent="0.2">
      <c r="A25" s="81"/>
      <c r="B25" s="41"/>
      <c r="C25" s="25" t="s">
        <v>33</v>
      </c>
      <c r="D25" s="35"/>
      <c r="E25" s="35"/>
      <c r="F25" s="35" t="s">
        <v>87</v>
      </c>
      <c r="G25" s="67">
        <f t="shared" si="4"/>
        <v>41876</v>
      </c>
      <c r="H25" s="67">
        <f>_xll.qlInterestRateIndexValueDate(N25,G25,Trigger)</f>
        <v>41877</v>
      </c>
      <c r="I25" s="67">
        <f>_xll.qlInterestRateIndexMaturity(N25,H25,Trigger)</f>
        <v>43703</v>
      </c>
      <c r="J25" s="66">
        <f>_xll.qlIndexFixing(N25,G25,TRUE,InterestRatesTrigger)</f>
        <v>3.1828152080302895E-2</v>
      </c>
      <c r="K25" s="53" t="str">
        <f>Contribution!U25</f>
        <v>AUD3M5Y=</v>
      </c>
      <c r="L25" s="53"/>
      <c r="M25" s="81"/>
      <c r="N25" s="36" t="str">
        <f>_xll.qlSwapIndex(,"BBSW",C25,SettlementDays,Currency,Calendar,FixedLegTenor,FixedLegBDC,FixedLegDayCounter,IborIndex,DiscountingCurve,,Trigger)</f>
        <v>obj_00392#0001</v>
      </c>
      <c r="O25" s="81"/>
      <c r="P25" s="81"/>
      <c r="Q25" s="81"/>
      <c r="R25" s="81"/>
      <c r="S25" s="56"/>
      <c r="T25" s="56"/>
      <c r="U25" s="2"/>
      <c r="V25" s="2"/>
      <c r="W25" s="2"/>
      <c r="X25" s="2"/>
      <c r="Y25" s="2"/>
      <c r="Z25" s="2"/>
      <c r="AA25" s="2"/>
    </row>
    <row r="26" spans="1:27" x14ac:dyDescent="0.2">
      <c r="A26" s="81"/>
      <c r="B26" s="41"/>
      <c r="C26" s="25" t="s">
        <v>34</v>
      </c>
      <c r="D26" s="35"/>
      <c r="E26" s="35"/>
      <c r="F26" s="35" t="s">
        <v>87</v>
      </c>
      <c r="G26" s="67">
        <f t="shared" si="4"/>
        <v>41876</v>
      </c>
      <c r="H26" s="67">
        <f>_xll.qlInterestRateIndexValueDate(N26,G26,Trigger)</f>
        <v>41877</v>
      </c>
      <c r="I26" s="67">
        <f>_xll.qlInterestRateIndexMaturity(N26,H26,Trigger)</f>
        <v>44069</v>
      </c>
      <c r="J26" s="66">
        <f>_xll.qlIndexFixing(N26,G26,TRUE,InterestRatesTrigger)</f>
        <v>3.3188131835733645E-2</v>
      </c>
      <c r="K26" s="53"/>
      <c r="L26" s="53"/>
      <c r="M26" s="81"/>
      <c r="N26" s="36" t="str">
        <f>_xll.qlSwapIndex(,"BBSW",C26,SettlementDays,Currency,Calendar,FixedLegTenor,FixedLegBDC,FixedLegDayCounter,IborIndex,DiscountingCurve,,Trigger)</f>
        <v>obj_003dc#0001</v>
      </c>
      <c r="O26" s="81"/>
      <c r="P26" s="81"/>
      <c r="Q26" s="81"/>
      <c r="R26" s="81"/>
      <c r="S26" s="56"/>
      <c r="T26" s="56"/>
      <c r="U26" s="2"/>
      <c r="V26" s="2"/>
      <c r="W26" s="2"/>
      <c r="X26" s="2"/>
      <c r="Y26" s="2"/>
      <c r="Z26" s="2"/>
      <c r="AA26" s="2"/>
    </row>
    <row r="27" spans="1:27" x14ac:dyDescent="0.2">
      <c r="A27" s="81"/>
      <c r="B27" s="41"/>
      <c r="C27" s="25" t="s">
        <v>35</v>
      </c>
      <c r="D27" s="35"/>
      <c r="E27" s="35"/>
      <c r="F27" s="35" t="s">
        <v>87</v>
      </c>
      <c r="G27" s="67">
        <f t="shared" si="4"/>
        <v>41876</v>
      </c>
      <c r="H27" s="67">
        <f>_xll.qlInterestRateIndexValueDate(N27,G27,Trigger)</f>
        <v>41877</v>
      </c>
      <c r="I27" s="67">
        <f>_xll.qlInterestRateIndexMaturity(N27,H27,Trigger)</f>
        <v>44434</v>
      </c>
      <c r="J27" s="66">
        <f>_xll.qlIndexFixing(N27,G27,TRUE,InterestRatesTrigger)</f>
        <v>3.4383094563247354E-2</v>
      </c>
      <c r="K27" s="53" t="str">
        <f>Contribution!U27</f>
        <v>AUD3M7Y=</v>
      </c>
      <c r="L27" s="53"/>
      <c r="M27" s="81"/>
      <c r="N27" s="36" t="str">
        <f>_xll.qlSwapIndex(,"BBSW",C27,SettlementDays,Currency,Calendar,FixedLegTenor,FixedLegBDC,FixedLegDayCounter,IborIndex,DiscountingCurve,,Trigger)</f>
        <v>obj_003ba#0001</v>
      </c>
      <c r="O27" s="81"/>
      <c r="P27" s="81"/>
      <c r="Q27" s="81"/>
      <c r="R27" s="81"/>
      <c r="S27" s="56"/>
      <c r="T27" s="56"/>
      <c r="U27" s="2"/>
      <c r="V27" s="2"/>
      <c r="W27" s="2"/>
      <c r="X27" s="2"/>
      <c r="Y27" s="2"/>
      <c r="Z27" s="2"/>
      <c r="AA27" s="2"/>
    </row>
    <row r="28" spans="1:27" x14ac:dyDescent="0.2">
      <c r="A28" s="81"/>
      <c r="B28" s="41"/>
      <c r="C28" s="25" t="s">
        <v>36</v>
      </c>
      <c r="D28" s="35"/>
      <c r="E28" s="35"/>
      <c r="F28" s="35" t="s">
        <v>87</v>
      </c>
      <c r="G28" s="67">
        <f t="shared" si="4"/>
        <v>41876</v>
      </c>
      <c r="H28" s="67">
        <f>_xll.qlInterestRateIndexValueDate(N28,G28,Trigger)</f>
        <v>41877</v>
      </c>
      <c r="I28" s="67">
        <f>_xll.qlInterestRateIndexMaturity(N28,H28,Trigger)</f>
        <v>44799</v>
      </c>
      <c r="J28" s="66">
        <f>_xll.qlIndexFixing(N28,G28,TRUE,InterestRatesTrigger)</f>
        <v>3.5382662263181527E-2</v>
      </c>
      <c r="K28" s="53"/>
      <c r="L28" s="53"/>
      <c r="M28" s="81"/>
      <c r="N28" s="36" t="str">
        <f>_xll.qlSwapIndex(,"BBSW",C28,SettlementDays,Currency,Calendar,FixedLegTenor,FixedLegBDC,FixedLegDayCounter,IborIndex,DiscountingCurve,,Trigger)</f>
        <v>obj_00394#0001</v>
      </c>
      <c r="O28" s="81"/>
      <c r="P28" s="81"/>
      <c r="Q28" s="81"/>
      <c r="R28" s="81"/>
      <c r="S28" s="56"/>
      <c r="T28" s="56"/>
      <c r="U28" s="2"/>
      <c r="V28" s="2"/>
      <c r="W28" s="2"/>
      <c r="X28" s="2"/>
      <c r="Y28" s="2"/>
      <c r="Z28" s="2"/>
      <c r="AA28" s="2"/>
    </row>
    <row r="29" spans="1:27" x14ac:dyDescent="0.2">
      <c r="A29" s="81"/>
      <c r="B29" s="41"/>
      <c r="C29" s="25" t="s">
        <v>37</v>
      </c>
      <c r="D29" s="35"/>
      <c r="E29" s="35"/>
      <c r="F29" s="35" t="s">
        <v>87</v>
      </c>
      <c r="G29" s="67">
        <f t="shared" si="4"/>
        <v>41876</v>
      </c>
      <c r="H29" s="67">
        <f>_xll.qlInterestRateIndexValueDate(N29,G29,Trigger)</f>
        <v>41877</v>
      </c>
      <c r="I29" s="67">
        <f>_xll.qlInterestRateIndexMaturity(N29,H29,Trigger)</f>
        <v>45166</v>
      </c>
      <c r="J29" s="66">
        <f>_xll.qlIndexFixing(N29,G29,TRUE,InterestRatesTrigger)</f>
        <v>3.6256620344358371E-2</v>
      </c>
      <c r="K29" s="53"/>
      <c r="L29" s="53"/>
      <c r="M29" s="81"/>
      <c r="N29" s="36" t="str">
        <f>_xll.qlSwapIndex(,"BBSW",C29,SettlementDays,Currency,Calendar,FixedLegTenor,FixedLegBDC,FixedLegDayCounter,IborIndex,DiscountingCurve,,Trigger)</f>
        <v>obj_003d0#0001</v>
      </c>
      <c r="O29" s="81"/>
      <c r="P29" s="81"/>
      <c r="Q29" s="81"/>
      <c r="R29" s="81"/>
      <c r="S29" s="56"/>
      <c r="T29" s="56"/>
      <c r="U29" s="2"/>
      <c r="V29" s="2"/>
      <c r="W29" s="2"/>
      <c r="X29" s="2"/>
      <c r="Y29" s="2"/>
      <c r="Z29" s="2"/>
      <c r="AA29" s="2"/>
    </row>
    <row r="30" spans="1:27" x14ac:dyDescent="0.2">
      <c r="A30" s="81"/>
      <c r="B30" s="41"/>
      <c r="C30" s="25" t="s">
        <v>38</v>
      </c>
      <c r="D30" s="35"/>
      <c r="E30" s="35"/>
      <c r="F30" s="35" t="s">
        <v>87</v>
      </c>
      <c r="G30" s="67">
        <f t="shared" si="4"/>
        <v>41876</v>
      </c>
      <c r="H30" s="67">
        <f>_xll.qlInterestRateIndexValueDate(N30,G30,Trigger)</f>
        <v>41877</v>
      </c>
      <c r="I30" s="67">
        <f>_xll.qlInterestRateIndexMaturity(N30,H30,Trigger)</f>
        <v>45530</v>
      </c>
      <c r="J30" s="66">
        <f>_xll.qlIndexFixing(N30,G30,TRUE,InterestRatesTrigger)</f>
        <v>3.7048618698306057E-2</v>
      </c>
      <c r="K30" s="53" t="str">
        <f>Contribution!U30</f>
        <v>AUD3M10Y=</v>
      </c>
      <c r="L30" s="53"/>
      <c r="M30" s="81"/>
      <c r="N30" s="36" t="str">
        <f>_xll.qlSwapIndex(,"BBSW",C30,SettlementDays,Currency,Calendar,FixedLegTenor,FixedLegBDC,FixedLegDayCounter,IborIndex,DiscountingCurve,,Trigger)</f>
        <v>obj_0039e#0001</v>
      </c>
      <c r="O30" s="81"/>
      <c r="P30" s="81"/>
      <c r="Q30" s="81"/>
      <c r="R30" s="81"/>
      <c r="S30" s="56"/>
      <c r="T30" s="56"/>
      <c r="U30" s="2"/>
      <c r="V30" s="2"/>
      <c r="W30" s="2"/>
      <c r="X30" s="2"/>
      <c r="Y30" s="2"/>
      <c r="Z30" s="2"/>
      <c r="AA30" s="2"/>
    </row>
    <row r="31" spans="1:27" x14ac:dyDescent="0.2">
      <c r="A31" s="81"/>
      <c r="B31" s="41"/>
      <c r="C31" s="25" t="s">
        <v>39</v>
      </c>
      <c r="D31" s="35"/>
      <c r="E31" s="35"/>
      <c r="F31" s="35" t="s">
        <v>87</v>
      </c>
      <c r="G31" s="67">
        <f t="shared" si="4"/>
        <v>41876</v>
      </c>
      <c r="H31" s="67">
        <f>_xll.qlInterestRateIndexValueDate(N31,G31,Trigger)</f>
        <v>41877</v>
      </c>
      <c r="I31" s="67">
        <f>_xll.qlInterestRateIndexMaturity(N31,H31,Trigger)</f>
        <v>46260</v>
      </c>
      <c r="J31" s="66">
        <f>_xll.qlIndexFixing(N31,G31,TRUE,InterestRatesTrigger)</f>
        <v>3.8461645277930244E-2</v>
      </c>
      <c r="K31" s="53" t="str">
        <f>Contribution!U31</f>
        <v>AUD3M12Y=</v>
      </c>
      <c r="L31" s="53"/>
      <c r="M31" s="81"/>
      <c r="N31" s="36" t="str">
        <f>_xll.qlSwapIndex(,"BBSW",C31,SettlementDays,Currency,Calendar,FixedLegTenor,FixedLegBDC,FixedLegDayCounter,IborIndex,DiscountingCurve,,Trigger)</f>
        <v>obj_003e8#0001</v>
      </c>
      <c r="O31" s="81"/>
      <c r="P31" s="81"/>
      <c r="Q31" s="81"/>
      <c r="R31" s="81"/>
      <c r="S31" s="56"/>
      <c r="T31" s="56"/>
      <c r="U31" s="2"/>
      <c r="V31" s="2"/>
      <c r="W31" s="2"/>
      <c r="X31" s="2"/>
      <c r="Y31" s="2"/>
      <c r="Z31" s="2"/>
      <c r="AA31" s="2"/>
    </row>
    <row r="32" spans="1:27" x14ac:dyDescent="0.2">
      <c r="A32" s="81"/>
      <c r="B32" s="41"/>
      <c r="C32" s="25" t="s">
        <v>40</v>
      </c>
      <c r="D32" s="35"/>
      <c r="E32" s="35"/>
      <c r="F32" s="35" t="s">
        <v>87</v>
      </c>
      <c r="G32" s="67">
        <f t="shared" si="4"/>
        <v>41876</v>
      </c>
      <c r="H32" s="67">
        <f>_xll.qlInterestRateIndexValueDate(N32,G32,Trigger)</f>
        <v>41877</v>
      </c>
      <c r="I32" s="67">
        <f>_xll.qlInterestRateIndexMaturity(N32,H32,Trigger)</f>
        <v>47357</v>
      </c>
      <c r="J32" s="66">
        <f>_xll.qlIndexFixing(N32,G32,TRUE,InterestRatesTrigger)</f>
        <v>3.9997877361190551E-2</v>
      </c>
      <c r="K32" s="53" t="str">
        <f>Contribution!U32</f>
        <v>AUD3M15Y=</v>
      </c>
      <c r="L32" s="53"/>
      <c r="M32" s="81"/>
      <c r="N32" s="36" t="str">
        <f>_xll.qlSwapIndex(,"BBSW",C32,SettlementDays,Currency,Calendar,FixedLegTenor,FixedLegBDC,FixedLegDayCounter,IborIndex,DiscountingCurve,,Trigger)</f>
        <v>obj_003b8#0001</v>
      </c>
      <c r="O32" s="81"/>
      <c r="P32" s="81"/>
      <c r="Q32" s="81"/>
      <c r="R32" s="81"/>
      <c r="S32" s="56"/>
      <c r="T32" s="56"/>
      <c r="U32" s="2"/>
      <c r="V32" s="2"/>
      <c r="W32" s="2"/>
      <c r="X32" s="2"/>
      <c r="Y32" s="2"/>
      <c r="Z32" s="2"/>
      <c r="AA32" s="2"/>
    </row>
    <row r="33" spans="1:27" x14ac:dyDescent="0.2">
      <c r="A33" s="81"/>
      <c r="B33" s="41"/>
      <c r="C33" s="25" t="s">
        <v>41</v>
      </c>
      <c r="D33" s="35"/>
      <c r="E33" s="35"/>
      <c r="F33" s="35" t="s">
        <v>87</v>
      </c>
      <c r="G33" s="67">
        <f t="shared" si="4"/>
        <v>41876</v>
      </c>
      <c r="H33" s="67">
        <f>_xll.qlInterestRateIndexValueDate(N33,G33,Trigger)</f>
        <v>41877</v>
      </c>
      <c r="I33" s="67">
        <f>_xll.qlInterestRateIndexMaturity(N33,H33,Trigger)</f>
        <v>49184</v>
      </c>
      <c r="J33" s="66">
        <f>_xll.qlIndexFixing(N33,G33,TRUE,InterestRatesTrigger)</f>
        <v>4.1583156032851266E-2</v>
      </c>
      <c r="K33" s="53" t="str">
        <f>Contribution!U33</f>
        <v>AUD3M20Y=</v>
      </c>
      <c r="L33" s="53"/>
      <c r="M33" s="81"/>
      <c r="N33" s="36" t="str">
        <f>_xll.qlSwapIndex(,"BBSW",C33,SettlementDays,Currency,Calendar,FixedLegTenor,FixedLegBDC,FixedLegDayCounter,IborIndex,DiscountingCurve,,Trigger)</f>
        <v>obj_003d8#0001</v>
      </c>
      <c r="O33" s="81"/>
      <c r="P33" s="81"/>
      <c r="Q33" s="81"/>
      <c r="R33" s="81"/>
      <c r="S33" s="56"/>
      <c r="T33" s="56"/>
      <c r="U33" s="2"/>
      <c r="V33" s="2"/>
      <c r="W33" s="2"/>
      <c r="X33" s="2"/>
      <c r="Y33" s="2"/>
      <c r="Z33" s="2"/>
      <c r="AA33" s="2"/>
    </row>
    <row r="34" spans="1:27" x14ac:dyDescent="0.2">
      <c r="A34" s="81"/>
      <c r="B34" s="41"/>
      <c r="C34" s="25" t="s">
        <v>42</v>
      </c>
      <c r="D34" s="35"/>
      <c r="E34" s="35"/>
      <c r="F34" s="35" t="s">
        <v>87</v>
      </c>
      <c r="G34" s="67">
        <f t="shared" si="4"/>
        <v>41876</v>
      </c>
      <c r="H34" s="67">
        <f>_xll.qlInterestRateIndexValueDate(N34,G34,Trigger)</f>
        <v>41877</v>
      </c>
      <c r="I34" s="67">
        <f>_xll.qlInterestRateIndexMaturity(N34,H34,Trigger)</f>
        <v>51008</v>
      </c>
      <c r="J34" s="66">
        <f>_xll.qlIndexFixing(N34,G34,TRUE,InterestRatesTrigger)</f>
        <v>4.2215087093401042E-2</v>
      </c>
      <c r="K34" s="53" t="str">
        <f>Contribution!U34</f>
        <v>AUD3M25Y=</v>
      </c>
      <c r="L34" s="53"/>
      <c r="M34" s="81"/>
      <c r="N34" s="36" t="str">
        <f>_xll.qlSwapIndex(,"BBSW",C34,SettlementDays,Currency,Calendar,FixedLegTenor,FixedLegBDC,FixedLegDayCounter,IborIndex,DiscountingCurve,,Trigger)</f>
        <v>obj_0038a#0001</v>
      </c>
      <c r="O34" s="81"/>
      <c r="P34" s="81"/>
      <c r="Q34" s="81"/>
      <c r="R34" s="81"/>
      <c r="S34" s="56"/>
      <c r="T34" s="56"/>
      <c r="U34" s="2"/>
      <c r="V34" s="2"/>
      <c r="W34" s="2"/>
      <c r="X34" s="2"/>
      <c r="Y34" s="2"/>
      <c r="Z34" s="2"/>
      <c r="AA34" s="2"/>
    </row>
    <row r="35" spans="1:27" x14ac:dyDescent="0.2">
      <c r="A35" s="81"/>
      <c r="B35" s="42"/>
      <c r="C35" s="26" t="s">
        <v>43</v>
      </c>
      <c r="D35" s="37"/>
      <c r="E35" s="37"/>
      <c r="F35" s="37" t="s">
        <v>87</v>
      </c>
      <c r="G35" s="68">
        <f t="shared" si="4"/>
        <v>41876</v>
      </c>
      <c r="H35" s="68">
        <f>_xll.qlInterestRateIndexValueDate(N35,G35,Trigger)</f>
        <v>41877</v>
      </c>
      <c r="I35" s="68">
        <f>_xll.qlInterestRateIndexMaturity(N35,H35,Trigger)</f>
        <v>52835</v>
      </c>
      <c r="J35" s="69">
        <f>_xll.qlIndexFixing(N35,G35,TRUE,InterestRatesTrigger)</f>
        <v>4.2499839187192752E-2</v>
      </c>
      <c r="K35" s="55" t="str">
        <f>Contribution!U35</f>
        <v>AUD3M30Y=</v>
      </c>
      <c r="L35" s="55"/>
      <c r="M35" s="81"/>
      <c r="N35" s="38" t="str">
        <f>_xll.qlSwapIndex(,"BBSW",C35,SettlementDays,Currency,Calendar,FixedLegTenor,FixedLegBDC,FixedLegDayCounter,IborIndex,DiscountingCurve,,Trigger)</f>
        <v>obj_003ab#0001</v>
      </c>
      <c r="O35" s="81"/>
      <c r="P35" s="81"/>
      <c r="Q35" s="81"/>
      <c r="R35" s="81"/>
      <c r="S35" s="56"/>
      <c r="T35" s="56"/>
      <c r="U35" s="2"/>
      <c r="V35" s="2"/>
      <c r="W35" s="2"/>
      <c r="X35" s="2"/>
      <c r="Y35" s="2"/>
      <c r="Z35" s="2"/>
      <c r="AA35" s="2"/>
    </row>
    <row r="36" spans="1:27" x14ac:dyDescent="0.2">
      <c r="A36" s="81"/>
      <c r="B36" s="89"/>
      <c r="C36" s="9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81"/>
      <c r="B37" s="88"/>
      <c r="C37" s="1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81"/>
      <c r="B38" s="11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81"/>
      <c r="B39" s="11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6"/>
      <c r="B40" s="11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6"/>
      <c r="B41" s="11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6"/>
      <c r="B42" s="11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6"/>
      <c r="B43" s="11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6"/>
      <c r="B44" s="11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6"/>
      <c r="B45" s="11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6"/>
      <c r="B46" s="1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6"/>
      <c r="B47" s="11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6"/>
      <c r="B48" s="11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6"/>
      <c r="B49" s="11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6"/>
      <c r="B50" s="11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6"/>
      <c r="B51" s="11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6"/>
      <c r="B52" s="11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6"/>
      <c r="B53" s="11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6"/>
      <c r="B54" s="11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6"/>
      <c r="B55" s="11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6"/>
      <c r="B56" s="11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6"/>
      <c r="B57" s="11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6"/>
      <c r="B58" s="11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6"/>
      <c r="B59" s="11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6"/>
      <c r="B60" s="11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6"/>
      <c r="B61" s="11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6"/>
      <c r="B62" s="11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6"/>
      <c r="B63" s="11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6"/>
      <c r="B64" s="11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6"/>
      <c r="B65" s="11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6"/>
      <c r="B66" s="11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6"/>
      <c r="B67" s="11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6"/>
      <c r="B68" s="11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6"/>
      <c r="B69" s="11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6"/>
      <c r="B70" s="11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6"/>
      <c r="B71" s="11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6"/>
      <c r="B72" s="11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6"/>
      <c r="B73" s="11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6"/>
      <c r="B74" s="11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6"/>
      <c r="B75" s="11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6"/>
      <c r="B76" s="11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6"/>
      <c r="B77" s="11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6"/>
      <c r="B78" s="11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6"/>
      <c r="B79" s="11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6"/>
      <c r="B80" s="11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6"/>
      <c r="B81" s="11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6"/>
      <c r="B82" s="11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6"/>
      <c r="B83" s="11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6"/>
      <c r="B84" s="11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6"/>
      <c r="B85" s="11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6"/>
      <c r="B86" s="11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6"/>
      <c r="B87" s="11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6"/>
      <c r="B88" s="11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6"/>
      <c r="B89" s="11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6"/>
      <c r="B90" s="11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6"/>
      <c r="B91" s="11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6"/>
      <c r="B92" s="11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6"/>
      <c r="B93" s="11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6"/>
      <c r="B94" s="11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6"/>
      <c r="B95" s="11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6"/>
      <c r="B96" s="11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2"/>
      <c r="T96" s="2"/>
      <c r="U96" s="2"/>
      <c r="V96" s="2"/>
      <c r="W96" s="2"/>
      <c r="X96" s="2"/>
      <c r="Y96" s="2"/>
      <c r="Z96" s="2"/>
      <c r="AA96" s="2"/>
    </row>
    <row r="97" spans="1:27" s="51" customFormat="1" x14ac:dyDescent="0.2">
      <c r="A97" s="6"/>
      <c r="B97" s="11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6"/>
      <c r="B98" s="11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6"/>
      <c r="B99" s="11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6"/>
      <c r="B100" s="11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2"/>
      <c r="T100" s="2"/>
      <c r="U100" s="2"/>
      <c r="V100" s="2"/>
      <c r="W100" s="2"/>
      <c r="X100" s="2"/>
      <c r="Y100" s="2"/>
      <c r="Z100" s="2"/>
      <c r="AA100" s="2"/>
    </row>
  </sheetData>
  <dataValidations count="2">
    <dataValidation type="list" allowBlank="1" showInputMessage="1" showErrorMessage="1" sqref="R20 R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Q20 Q7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ignoredErrors>
    <ignoredError sqref="B8:B13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1" customWidth="1"/>
    <col min="2" max="2" width="4" style="12" bestFit="1" customWidth="1"/>
    <col min="3" max="3" width="4" style="5" bestFit="1" customWidth="1"/>
    <col min="4" max="4" width="15.140625" style="7" bestFit="1" customWidth="1"/>
    <col min="5" max="7" width="17.28515625" style="7" bestFit="1" customWidth="1"/>
    <col min="8" max="8" width="8" style="7" bestFit="1" customWidth="1"/>
    <col min="9" max="9" width="17.28515625" style="1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5" width="30.7109375" style="1" hidden="1" customWidth="1" outlineLevel="1"/>
    <col min="16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51" customWidth="1"/>
    <col min="27" max="29" width="27.28515625" style="13" customWidth="1"/>
    <col min="30" max="82" width="27.28515625" style="1" customWidth="1"/>
    <col min="83" max="16384" width="2.85546875" style="1"/>
  </cols>
  <sheetData>
    <row r="1" spans="1:25" x14ac:dyDescent="0.2">
      <c r="A1" s="4"/>
      <c r="B1" s="88"/>
      <c r="C1" s="4"/>
      <c r="D1" s="27" t="s">
        <v>103</v>
      </c>
      <c r="E1" s="39" t="s">
        <v>14</v>
      </c>
      <c r="F1" s="81"/>
      <c r="G1" s="81"/>
      <c r="H1" s="81"/>
      <c r="I1" s="56"/>
      <c r="J1" s="81"/>
      <c r="K1" s="81"/>
      <c r="L1" s="81"/>
      <c r="M1" s="81"/>
      <c r="N1" s="81"/>
      <c r="O1" s="81"/>
      <c r="P1" s="81"/>
      <c r="Q1" s="81"/>
      <c r="R1" s="56"/>
      <c r="S1" s="2"/>
      <c r="T1" s="2"/>
      <c r="U1" s="2"/>
      <c r="V1" s="2"/>
      <c r="W1" s="2"/>
      <c r="X1" s="2"/>
      <c r="Y1" s="2"/>
    </row>
    <row r="2" spans="1:25" x14ac:dyDescent="0.2">
      <c r="A2" s="4"/>
      <c r="B2" s="88"/>
      <c r="C2" s="3"/>
      <c r="D2" s="27" t="s">
        <v>104</v>
      </c>
      <c r="E2" s="23" t="str">
        <f>Currency&amp;CurveTenor</f>
        <v>AUD6M</v>
      </c>
      <c r="F2" s="81"/>
      <c r="G2" s="81"/>
      <c r="H2" s="81"/>
      <c r="I2" s="56"/>
      <c r="J2" s="6"/>
      <c r="K2" s="6"/>
      <c r="L2" s="81"/>
      <c r="M2" s="6"/>
      <c r="N2" s="81"/>
      <c r="O2" s="81"/>
      <c r="P2" s="81"/>
      <c r="Q2" s="81"/>
      <c r="R2" s="56"/>
      <c r="S2" s="2"/>
      <c r="T2" s="2"/>
      <c r="U2" s="2"/>
      <c r="V2" s="2"/>
      <c r="W2" s="2"/>
      <c r="X2" s="2"/>
      <c r="Y2" s="2"/>
    </row>
    <row r="3" spans="1:25" x14ac:dyDescent="0.2">
      <c r="A3" s="4"/>
      <c r="B3" s="88"/>
      <c r="C3" s="4"/>
      <c r="D3" s="81"/>
      <c r="E3" s="81"/>
      <c r="F3" s="81"/>
      <c r="G3" s="81"/>
      <c r="H3" s="81"/>
      <c r="I3" s="56"/>
      <c r="J3" s="81"/>
      <c r="K3" s="81"/>
      <c r="L3" s="81"/>
      <c r="M3" s="81"/>
      <c r="N3" s="81"/>
      <c r="O3" s="81"/>
      <c r="P3" s="81"/>
      <c r="Q3" s="81"/>
      <c r="R3" s="56"/>
      <c r="S3" s="2"/>
      <c r="T3" s="2"/>
      <c r="U3" s="2"/>
      <c r="V3" s="2"/>
      <c r="W3" s="2"/>
      <c r="X3" s="2"/>
      <c r="Y3" s="2"/>
    </row>
    <row r="4" spans="1:25" x14ac:dyDescent="0.2">
      <c r="A4" s="4"/>
      <c r="B4" s="43"/>
      <c r="C4" s="44"/>
      <c r="D4" s="31" t="s">
        <v>51</v>
      </c>
      <c r="E4" s="31" t="s">
        <v>84</v>
      </c>
      <c r="F4" s="31" t="s">
        <v>100</v>
      </c>
      <c r="G4" s="31" t="s">
        <v>49</v>
      </c>
      <c r="H4" s="32" t="s">
        <v>48</v>
      </c>
      <c r="I4" s="31" t="s">
        <v>101</v>
      </c>
      <c r="J4" s="31" t="s">
        <v>102</v>
      </c>
      <c r="K4" s="56"/>
      <c r="L4" s="27" t="s">
        <v>85</v>
      </c>
      <c r="M4" s="4"/>
      <c r="N4" s="81"/>
      <c r="O4" s="81"/>
      <c r="P4" s="81"/>
      <c r="Q4" s="56"/>
      <c r="R4" s="56"/>
      <c r="S4" s="2"/>
      <c r="T4" s="2"/>
      <c r="U4" s="2"/>
      <c r="V4" s="2"/>
      <c r="W4" s="2"/>
      <c r="X4" s="2"/>
      <c r="Y4" s="2"/>
    </row>
    <row r="5" spans="1:25" x14ac:dyDescent="0.2">
      <c r="A5" s="4"/>
      <c r="B5" s="60">
        <f t="shared" ref="B5:B16" si="0">G5-EvaluationDate</f>
        <v>1</v>
      </c>
      <c r="C5" s="24" t="s">
        <v>15</v>
      </c>
      <c r="D5" s="33" t="s">
        <v>86</v>
      </c>
      <c r="E5" s="64">
        <f t="shared" ref="E5:E16" si="1">EvaluationDate</f>
        <v>41876</v>
      </c>
      <c r="F5" s="64">
        <f>EvaluationDate</f>
        <v>41876</v>
      </c>
      <c r="G5" s="64">
        <f>_xll.qlCalendarAdvance(Calendar,EvaluationDate,"1D","f",TRUE,Trigger)</f>
        <v>41877</v>
      </c>
      <c r="H5" s="72">
        <f>_xll.qlInterpolationInterpolate($L$5,B5,TRUE)</f>
        <v>2.744913446725783E-2</v>
      </c>
      <c r="I5" s="73" t="str">
        <f>Contribution!AB5</f>
        <v>AUD6MOND=</v>
      </c>
      <c r="J5" s="73"/>
      <c r="K5" s="56"/>
      <c r="L5" s="23" t="str">
        <f>_xll.qlInterpolation(,InterpolationType,B7:B14,H7:H14,,Trigger)</f>
        <v>obj_003ee#0005</v>
      </c>
      <c r="M5" s="4"/>
      <c r="N5" s="81"/>
      <c r="O5" s="81"/>
      <c r="P5" s="81"/>
      <c r="Q5" s="56"/>
      <c r="R5" s="56"/>
      <c r="S5" s="2"/>
      <c r="T5" s="2"/>
      <c r="U5" s="2"/>
      <c r="V5" s="2"/>
      <c r="W5" s="2"/>
      <c r="X5" s="2"/>
      <c r="Y5" s="2"/>
    </row>
    <row r="6" spans="1:25" x14ac:dyDescent="0.2">
      <c r="A6" s="4"/>
      <c r="B6" s="61">
        <f t="shared" si="0"/>
        <v>2</v>
      </c>
      <c r="C6" s="25" t="s">
        <v>16</v>
      </c>
      <c r="D6" s="35" t="s">
        <v>86</v>
      </c>
      <c r="E6" s="67">
        <f t="shared" si="1"/>
        <v>41876</v>
      </c>
      <c r="F6" s="67">
        <f>G5</f>
        <v>41877</v>
      </c>
      <c r="G6" s="67">
        <f>_xll.qlCalendarAdvance(Calendar,EvaluationDate,"2D","f",TRUE,Trigger)</f>
        <v>41878</v>
      </c>
      <c r="H6" s="71">
        <f>_xll.qlInterpolationInterpolate($L$5,B6,TRUE)</f>
        <v>2.7450103501513421E-2</v>
      </c>
      <c r="I6" s="74" t="str">
        <f>Contribution!AB6</f>
        <v>AUD6MTND=</v>
      </c>
      <c r="J6" s="74"/>
      <c r="K6" s="56"/>
      <c r="L6" s="8" t="s">
        <v>44</v>
      </c>
      <c r="M6" s="4"/>
      <c r="N6" s="81"/>
      <c r="O6" s="117" t="s">
        <v>114</v>
      </c>
      <c r="P6" s="117" t="s">
        <v>115</v>
      </c>
      <c r="Q6" s="56"/>
      <c r="R6" s="56"/>
      <c r="S6" s="2"/>
      <c r="T6" s="2"/>
      <c r="U6" s="2"/>
      <c r="V6" s="2"/>
      <c r="W6" s="2"/>
      <c r="X6" s="2"/>
      <c r="Y6" s="2"/>
    </row>
    <row r="7" spans="1:25" x14ac:dyDescent="0.2">
      <c r="A7" s="4"/>
      <c r="B7" s="60">
        <f t="shared" si="0"/>
        <v>1</v>
      </c>
      <c r="C7" s="24" t="s">
        <v>17</v>
      </c>
      <c r="D7" s="33" t="s">
        <v>88</v>
      </c>
      <c r="E7" s="64">
        <f t="shared" si="1"/>
        <v>41876</v>
      </c>
      <c r="F7" s="64">
        <f>_xll.qlInterestRateIndexValueDate(L7,E7,Trigger)</f>
        <v>41876</v>
      </c>
      <c r="G7" s="64">
        <f>_xll.qlInterestRateIndexMaturity(L7,F7,Trigger)</f>
        <v>41877</v>
      </c>
      <c r="H7" s="65">
        <f>_xll.qlIndexFixing(L7,E7,TRUE,InterestRatesTrigger)</f>
        <v>2.744913446725783E-2</v>
      </c>
      <c r="I7" s="73" t="str">
        <f>Contribution!AB7</f>
        <v>AUD6MSND=</v>
      </c>
      <c r="J7" s="73"/>
      <c r="K7" s="56"/>
      <c r="L7" s="119" t="str">
        <f>_xll.qlIborIndex(,"BBSW",IF(C7="SN","1D",IF(C7="SW","1W",C7)),0,Currency,Calendar,BDayConvention,FALSE,DayCounter,YieldCurve,,Trigger)</f>
        <v>obj_003cd#0001</v>
      </c>
      <c r="M7" s="4"/>
      <c r="N7" s="81"/>
      <c r="O7" s="118" t="s">
        <v>116</v>
      </c>
      <c r="P7" s="118" t="s">
        <v>47</v>
      </c>
      <c r="Q7" s="56"/>
      <c r="R7" s="56"/>
      <c r="S7" s="2"/>
      <c r="T7" s="2"/>
      <c r="U7" s="2"/>
      <c r="V7" s="2"/>
      <c r="W7" s="2"/>
      <c r="X7" s="2"/>
      <c r="Y7" s="2"/>
    </row>
    <row r="8" spans="1:25" x14ac:dyDescent="0.2">
      <c r="A8" s="4"/>
      <c r="B8" s="61">
        <f t="shared" si="0"/>
        <v>7</v>
      </c>
      <c r="C8" s="25" t="s">
        <v>18</v>
      </c>
      <c r="D8" s="35" t="s">
        <v>88</v>
      </c>
      <c r="E8" s="67">
        <f t="shared" si="1"/>
        <v>41876</v>
      </c>
      <c r="F8" s="67">
        <f>_xll.qlInterestRateIndexValueDate(L8,E8,Trigger)</f>
        <v>41876</v>
      </c>
      <c r="G8" s="67">
        <f>_xll.qlInterestRateIndexMaturity(L8,F8,Trigger)</f>
        <v>41883</v>
      </c>
      <c r="H8" s="66">
        <f>_xll.qlIndexFixing(L8,E8,TRUE,InterestRatesTrigger)</f>
        <v>2.7454783904848266E-2</v>
      </c>
      <c r="I8" s="74" t="str">
        <f>Contribution!AB8</f>
        <v>AUD6MSWD=</v>
      </c>
      <c r="J8" s="74"/>
      <c r="K8" s="56"/>
      <c r="L8" s="36" t="str">
        <f>_xll.qlIborIndex(,"BBSW",IF(C8="SN","1D",IF(C8="SW","1W",C8)),0,Currency,Calendar,BDayConvention,FALSE,DayCounter,YieldCurve,,Trigger)</f>
        <v>obj_003c1#0001</v>
      </c>
      <c r="M8" s="4"/>
      <c r="N8" s="81"/>
      <c r="O8" s="81"/>
      <c r="P8" s="81"/>
      <c r="Q8" s="56"/>
      <c r="R8" s="56"/>
      <c r="S8" s="2"/>
      <c r="T8" s="2"/>
      <c r="U8" s="2"/>
      <c r="V8" s="2"/>
      <c r="W8" s="2"/>
      <c r="X8" s="2"/>
      <c r="Y8" s="2"/>
    </row>
    <row r="9" spans="1:25" x14ac:dyDescent="0.2">
      <c r="A9" s="4"/>
      <c r="B9" s="61">
        <f t="shared" si="0"/>
        <v>14</v>
      </c>
      <c r="C9" s="25" t="s">
        <v>19</v>
      </c>
      <c r="D9" s="35" t="s">
        <v>88</v>
      </c>
      <c r="E9" s="67">
        <f t="shared" si="1"/>
        <v>41876</v>
      </c>
      <c r="F9" s="67">
        <f>_xll.qlInterestRateIndexValueDate(L9,E9,Trigger)</f>
        <v>41876</v>
      </c>
      <c r="G9" s="67">
        <f>_xll.qlInterestRateIndexMaturity(L9,F9,Trigger)</f>
        <v>41890</v>
      </c>
      <c r="H9" s="66">
        <f>_xll.qlIndexFixing(L9,E9,TRUE,InterestRatesTrigger)</f>
        <v>2.7460344547039335E-2</v>
      </c>
      <c r="I9" s="74" t="str">
        <f>Contribution!AB9</f>
        <v>AUD6M2WD=</v>
      </c>
      <c r="J9" s="74"/>
      <c r="K9" s="56"/>
      <c r="L9" s="36" t="str">
        <f>_xll.qlIborIndex(,"BBSW",IF(C9="SN","1D",IF(C9="SW","1W",C9)),0,Currency,Calendar,BDayConvention,FALSE,DayCounter,YieldCurve,,Trigger)</f>
        <v>obj_00391#0001</v>
      </c>
      <c r="M9" s="4"/>
      <c r="N9" s="81"/>
      <c r="O9" s="81"/>
      <c r="P9" s="81"/>
      <c r="Q9" s="56"/>
      <c r="R9" s="56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61">
        <f>G10-EvaluationDate</f>
        <v>21</v>
      </c>
      <c r="C10" s="25" t="s">
        <v>20</v>
      </c>
      <c r="D10" s="35" t="s">
        <v>88</v>
      </c>
      <c r="E10" s="67">
        <f t="shared" si="1"/>
        <v>41876</v>
      </c>
      <c r="F10" s="67">
        <f>_xll.qlInterestRateIndexValueDate(L10,E10,Trigger)</f>
        <v>41876</v>
      </c>
      <c r="G10" s="67">
        <f>_xll.qlInterestRateIndexMaturity(L10,F10,Trigger)</f>
        <v>41897</v>
      </c>
      <c r="H10" s="66">
        <f>_xll.qlIndexFixing(L10,E10,TRUE,InterestRatesTrigger)</f>
        <v>2.7464793890593801E-2</v>
      </c>
      <c r="I10" s="74" t="str">
        <f>Contribution!AB10</f>
        <v>AUD6M3WD=</v>
      </c>
      <c r="J10" s="74"/>
      <c r="K10" s="56"/>
      <c r="L10" s="36" t="str">
        <f>_xll.qlIborIndex(,"BBSW",IF(C10="SN","1D",IF(C10="SW","1W",C10)),0,Currency,Calendar,BDayConvention,FALSE,DayCounter,YieldCurve,,Trigger)</f>
        <v>obj_0038e#0001</v>
      </c>
      <c r="M10" s="4"/>
      <c r="N10" s="81"/>
      <c r="O10" s="81"/>
      <c r="P10" s="81"/>
      <c r="Q10" s="56"/>
      <c r="R10" s="56"/>
      <c r="S10" s="2"/>
      <c r="T10" s="2"/>
      <c r="U10" s="2"/>
      <c r="V10" s="2"/>
      <c r="W10" s="2"/>
      <c r="X10" s="2"/>
      <c r="Y10" s="2"/>
    </row>
    <row r="11" spans="1:25" x14ac:dyDescent="0.2">
      <c r="A11" s="4"/>
      <c r="B11" s="61">
        <f t="shared" si="0"/>
        <v>31</v>
      </c>
      <c r="C11" s="25" t="s">
        <v>21</v>
      </c>
      <c r="D11" s="35" t="s">
        <v>88</v>
      </c>
      <c r="E11" s="67">
        <f t="shared" si="1"/>
        <v>41876</v>
      </c>
      <c r="F11" s="67">
        <f>_xll.qlInterestRateIndexValueDate(L11,E11,Trigger)</f>
        <v>41876</v>
      </c>
      <c r="G11" s="67">
        <f>_xll.qlInterestRateIndexMaturity(L11,F11,Trigger)</f>
        <v>41907</v>
      </c>
      <c r="H11" s="66">
        <f>_xll.qlIndexFixing(L11,E11,TRUE,InterestRatesTrigger)</f>
        <v>2.7469218851468993E-2</v>
      </c>
      <c r="I11" s="74" t="str">
        <f>Contribution!AB11</f>
        <v>AUD6M1MD=</v>
      </c>
      <c r="J11" s="74"/>
      <c r="K11" s="56"/>
      <c r="L11" s="36" t="str">
        <f>_xll.qlIborIndex(,"BBSW",IF(C11="SN","1D",IF(C11="SW","1W",C11)),0,Currency,Calendar,BDayConvention,FALSE,DayCounter,YieldCurve,,Trigger)</f>
        <v>obj_00393#0001</v>
      </c>
      <c r="M11" s="4"/>
      <c r="N11" s="81"/>
      <c r="O11" s="81"/>
      <c r="P11" s="81"/>
      <c r="Q11" s="56"/>
      <c r="R11" s="56"/>
      <c r="S11" s="2"/>
      <c r="T11" s="2"/>
      <c r="U11" s="2"/>
      <c r="V11" s="2"/>
      <c r="W11" s="2"/>
      <c r="X11" s="2"/>
      <c r="Y11" s="2"/>
    </row>
    <row r="12" spans="1:25" x14ac:dyDescent="0.2">
      <c r="A12" s="4"/>
      <c r="B12" s="61">
        <f t="shared" si="0"/>
        <v>63</v>
      </c>
      <c r="C12" s="25" t="s">
        <v>22</v>
      </c>
      <c r="D12" s="35" t="s">
        <v>88</v>
      </c>
      <c r="E12" s="67">
        <f t="shared" si="1"/>
        <v>41876</v>
      </c>
      <c r="F12" s="67">
        <f>_xll.qlInterestRateIndexValueDate(L12,E12,Trigger)</f>
        <v>41876</v>
      </c>
      <c r="G12" s="67">
        <f>_xll.qlInterestRateIndexMaturity(L12,F12,Trigger)</f>
        <v>41939</v>
      </c>
      <c r="H12" s="66">
        <f>_xll.qlIndexFixing(L12,E12,TRUE,InterestRatesTrigger)</f>
        <v>2.7468054315550501E-2</v>
      </c>
      <c r="I12" s="74" t="str">
        <f>Contribution!AB12</f>
        <v>AUD6M2MD=</v>
      </c>
      <c r="J12" s="74"/>
      <c r="K12" s="56"/>
      <c r="L12" s="36" t="str">
        <f>_xll.qlIborIndex(,"BBSW",IF(C12="SN","1D",IF(C12="SW","1W",C12)),0,Currency,Calendar,BDayConvention,FALSE,DayCounter,YieldCurve,,Trigger)</f>
        <v>obj_00395#0001</v>
      </c>
      <c r="M12" s="4"/>
      <c r="N12" s="81"/>
      <c r="O12" s="81"/>
      <c r="P12" s="81"/>
      <c r="Q12" s="56"/>
      <c r="R12" s="56"/>
      <c r="S12" s="2"/>
      <c r="T12" s="2"/>
      <c r="U12" s="2"/>
      <c r="V12" s="2"/>
      <c r="W12" s="2"/>
      <c r="X12" s="2"/>
      <c r="Y12" s="2"/>
    </row>
    <row r="13" spans="1:25" x14ac:dyDescent="0.2">
      <c r="A13" s="4"/>
      <c r="B13" s="61">
        <f t="shared" si="0"/>
        <v>92</v>
      </c>
      <c r="C13" s="25" t="s">
        <v>23</v>
      </c>
      <c r="D13" s="35" t="s">
        <v>88</v>
      </c>
      <c r="E13" s="67">
        <f t="shared" si="1"/>
        <v>41876</v>
      </c>
      <c r="F13" s="67">
        <f>_xll.qlInterestRateIndexValueDate(L13,E13,Trigger)</f>
        <v>41876</v>
      </c>
      <c r="G13" s="67">
        <f>_xll.qlInterestRateIndexMaturity(L13,F13,Trigger)</f>
        <v>41968</v>
      </c>
      <c r="H13" s="66">
        <f>_xll.qlIndexFixing(L13,E13,TRUE,InterestRatesTrigger)</f>
        <v>2.7446721500839402E-2</v>
      </c>
      <c r="I13" s="74" t="str">
        <f>Contribution!AB13</f>
        <v>AUD6M3MD=</v>
      </c>
      <c r="J13" s="74"/>
      <c r="K13" s="56"/>
      <c r="L13" s="36" t="str">
        <f>_xll.qlIborIndex(,"BBSW",IF(C13="SN","1D",IF(C13="SW","1W",C13)),0,Currency,Calendar,BDayConvention,FALSE,DayCounter,YieldCurve,,Trigger)</f>
        <v>obj_003cf#0001</v>
      </c>
      <c r="M13" s="4"/>
      <c r="N13" s="81"/>
      <c r="O13" s="81"/>
      <c r="P13" s="81"/>
      <c r="Q13" s="56"/>
      <c r="R13" s="56"/>
      <c r="S13" s="2"/>
      <c r="T13" s="2"/>
      <c r="U13" s="2"/>
      <c r="V13" s="2"/>
      <c r="W13" s="2"/>
      <c r="X13" s="2"/>
      <c r="Y13" s="2"/>
    </row>
    <row r="14" spans="1:25" x14ac:dyDescent="0.2">
      <c r="A14" s="4"/>
      <c r="B14" s="61">
        <f t="shared" si="0"/>
        <v>126</v>
      </c>
      <c r="C14" s="25" t="s">
        <v>24</v>
      </c>
      <c r="D14" s="35" t="s">
        <v>88</v>
      </c>
      <c r="E14" s="67">
        <f t="shared" si="1"/>
        <v>41876</v>
      </c>
      <c r="F14" s="67">
        <f>_xll.qlInterestRateIndexValueDate(L14,E14,Trigger)</f>
        <v>41876</v>
      </c>
      <c r="G14" s="67">
        <f>_xll.qlInterestRateIndexMaturity(L14,F14,Trigger)</f>
        <v>42002</v>
      </c>
      <c r="H14" s="66">
        <f>_xll.qlIndexFixing(L14,E14,TRUE,InterestRatesTrigger)</f>
        <v>2.7396984560544589E-2</v>
      </c>
      <c r="I14" s="74" t="str">
        <f>Contribution!AB14</f>
        <v>AUD6M4MD=</v>
      </c>
      <c r="J14" s="74"/>
      <c r="K14" s="56"/>
      <c r="L14" s="36" t="str">
        <f>_xll.qlIborIndex(,"BBSW",IF(C14="SN","1D",IF(C14="SW","1W",C14)),0,Currency,Calendar,BDayConvention,FALSE,DayCounter,YieldCurve,,Trigger)</f>
        <v>obj_003c0#0001</v>
      </c>
      <c r="M14" s="4"/>
      <c r="N14" s="81"/>
      <c r="O14" s="81"/>
      <c r="P14" s="81"/>
      <c r="Q14" s="56"/>
      <c r="R14" s="56"/>
      <c r="S14" s="2"/>
      <c r="T14" s="2"/>
      <c r="U14" s="2"/>
      <c r="V14" s="2"/>
      <c r="W14" s="2"/>
      <c r="X14" s="2"/>
      <c r="Y14" s="2"/>
    </row>
    <row r="15" spans="1:25" x14ac:dyDescent="0.2">
      <c r="A15" s="4"/>
      <c r="B15" s="41">
        <f t="shared" si="0"/>
        <v>155</v>
      </c>
      <c r="C15" s="25" t="s">
        <v>25</v>
      </c>
      <c r="D15" s="35" t="s">
        <v>88</v>
      </c>
      <c r="E15" s="67">
        <f t="shared" si="1"/>
        <v>41876</v>
      </c>
      <c r="F15" s="67">
        <f>_xll.qlInterestRateIndexValueDate(L15,E15,Trigger)</f>
        <v>41876</v>
      </c>
      <c r="G15" s="67">
        <f>_xll.qlInterestRateIndexMaturity(L15,F15,Trigger)</f>
        <v>42031</v>
      </c>
      <c r="H15" s="66">
        <f>_xll.qlIndexFixing(L15,E15,TRUE,InterestRatesTrigger)</f>
        <v>2.7333330159532234E-2</v>
      </c>
      <c r="I15" s="74" t="str">
        <f>Contribution!AB15</f>
        <v>AUD6M5MD=</v>
      </c>
      <c r="J15" s="74"/>
      <c r="K15" s="56"/>
      <c r="L15" s="36" t="str">
        <f>_xll.qlIborIndex(,"BBSW",IF(C15="SN","1D",IF(C15="SW","1W",C15)),0,Currency,Calendar,BDayConvention,FALSE,DayCounter,YieldCurve,,Trigger)</f>
        <v>obj_0038c#0001</v>
      </c>
      <c r="M15" s="4"/>
      <c r="N15" s="81"/>
      <c r="O15" s="81"/>
      <c r="P15" s="81"/>
      <c r="Q15" s="56"/>
      <c r="R15" s="56"/>
      <c r="S15" s="2"/>
      <c r="T15" s="2"/>
      <c r="U15" s="2"/>
      <c r="V15" s="2"/>
      <c r="W15" s="2"/>
      <c r="X15" s="2"/>
      <c r="Y15" s="2"/>
    </row>
    <row r="16" spans="1:25" x14ac:dyDescent="0.2">
      <c r="A16" s="4"/>
      <c r="B16" s="42">
        <f t="shared" si="0"/>
        <v>184</v>
      </c>
      <c r="C16" s="26" t="s">
        <v>14</v>
      </c>
      <c r="D16" s="37" t="s">
        <v>88</v>
      </c>
      <c r="E16" s="68">
        <f t="shared" si="1"/>
        <v>41876</v>
      </c>
      <c r="F16" s="68">
        <f>_xll.qlInterestRateIndexValueDate(L16,E16,Trigger)</f>
        <v>41876</v>
      </c>
      <c r="G16" s="68">
        <f>_xll.qlInterestRateIndexMaturity(L16,F16,Trigger)</f>
        <v>42060</v>
      </c>
      <c r="H16" s="69">
        <f>_xll.qlIndexFixing(L16,E16,TRUE,InterestRatesTrigger)</f>
        <v>2.7250000000000031E-2</v>
      </c>
      <c r="I16" s="75" t="str">
        <f>Contribution!AB16</f>
        <v>AUD6M6MD=</v>
      </c>
      <c r="J16" s="75" t="str">
        <f>"AU"&amp;CurveTenor&amp;"BA"&amp;"="</f>
        <v>AU6MBA=</v>
      </c>
      <c r="K16" s="56"/>
      <c r="L16" s="145" t="str">
        <f>IborIndexFamily&amp;CurveTenor</f>
        <v>AudBBSW6M</v>
      </c>
      <c r="M16" s="4"/>
      <c r="N16" s="81"/>
      <c r="O16" s="81"/>
      <c r="P16" s="81"/>
      <c r="Q16" s="56"/>
      <c r="R16" s="56"/>
      <c r="S16" s="2"/>
      <c r="T16" s="2"/>
      <c r="U16" s="2"/>
      <c r="V16" s="2"/>
      <c r="W16" s="2"/>
      <c r="X16" s="2"/>
      <c r="Y16" s="2"/>
    </row>
    <row r="17" spans="1:25" x14ac:dyDescent="0.2">
      <c r="A17" s="4"/>
      <c r="B17" s="41"/>
      <c r="C17" s="25"/>
      <c r="D17" s="35"/>
      <c r="E17" s="67"/>
      <c r="F17" s="67"/>
      <c r="G17" s="67"/>
      <c r="H17" s="66"/>
      <c r="I17" s="74"/>
      <c r="J17" s="74"/>
      <c r="K17" s="56"/>
      <c r="L17" s="81"/>
      <c r="M17" s="4"/>
      <c r="N17" s="81"/>
      <c r="O17" s="81"/>
      <c r="P17" s="81"/>
      <c r="Q17" s="56"/>
      <c r="R17" s="56"/>
      <c r="S17" s="2"/>
      <c r="T17" s="2"/>
      <c r="U17" s="2"/>
      <c r="V17" s="2"/>
      <c r="W17" s="2"/>
      <c r="X17" s="2"/>
      <c r="Y17" s="2"/>
    </row>
    <row r="18" spans="1:25" x14ac:dyDescent="0.2">
      <c r="A18" s="4"/>
      <c r="B18" s="41"/>
      <c r="C18" s="25"/>
      <c r="D18" s="35"/>
      <c r="E18" s="67"/>
      <c r="F18" s="67"/>
      <c r="G18" s="67"/>
      <c r="H18" s="66"/>
      <c r="I18" s="74"/>
      <c r="J18" s="74"/>
      <c r="K18" s="56"/>
      <c r="L18" s="81"/>
      <c r="M18" s="4"/>
      <c r="N18" s="81"/>
      <c r="O18" s="81"/>
      <c r="P18" s="81"/>
      <c r="Q18" s="56"/>
      <c r="R18" s="56"/>
      <c r="S18" s="2"/>
      <c r="T18" s="2"/>
      <c r="U18" s="2"/>
      <c r="V18" s="2"/>
      <c r="W18" s="2"/>
      <c r="X18" s="2"/>
      <c r="Y18" s="2"/>
    </row>
    <row r="19" spans="1:25" x14ac:dyDescent="0.2">
      <c r="A19" s="4"/>
      <c r="B19" s="41"/>
      <c r="C19" s="25"/>
      <c r="D19" s="35"/>
      <c r="E19" s="67"/>
      <c r="F19" s="67"/>
      <c r="G19" s="67"/>
      <c r="H19" s="66"/>
      <c r="I19" s="74"/>
      <c r="J19" s="74"/>
      <c r="K19" s="56"/>
      <c r="L19" s="121" t="s">
        <v>50</v>
      </c>
      <c r="M19" s="123"/>
      <c r="N19" s="117" t="s">
        <v>45</v>
      </c>
      <c r="O19" s="117" t="s">
        <v>105</v>
      </c>
      <c r="P19" s="117" t="s">
        <v>46</v>
      </c>
      <c r="Q19" s="56"/>
      <c r="R19" s="56"/>
      <c r="S19" s="2"/>
      <c r="T19" s="2"/>
      <c r="U19" s="2"/>
      <c r="V19" s="2"/>
      <c r="W19" s="2"/>
      <c r="X19" s="2"/>
      <c r="Y19" s="2"/>
    </row>
    <row r="20" spans="1:25" x14ac:dyDescent="0.2">
      <c r="A20" s="4"/>
      <c r="B20" s="40"/>
      <c r="C20" s="24" t="s">
        <v>29</v>
      </c>
      <c r="D20" s="33" t="s">
        <v>87</v>
      </c>
      <c r="E20" s="64">
        <f t="shared" ref="E20:E21" si="2">EvaluationDate</f>
        <v>41876</v>
      </c>
      <c r="F20" s="64">
        <f>_xll.qlInterestRateIndexValueDate(L20,E20,Trigger)</f>
        <v>41877</v>
      </c>
      <c r="G20" s="64">
        <f>_xll.qlInterestRateIndexMaturity(L20,F20,Trigger)</f>
        <v>42242</v>
      </c>
      <c r="H20" s="65">
        <f>_xll.qlIndexFixing(L20,E20,TRUE,InterestRatesTrigger)</f>
        <v>2.6727206612874158E-2</v>
      </c>
      <c r="I20" s="73" t="str">
        <f>Contribution!AB20</f>
        <v>AUD6M1Y=</v>
      </c>
      <c r="J20" s="73"/>
      <c r="K20" s="56"/>
      <c r="L20" s="119" t="str">
        <f>_xll.qlSwapIndex(,"BBSW",C20,SettlementDays,Currency,Calendar,FixedLegTenor,FixedLegBDC,FixedLegDayCounter,IborIndex,DiscountingCurve,,Trigger)</f>
        <v>obj_003ac#0001</v>
      </c>
      <c r="M20" s="4"/>
      <c r="N20" s="118" t="s">
        <v>14</v>
      </c>
      <c r="O20" s="118" t="s">
        <v>81</v>
      </c>
      <c r="P20" s="118" t="s">
        <v>47</v>
      </c>
      <c r="Q20" s="56"/>
      <c r="R20" s="56"/>
      <c r="S20" s="2"/>
      <c r="T20" s="2"/>
      <c r="U20" s="2"/>
      <c r="V20" s="2"/>
      <c r="W20" s="2"/>
      <c r="X20" s="2"/>
      <c r="Y20" s="2"/>
    </row>
    <row r="21" spans="1:25" x14ac:dyDescent="0.2">
      <c r="A21" s="4"/>
      <c r="B21" s="41"/>
      <c r="C21" s="25" t="s">
        <v>93</v>
      </c>
      <c r="D21" s="35" t="s">
        <v>87</v>
      </c>
      <c r="E21" s="67">
        <f t="shared" si="2"/>
        <v>41876</v>
      </c>
      <c r="F21" s="67">
        <f>_xll.qlInterestRateIndexValueDate(L21,E21,Trigger)</f>
        <v>41877</v>
      </c>
      <c r="G21" s="67">
        <f>_xll.qlInterestRateIndexMaturity(L21,F21,Trigger)</f>
        <v>42426</v>
      </c>
      <c r="H21" s="66">
        <f>_xll.qlIndexFixing(L21,E21,TRUE,InterestRatesTrigger)</f>
        <v>2.7209442083002786E-2</v>
      </c>
      <c r="I21" s="74"/>
      <c r="J21" s="74"/>
      <c r="K21" s="56"/>
      <c r="L21" s="120" t="str">
        <f>_xll.qlSwapIndex(,"BBSW",C21,SettlementDays,Currency,Calendar,FixedLegTenor,FixedLegBDC,FixedLegDayCounter,IborIndex,DiscountingCurve,,Trigger)</f>
        <v>obj_003c9#0001</v>
      </c>
      <c r="M21" s="91"/>
      <c r="N21" s="122"/>
      <c r="O21" s="116"/>
      <c r="P21" s="122"/>
      <c r="Q21" s="56"/>
      <c r="R21" s="56"/>
      <c r="S21" s="2"/>
      <c r="T21" s="2"/>
      <c r="U21" s="2"/>
      <c r="V21" s="2"/>
      <c r="W21" s="2"/>
      <c r="X21" s="2"/>
      <c r="Y21" s="2"/>
    </row>
    <row r="22" spans="1:25" x14ac:dyDescent="0.2">
      <c r="A22" s="4"/>
      <c r="B22" s="41"/>
      <c r="C22" s="25" t="s">
        <v>30</v>
      </c>
      <c r="D22" s="35" t="s">
        <v>87</v>
      </c>
      <c r="E22" s="67">
        <f t="shared" ref="E22:E35" si="3">EvaluationDate</f>
        <v>41876</v>
      </c>
      <c r="F22" s="67">
        <f>_xll.qlInterestRateIndexValueDate(L22,E22,Trigger)</f>
        <v>41877</v>
      </c>
      <c r="G22" s="67">
        <f>_xll.qlInterestRateIndexMaturity(L22,F22,Trigger)</f>
        <v>42608</v>
      </c>
      <c r="H22" s="66">
        <f>_xll.qlIndexFixing(L22,E22,TRUE,InterestRatesTrigger)</f>
        <v>2.7988456063922883E-2</v>
      </c>
      <c r="I22" s="74" t="str">
        <f>Contribution!AB22</f>
        <v>AUD6M2Y=</v>
      </c>
      <c r="J22" s="74"/>
      <c r="K22" s="56"/>
      <c r="L22" s="52" t="str">
        <f>_xll.qlSwapIndex(,"BBSW",C22,SettlementDays,Currency,Calendar,FixedLegTenor,FixedLegBDC,FixedLegDayCounter,IborIndex,DiscountingCurve,,Trigger)</f>
        <v>obj_003af#0001</v>
      </c>
      <c r="M22" s="91"/>
      <c r="N22" s="122"/>
      <c r="O22" s="116"/>
      <c r="P22" s="122"/>
      <c r="Q22" s="56"/>
      <c r="R22" s="56"/>
      <c r="S22" s="2"/>
      <c r="T22" s="2"/>
      <c r="U22" s="2"/>
      <c r="V22" s="2"/>
      <c r="W22" s="2"/>
      <c r="X22" s="2"/>
      <c r="Y22" s="2"/>
    </row>
    <row r="23" spans="1:25" x14ac:dyDescent="0.2">
      <c r="A23" s="4"/>
      <c r="B23" s="41"/>
      <c r="C23" s="25" t="s">
        <v>31</v>
      </c>
      <c r="D23" s="35" t="s">
        <v>87</v>
      </c>
      <c r="E23" s="67">
        <f t="shared" si="3"/>
        <v>41876</v>
      </c>
      <c r="F23" s="67">
        <f>_xll.qlInterestRateIndexValueDate(L23,E23,Trigger)</f>
        <v>41877</v>
      </c>
      <c r="G23" s="67">
        <f>_xll.qlInterestRateIndexMaturity(L23,F23,Trigger)</f>
        <v>42975</v>
      </c>
      <c r="H23" s="66">
        <f>_xll.qlIndexFixing(L23,E23,TRUE,InterestRatesTrigger)</f>
        <v>2.9589246560361881E-2</v>
      </c>
      <c r="I23" s="74" t="str">
        <f>Contribution!AB23</f>
        <v>AUD6M3Y=</v>
      </c>
      <c r="J23" s="74"/>
      <c r="K23" s="56"/>
      <c r="L23" s="52" t="str">
        <f>_xll.qlSwapIndex(,"BBSW",C23,SettlementDays,Currency,Calendar,FixedLegTenor,FixedLegBDC,FixedLegDayCounter,IborIndex,DiscountingCurve,,Trigger)</f>
        <v>obj_003a5#0001</v>
      </c>
      <c r="M23" s="91"/>
      <c r="N23" s="81"/>
      <c r="O23" s="4"/>
      <c r="P23" s="81"/>
      <c r="Q23" s="56"/>
      <c r="R23" s="56"/>
      <c r="S23" s="2"/>
      <c r="T23" s="2"/>
      <c r="U23" s="2"/>
      <c r="V23" s="2"/>
      <c r="W23" s="2"/>
      <c r="X23" s="2"/>
      <c r="Y23" s="2"/>
    </row>
    <row r="24" spans="1:25" x14ac:dyDescent="0.2">
      <c r="A24" s="4"/>
      <c r="B24" s="41"/>
      <c r="C24" s="25" t="s">
        <v>32</v>
      </c>
      <c r="D24" s="35" t="s">
        <v>87</v>
      </c>
      <c r="E24" s="67">
        <f t="shared" si="3"/>
        <v>41876</v>
      </c>
      <c r="F24" s="67">
        <f>_xll.qlInterestRateIndexValueDate(L24,E24,Trigger)</f>
        <v>41877</v>
      </c>
      <c r="G24" s="67">
        <f>_xll.qlInterestRateIndexMaturity(L24,F24,Trigger)</f>
        <v>43339</v>
      </c>
      <c r="H24" s="66">
        <f>_xll.qlIndexFixing(L24,E24,TRUE,InterestRatesTrigger)</f>
        <v>3.1250000000004594E-2</v>
      </c>
      <c r="I24" s="74" t="str">
        <f>Contribution!AB24</f>
        <v>AUD6M4Y=</v>
      </c>
      <c r="J24" s="74" t="str">
        <f t="shared" ref="J24:J35" si="4">Currency&amp;"SM6AB"&amp;C24&amp;"=ICAA"</f>
        <v>AUDSM6AB4Y=ICAA</v>
      </c>
      <c r="K24" s="56"/>
      <c r="L24" s="52" t="str">
        <f>_xll.qlSwapIndex(,"BBSW",C24,SettlementDays,Currency,Calendar,FixedLegTenor,FixedLegBDC,FixedLegDayCounter,IborIndex,DiscountingCurve,,Trigger)</f>
        <v>obj_0038f#0001</v>
      </c>
      <c r="M24" s="91"/>
      <c r="N24" s="81"/>
      <c r="O24" s="4"/>
      <c r="P24" s="81"/>
      <c r="Q24" s="56"/>
      <c r="R24" s="56"/>
      <c r="S24" s="2"/>
      <c r="T24" s="2"/>
      <c r="U24" s="2"/>
      <c r="V24" s="2"/>
      <c r="W24" s="2"/>
      <c r="X24" s="2"/>
      <c r="Y24" s="2"/>
    </row>
    <row r="25" spans="1:25" x14ac:dyDescent="0.2">
      <c r="A25" s="4"/>
      <c r="B25" s="41"/>
      <c r="C25" s="25" t="s">
        <v>33</v>
      </c>
      <c r="D25" s="35" t="s">
        <v>87</v>
      </c>
      <c r="E25" s="67">
        <f t="shared" si="3"/>
        <v>41876</v>
      </c>
      <c r="F25" s="67">
        <f>_xll.qlInterestRateIndexValueDate(L25,E25,Trigger)</f>
        <v>41877</v>
      </c>
      <c r="G25" s="67">
        <f>_xll.qlInterestRateIndexMaturity(L25,F25,Trigger)</f>
        <v>43703</v>
      </c>
      <c r="H25" s="66">
        <f>_xll.qlIndexFixing(L25,E25,TRUE,InterestRatesTrigger)</f>
        <v>3.2725000000004112E-2</v>
      </c>
      <c r="I25" s="74" t="str">
        <f>Contribution!AB25</f>
        <v>AUD6M5Y=</v>
      </c>
      <c r="J25" s="74" t="str">
        <f t="shared" si="4"/>
        <v>AUDSM6AB5Y=ICAA</v>
      </c>
      <c r="K25" s="56"/>
      <c r="L25" s="52" t="str">
        <f>_xll.qlSwapIndex(,"BBSW",C25,SettlementDays,Currency,Calendar,FixedLegTenor,FixedLegBDC,FixedLegDayCounter,IborIndex,DiscountingCurve,,Trigger)</f>
        <v>obj_003e6#0001</v>
      </c>
      <c r="M25" s="91"/>
      <c r="N25" s="81"/>
      <c r="O25" s="4"/>
      <c r="P25" s="81"/>
      <c r="Q25" s="56"/>
      <c r="R25" s="56"/>
      <c r="S25" s="2"/>
      <c r="T25" s="2"/>
      <c r="U25" s="2"/>
      <c r="V25" s="2"/>
      <c r="W25" s="2"/>
      <c r="X25" s="2"/>
      <c r="Y25" s="2"/>
    </row>
    <row r="26" spans="1:25" x14ac:dyDescent="0.2">
      <c r="A26" s="4"/>
      <c r="B26" s="41"/>
      <c r="C26" s="25" t="s">
        <v>34</v>
      </c>
      <c r="D26" s="35" t="s">
        <v>87</v>
      </c>
      <c r="E26" s="67">
        <f t="shared" si="3"/>
        <v>41876</v>
      </c>
      <c r="F26" s="67">
        <f>_xll.qlInterestRateIndexValueDate(L26,E26,Trigger)</f>
        <v>41877</v>
      </c>
      <c r="G26" s="67">
        <f>_xll.qlInterestRateIndexMaturity(L26,F26,Trigger)</f>
        <v>44069</v>
      </c>
      <c r="H26" s="66">
        <f>_xll.qlIndexFixing(L26,E26,TRUE,InterestRatesTrigger)</f>
        <v>3.4100000000003905E-2</v>
      </c>
      <c r="I26" s="74"/>
      <c r="J26" s="74" t="str">
        <f t="shared" si="4"/>
        <v>AUDSM6AB6Y=ICAA</v>
      </c>
      <c r="K26" s="56"/>
      <c r="L26" s="52" t="str">
        <f>_xll.qlSwapIndex(,"BBSW",C26,SettlementDays,Currency,Calendar,FixedLegTenor,FixedLegBDC,FixedLegDayCounter,IborIndex,DiscountingCurve,,Trigger)</f>
        <v>obj_0039f#0001</v>
      </c>
      <c r="M26" s="91"/>
      <c r="N26" s="81"/>
      <c r="O26" s="4"/>
      <c r="P26" s="81"/>
      <c r="Q26" s="56"/>
      <c r="R26" s="56"/>
      <c r="S26" s="2"/>
      <c r="T26" s="2"/>
      <c r="U26" s="2"/>
      <c r="V26" s="2"/>
      <c r="W26" s="2"/>
      <c r="X26" s="2"/>
      <c r="Y26" s="2"/>
    </row>
    <row r="27" spans="1:25" x14ac:dyDescent="0.2">
      <c r="A27" s="4"/>
      <c r="B27" s="41"/>
      <c r="C27" s="25" t="s">
        <v>35</v>
      </c>
      <c r="D27" s="35" t="s">
        <v>87</v>
      </c>
      <c r="E27" s="67">
        <f t="shared" si="3"/>
        <v>41876</v>
      </c>
      <c r="F27" s="67">
        <f>_xll.qlInterestRateIndexValueDate(L27,E27,Trigger)</f>
        <v>41877</v>
      </c>
      <c r="G27" s="67">
        <f>_xll.qlInterestRateIndexMaturity(L27,F27,Trigger)</f>
        <v>44434</v>
      </c>
      <c r="H27" s="66">
        <f>_xll.qlIndexFixing(L27,E27,TRUE,InterestRatesTrigger)</f>
        <v>3.5300000000002947E-2</v>
      </c>
      <c r="I27" s="74" t="str">
        <f>Contribution!AB27</f>
        <v>AUD6M7Y=</v>
      </c>
      <c r="J27" s="74" t="str">
        <f t="shared" si="4"/>
        <v>AUDSM6AB7Y=ICAA</v>
      </c>
      <c r="K27" s="56"/>
      <c r="L27" s="52" t="str">
        <f>_xll.qlSwapIndex(,"BBSW",C27,SettlementDays,Currency,Calendar,FixedLegTenor,FixedLegBDC,FixedLegDayCounter,IborIndex,DiscountingCurve,,Trigger)</f>
        <v>obj_003d5#0001</v>
      </c>
      <c r="M27" s="91"/>
      <c r="N27" s="81"/>
      <c r="O27" s="4"/>
      <c r="P27" s="81"/>
      <c r="Q27" s="56"/>
      <c r="R27" s="56"/>
      <c r="S27" s="2"/>
      <c r="T27" s="2"/>
      <c r="U27" s="2"/>
      <c r="V27" s="2"/>
      <c r="W27" s="2"/>
      <c r="X27" s="2"/>
      <c r="Y27" s="2"/>
    </row>
    <row r="28" spans="1:25" x14ac:dyDescent="0.2">
      <c r="A28" s="4"/>
      <c r="B28" s="41"/>
      <c r="C28" s="25" t="s">
        <v>36</v>
      </c>
      <c r="D28" s="35" t="s">
        <v>87</v>
      </c>
      <c r="E28" s="67">
        <f t="shared" si="3"/>
        <v>41876</v>
      </c>
      <c r="F28" s="67">
        <f>_xll.qlInterestRateIndexValueDate(L28,E28,Trigger)</f>
        <v>41877</v>
      </c>
      <c r="G28" s="67">
        <f>_xll.qlInterestRateIndexMaturity(L28,F28,Trigger)</f>
        <v>44799</v>
      </c>
      <c r="H28" s="66">
        <f>_xll.qlIndexFixing(L28,E28,TRUE,InterestRatesTrigger)</f>
        <v>3.6300000000003073E-2</v>
      </c>
      <c r="I28" s="74"/>
      <c r="J28" s="74" t="str">
        <f t="shared" si="4"/>
        <v>AUDSM6AB8Y=ICAA</v>
      </c>
      <c r="K28" s="56"/>
      <c r="L28" s="52" t="str">
        <f>_xll.qlSwapIndex(,"BBSW",C28,SettlementDays,Currency,Calendar,FixedLegTenor,FixedLegBDC,FixedLegDayCounter,IborIndex,DiscountingCurve,,Trigger)</f>
        <v>obj_003c7#0001</v>
      </c>
      <c r="M28" s="91"/>
      <c r="N28" s="81"/>
      <c r="O28" s="4"/>
      <c r="P28" s="81"/>
      <c r="Q28" s="56"/>
      <c r="R28" s="56"/>
      <c r="S28" s="2"/>
      <c r="T28" s="2"/>
      <c r="U28" s="2"/>
      <c r="V28" s="2"/>
      <c r="W28" s="2"/>
      <c r="X28" s="2"/>
      <c r="Y28" s="2"/>
    </row>
    <row r="29" spans="1:25" x14ac:dyDescent="0.2">
      <c r="A29" s="4"/>
      <c r="B29" s="41"/>
      <c r="C29" s="25" t="s">
        <v>37</v>
      </c>
      <c r="D29" s="35" t="s">
        <v>87</v>
      </c>
      <c r="E29" s="67">
        <f t="shared" si="3"/>
        <v>41876</v>
      </c>
      <c r="F29" s="67">
        <f>_xll.qlInterestRateIndexValueDate(L29,E29,Trigger)</f>
        <v>41877</v>
      </c>
      <c r="G29" s="67">
        <f>_xll.qlInterestRateIndexMaturity(L29,F29,Trigger)</f>
        <v>45166</v>
      </c>
      <c r="H29" s="66">
        <f>_xll.qlIndexFixing(L29,E29,TRUE,InterestRatesTrigger)</f>
        <v>3.717499999999966E-2</v>
      </c>
      <c r="I29" s="74"/>
      <c r="J29" s="74" t="str">
        <f t="shared" si="4"/>
        <v>AUDSM6AB9Y=ICAA</v>
      </c>
      <c r="K29" s="56"/>
      <c r="L29" s="52" t="str">
        <f>_xll.qlSwapIndex(,"BBSW",C29,SettlementDays,Currency,Calendar,FixedLegTenor,FixedLegBDC,FixedLegDayCounter,IborIndex,DiscountingCurve,,Trigger)</f>
        <v>obj_003c6#0001</v>
      </c>
      <c r="M29" s="91"/>
      <c r="N29" s="81"/>
      <c r="O29" s="4"/>
      <c r="P29" s="81"/>
      <c r="Q29" s="56"/>
      <c r="R29" s="56"/>
      <c r="S29" s="2"/>
      <c r="T29" s="2"/>
      <c r="U29" s="2"/>
      <c r="V29" s="2"/>
      <c r="W29" s="2"/>
      <c r="X29" s="2"/>
      <c r="Y29" s="2"/>
    </row>
    <row r="30" spans="1:25" x14ac:dyDescent="0.2">
      <c r="A30" s="4"/>
      <c r="B30" s="41"/>
      <c r="C30" s="25" t="s">
        <v>38</v>
      </c>
      <c r="D30" s="35" t="s">
        <v>87</v>
      </c>
      <c r="E30" s="67">
        <f t="shared" si="3"/>
        <v>41876</v>
      </c>
      <c r="F30" s="67">
        <f>_xll.qlInterestRateIndexValueDate(L30,E30,Trigger)</f>
        <v>41877</v>
      </c>
      <c r="G30" s="67">
        <f>_xll.qlInterestRateIndexMaturity(L30,F30,Trigger)</f>
        <v>45530</v>
      </c>
      <c r="H30" s="66">
        <f>_xll.qlIndexFixing(L30,E30,TRUE,InterestRatesTrigger)</f>
        <v>3.8000000000106456E-2</v>
      </c>
      <c r="I30" s="74" t="str">
        <f>Contribution!AB30</f>
        <v>AUD6M10Y=</v>
      </c>
      <c r="J30" s="74" t="str">
        <f t="shared" si="4"/>
        <v>AUDSM6AB10Y=ICAA</v>
      </c>
      <c r="K30" s="56"/>
      <c r="L30" s="52" t="str">
        <f>_xll.qlSwapIndex(,"BBSW",C30,SettlementDays,Currency,Calendar,FixedLegTenor,FixedLegBDC,FixedLegDayCounter,IborIndex,DiscountingCurve,,Trigger)</f>
        <v>obj_003e2#0001</v>
      </c>
      <c r="M30" s="91"/>
      <c r="N30" s="81"/>
      <c r="O30" s="4"/>
      <c r="P30" s="81"/>
      <c r="Q30" s="56"/>
      <c r="R30" s="56"/>
      <c r="S30" s="2"/>
      <c r="T30" s="2"/>
      <c r="U30" s="2"/>
      <c r="V30" s="2"/>
      <c r="W30" s="2"/>
      <c r="X30" s="2"/>
      <c r="Y30" s="2"/>
    </row>
    <row r="31" spans="1:25" x14ac:dyDescent="0.2">
      <c r="A31" s="4"/>
      <c r="B31" s="41"/>
      <c r="C31" s="25" t="s">
        <v>39</v>
      </c>
      <c r="D31" s="35" t="s">
        <v>87</v>
      </c>
      <c r="E31" s="67">
        <f t="shared" si="3"/>
        <v>41876</v>
      </c>
      <c r="F31" s="67">
        <f>_xll.qlInterestRateIndexValueDate(L31,E31,Trigger)</f>
        <v>41877</v>
      </c>
      <c r="G31" s="67">
        <f>_xll.qlInterestRateIndexMaturity(L31,F31,Trigger)</f>
        <v>46260</v>
      </c>
      <c r="H31" s="66">
        <f>_xll.qlIndexFixing(L31,E31,TRUE,InterestRatesTrigger)</f>
        <v>3.9400000000002329E-2</v>
      </c>
      <c r="I31" s="74" t="str">
        <f>Contribution!AB31</f>
        <v>AUD6M12Y=</v>
      </c>
      <c r="J31" s="74" t="str">
        <f t="shared" si="4"/>
        <v>AUDSM6AB12Y=ICAA</v>
      </c>
      <c r="K31" s="56"/>
      <c r="L31" s="52" t="str">
        <f>_xll.qlSwapIndex(,"BBSW",C31,SettlementDays,Currency,Calendar,FixedLegTenor,FixedLegBDC,FixedLegDayCounter,IborIndex,DiscountingCurve,,Trigger)</f>
        <v>obj_003eb#0001</v>
      </c>
      <c r="M31" s="91"/>
      <c r="N31" s="81"/>
      <c r="O31" s="4"/>
      <c r="P31" s="81"/>
      <c r="Q31" s="56"/>
      <c r="R31" s="56"/>
      <c r="S31" s="2"/>
      <c r="T31" s="2"/>
      <c r="U31" s="2"/>
      <c r="V31" s="2"/>
      <c r="W31" s="2"/>
      <c r="X31" s="2"/>
      <c r="Y31" s="2"/>
    </row>
    <row r="32" spans="1:25" x14ac:dyDescent="0.2">
      <c r="A32" s="4"/>
      <c r="B32" s="41"/>
      <c r="C32" s="25" t="s">
        <v>40</v>
      </c>
      <c r="D32" s="35" t="s">
        <v>87</v>
      </c>
      <c r="E32" s="67">
        <f t="shared" si="3"/>
        <v>41876</v>
      </c>
      <c r="F32" s="67">
        <f>_xll.qlInterestRateIndexValueDate(L32,E32,Trigger)</f>
        <v>41877</v>
      </c>
      <c r="G32" s="67">
        <f>_xll.qlInterestRateIndexMaturity(L32,F32,Trigger)</f>
        <v>47357</v>
      </c>
      <c r="H32" s="66">
        <f>_xll.qlIndexFixing(L32,E32,TRUE,InterestRatesTrigger)</f>
        <v>4.0875000000026258E-2</v>
      </c>
      <c r="I32" s="74" t="str">
        <f>Contribution!AB32</f>
        <v>AUD6M15Y=</v>
      </c>
      <c r="J32" s="74" t="str">
        <f t="shared" si="4"/>
        <v>AUDSM6AB15Y=ICAA</v>
      </c>
      <c r="K32" s="56"/>
      <c r="L32" s="52" t="str">
        <f>_xll.qlSwapIndex(,"BBSW",C32,SettlementDays,Currency,Calendar,FixedLegTenor,FixedLegBDC,FixedLegDayCounter,IborIndex,DiscountingCurve,,Trigger)</f>
        <v>obj_003dd#0001</v>
      </c>
      <c r="M32" s="91"/>
      <c r="N32" s="81"/>
      <c r="O32" s="115"/>
      <c r="P32" s="114"/>
      <c r="Q32" s="115"/>
      <c r="R32" s="115"/>
      <c r="S32" s="115"/>
      <c r="T32" s="2"/>
      <c r="U32" s="2"/>
      <c r="V32" s="2"/>
      <c r="W32" s="2"/>
      <c r="X32" s="2"/>
      <c r="Y32" s="2"/>
    </row>
    <row r="33" spans="1:25" x14ac:dyDescent="0.2">
      <c r="A33" s="4"/>
      <c r="B33" s="41"/>
      <c r="C33" s="25" t="s">
        <v>41</v>
      </c>
      <c r="D33" s="35" t="s">
        <v>87</v>
      </c>
      <c r="E33" s="67">
        <f t="shared" si="3"/>
        <v>41876</v>
      </c>
      <c r="F33" s="67">
        <f>_xll.qlInterestRateIndexValueDate(L33,E33,Trigger)</f>
        <v>41877</v>
      </c>
      <c r="G33" s="67">
        <f>_xll.qlInterestRateIndexMaturity(L33,F33,Trigger)</f>
        <v>49184</v>
      </c>
      <c r="H33" s="66">
        <f>_xll.qlIndexFixing(L33,E33,TRUE,InterestRatesTrigger)</f>
        <v>4.235000000002255E-2</v>
      </c>
      <c r="I33" s="74" t="str">
        <f>Contribution!AB33</f>
        <v>AUD6M20Y=</v>
      </c>
      <c r="J33" s="74" t="str">
        <f t="shared" si="4"/>
        <v>AUDSM6AB20Y=ICAA</v>
      </c>
      <c r="K33" s="56"/>
      <c r="L33" s="52" t="str">
        <f>_xll.qlSwapIndex(,"BBSW",C33,SettlementDays,Currency,Calendar,FixedLegTenor,FixedLegBDC,FixedLegDayCounter,IborIndex,DiscountingCurve,,Trigger)</f>
        <v>obj_003b9#0001</v>
      </c>
      <c r="M33" s="91"/>
      <c r="N33" s="81"/>
      <c r="O33" s="4"/>
      <c r="P33" s="81"/>
      <c r="Q33" s="56"/>
      <c r="R33" s="56"/>
      <c r="S33" s="2"/>
      <c r="T33" s="2"/>
      <c r="U33" s="2"/>
      <c r="V33" s="2"/>
      <c r="W33" s="2"/>
      <c r="X33" s="2"/>
      <c r="Y33" s="2"/>
    </row>
    <row r="34" spans="1:25" x14ac:dyDescent="0.2">
      <c r="A34" s="4"/>
      <c r="B34" s="41"/>
      <c r="C34" s="25" t="s">
        <v>42</v>
      </c>
      <c r="D34" s="35" t="s">
        <v>87</v>
      </c>
      <c r="E34" s="67">
        <f t="shared" si="3"/>
        <v>41876</v>
      </c>
      <c r="F34" s="67">
        <f>_xll.qlInterestRateIndexValueDate(L34,E34,Trigger)</f>
        <v>41877</v>
      </c>
      <c r="G34" s="67">
        <f>_xll.qlInterestRateIndexMaturity(L34,F34,Trigger)</f>
        <v>51008</v>
      </c>
      <c r="H34" s="66">
        <f>_xll.qlIndexFixing(L34,E34,TRUE,InterestRatesTrigger)</f>
        <v>4.2874999999986625E-2</v>
      </c>
      <c r="I34" s="74" t="str">
        <f>Contribution!AB34</f>
        <v>AUD6M25Y=</v>
      </c>
      <c r="J34" s="74" t="str">
        <f t="shared" si="4"/>
        <v>AUDSM6AB25Y=ICAA</v>
      </c>
      <c r="K34" s="56"/>
      <c r="L34" s="52" t="str">
        <f>_xll.qlSwapIndex(,"BBSW",C34,SettlementDays,Currency,Calendar,FixedLegTenor,FixedLegBDC,FixedLegDayCounter,IborIndex,DiscountingCurve,,Trigger)</f>
        <v>obj_003ea#0001</v>
      </c>
      <c r="M34" s="91"/>
      <c r="N34" s="81"/>
      <c r="O34" s="4"/>
      <c r="P34" s="81"/>
      <c r="Q34" s="56"/>
      <c r="R34" s="56"/>
      <c r="S34" s="2"/>
      <c r="T34" s="2"/>
      <c r="U34" s="2"/>
      <c r="V34" s="2"/>
      <c r="W34" s="2"/>
      <c r="X34" s="2"/>
      <c r="Y34" s="2"/>
    </row>
    <row r="35" spans="1:25" x14ac:dyDescent="0.2">
      <c r="A35" s="4"/>
      <c r="B35" s="42"/>
      <c r="C35" s="26" t="s">
        <v>43</v>
      </c>
      <c r="D35" s="37" t="s">
        <v>87</v>
      </c>
      <c r="E35" s="68">
        <f t="shared" si="3"/>
        <v>41876</v>
      </c>
      <c r="F35" s="68">
        <f>_xll.qlInterestRateIndexValueDate(L35,E35,Trigger)</f>
        <v>41877</v>
      </c>
      <c r="G35" s="68">
        <f>_xll.qlInterestRateIndexMaturity(L35,F35,Trigger)</f>
        <v>52835</v>
      </c>
      <c r="H35" s="69">
        <f>_xll.qlIndexFixing(L35,E35,TRUE,InterestRatesTrigger)</f>
        <v>4.3074999999999988E-2</v>
      </c>
      <c r="I35" s="75" t="str">
        <f>Contribution!AB35</f>
        <v>AUD6M30Y=</v>
      </c>
      <c r="J35" s="75" t="str">
        <f t="shared" si="4"/>
        <v>AUDSM6AB30Y=ICAA</v>
      </c>
      <c r="K35" s="56"/>
      <c r="L35" s="80" t="str">
        <f>_xll.qlSwapIndex(,"BBSW",C35,SettlementDays,Currency,Calendar,FixedLegTenor,FixedLegBDC,FixedLegDayCounter,IborIndex,DiscountingCurve,,Trigger)</f>
        <v>obj_003da#0001</v>
      </c>
      <c r="M35" s="91"/>
      <c r="N35" s="81"/>
      <c r="O35" s="4"/>
      <c r="P35" s="81"/>
      <c r="Q35" s="56"/>
      <c r="R35" s="56"/>
      <c r="S35" s="2"/>
      <c r="T35" s="2"/>
      <c r="U35" s="2"/>
      <c r="V35" s="2"/>
      <c r="W35" s="2"/>
      <c r="X35" s="2"/>
      <c r="Y35" s="2"/>
    </row>
    <row r="36" spans="1:25" x14ac:dyDescent="0.2">
      <c r="A36" s="4"/>
      <c r="B36" s="89"/>
      <c r="C36" s="90"/>
      <c r="D36" s="82"/>
      <c r="E36" s="82"/>
      <c r="F36" s="81"/>
      <c r="G36" s="81"/>
      <c r="H36" s="81"/>
      <c r="I36" s="56"/>
      <c r="J36" s="82"/>
      <c r="K36" s="81"/>
      <c r="L36" s="82"/>
      <c r="M36" s="81"/>
      <c r="N36" s="81"/>
      <c r="O36" s="56"/>
      <c r="P36" s="81"/>
      <c r="Q36" s="81"/>
      <c r="R36" s="56"/>
      <c r="S36" s="2"/>
      <c r="T36" s="2"/>
      <c r="U36" s="2"/>
      <c r="V36" s="2"/>
      <c r="W36" s="2"/>
      <c r="X36" s="2"/>
      <c r="Y36" s="2"/>
    </row>
    <row r="37" spans="1:25" x14ac:dyDescent="0.2">
      <c r="A37" s="87"/>
      <c r="B37" s="88"/>
      <c r="C37" s="4"/>
      <c r="D37" s="81"/>
      <c r="E37" s="81"/>
      <c r="F37" s="81"/>
      <c r="G37" s="81"/>
      <c r="H37" s="81"/>
      <c r="I37" s="56"/>
      <c r="J37" s="81"/>
      <c r="K37" s="81"/>
      <c r="L37" s="81"/>
      <c r="M37" s="81"/>
      <c r="N37" s="81"/>
      <c r="O37" s="56"/>
      <c r="P37" s="56"/>
      <c r="Q37" s="56"/>
      <c r="R37" s="56"/>
      <c r="S37" s="2"/>
      <c r="T37" s="2"/>
      <c r="U37" s="2"/>
      <c r="V37" s="2"/>
      <c r="W37" s="2"/>
      <c r="X37" s="2"/>
      <c r="Y37" s="2"/>
    </row>
    <row r="38" spans="1:25" x14ac:dyDescent="0.2">
      <c r="A38" s="3"/>
      <c r="B38" s="11"/>
      <c r="C38" s="3"/>
      <c r="D38" s="6"/>
      <c r="E38" s="6"/>
      <c r="F38" s="6"/>
      <c r="G38" s="6"/>
      <c r="H38" s="6"/>
      <c r="I38" s="2"/>
      <c r="J38" s="6"/>
      <c r="K38" s="6"/>
      <c r="L38" s="6"/>
      <c r="M38" s="6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3"/>
      <c r="B39" s="11"/>
      <c r="C39" s="3"/>
      <c r="D39" s="6"/>
      <c r="E39" s="6"/>
      <c r="F39" s="6"/>
      <c r="G39" s="6"/>
      <c r="H39" s="6"/>
      <c r="I39" s="2"/>
      <c r="J39" s="6"/>
      <c r="K39" s="6"/>
      <c r="L39" s="6"/>
      <c r="M39" s="6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3"/>
      <c r="B40" s="11"/>
      <c r="C40" s="3"/>
      <c r="D40" s="6"/>
      <c r="E40" s="6"/>
      <c r="F40" s="6"/>
      <c r="G40" s="6"/>
      <c r="H40" s="6"/>
      <c r="I40" s="2"/>
      <c r="J40" s="6"/>
      <c r="K40" s="6"/>
      <c r="L40" s="6"/>
      <c r="M40" s="6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3"/>
      <c r="B41" s="11"/>
      <c r="C41" s="3"/>
      <c r="D41" s="6"/>
      <c r="E41" s="6"/>
      <c r="F41" s="6"/>
      <c r="G41" s="6"/>
      <c r="H41" s="6"/>
      <c r="I41" s="2"/>
      <c r="J41" s="6"/>
      <c r="K41" s="6"/>
      <c r="L41" s="6"/>
      <c r="M41" s="6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3"/>
      <c r="B42" s="11"/>
      <c r="C42" s="3"/>
      <c r="D42" s="6"/>
      <c r="E42" s="6"/>
      <c r="F42" s="6"/>
      <c r="G42" s="6"/>
      <c r="H42" s="6"/>
      <c r="I42" s="2"/>
      <c r="J42" s="6"/>
      <c r="K42" s="6"/>
      <c r="L42" s="6"/>
      <c r="M42" s="6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3"/>
      <c r="B43" s="11"/>
      <c r="C43" s="3"/>
      <c r="D43" s="6"/>
      <c r="E43" s="6"/>
      <c r="F43" s="6"/>
      <c r="G43" s="6"/>
      <c r="H43" s="6"/>
      <c r="I43" s="2"/>
      <c r="J43" s="6"/>
      <c r="K43" s="6"/>
      <c r="L43" s="6"/>
      <c r="M43" s="6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3"/>
      <c r="B44" s="11"/>
      <c r="C44" s="3"/>
      <c r="D44" s="6"/>
      <c r="E44" s="6"/>
      <c r="F44" s="6"/>
      <c r="G44" s="6"/>
      <c r="H44" s="6"/>
      <c r="I44" s="2"/>
      <c r="J44" s="6"/>
      <c r="K44" s="6"/>
      <c r="L44" s="6"/>
      <c r="M44" s="6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3"/>
      <c r="B45" s="11"/>
      <c r="C45" s="3"/>
      <c r="D45" s="6"/>
      <c r="E45" s="6"/>
      <c r="F45" s="6"/>
      <c r="G45" s="6"/>
      <c r="H45" s="6"/>
      <c r="I45" s="2"/>
      <c r="J45" s="6"/>
      <c r="K45" s="6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3"/>
      <c r="B46" s="11"/>
      <c r="C46" s="3"/>
      <c r="D46" s="6"/>
      <c r="E46" s="6"/>
      <c r="F46" s="6"/>
      <c r="G46" s="6"/>
      <c r="H46" s="6"/>
      <c r="I46" s="2"/>
      <c r="J46" s="6"/>
      <c r="K46" s="6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3"/>
      <c r="B47" s="11"/>
      <c r="C47" s="3"/>
      <c r="D47" s="6"/>
      <c r="E47" s="6"/>
      <c r="F47" s="6"/>
      <c r="G47" s="6"/>
      <c r="H47" s="6"/>
      <c r="I47" s="2"/>
      <c r="J47" s="6"/>
      <c r="K47" s="6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3"/>
      <c r="B48" s="11"/>
      <c r="C48" s="3"/>
      <c r="D48" s="6"/>
      <c r="E48" s="6"/>
      <c r="F48" s="6"/>
      <c r="G48" s="6"/>
      <c r="H48" s="6"/>
      <c r="I48" s="2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3"/>
      <c r="B49" s="11"/>
      <c r="C49" s="3"/>
      <c r="D49" s="6"/>
      <c r="E49" s="6"/>
      <c r="F49" s="6"/>
      <c r="G49" s="6"/>
      <c r="H49" s="6"/>
      <c r="I49" s="2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3"/>
      <c r="B50" s="11"/>
      <c r="C50" s="3"/>
      <c r="D50" s="6"/>
      <c r="E50" s="6"/>
      <c r="F50" s="6"/>
      <c r="G50" s="6"/>
      <c r="H50" s="6"/>
      <c r="I50" s="2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3"/>
      <c r="B51" s="11"/>
      <c r="C51" s="3"/>
      <c r="D51" s="6"/>
      <c r="E51" s="6"/>
      <c r="F51" s="6"/>
      <c r="G51" s="6"/>
      <c r="H51" s="6"/>
      <c r="I51" s="2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3"/>
      <c r="B52" s="11"/>
      <c r="C52" s="3"/>
      <c r="D52" s="6"/>
      <c r="E52" s="6"/>
      <c r="F52" s="6"/>
      <c r="G52" s="6"/>
      <c r="H52" s="6"/>
      <c r="I52" s="2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3"/>
      <c r="B53" s="11"/>
      <c r="C53" s="3"/>
      <c r="D53" s="6"/>
      <c r="E53" s="6"/>
      <c r="F53" s="6"/>
      <c r="G53" s="6"/>
      <c r="H53" s="6"/>
      <c r="I53" s="2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3"/>
      <c r="B54" s="11"/>
      <c r="C54" s="3"/>
      <c r="D54" s="6"/>
      <c r="E54" s="6"/>
      <c r="F54" s="6"/>
      <c r="G54" s="6"/>
      <c r="H54" s="6"/>
      <c r="I54" s="2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3"/>
      <c r="B55" s="11"/>
      <c r="C55" s="3"/>
      <c r="D55" s="6"/>
      <c r="E55" s="6"/>
      <c r="F55" s="6"/>
      <c r="G55" s="6"/>
      <c r="H55" s="6"/>
      <c r="I55" s="2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3"/>
      <c r="B56" s="11"/>
      <c r="C56" s="3"/>
      <c r="D56" s="6"/>
      <c r="E56" s="6"/>
      <c r="F56" s="6"/>
      <c r="G56" s="6"/>
      <c r="H56" s="6"/>
      <c r="I56" s="2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3"/>
      <c r="B57" s="11"/>
      <c r="C57" s="3"/>
      <c r="D57" s="6"/>
      <c r="E57" s="6"/>
      <c r="F57" s="6"/>
      <c r="G57" s="6"/>
      <c r="H57" s="6"/>
      <c r="I57" s="2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3"/>
      <c r="B58" s="11"/>
      <c r="C58" s="3"/>
      <c r="D58" s="6"/>
      <c r="E58" s="6"/>
      <c r="F58" s="6"/>
      <c r="G58" s="6"/>
      <c r="H58" s="6"/>
      <c r="I58" s="2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3"/>
      <c r="B59" s="11"/>
      <c r="C59" s="3"/>
      <c r="D59" s="6"/>
      <c r="E59" s="6"/>
      <c r="F59" s="6"/>
      <c r="G59" s="6"/>
      <c r="H59" s="6"/>
      <c r="I59" s="2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3"/>
      <c r="B60" s="11"/>
      <c r="C60" s="3"/>
      <c r="D60" s="6"/>
      <c r="E60" s="6"/>
      <c r="F60" s="6"/>
      <c r="G60" s="6"/>
      <c r="H60" s="6"/>
      <c r="I60" s="2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3"/>
      <c r="B61" s="11"/>
      <c r="C61" s="3"/>
      <c r="D61" s="6"/>
      <c r="E61" s="6"/>
      <c r="F61" s="6"/>
      <c r="G61" s="6"/>
      <c r="H61" s="6"/>
      <c r="I61" s="2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3"/>
      <c r="B62" s="11"/>
      <c r="C62" s="3"/>
      <c r="D62" s="6"/>
      <c r="E62" s="6"/>
      <c r="F62" s="6"/>
      <c r="G62" s="6"/>
      <c r="H62" s="6"/>
      <c r="I62" s="2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3"/>
      <c r="B63" s="11"/>
      <c r="C63" s="3"/>
      <c r="D63" s="6"/>
      <c r="E63" s="6"/>
      <c r="F63" s="6"/>
      <c r="G63" s="6"/>
      <c r="H63" s="6"/>
      <c r="I63" s="2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3"/>
      <c r="B64" s="11"/>
      <c r="C64" s="3"/>
      <c r="D64" s="6"/>
      <c r="E64" s="6"/>
      <c r="F64" s="6"/>
      <c r="G64" s="6"/>
      <c r="H64" s="6"/>
      <c r="I64" s="2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3"/>
      <c r="B65" s="11"/>
      <c r="C65" s="3"/>
      <c r="D65" s="6"/>
      <c r="E65" s="6"/>
      <c r="F65" s="6"/>
      <c r="G65" s="6"/>
      <c r="H65" s="6"/>
      <c r="I65" s="2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3"/>
      <c r="B66" s="11"/>
      <c r="C66" s="3"/>
      <c r="D66" s="6"/>
      <c r="E66" s="6"/>
      <c r="F66" s="6"/>
      <c r="G66" s="6"/>
      <c r="H66" s="6"/>
      <c r="I66" s="2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11"/>
      <c r="C67" s="3"/>
      <c r="D67" s="6"/>
      <c r="E67" s="6"/>
      <c r="F67" s="6"/>
      <c r="G67" s="6"/>
      <c r="H67" s="6"/>
      <c r="I67" s="2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11"/>
      <c r="C68" s="3"/>
      <c r="D68" s="6"/>
      <c r="E68" s="6"/>
      <c r="F68" s="6"/>
      <c r="G68" s="6"/>
      <c r="H68" s="6"/>
      <c r="I68" s="2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11"/>
      <c r="C69" s="3"/>
      <c r="D69" s="6"/>
      <c r="E69" s="6"/>
      <c r="F69" s="6"/>
      <c r="G69" s="6"/>
      <c r="H69" s="6"/>
      <c r="I69" s="2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11"/>
      <c r="C70" s="3"/>
      <c r="D70" s="6"/>
      <c r="E70" s="6"/>
      <c r="F70" s="6"/>
      <c r="G70" s="6"/>
      <c r="H70" s="6"/>
      <c r="I70" s="2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11"/>
      <c r="C71" s="3"/>
      <c r="D71" s="6"/>
      <c r="E71" s="6"/>
      <c r="F71" s="6"/>
      <c r="G71" s="6"/>
      <c r="H71" s="6"/>
      <c r="I71" s="2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11"/>
      <c r="C72" s="3"/>
      <c r="D72" s="6"/>
      <c r="E72" s="6"/>
      <c r="F72" s="6"/>
      <c r="G72" s="6"/>
      <c r="H72" s="6"/>
      <c r="I72" s="2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11"/>
      <c r="C73" s="3"/>
      <c r="D73" s="6"/>
      <c r="E73" s="6"/>
      <c r="F73" s="6"/>
      <c r="G73" s="6"/>
      <c r="H73" s="6"/>
      <c r="I73" s="2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11"/>
      <c r="C74" s="3"/>
      <c r="D74" s="6"/>
      <c r="E74" s="6"/>
      <c r="F74" s="6"/>
      <c r="G74" s="6"/>
      <c r="H74" s="6"/>
      <c r="I74" s="2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11"/>
      <c r="C75" s="3"/>
      <c r="D75" s="6"/>
      <c r="E75" s="6"/>
      <c r="F75" s="6"/>
      <c r="G75" s="6"/>
      <c r="H75" s="6"/>
      <c r="I75" s="2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11"/>
      <c r="C76" s="3"/>
      <c r="D76" s="6"/>
      <c r="E76" s="6"/>
      <c r="F76" s="6"/>
      <c r="G76" s="6"/>
      <c r="H76" s="6"/>
      <c r="I76" s="2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11"/>
      <c r="C77" s="3"/>
      <c r="D77" s="6"/>
      <c r="E77" s="6"/>
      <c r="F77" s="6"/>
      <c r="G77" s="6"/>
      <c r="H77" s="6"/>
      <c r="I77" s="2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11"/>
      <c r="C78" s="3"/>
      <c r="D78" s="6"/>
      <c r="E78" s="6"/>
      <c r="F78" s="6"/>
      <c r="G78" s="6"/>
      <c r="H78" s="6"/>
      <c r="I78" s="2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11"/>
      <c r="C79" s="3"/>
      <c r="D79" s="6"/>
      <c r="E79" s="6"/>
      <c r="F79" s="6"/>
      <c r="G79" s="6"/>
      <c r="H79" s="6"/>
      <c r="I79" s="2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11"/>
      <c r="C80" s="3"/>
      <c r="D80" s="6"/>
      <c r="E80" s="6"/>
      <c r="F80" s="6"/>
      <c r="G80" s="6"/>
      <c r="H80" s="6"/>
      <c r="I80" s="2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11"/>
      <c r="C81" s="3"/>
      <c r="D81" s="6"/>
      <c r="E81" s="6"/>
      <c r="F81" s="6"/>
      <c r="G81" s="6"/>
      <c r="H81" s="6"/>
      <c r="I81" s="2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11"/>
      <c r="C82" s="3"/>
      <c r="D82" s="6"/>
      <c r="E82" s="6"/>
      <c r="F82" s="6"/>
      <c r="G82" s="6"/>
      <c r="H82" s="6"/>
      <c r="I82" s="2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11"/>
      <c r="C83" s="3"/>
      <c r="D83" s="6"/>
      <c r="E83" s="6"/>
      <c r="F83" s="6"/>
      <c r="G83" s="6"/>
      <c r="H83" s="6"/>
      <c r="I83" s="2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11"/>
      <c r="C84" s="3"/>
      <c r="D84" s="6"/>
      <c r="E84" s="6"/>
      <c r="F84" s="6"/>
      <c r="G84" s="6"/>
      <c r="H84" s="6"/>
      <c r="I84" s="2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11"/>
      <c r="C85" s="3"/>
      <c r="D85" s="6"/>
      <c r="E85" s="6"/>
      <c r="F85" s="6"/>
      <c r="G85" s="6"/>
      <c r="H85" s="6"/>
      <c r="I85" s="2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11"/>
      <c r="C86" s="3"/>
      <c r="D86" s="6"/>
      <c r="E86" s="6"/>
      <c r="F86" s="6"/>
      <c r="G86" s="6"/>
      <c r="H86" s="6"/>
      <c r="I86" s="2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11"/>
      <c r="C87" s="3"/>
      <c r="D87" s="6"/>
      <c r="E87" s="6"/>
      <c r="F87" s="6"/>
      <c r="G87" s="6"/>
      <c r="H87" s="6"/>
      <c r="I87" s="2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11"/>
      <c r="C88" s="3"/>
      <c r="D88" s="6"/>
      <c r="E88" s="6"/>
      <c r="F88" s="6"/>
      <c r="G88" s="6"/>
      <c r="H88" s="6"/>
      <c r="I88" s="2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11"/>
      <c r="C89" s="3"/>
      <c r="D89" s="6"/>
      <c r="E89" s="6"/>
      <c r="F89" s="6"/>
      <c r="G89" s="6"/>
      <c r="H89" s="6"/>
      <c r="I89" s="2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11"/>
      <c r="C90" s="3"/>
      <c r="D90" s="6"/>
      <c r="E90" s="6"/>
      <c r="F90" s="6"/>
      <c r="G90" s="6"/>
      <c r="H90" s="6"/>
      <c r="I90" s="2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11"/>
      <c r="C91" s="3"/>
      <c r="D91" s="6"/>
      <c r="E91" s="6"/>
      <c r="F91" s="6"/>
      <c r="G91" s="6"/>
      <c r="H91" s="6"/>
      <c r="I91" s="2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11"/>
      <c r="C92" s="3"/>
      <c r="D92" s="6"/>
      <c r="E92" s="6"/>
      <c r="F92" s="6"/>
      <c r="G92" s="6"/>
      <c r="H92" s="6"/>
      <c r="I92" s="2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11"/>
      <c r="C93" s="3"/>
      <c r="D93" s="6"/>
      <c r="E93" s="6"/>
      <c r="F93" s="6"/>
      <c r="G93" s="6"/>
      <c r="H93" s="6"/>
      <c r="I93" s="2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11"/>
      <c r="C94" s="3"/>
      <c r="D94" s="6"/>
      <c r="E94" s="6"/>
      <c r="F94" s="6"/>
      <c r="G94" s="6"/>
      <c r="H94" s="6"/>
      <c r="I94" s="2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11"/>
      <c r="C95" s="3"/>
      <c r="D95" s="6"/>
      <c r="E95" s="6"/>
      <c r="F95" s="6"/>
      <c r="G95" s="6"/>
      <c r="H95" s="6"/>
      <c r="I95" s="2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11"/>
      <c r="C96" s="3"/>
      <c r="D96" s="6"/>
      <c r="E96" s="6"/>
      <c r="F96" s="6"/>
      <c r="G96" s="6"/>
      <c r="H96" s="6"/>
      <c r="I96" s="2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11"/>
      <c r="C97" s="3"/>
      <c r="D97" s="6"/>
      <c r="E97" s="6"/>
      <c r="F97" s="6"/>
      <c r="G97" s="6"/>
      <c r="H97" s="6"/>
      <c r="I97" s="2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11"/>
      <c r="C98" s="3"/>
      <c r="D98" s="6"/>
      <c r="E98" s="6"/>
      <c r="F98" s="6"/>
      <c r="G98" s="6"/>
      <c r="H98" s="6"/>
      <c r="I98" s="2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11"/>
      <c r="C99" s="3"/>
      <c r="D99" s="6"/>
      <c r="E99" s="6"/>
      <c r="F99" s="6"/>
      <c r="G99" s="6"/>
      <c r="H99" s="6"/>
      <c r="I99" s="2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11"/>
      <c r="C100" s="3"/>
      <c r="D100" s="6"/>
      <c r="E100" s="6"/>
      <c r="F100" s="6"/>
      <c r="G100" s="6"/>
      <c r="H100" s="6"/>
      <c r="I100" s="2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dataValidations count="2">
    <dataValidation type="list" allowBlank="1" showInputMessage="1" showErrorMessage="1" sqref="O20 O7">
      <formula1>"Following,Modified Following,Preceding,Modified Preceding,Unadjusted,Half-Month Modified Following"</formula1>
    </dataValidation>
    <dataValidation type="list" allowBlank="1" showInputMessage="1" showErrorMessage="1" sqref="P20 P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48</vt:i4>
      </vt:variant>
    </vt:vector>
  </HeadingPairs>
  <TitlesOfParts>
    <vt:vector size="54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2014-08-25T15:41:37Z</dcterms:modified>
</cp:coreProperties>
</file>