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100" yWindow="135" windowWidth="15315" windowHeight="19395" tabRatio="695"/>
  </bookViews>
  <sheets>
    <sheet name="General Settings" sheetId="29" r:id="rId1"/>
    <sheet name="Triggers" sheetId="30" r:id="rId2"/>
    <sheet name="SynthDepo" sheetId="32" r:id="rId3"/>
    <sheet name="RateHelpersFra" sheetId="34" r:id="rId4"/>
    <sheet name="SynthFra" sheetId="35" r:id="rId5"/>
    <sheet name="Contribution" sheetId="33" r:id="rId6"/>
  </sheets>
  <externalReferences>
    <externalReference r:id="rId7"/>
  </externalReferences>
  <definedNames>
    <definedName name="Accuracy">'General Settings'!$D$30</definedName>
    <definedName name="AllTriggers">Triggers!$C$2:$C$6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Triggers!$C$3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Triggers!$C$5</definedName>
    <definedName name="InterpolatorID">'General Settings'!$D$32</definedName>
    <definedName name="LastDayInNextYear">'General Settings'!$D$22</definedName>
    <definedName name="LastDayInYear">'General Settings'!$D$21</definedName>
    <definedName name="LastFixingsTrigger">Triggers!$C$6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Settings'!$D$20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Contribution!$N$3:$N$84</definedName>
    <definedName name="QuoteLive" localSheetId="5">Contribution!$J$3:$J$84</definedName>
    <definedName name="QuoteStatic" localSheetId="5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Settings'!$D$31</definedName>
    <definedName name="Trigger">Triggers!$C$2</definedName>
    <definedName name="TriggerCounter">Triggers!$C$7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3" i="30"/>
  <c r="D25" i="32" l="1"/>
  <c r="D15" i="32"/>
  <c r="D6" i="32"/>
  <c r="D2" i="32"/>
  <c r="D28" i="32"/>
  <c r="A10" i="32"/>
  <c r="D10" i="32" l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59" i="33"/>
  <c r="D72" i="33"/>
  <c r="D80" i="33"/>
  <c r="D49" i="33"/>
  <c r="D44" i="33"/>
  <c r="D84" i="33"/>
  <c r="E10" i="32"/>
  <c r="D66" i="33"/>
  <c r="D81" i="33"/>
  <c r="D75" i="33"/>
  <c r="D70" i="33"/>
  <c r="D47" i="33"/>
  <c r="D79" i="33"/>
  <c r="D68" i="33"/>
  <c r="D69" i="33"/>
  <c r="D48" i="33"/>
  <c r="D76" i="33"/>
  <c r="D53" i="33"/>
  <c r="D50" i="33"/>
  <c r="D65" i="33"/>
  <c r="D56" i="33"/>
  <c r="D43" i="33"/>
  <c r="D41" i="33"/>
  <c r="D62" i="33"/>
  <c r="D57" i="33"/>
  <c r="D45" i="33"/>
  <c r="D78" i="33"/>
  <c r="D82" i="33"/>
  <c r="D58" i="33"/>
  <c r="D42" i="33"/>
  <c r="D67" i="33"/>
  <c r="D55" i="33"/>
  <c r="D73" i="33"/>
  <c r="D74" i="33"/>
  <c r="D52" i="33"/>
  <c r="D51" i="33"/>
  <c r="D46" i="33"/>
  <c r="D71" i="33"/>
  <c r="D77" i="33"/>
  <c r="D83" i="33"/>
  <c r="D54" i="33"/>
  <c r="D63" i="33"/>
  <c r="D60" i="33"/>
  <c r="D64" i="33"/>
  <c r="D61" i="33"/>
  <c r="A7" i="32" l="1"/>
  <c r="A3" i="32"/>
  <c r="A16" i="32"/>
  <c r="A26" i="32"/>
  <c r="A16" i="33"/>
  <c r="A26" i="33"/>
  <c r="A4" i="33"/>
  <c r="E67" i="33"/>
  <c r="E64" i="33"/>
  <c r="E77" i="33"/>
  <c r="E79" i="33"/>
  <c r="E54" i="33"/>
  <c r="E56" i="33"/>
  <c r="E58" i="33"/>
  <c r="E78" i="33"/>
  <c r="E52" i="33"/>
  <c r="E44" i="33"/>
  <c r="E50" i="33"/>
  <c r="E68" i="33"/>
  <c r="E69" i="33"/>
  <c r="E51" i="33"/>
  <c r="E80" i="33"/>
  <c r="E83" i="33"/>
  <c r="E81" i="33"/>
  <c r="E49" i="33"/>
  <c r="E59" i="33"/>
  <c r="E84" i="33"/>
  <c r="E46" i="33"/>
  <c r="E65" i="33"/>
  <c r="E43" i="33"/>
  <c r="E82" i="33"/>
  <c r="E53" i="33"/>
  <c r="E73" i="33"/>
  <c r="A11" i="32"/>
  <c r="E72" i="33"/>
  <c r="E55" i="33"/>
  <c r="E57" i="33"/>
  <c r="E61" i="33"/>
  <c r="E41" i="33"/>
  <c r="E66" i="33"/>
  <c r="E70" i="33"/>
  <c r="F10" i="32"/>
  <c r="E45" i="33"/>
  <c r="E42" i="33"/>
  <c r="E74" i="33"/>
  <c r="E48" i="33"/>
  <c r="E60" i="33"/>
  <c r="E47" i="33"/>
  <c r="E75" i="33"/>
  <c r="E71" i="33"/>
  <c r="E63" i="33"/>
  <c r="E62" i="33"/>
  <c r="E76" i="33"/>
  <c r="D11" i="32" l="1"/>
  <c r="C40" i="33"/>
  <c r="C30" i="33"/>
  <c r="C33" i="33"/>
  <c r="C37" i="33"/>
  <c r="C27" i="33"/>
  <c r="C36" i="33"/>
  <c r="C39" i="33"/>
  <c r="C26" i="33"/>
  <c r="C29" i="33"/>
  <c r="C32" i="33"/>
  <c r="C35" i="33"/>
  <c r="C34" i="33"/>
  <c r="C38" i="33"/>
  <c r="C25" i="33"/>
  <c r="C28" i="33"/>
  <c r="C31" i="33"/>
  <c r="C9" i="33"/>
  <c r="C12" i="33"/>
  <c r="C13" i="33"/>
  <c r="C8" i="33"/>
  <c r="C14" i="33"/>
  <c r="C11" i="33"/>
  <c r="C10" i="33"/>
  <c r="C6" i="33"/>
  <c r="C7" i="33"/>
  <c r="C5" i="33"/>
  <c r="C3" i="33"/>
  <c r="C4" i="33"/>
  <c r="C18" i="33"/>
  <c r="C17" i="33"/>
  <c r="C21" i="33"/>
  <c r="C24" i="33"/>
  <c r="C15" i="33"/>
  <c r="C20" i="33"/>
  <c r="C23" i="33"/>
  <c r="C16" i="33"/>
  <c r="C19" i="33"/>
  <c r="C22" i="33"/>
  <c r="E11" i="32"/>
  <c r="F11" i="32"/>
  <c r="D3" i="33"/>
  <c r="D8" i="29" l="1"/>
  <c r="D6" i="29"/>
  <c r="D35" i="33"/>
  <c r="D6" i="33"/>
  <c r="D18" i="33"/>
  <c r="D4" i="33"/>
  <c r="D24" i="33"/>
  <c r="O6" i="35"/>
  <c r="D34" i="33"/>
  <c r="D25" i="33"/>
  <c r="D22" i="33"/>
  <c r="D7" i="33"/>
  <c r="D32" i="33"/>
  <c r="D13" i="33"/>
  <c r="D40" i="33"/>
  <c r="D17" i="33"/>
  <c r="O4" i="35"/>
  <c r="D30" i="33"/>
  <c r="O2" i="35"/>
  <c r="D5" i="33"/>
  <c r="D23" i="33"/>
  <c r="E3" i="33"/>
  <c r="D37" i="33"/>
  <c r="F10" i="34"/>
  <c r="D33" i="33"/>
  <c r="D38" i="33"/>
  <c r="D31" i="33"/>
  <c r="D20" i="29"/>
  <c r="D36" i="33"/>
  <c r="D20" i="33"/>
  <c r="D19" i="33"/>
  <c r="B1" i="29"/>
  <c r="D12" i="33"/>
  <c r="D9" i="33"/>
  <c r="D29" i="33"/>
  <c r="D28" i="33"/>
  <c r="D26" i="33"/>
  <c r="D21" i="33"/>
  <c r="D14" i="33"/>
  <c r="D15" i="33"/>
  <c r="D8" i="33"/>
  <c r="O5" i="35"/>
  <c r="D19" i="29"/>
  <c r="F48" i="32"/>
  <c r="O3" i="35"/>
  <c r="D39" i="33"/>
  <c r="D10" i="33"/>
  <c r="E12" i="32"/>
  <c r="D11" i="33"/>
  <c r="D27" i="33"/>
  <c r="D16" i="33"/>
  <c r="F43" i="32"/>
  <c r="E20" i="32"/>
  <c r="F36" i="32"/>
  <c r="F46" i="32"/>
  <c r="E13" i="32"/>
  <c r="F45" i="32"/>
  <c r="F47" i="32"/>
  <c r="E23" i="32"/>
  <c r="F37" i="32"/>
  <c r="F49" i="32"/>
  <c r="E24" i="32"/>
  <c r="F39" i="32"/>
  <c r="E14" i="32"/>
  <c r="F42" i="32"/>
  <c r="E19" i="32"/>
  <c r="F38" i="32"/>
  <c r="F35" i="32"/>
  <c r="E27" i="32"/>
  <c r="E21" i="32"/>
  <c r="E22" i="32"/>
  <c r="F44" i="32"/>
  <c r="F34" i="32"/>
  <c r="F40" i="32"/>
  <c r="F41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F22" i="32"/>
  <c r="E37" i="33"/>
  <c r="B45" i="32"/>
  <c r="E29" i="33"/>
  <c r="F19" i="32"/>
  <c r="E22" i="33"/>
  <c r="E16" i="33"/>
  <c r="F5" i="32"/>
  <c r="B37" i="32"/>
  <c r="E36" i="33"/>
  <c r="F21" i="32"/>
  <c r="B40" i="32"/>
  <c r="F24" i="32"/>
  <c r="E24" i="33"/>
  <c r="F27" i="32"/>
  <c r="B43" i="32"/>
  <c r="F3" i="34"/>
  <c r="F15" i="32"/>
  <c r="F2" i="34"/>
  <c r="E25" i="33"/>
  <c r="F23" i="32"/>
  <c r="F2" i="32"/>
  <c r="E26" i="33"/>
  <c r="B44" i="32"/>
  <c r="E30" i="33"/>
  <c r="E4" i="33"/>
  <c r="B35" i="32"/>
  <c r="B38" i="32"/>
  <c r="D22" i="29"/>
  <c r="B10" i="32"/>
  <c r="F12" i="32"/>
  <c r="E18" i="33"/>
  <c r="E19" i="33"/>
  <c r="B34" i="32"/>
  <c r="E31" i="33"/>
  <c r="B49" i="32"/>
  <c r="F6" i="34"/>
  <c r="B47" i="32"/>
  <c r="E27" i="33"/>
  <c r="F13" i="32"/>
  <c r="F20" i="32"/>
  <c r="E38" i="33"/>
  <c r="E17" i="33"/>
  <c r="B36" i="32"/>
  <c r="E7" i="33"/>
  <c r="B46" i="32"/>
  <c r="F6" i="32"/>
  <c r="B48" i="32"/>
  <c r="E40" i="33"/>
  <c r="D21" i="29"/>
  <c r="E6" i="33"/>
  <c r="F25" i="32"/>
  <c r="E20" i="33"/>
  <c r="F5" i="34"/>
  <c r="E35" i="33"/>
  <c r="F14" i="32"/>
  <c r="E28" i="33"/>
  <c r="E21" i="33"/>
  <c r="B41" i="32"/>
  <c r="E23" i="33"/>
  <c r="E34" i="33"/>
  <c r="E32" i="33"/>
  <c r="B42" i="32"/>
  <c r="B39" i="32"/>
  <c r="E15" i="33"/>
  <c r="F4" i="34"/>
  <c r="E5" i="33"/>
  <c r="E33" i="33"/>
  <c r="E39" i="33"/>
  <c r="A6" i="35" l="1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N10" i="32"/>
  <c r="O10" i="32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C40" i="32"/>
  <c r="C45" i="32"/>
  <c r="C42" i="32"/>
  <c r="C48" i="32"/>
  <c r="B11" i="32"/>
  <c r="B12" i="32"/>
  <c r="B20" i="32"/>
  <c r="C35" i="32"/>
  <c r="C41" i="32"/>
  <c r="C47" i="32"/>
  <c r="B23" i="32"/>
  <c r="C49" i="32"/>
  <c r="B21" i="32"/>
  <c r="B13" i="32"/>
  <c r="C44" i="32"/>
  <c r="C37" i="32"/>
  <c r="C43" i="32"/>
  <c r="C46" i="32"/>
  <c r="B19" i="32"/>
  <c r="C39" i="32"/>
  <c r="B15" i="32"/>
  <c r="C34" i="32"/>
  <c r="B25" i="32"/>
  <c r="C38" i="32"/>
  <c r="B27" i="32"/>
  <c r="C10" i="32"/>
  <c r="B2" i="32"/>
  <c r="B24" i="32"/>
  <c r="C36" i="32"/>
  <c r="B14" i="32"/>
  <c r="B6" i="32"/>
  <c r="B22" i="32"/>
  <c r="U2" i="32" l="1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P10" i="32"/>
  <c r="O11" i="32"/>
  <c r="N11" i="32"/>
  <c r="T10" i="32"/>
  <c r="U10" i="32"/>
  <c r="C2" i="32"/>
  <c r="D5" i="35"/>
  <c r="C19" i="32"/>
  <c r="C7" i="35"/>
  <c r="C12" i="32"/>
  <c r="C6" i="35"/>
  <c r="C5" i="35"/>
  <c r="D6" i="35"/>
  <c r="C21" i="32"/>
  <c r="C24" i="32"/>
  <c r="C20" i="32"/>
  <c r="C4" i="35"/>
  <c r="D7" i="35"/>
  <c r="C13" i="32"/>
  <c r="C22" i="32"/>
  <c r="C27" i="32"/>
  <c r="D4" i="35"/>
  <c r="C11" i="32"/>
  <c r="C6" i="32"/>
  <c r="C15" i="32"/>
  <c r="C14" i="32"/>
  <c r="C23" i="32"/>
  <c r="C25" i="32"/>
  <c r="U11" i="32" l="1"/>
  <c r="T11" i="32"/>
  <c r="P11" i="32"/>
  <c r="I27" i="35"/>
  <c r="I44" i="35"/>
  <c r="I21" i="35"/>
  <c r="I47" i="35"/>
  <c r="I35" i="35"/>
  <c r="I14" i="35"/>
  <c r="I15" i="35"/>
  <c r="I10" i="35"/>
  <c r="I12" i="35"/>
  <c r="I31" i="35"/>
  <c r="I4" i="35"/>
  <c r="I50" i="35"/>
  <c r="I46" i="35"/>
  <c r="I22" i="35"/>
  <c r="I36" i="35"/>
  <c r="I24" i="35"/>
  <c r="I40" i="35"/>
  <c r="I19" i="35"/>
  <c r="I51" i="35"/>
  <c r="I37" i="35"/>
  <c r="I29" i="35"/>
  <c r="I26" i="35"/>
  <c r="I28" i="35"/>
  <c r="I16" i="35"/>
  <c r="I42" i="35"/>
  <c r="I5" i="35"/>
  <c r="I13" i="35"/>
  <c r="I25" i="35"/>
  <c r="I38" i="35"/>
  <c r="I33" i="35"/>
  <c r="I48" i="35"/>
  <c r="I6" i="35"/>
  <c r="I2" i="35"/>
  <c r="I49" i="35"/>
  <c r="I30" i="35"/>
  <c r="I18" i="35"/>
  <c r="I34" i="35"/>
  <c r="I17" i="35"/>
  <c r="I41" i="35"/>
  <c r="I23" i="35"/>
  <c r="I45" i="35"/>
  <c r="D2" i="33"/>
  <c r="I11" i="35"/>
  <c r="I32" i="35"/>
  <c r="I9" i="35"/>
  <c r="I20" i="35"/>
  <c r="I43" i="35"/>
  <c r="I39" i="35"/>
  <c r="I3" i="35"/>
  <c r="I8" i="35"/>
  <c r="A3" i="35" l="1"/>
  <c r="D3" i="35"/>
  <c r="D38" i="29"/>
  <c r="C44" i="29"/>
  <c r="D40" i="29"/>
  <c r="D41" i="29" s="1"/>
  <c r="C3" i="35"/>
  <c r="E2" i="33"/>
  <c r="D34" i="29"/>
  <c r="C43" i="29"/>
  <c r="D36" i="29"/>
  <c r="G19" i="35"/>
  <c r="J15" i="35"/>
  <c r="H15" i="35" s="1"/>
  <c r="J51" i="35"/>
  <c r="H51" i="35" s="1"/>
  <c r="J46" i="35"/>
  <c r="H46" i="35" s="1"/>
  <c r="G26" i="35"/>
  <c r="G27" i="35"/>
  <c r="J34" i="35"/>
  <c r="H34" i="35" s="1"/>
  <c r="G25" i="35"/>
  <c r="J44" i="35"/>
  <c r="H44" i="35" s="1"/>
  <c r="G50" i="35"/>
  <c r="J45" i="35"/>
  <c r="H45" i="35" s="1"/>
  <c r="J27" i="35"/>
  <c r="J22" i="35"/>
  <c r="H22" i="35" s="1"/>
  <c r="G14" i="35"/>
  <c r="J18" i="35"/>
  <c r="G29" i="35"/>
  <c r="G39" i="35"/>
  <c r="J16" i="35"/>
  <c r="G44" i="35"/>
  <c r="J13" i="35"/>
  <c r="H13" i="35" s="1"/>
  <c r="G18" i="35"/>
  <c r="J41" i="35"/>
  <c r="J9" i="35"/>
  <c r="H9" i="35" s="1"/>
  <c r="J19" i="35"/>
  <c r="H19" i="35" s="1"/>
  <c r="G41" i="35"/>
  <c r="J10" i="35"/>
  <c r="H10" i="35" s="1"/>
  <c r="G34" i="35"/>
  <c r="G2" i="35"/>
  <c r="J5" i="35"/>
  <c r="H5" i="35" s="1"/>
  <c r="G42" i="35"/>
  <c r="J6" i="35"/>
  <c r="H6" i="35" s="1"/>
  <c r="G3" i="35"/>
  <c r="J17" i="35"/>
  <c r="H17" i="35" s="1"/>
  <c r="G5" i="35"/>
  <c r="J23" i="35"/>
  <c r="H23" i="35" s="1"/>
  <c r="G32" i="35"/>
  <c r="J4" i="35"/>
  <c r="J3" i="35"/>
  <c r="H3" i="35" s="1"/>
  <c r="J25" i="35"/>
  <c r="H25" i="35" s="1"/>
  <c r="J39" i="35"/>
  <c r="H39" i="35" s="1"/>
  <c r="J43" i="35"/>
  <c r="H43" i="35" s="1"/>
  <c r="G37" i="35"/>
  <c r="G4" i="35"/>
  <c r="J29" i="35"/>
  <c r="H29" i="35" s="1"/>
  <c r="J28" i="35"/>
  <c r="H28" i="35" s="1"/>
  <c r="G51" i="35"/>
  <c r="J48" i="35"/>
  <c r="H48" i="35" s="1"/>
  <c r="G8" i="35"/>
  <c r="J47" i="35"/>
  <c r="H47" i="35" s="1"/>
  <c r="J36" i="35"/>
  <c r="H36" i="35" s="1"/>
  <c r="G20" i="35"/>
  <c r="J12" i="35"/>
  <c r="G10" i="35"/>
  <c r="J21" i="35"/>
  <c r="H21" i="35" s="1"/>
  <c r="G49" i="35"/>
  <c r="J32" i="35"/>
  <c r="H32" i="35" s="1"/>
  <c r="J40" i="35"/>
  <c r="H40" i="35" s="1"/>
  <c r="G28" i="35"/>
  <c r="G38" i="35"/>
  <c r="G11" i="35"/>
  <c r="G15" i="35"/>
  <c r="J24" i="35"/>
  <c r="H24" i="35" s="1"/>
  <c r="G16" i="35"/>
  <c r="G24" i="35"/>
  <c r="J49" i="35"/>
  <c r="H49" i="35" s="1"/>
  <c r="J30" i="35"/>
  <c r="H30" i="35" s="1"/>
  <c r="G22" i="35"/>
  <c r="G33" i="35"/>
  <c r="J26" i="35"/>
  <c r="H26" i="35" s="1"/>
  <c r="G46" i="35"/>
  <c r="G47" i="35"/>
  <c r="G43" i="35"/>
  <c r="G31" i="35"/>
  <c r="G13" i="35"/>
  <c r="J37" i="35"/>
  <c r="H37" i="35" s="1"/>
  <c r="J33" i="35"/>
  <c r="G21" i="35"/>
  <c r="J8" i="35"/>
  <c r="J42" i="35"/>
  <c r="H42" i="35" s="1"/>
  <c r="J38" i="35"/>
  <c r="H38" i="35" s="1"/>
  <c r="J14" i="35"/>
  <c r="H14" i="35" s="1"/>
  <c r="J11" i="35"/>
  <c r="H11" i="35" s="1"/>
  <c r="G36" i="35"/>
  <c r="G30" i="35"/>
  <c r="J50" i="35"/>
  <c r="H50" i="35" s="1"/>
  <c r="G9" i="35"/>
  <c r="J2" i="35"/>
  <c r="H2" i="35" s="1"/>
  <c r="G23" i="35"/>
  <c r="J35" i="35"/>
  <c r="H35" i="35" s="1"/>
  <c r="J31" i="35"/>
  <c r="G48" i="35"/>
  <c r="G12" i="35"/>
  <c r="G17" i="35"/>
  <c r="J20" i="35"/>
  <c r="H20" i="35" s="1"/>
  <c r="G35" i="35"/>
  <c r="G45" i="35"/>
  <c r="G6" i="35"/>
  <c r="G40" i="35"/>
  <c r="H31" i="35"/>
  <c r="H8" i="35"/>
  <c r="H33" i="35"/>
  <c r="H41" i="35"/>
  <c r="H16" i="35"/>
  <c r="H27" i="35"/>
  <c r="H12" i="35"/>
  <c r="H4" i="35"/>
  <c r="H18" i="35"/>
  <c r="C6" i="30" l="1"/>
  <c r="C5" i="30"/>
  <c r="E16" i="32"/>
  <c r="E7" i="32"/>
  <c r="E3" i="32"/>
  <c r="E26" i="32"/>
  <c r="L49" i="32"/>
  <c r="B6" i="35"/>
  <c r="K5" i="34"/>
  <c r="L3" i="34"/>
  <c r="K6" i="35"/>
  <c r="G3" i="32"/>
  <c r="H10" i="32"/>
  <c r="G16" i="32"/>
  <c r="G25" i="32"/>
  <c r="G15" i="32"/>
  <c r="H6" i="32"/>
  <c r="G3" i="34"/>
  <c r="H24" i="32"/>
  <c r="B7" i="35"/>
  <c r="H12" i="32"/>
  <c r="L38" i="32"/>
  <c r="L37" i="32"/>
  <c r="B5" i="35"/>
  <c r="H14" i="32"/>
  <c r="G24" i="32"/>
  <c r="G22" i="32"/>
  <c r="G2" i="34"/>
  <c r="H15" i="32"/>
  <c r="L36" i="32"/>
  <c r="L46" i="32"/>
  <c r="H22" i="32"/>
  <c r="G14" i="32"/>
  <c r="G11" i="32"/>
  <c r="G27" i="32"/>
  <c r="L6" i="34"/>
  <c r="L45" i="32"/>
  <c r="L35" i="32"/>
  <c r="K2" i="35"/>
  <c r="B4" i="35"/>
  <c r="L47" i="32"/>
  <c r="B3" i="35"/>
  <c r="H27" i="32"/>
  <c r="L5" i="34"/>
  <c r="G13" i="32"/>
  <c r="L34" i="32"/>
  <c r="G5" i="34"/>
  <c r="K4" i="35"/>
  <c r="H13" i="32"/>
  <c r="L4" i="34"/>
  <c r="G6" i="32"/>
  <c r="G23" i="32"/>
  <c r="L44" i="32"/>
  <c r="K5" i="35"/>
  <c r="G6" i="34"/>
  <c r="G19" i="32"/>
  <c r="L40" i="32"/>
  <c r="L43" i="32"/>
  <c r="G5" i="32"/>
  <c r="G4" i="34"/>
  <c r="K2" i="34"/>
  <c r="G12" i="32"/>
  <c r="G21" i="32"/>
  <c r="L48" i="32"/>
  <c r="K6" i="34"/>
  <c r="L42" i="32"/>
  <c r="L39" i="32"/>
  <c r="H20" i="32"/>
  <c r="L41" i="32"/>
  <c r="G20" i="32"/>
  <c r="H19" i="32"/>
  <c r="H21" i="32"/>
  <c r="H25" i="32"/>
  <c r="G2" i="32"/>
  <c r="K3" i="34"/>
  <c r="L2" i="34"/>
  <c r="K3" i="35"/>
  <c r="H23" i="32"/>
  <c r="G7" i="32"/>
  <c r="H11" i="32"/>
  <c r="K4" i="34"/>
  <c r="G10" i="32"/>
  <c r="G26" i="32"/>
  <c r="E2" i="35" a="1"/>
  <c r="H2" i="32"/>
  <c r="F16" i="32"/>
  <c r="F7" i="32"/>
  <c r="F3" i="32"/>
  <c r="F26" i="32"/>
  <c r="B16" i="32"/>
  <c r="C16" i="32" s="1"/>
  <c r="H16" i="32" s="1"/>
  <c r="B7" i="32"/>
  <c r="C7" i="32" s="1"/>
  <c r="H7" i="32" s="1"/>
  <c r="B3" i="32"/>
  <c r="C3" i="32" s="1"/>
  <c r="H3" i="32" s="1"/>
  <c r="B26" i="32"/>
  <c r="C26" i="32" s="1"/>
  <c r="H26" i="32" s="1"/>
  <c r="O26" i="32" l="1"/>
  <c r="E4" i="32"/>
  <c r="O3" i="32"/>
  <c r="O7" i="32"/>
  <c r="O16" i="32"/>
  <c r="N26" i="32"/>
  <c r="N3" i="32"/>
  <c r="N7" i="32"/>
  <c r="N16" i="32"/>
  <c r="E32" i="35"/>
  <c r="E93" i="35"/>
  <c r="E37" i="35"/>
  <c r="E96" i="35"/>
  <c r="E85" i="35"/>
  <c r="E29" i="35"/>
  <c r="E27" i="35"/>
  <c r="E2" i="35"/>
  <c r="E117" i="35"/>
  <c r="E20" i="35"/>
  <c r="E107" i="35"/>
  <c r="E123" i="35"/>
  <c r="E42" i="35"/>
  <c r="E109" i="35"/>
  <c r="E33" i="35"/>
  <c r="E113" i="35"/>
  <c r="E111" i="35"/>
  <c r="E92" i="35"/>
  <c r="E53" i="35"/>
  <c r="E100" i="35"/>
  <c r="E52" i="35"/>
  <c r="E94" i="35"/>
  <c r="E54" i="35"/>
  <c r="E50" i="35"/>
  <c r="E15" i="35"/>
  <c r="E81" i="35"/>
  <c r="E3" i="35"/>
  <c r="E77" i="35"/>
  <c r="E122" i="35"/>
  <c r="E65" i="35"/>
  <c r="E14" i="35"/>
  <c r="E68" i="35"/>
  <c r="E23" i="35"/>
  <c r="E61" i="35"/>
  <c r="E120" i="35"/>
  <c r="E44" i="35"/>
  <c r="E126" i="35"/>
  <c r="E55" i="35"/>
  <c r="E17" i="35"/>
  <c r="E104" i="35"/>
  <c r="E103" i="35"/>
  <c r="E91" i="35"/>
  <c r="E13" i="35"/>
  <c r="E45" i="35"/>
  <c r="E25" i="35"/>
  <c r="E16" i="35"/>
  <c r="E6" i="35"/>
  <c r="E89" i="35"/>
  <c r="E18" i="35"/>
  <c r="E127" i="35"/>
  <c r="E87" i="35"/>
  <c r="E59" i="35"/>
  <c r="E124" i="35"/>
  <c r="E78" i="35"/>
  <c r="E105" i="35"/>
  <c r="E99" i="35"/>
  <c r="E101" i="35"/>
  <c r="E8" i="35"/>
  <c r="E36" i="35"/>
  <c r="E67" i="35"/>
  <c r="E110" i="35"/>
  <c r="E58" i="35"/>
  <c r="E70" i="35"/>
  <c r="E34" i="35"/>
  <c r="E38" i="35"/>
  <c r="E49" i="35"/>
  <c r="E40" i="35"/>
  <c r="E35" i="35"/>
  <c r="E31" i="35"/>
  <c r="E9" i="35"/>
  <c r="E76" i="35"/>
  <c r="E114" i="35"/>
  <c r="E41" i="35"/>
  <c r="E73" i="35"/>
  <c r="E82" i="35"/>
  <c r="E19" i="35"/>
  <c r="E46" i="35"/>
  <c r="E21" i="35"/>
  <c r="E98" i="35"/>
  <c r="E26" i="35"/>
  <c r="E56" i="35"/>
  <c r="E106" i="35"/>
  <c r="E83" i="35"/>
  <c r="E119" i="35"/>
  <c r="E57" i="35"/>
  <c r="E51" i="35"/>
  <c r="E88" i="35"/>
  <c r="E48" i="35"/>
  <c r="E79" i="35"/>
  <c r="E60" i="35"/>
  <c r="E62" i="35"/>
  <c r="E11" i="35"/>
  <c r="E69" i="35"/>
  <c r="E4" i="35"/>
  <c r="E97" i="35"/>
  <c r="E121" i="35"/>
  <c r="E22" i="35"/>
  <c r="E72" i="35"/>
  <c r="E112" i="35"/>
  <c r="E84" i="35"/>
  <c r="E12" i="35"/>
  <c r="E63" i="35"/>
  <c r="E28" i="35"/>
  <c r="E64" i="35"/>
  <c r="E47" i="35"/>
  <c r="E90" i="35"/>
  <c r="E116" i="35"/>
  <c r="E102" i="35"/>
  <c r="E86" i="35"/>
  <c r="E108" i="35"/>
  <c r="E74" i="35"/>
  <c r="E66" i="35"/>
  <c r="E7" i="35"/>
  <c r="E75" i="35"/>
  <c r="E95" i="35"/>
  <c r="E24" i="35"/>
  <c r="E5" i="35"/>
  <c r="E43" i="35"/>
  <c r="E115" i="35"/>
  <c r="E71" i="35"/>
  <c r="E10" i="35"/>
  <c r="E118" i="35"/>
  <c r="E30" i="35"/>
  <c r="E39" i="35"/>
  <c r="E80" i="35"/>
  <c r="E125" i="35"/>
  <c r="I26" i="32"/>
  <c r="J26" i="32" s="1"/>
  <c r="I10" i="32"/>
  <c r="I7" i="32"/>
  <c r="J7" i="32" s="1"/>
  <c r="I2" i="32"/>
  <c r="I20" i="32"/>
  <c r="I21" i="32"/>
  <c r="I12" i="32"/>
  <c r="G4" i="32"/>
  <c r="I19" i="32"/>
  <c r="I23" i="32"/>
  <c r="I6" i="32"/>
  <c r="I13" i="32"/>
  <c r="I27" i="32"/>
  <c r="I11" i="32"/>
  <c r="I14" i="32"/>
  <c r="I22" i="32"/>
  <c r="I24" i="32"/>
  <c r="I15" i="32"/>
  <c r="I25" i="32"/>
  <c r="I16" i="32"/>
  <c r="J16" i="32" s="1"/>
  <c r="I3" i="32"/>
  <c r="J3" i="32" s="1"/>
  <c r="B4" i="32"/>
  <c r="C4" i="32" s="1"/>
  <c r="H4" i="32" s="1"/>
  <c r="I31" i="32"/>
  <c r="H31" i="32"/>
  <c r="P16" i="32" l="1"/>
  <c r="T16" i="32"/>
  <c r="U16" i="32"/>
  <c r="T7" i="32"/>
  <c r="U7" i="32"/>
  <c r="P7" i="32"/>
  <c r="P3" i="32"/>
  <c r="U3" i="32"/>
  <c r="T3" i="32"/>
  <c r="I4" i="32"/>
  <c r="J4" i="32" s="1"/>
  <c r="N4" i="32"/>
  <c r="P26" i="32"/>
  <c r="T26" i="32"/>
  <c r="U26" i="32"/>
  <c r="H32" i="32"/>
  <c r="I32" i="32"/>
  <c r="J13" i="32"/>
  <c r="J23" i="32"/>
  <c r="J19" i="32"/>
  <c r="J12" i="32"/>
  <c r="J20" i="32"/>
  <c r="J10" i="32"/>
  <c r="J24" i="32"/>
  <c r="J22" i="32"/>
  <c r="J21" i="32"/>
  <c r="J14" i="32"/>
  <c r="J27" i="32"/>
  <c r="J11" i="32"/>
  <c r="K24" i="32"/>
  <c r="K21" i="32"/>
  <c r="K22" i="32"/>
  <c r="K13" i="32"/>
  <c r="K19" i="32"/>
  <c r="Y18" i="32" a="1"/>
  <c r="X18" i="32" a="1"/>
  <c r="Z18" i="32" a="1"/>
  <c r="AD18" i="32" a="1"/>
  <c r="K14" i="32"/>
  <c r="K12" i="32"/>
  <c r="K11" i="32"/>
  <c r="K20" i="32"/>
  <c r="K10" i="32"/>
  <c r="AD9" i="32" a="1"/>
  <c r="Y9" i="32" a="1"/>
  <c r="Z9" i="32" a="1"/>
  <c r="X9" i="32" a="1"/>
  <c r="K23" i="32"/>
  <c r="K27" i="32"/>
  <c r="P4" i="32" l="1"/>
  <c r="T4" i="32"/>
  <c r="U4" i="32"/>
  <c r="K26" i="32"/>
  <c r="X9" i="32"/>
  <c r="X10" i="32"/>
  <c r="X11" i="32"/>
  <c r="Z10" i="32"/>
  <c r="Z11" i="32"/>
  <c r="Z9" i="32"/>
  <c r="Y11" i="32"/>
  <c r="Y9" i="32"/>
  <c r="Y10" i="32"/>
  <c r="AD10" i="32"/>
  <c r="AD11" i="32"/>
  <c r="AD9" i="32"/>
  <c r="AD19" i="32"/>
  <c r="AD18" i="32"/>
  <c r="AD20" i="32"/>
  <c r="Z18" i="32"/>
  <c r="Z20" i="32"/>
  <c r="Z19" i="32"/>
  <c r="X19" i="32"/>
  <c r="X18" i="32"/>
  <c r="X20" i="32"/>
  <c r="Y19" i="32"/>
  <c r="Y18" i="32"/>
  <c r="Y20" i="32"/>
  <c r="P31" i="32"/>
  <c r="K4" i="32"/>
  <c r="L24" i="32"/>
  <c r="L14" i="32"/>
  <c r="L22" i="32"/>
  <c r="L21" i="32"/>
  <c r="L10" i="32"/>
  <c r="L20" i="32"/>
  <c r="L27" i="32"/>
  <c r="L11" i="32"/>
  <c r="L23" i="32"/>
  <c r="L12" i="32"/>
  <c r="L4" i="32"/>
  <c r="L19" i="32"/>
  <c r="L13" i="32"/>
  <c r="K3" i="32" l="1"/>
  <c r="N31" i="32"/>
  <c r="N32" i="32"/>
  <c r="AF9" i="32" a="1"/>
  <c r="Q31" i="32"/>
  <c r="AF18" i="32" a="1"/>
  <c r="L3" i="32"/>
  <c r="L26" i="32"/>
  <c r="N34" i="32" l="1"/>
  <c r="G34" i="32" s="1"/>
  <c r="J3" i="33" s="1"/>
  <c r="N35" i="32"/>
  <c r="G35" i="32" s="1"/>
  <c r="J4" i="33" s="1"/>
  <c r="N38" i="32"/>
  <c r="G38" i="32" s="1"/>
  <c r="J7" i="33" s="1"/>
  <c r="N36" i="32"/>
  <c r="G36" i="32" s="1"/>
  <c r="J5" i="33" s="1"/>
  <c r="Q32" i="32"/>
  <c r="Q35" i="32" s="1"/>
  <c r="J35" i="32" s="1"/>
  <c r="J26" i="33" s="1"/>
  <c r="AG10" i="32"/>
  <c r="AG9" i="32"/>
  <c r="AF10" i="32"/>
  <c r="AH9" i="32"/>
  <c r="AH10" i="32"/>
  <c r="AH11" i="32"/>
  <c r="AF11" i="32"/>
  <c r="AF9" i="32"/>
  <c r="AG11" i="32"/>
  <c r="AG18" i="32"/>
  <c r="AF20" i="32"/>
  <c r="AF18" i="32"/>
  <c r="AG20" i="32"/>
  <c r="AH20" i="32"/>
  <c r="AG19" i="32"/>
  <c r="AH18" i="32"/>
  <c r="AH19" i="32"/>
  <c r="AF19" i="32"/>
  <c r="N37" i="32"/>
  <c r="G37" i="32" s="1"/>
  <c r="J6" i="33" s="1"/>
  <c r="AB9" i="32" l="1" a="1"/>
  <c r="AB9" i="32" s="1"/>
  <c r="AB18" i="32" a="1"/>
  <c r="AB19" i="32" s="1"/>
  <c r="U31" i="32" s="1"/>
  <c r="Q38" i="32"/>
  <c r="J38" i="32" s="1"/>
  <c r="J29" i="33" s="1"/>
  <c r="Q45" i="32"/>
  <c r="J45" i="32" s="1"/>
  <c r="J36" i="33" s="1"/>
  <c r="Q43" i="32"/>
  <c r="J43" i="32" s="1"/>
  <c r="J34" i="33" s="1"/>
  <c r="Q37" i="32"/>
  <c r="J37" i="32" s="1"/>
  <c r="J28" i="33" s="1"/>
  <c r="Q47" i="32"/>
  <c r="J47" i="32" s="1"/>
  <c r="J38" i="33" s="1"/>
  <c r="Q48" i="32"/>
  <c r="J48" i="32" s="1"/>
  <c r="J39" i="33" s="1"/>
  <c r="Q49" i="32"/>
  <c r="J49" i="32" s="1"/>
  <c r="J40" i="33" s="1"/>
  <c r="Q34" i="32"/>
  <c r="J34" i="32" s="1"/>
  <c r="J25" i="33" s="1"/>
  <c r="Q44" i="32"/>
  <c r="J44" i="32" s="1"/>
  <c r="J35" i="33" s="1"/>
  <c r="Q46" i="32"/>
  <c r="J46" i="32" s="1"/>
  <c r="J37" i="33" s="1"/>
  <c r="Q41" i="32"/>
  <c r="J41" i="32" s="1"/>
  <c r="J32" i="33" s="1"/>
  <c r="Q36" i="32"/>
  <c r="J36" i="32" s="1"/>
  <c r="J27" i="33" s="1"/>
  <c r="Q42" i="32"/>
  <c r="J42" i="32" s="1"/>
  <c r="J33" i="33" s="1"/>
  <c r="Q40" i="32"/>
  <c r="J40" i="32" s="1"/>
  <c r="J31" i="33" s="1"/>
  <c r="Q39" i="32"/>
  <c r="J39" i="32" s="1"/>
  <c r="J30" i="33" s="1"/>
  <c r="AB10" i="32" l="1"/>
  <c r="T31" i="32" s="1"/>
  <c r="AB11" i="32"/>
  <c r="T32" i="32" s="1"/>
  <c r="AB20" i="32"/>
  <c r="U32" i="32" s="1"/>
  <c r="AB18" i="32"/>
  <c r="U30" i="32" s="1"/>
  <c r="T30" i="32"/>
  <c r="AJ18" i="32" l="1" a="1"/>
  <c r="AJ19" i="32" s="1"/>
  <c r="AJ9" i="32" a="1"/>
  <c r="AJ9" i="32" s="1"/>
  <c r="T37" i="32"/>
  <c r="T35" i="32"/>
  <c r="T39" i="32"/>
  <c r="T38" i="32"/>
  <c r="T36" i="32"/>
  <c r="T40" i="32"/>
  <c r="T34" i="32"/>
  <c r="U35" i="32"/>
  <c r="U40" i="32"/>
  <c r="U43" i="32"/>
  <c r="U38" i="32"/>
  <c r="U42" i="32"/>
  <c r="U34" i="32"/>
  <c r="U36" i="32"/>
  <c r="U41" i="32"/>
  <c r="U37" i="32"/>
  <c r="U39" i="32"/>
  <c r="K18" i="32"/>
  <c r="L18" i="32"/>
  <c r="J31" i="32"/>
  <c r="AJ20" i="32" l="1"/>
  <c r="AJ18" i="32"/>
  <c r="AJ10" i="32"/>
  <c r="AJ11" i="32"/>
  <c r="P32" i="32"/>
  <c r="J32" i="32"/>
  <c r="K9" i="32"/>
  <c r="O31" i="32"/>
  <c r="L9" i="32"/>
  <c r="G31" i="32"/>
  <c r="O32" i="32" l="1"/>
  <c r="G32" i="32"/>
  <c r="D43" i="29"/>
  <c r="D44" i="29"/>
  <c r="O40" i="32" l="1"/>
  <c r="H40" i="32" s="1"/>
  <c r="J14" i="33" s="1"/>
  <c r="O39" i="32"/>
  <c r="H39" i="32" s="1"/>
  <c r="J13" i="33" s="1"/>
  <c r="O35" i="32"/>
  <c r="H35" i="32" s="1"/>
  <c r="J9" i="33" s="1"/>
  <c r="O38" i="32"/>
  <c r="H38" i="32" s="1"/>
  <c r="J12" i="33" s="1"/>
  <c r="O37" i="32"/>
  <c r="H37" i="32" s="1"/>
  <c r="J11" i="33" s="1"/>
  <c r="O36" i="32"/>
  <c r="H36" i="32" s="1"/>
  <c r="J10" i="33" s="1"/>
  <c r="O34" i="32"/>
  <c r="H34" i="32" s="1"/>
  <c r="J8" i="33" s="1"/>
  <c r="P34" i="32"/>
  <c r="I34" i="32" s="1"/>
  <c r="J15" i="33" s="1"/>
  <c r="P43" i="32"/>
  <c r="I43" i="32" s="1"/>
  <c r="J24" i="33" s="1"/>
  <c r="P35" i="32"/>
  <c r="I35" i="32" s="1"/>
  <c r="J16" i="33" s="1"/>
  <c r="P41" i="32"/>
  <c r="I41" i="32" s="1"/>
  <c r="J22" i="33" s="1"/>
  <c r="P37" i="32"/>
  <c r="I37" i="32" s="1"/>
  <c r="J18" i="33" s="1"/>
  <c r="P36" i="32"/>
  <c r="I36" i="32" s="1"/>
  <c r="J17" i="33" s="1"/>
  <c r="P39" i="32"/>
  <c r="I39" i="32" s="1"/>
  <c r="J20" i="33" s="1"/>
  <c r="P42" i="32"/>
  <c r="I42" i="32" s="1"/>
  <c r="J23" i="33" s="1"/>
  <c r="P40" i="32"/>
  <c r="I40" i="32" s="1"/>
  <c r="J21" i="33" s="1"/>
  <c r="P38" i="32"/>
  <c r="I38" i="32" s="1"/>
  <c r="J19" i="33" s="1"/>
  <c r="N3" i="33" a="1"/>
  <c r="N27" i="33"/>
  <c r="O27" i="33"/>
  <c r="N26" i="33"/>
  <c r="O26" i="33"/>
  <c r="N39" i="33"/>
  <c r="O39" i="33"/>
  <c r="N7" i="33"/>
  <c r="O7" i="33"/>
  <c r="N22" i="33"/>
  <c r="O22" i="33"/>
  <c r="N37" i="33"/>
  <c r="O37" i="33"/>
  <c r="N5" i="33"/>
  <c r="O5" i="33"/>
  <c r="N36" i="33"/>
  <c r="O36" i="33"/>
  <c r="N20" i="33"/>
  <c r="O20" i="33"/>
  <c r="N4" i="33"/>
  <c r="O4" i="33"/>
  <c r="N35" i="33"/>
  <c r="O35" i="33"/>
  <c r="N19" i="33"/>
  <c r="O19" i="33"/>
  <c r="N3" i="33"/>
  <c r="O3" i="33"/>
  <c r="N18" i="33"/>
  <c r="O18" i="33"/>
  <c r="N33" i="33"/>
  <c r="O33" i="33"/>
  <c r="N17" i="33"/>
  <c r="O17" i="33"/>
  <c r="N32" i="33"/>
  <c r="O32" i="33"/>
  <c r="N16" i="33"/>
  <c r="O16" i="33"/>
  <c r="N31" i="33"/>
  <c r="O31" i="33"/>
  <c r="N15" i="33"/>
  <c r="O15" i="33"/>
  <c r="N30" i="33"/>
  <c r="O30" i="33"/>
  <c r="N14" i="33"/>
  <c r="O14" i="33"/>
  <c r="N29" i="33"/>
  <c r="O29" i="33"/>
  <c r="N13" i="33"/>
  <c r="O13" i="33"/>
  <c r="N28" i="33"/>
  <c r="O28" i="33"/>
  <c r="N12" i="33"/>
  <c r="O12" i="33"/>
  <c r="N10" i="33"/>
  <c r="O10" i="33"/>
  <c r="N8" i="33"/>
  <c r="O8" i="33"/>
  <c r="N9" i="33"/>
  <c r="O9" i="33"/>
  <c r="N11" i="33"/>
  <c r="O11" i="33"/>
  <c r="N25" i="33"/>
  <c r="O25" i="33"/>
  <c r="N40" i="33"/>
  <c r="O40" i="33"/>
  <c r="N24" i="33"/>
  <c r="O24" i="33"/>
  <c r="N23" i="33"/>
  <c r="O23" i="33"/>
  <c r="N38" i="33"/>
  <c r="O38" i="33"/>
  <c r="N6" i="33"/>
  <c r="O6" i="33"/>
  <c r="N21" i="33"/>
  <c r="O21" i="33"/>
  <c r="N34" i="33"/>
  <c r="O34" i="33"/>
  <c r="P15" i="33"/>
  <c r="P2" i="33"/>
  <c r="P8" i="33"/>
  <c r="P25" i="33"/>
  <c r="L2" i="35"/>
  <c r="M2" i="35"/>
  <c r="P2" i="35"/>
  <c r="L4" i="35"/>
  <c r="M4" i="35"/>
  <c r="P4" i="35"/>
  <c r="L5" i="35"/>
  <c r="M5" i="35"/>
  <c r="P5" i="35"/>
  <c r="L6" i="35"/>
  <c r="M6" i="35"/>
  <c r="P6" i="35"/>
  <c r="L3" i="35"/>
  <c r="M3" i="35"/>
  <c r="P3" i="35"/>
  <c r="L22" i="35"/>
  <c r="M22" i="35"/>
  <c r="L36" i="35"/>
  <c r="M36" i="35"/>
  <c r="L19" i="35"/>
  <c r="M19" i="35"/>
  <c r="L26" i="35"/>
  <c r="M26" i="35"/>
  <c r="L32" i="35"/>
  <c r="M32" i="35"/>
  <c r="L10" i="35"/>
  <c r="M10" i="35"/>
  <c r="L51" i="35"/>
  <c r="M51" i="35"/>
  <c r="N36" i="35"/>
  <c r="J69" i="33"/>
  <c r="N69" i="33" s="1"/>
  <c r="O69" i="33"/>
  <c r="N26" i="35"/>
  <c r="J59" i="33"/>
  <c r="N59" i="33" s="1"/>
  <c r="O59" i="33"/>
  <c r="N22" i="35"/>
  <c r="J55" i="33"/>
  <c r="N55" i="33" s="1"/>
  <c r="O55" i="33"/>
  <c r="N51" i="35"/>
  <c r="J84" i="33"/>
  <c r="N84" i="33" s="1"/>
  <c r="O84" i="33"/>
  <c r="L44" i="35"/>
  <c r="M44" i="35"/>
  <c r="N44" i="35"/>
  <c r="J77" i="33"/>
  <c r="N77" i="33" s="1"/>
  <c r="O77" i="33"/>
  <c r="L47" i="35"/>
  <c r="M47" i="35"/>
  <c r="N47" i="35"/>
  <c r="J80" i="33"/>
  <c r="N80" i="33" s="1"/>
  <c r="O80" i="33"/>
  <c r="L20" i="35"/>
  <c r="M20" i="35"/>
  <c r="N20" i="35"/>
  <c r="J53" i="33" s="1"/>
  <c r="N53" i="33" s="1"/>
  <c r="O53" i="33"/>
  <c r="L28" i="35"/>
  <c r="M28" i="35"/>
  <c r="L11" i="35"/>
  <c r="M11" i="35"/>
  <c r="L27" i="35"/>
  <c r="M27" i="35"/>
  <c r="L17" i="35"/>
  <c r="M17" i="35"/>
  <c r="L8" i="35"/>
  <c r="M8" i="35"/>
  <c r="L43" i="35"/>
  <c r="M43" i="35"/>
  <c r="L33" i="35"/>
  <c r="M33" i="35"/>
  <c r="N33" i="35"/>
  <c r="J66" i="33"/>
  <c r="N66" i="33" s="1"/>
  <c r="O66" i="33"/>
  <c r="N43" i="35"/>
  <c r="J76" i="33"/>
  <c r="N76" i="33" s="1"/>
  <c r="O76" i="33"/>
  <c r="L13" i="35"/>
  <c r="M13" i="35"/>
  <c r="N19" i="35"/>
  <c r="J52" i="33"/>
  <c r="N52" i="33" s="1"/>
  <c r="O52" i="33"/>
  <c r="L37" i="35"/>
  <c r="M37" i="35"/>
  <c r="L41" i="35"/>
  <c r="M41" i="35"/>
  <c r="N8" i="35"/>
  <c r="J41" i="33" s="1"/>
  <c r="N41" i="33" s="1"/>
  <c r="O41" i="33"/>
  <c r="L9" i="35"/>
  <c r="M9" i="35"/>
  <c r="N9" i="35"/>
  <c r="J42" i="33"/>
  <c r="N42" i="33" s="1"/>
  <c r="O42" i="33"/>
  <c r="N10" i="35"/>
  <c r="J43" i="33"/>
  <c r="N43" i="33" s="1"/>
  <c r="O43" i="33"/>
  <c r="N11" i="35"/>
  <c r="J44" i="33"/>
  <c r="N44" i="33" s="1"/>
  <c r="O44" i="33"/>
  <c r="L12" i="35"/>
  <c r="M12" i="35"/>
  <c r="N12" i="35"/>
  <c r="J45" i="33"/>
  <c r="N45" i="33" s="1"/>
  <c r="O45" i="33"/>
  <c r="N13" i="35"/>
  <c r="J46" i="33" s="1"/>
  <c r="N46" i="33" s="1"/>
  <c r="O46" i="33"/>
  <c r="L14" i="35"/>
  <c r="M14" i="35"/>
  <c r="N14" i="35"/>
  <c r="J47" i="33"/>
  <c r="N47" i="33" s="1"/>
  <c r="O47" i="33"/>
  <c r="L15" i="35"/>
  <c r="M15" i="35"/>
  <c r="N15" i="35"/>
  <c r="J48" i="33"/>
  <c r="N48" i="33" s="1"/>
  <c r="O48" i="33"/>
  <c r="L16" i="35"/>
  <c r="M16" i="35"/>
  <c r="N16" i="35"/>
  <c r="J49" i="33"/>
  <c r="N49" i="33" s="1"/>
  <c r="O49" i="33"/>
  <c r="N17" i="35"/>
  <c r="J50" i="33"/>
  <c r="N50" i="33" s="1"/>
  <c r="O50" i="33"/>
  <c r="L18" i="35"/>
  <c r="M18" i="35"/>
  <c r="N18" i="35"/>
  <c r="J51" i="33" s="1"/>
  <c r="N51" i="33" s="1"/>
  <c r="O51" i="33"/>
  <c r="L21" i="35"/>
  <c r="M21" i="35"/>
  <c r="N21" i="35"/>
  <c r="J54" i="33"/>
  <c r="N54" i="33"/>
  <c r="O54" i="33"/>
  <c r="L23" i="35"/>
  <c r="M23" i="35"/>
  <c r="N23" i="35"/>
  <c r="J56" i="33"/>
  <c r="N56" i="33" s="1"/>
  <c r="O56" i="33"/>
  <c r="L24" i="35"/>
  <c r="M24" i="35"/>
  <c r="N24" i="35"/>
  <c r="J57" i="33" s="1"/>
  <c r="N57" i="33" s="1"/>
  <c r="O57" i="33"/>
  <c r="L25" i="35"/>
  <c r="M25" i="35"/>
  <c r="N25" i="35"/>
  <c r="J58" i="33"/>
  <c r="N58" i="33" s="1"/>
  <c r="O58" i="33"/>
  <c r="N27" i="35"/>
  <c r="J60" i="33"/>
  <c r="N60" i="33" s="1"/>
  <c r="O60" i="33"/>
  <c r="N28" i="35"/>
  <c r="J61" i="33"/>
  <c r="N61" i="33" s="1"/>
  <c r="O61" i="33"/>
  <c r="L29" i="35"/>
  <c r="M29" i="35"/>
  <c r="N29" i="35"/>
  <c r="J62" i="33"/>
  <c r="N62" i="33"/>
  <c r="O62" i="33"/>
  <c r="L30" i="35"/>
  <c r="M30" i="35"/>
  <c r="N30" i="35"/>
  <c r="J63" i="33"/>
  <c r="N63" i="33" s="1"/>
  <c r="O63" i="33"/>
  <c r="L31" i="35"/>
  <c r="M31" i="35"/>
  <c r="N32" i="35"/>
  <c r="J65" i="33"/>
  <c r="N65" i="33"/>
  <c r="O65" i="33"/>
  <c r="N31" i="35"/>
  <c r="J64" i="33"/>
  <c r="N64" i="33" s="1"/>
  <c r="O64" i="33"/>
  <c r="L34" i="35"/>
  <c r="M34" i="35"/>
  <c r="N34" i="35"/>
  <c r="J67" i="33" s="1"/>
  <c r="N67" i="33" s="1"/>
  <c r="O67" i="33"/>
  <c r="L35" i="35"/>
  <c r="M35" i="35"/>
  <c r="N35" i="35"/>
  <c r="J68" i="33" s="1"/>
  <c r="N68" i="33" s="1"/>
  <c r="O68" i="33"/>
  <c r="N37" i="35"/>
  <c r="J70" i="33"/>
  <c r="N70" i="33" s="1"/>
  <c r="O70" i="33"/>
  <c r="L38" i="35"/>
  <c r="M38" i="35"/>
  <c r="N38" i="35"/>
  <c r="J71" i="33"/>
  <c r="N71" i="33" s="1"/>
  <c r="O71" i="33"/>
  <c r="L39" i="35"/>
  <c r="M39" i="35"/>
  <c r="N39" i="35"/>
  <c r="J72" i="33" s="1"/>
  <c r="N72" i="33" s="1"/>
  <c r="O72" i="33"/>
  <c r="L40" i="35"/>
  <c r="M40" i="35"/>
  <c r="N40" i="35"/>
  <c r="J73" i="33" s="1"/>
  <c r="N73" i="33" s="1"/>
  <c r="O73" i="33"/>
  <c r="N41" i="35"/>
  <c r="J74" i="33" s="1"/>
  <c r="N74" i="33" s="1"/>
  <c r="O74" i="33"/>
  <c r="L42" i="35"/>
  <c r="M42" i="35"/>
  <c r="N42" i="35"/>
  <c r="J75" i="33" s="1"/>
  <c r="N75" i="33" s="1"/>
  <c r="O75" i="33"/>
  <c r="L45" i="35"/>
  <c r="M45" i="35"/>
  <c r="N45" i="35"/>
  <c r="J78" i="33"/>
  <c r="N78" i="33" s="1"/>
  <c r="O78" i="33"/>
  <c r="L46" i="35"/>
  <c r="M46" i="35"/>
  <c r="N46" i="35"/>
  <c r="J79" i="33" s="1"/>
  <c r="N79" i="33" s="1"/>
  <c r="O79" i="33"/>
  <c r="L48" i="35"/>
  <c r="M48" i="35"/>
  <c r="N48" i="35"/>
  <c r="J81" i="33" s="1"/>
  <c r="N81" i="33" s="1"/>
  <c r="O81" i="33"/>
  <c r="L49" i="35"/>
  <c r="M49" i="35"/>
  <c r="N49" i="35"/>
  <c r="J82" i="33" s="1"/>
  <c r="N82" i="33" s="1"/>
  <c r="O82" i="33"/>
  <c r="L50" i="35"/>
  <c r="M50" i="35"/>
  <c r="N50" i="35"/>
  <c r="J83" i="33" s="1"/>
  <c r="N83" i="33" s="1"/>
  <c r="O83" i="33"/>
  <c r="P41" i="33"/>
  <c r="C7" i="30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<sst xmlns="http://schemas.openxmlformats.org/spreadsheetml/2006/main" count="252" uniqueCount="142">
  <si>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</si>
  <si>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</si>
  <si>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</si>
  <si>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</si>
  <si>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</si>
  <si>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</si>
  <si>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</si>
  <si>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</si>
  <si>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</si>
  <si>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</si>
  <si>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</si>
  <si>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</si>
  <si>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</si>
  <si>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</si>
  <si>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</si>
  <si>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C:\Projects\quantlib\QuantLibXL\Data2\XML\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</si>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</sst>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14"/>
      <name val="Arial"/>
      <family val="2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9" fillId="5" borderId="0" xfId="0" applyFont="1" applyFill="1"/>
    <xf numFmtId="0" fontId="9" fillId="0" borderId="0" xfId="0" applyFont="1"/>
    <xf numFmtId="0" fontId="9" fillId="5" borderId="13" xfId="0" applyFont="1" applyFill="1" applyBorder="1"/>
    <xf numFmtId="0" fontId="17" fillId="6" borderId="6" xfId="0" applyFont="1" applyFill="1" applyBorder="1" applyProtection="1"/>
    <xf numFmtId="174" fontId="9" fillId="8" borderId="7" xfId="0" applyNumberFormat="1" applyFont="1" applyFill="1" applyBorder="1" applyAlignment="1" applyProtection="1">
      <alignment horizontal="right"/>
    </xf>
    <xf numFmtId="171" fontId="9" fillId="8" borderId="7" xfId="0" applyNumberFormat="1" applyFont="1" applyFill="1" applyBorder="1" applyAlignment="1" applyProtection="1">
      <alignment horizontal="right"/>
    </xf>
    <xf numFmtId="0" fontId="9" fillId="9" borderId="6" xfId="0" quotePrefix="1" applyFont="1" applyFill="1" applyBorder="1"/>
    <xf numFmtId="0" fontId="9" fillId="5" borderId="14" xfId="0" applyFont="1" applyFill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10" borderId="22" xfId="0" applyFont="1" applyFill="1" applyBorder="1" applyAlignment="1"/>
    <xf numFmtId="171" fontId="9" fillId="10" borderId="23" xfId="0" applyNumberFormat="1" applyFont="1" applyFill="1" applyBorder="1" applyAlignment="1"/>
    <xf numFmtId="171" fontId="9" fillId="10" borderId="18" xfId="0" applyNumberFormat="1" applyFont="1" applyFill="1" applyBorder="1" applyAlignment="1"/>
    <xf numFmtId="172" fontId="9" fillId="10" borderId="22" xfId="0" applyNumberFormat="1" applyFont="1" applyFill="1" applyBorder="1" applyAlignment="1"/>
    <xf numFmtId="172" fontId="9" fillId="10" borderId="23" xfId="17" applyNumberFormat="1" applyFont="1" applyFill="1" applyBorder="1"/>
    <xf numFmtId="172" fontId="9" fillId="10" borderId="18" xfId="0" applyNumberFormat="1" applyFont="1" applyFill="1" applyBorder="1"/>
    <xf numFmtId="0" fontId="9" fillId="10" borderId="0" xfId="0" applyFont="1" applyFill="1"/>
    <xf numFmtId="0" fontId="9" fillId="10" borderId="0" xfId="0" applyFont="1" applyFill="1" applyBorder="1"/>
    <xf numFmtId="0" fontId="9" fillId="10" borderId="0" xfId="0" applyNumberFormat="1" applyFont="1" applyFill="1" applyBorder="1"/>
    <xf numFmtId="2" fontId="9" fillId="10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10" borderId="13" xfId="0" applyFont="1" applyFill="1" applyBorder="1" applyAlignment="1"/>
    <xf numFmtId="171" fontId="9" fillId="10" borderId="0" xfId="0" applyNumberFormat="1" applyFont="1" applyFill="1" applyBorder="1" applyAlignment="1"/>
    <xf numFmtId="171" fontId="9" fillId="10" borderId="9" xfId="0" applyNumberFormat="1" applyFont="1" applyFill="1" applyBorder="1" applyAlignment="1"/>
    <xf numFmtId="172" fontId="9" fillId="10" borderId="13" xfId="0" applyNumberFormat="1" applyFont="1" applyFill="1" applyBorder="1" applyAlignment="1"/>
    <xf numFmtId="172" fontId="9" fillId="10" borderId="0" xfId="17" applyNumberFormat="1" applyFont="1" applyFill="1" applyBorder="1"/>
    <xf numFmtId="172" fontId="9" fillId="10" borderId="9" xfId="0" applyNumberFormat="1" applyFont="1" applyFill="1" applyBorder="1"/>
    <xf numFmtId="172" fontId="9" fillId="10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9" fillId="10" borderId="0" xfId="0" quotePrefix="1" applyFont="1" applyFill="1" applyBorder="1"/>
    <xf numFmtId="0" fontId="9" fillId="0" borderId="13" xfId="0" applyFont="1" applyBorder="1"/>
    <xf numFmtId="172" fontId="9" fillId="10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6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6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11" borderId="17" xfId="17" applyNumberFormat="1" applyFont="1" applyFill="1" applyBorder="1" applyAlignment="1"/>
    <xf numFmtId="172" fontId="16" fillId="11" borderId="8" xfId="17" applyNumberFormat="1" applyFont="1" applyFill="1" applyBorder="1" applyAlignment="1"/>
    <xf numFmtId="172" fontId="16" fillId="11" borderId="13" xfId="17" applyNumberFormat="1" applyFont="1" applyFill="1" applyBorder="1" applyAlignment="1"/>
    <xf numFmtId="172" fontId="16" fillId="11" borderId="18" xfId="17" applyNumberFormat="1" applyFont="1" applyFill="1" applyBorder="1"/>
    <xf numFmtId="172" fontId="16" fillId="11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6" fillId="11" borderId="16" xfId="17" applyNumberFormat="1" applyFont="1" applyFill="1" applyBorder="1"/>
    <xf numFmtId="172" fontId="16" fillId="11" borderId="0" xfId="17" applyNumberFormat="1" applyFont="1" applyFill="1" applyBorder="1"/>
    <xf numFmtId="172" fontId="16" fillId="12" borderId="13" xfId="17" applyNumberFormat="1" applyFont="1" applyFill="1" applyBorder="1" applyAlignment="1">
      <alignment horizontal="left"/>
    </xf>
    <xf numFmtId="172" fontId="16" fillId="12" borderId="0" xfId="17" applyNumberFormat="1" applyFont="1" applyFill="1" applyBorder="1"/>
    <xf numFmtId="172" fontId="16" fillId="12" borderId="13" xfId="17" applyNumberFormat="1" applyFont="1" applyFill="1" applyBorder="1" applyAlignment="1"/>
    <xf numFmtId="172" fontId="16" fillId="12" borderId="0" xfId="17" applyNumberFormat="1" applyFont="1" applyFill="1" applyBorder="1" applyAlignment="1">
      <alignment horizontal="center"/>
    </xf>
    <xf numFmtId="172" fontId="16" fillId="12" borderId="9" xfId="17" applyNumberFormat="1" applyFont="1" applyFill="1" applyBorder="1"/>
    <xf numFmtId="172" fontId="16" fillId="12" borderId="9" xfId="17" applyNumberFormat="1" applyFont="1" applyFill="1" applyBorder="1" applyAlignment="1">
      <alignment horizontal="right"/>
    </xf>
    <xf numFmtId="172" fontId="16" fillId="11" borderId="14" xfId="17" applyNumberFormat="1" applyFont="1" applyFill="1" applyBorder="1" applyAlignment="1"/>
    <xf numFmtId="172" fontId="16" fillId="11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7" fillId="12" borderId="21" xfId="8" applyFont="1" applyFill="1" applyBorder="1" applyAlignment="1">
      <alignment horizontal="center" vertical="center" wrapText="1"/>
    </xf>
    <xf numFmtId="0" fontId="17" fillId="12" borderId="7" xfId="8" applyFont="1" applyFill="1" applyBorder="1" applyAlignment="1">
      <alignment horizontal="center" vertical="center" wrapText="1"/>
    </xf>
    <xf numFmtId="0" fontId="9" fillId="0" borderId="0" xfId="8" applyFont="1"/>
    <xf numFmtId="0" fontId="17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7" fillId="12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11" borderId="20" xfId="8" applyFont="1" applyFill="1" applyBorder="1"/>
    <xf numFmtId="0" fontId="9" fillId="11" borderId="21" xfId="8" applyFont="1" applyFill="1" applyBorder="1"/>
    <xf numFmtId="171" fontId="9" fillId="11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3" borderId="4" xfId="15" applyFont="1" applyFill="1" applyBorder="1"/>
    <xf numFmtId="0" fontId="9" fillId="13" borderId="0" xfId="15" applyFont="1" applyFill="1" applyBorder="1" applyAlignment="1">
      <alignment horizontal="right"/>
    </xf>
    <xf numFmtId="171" fontId="9" fillId="13" borderId="0" xfId="17" applyNumberFormat="1" applyFont="1" applyFill="1" applyBorder="1" applyAlignment="1">
      <alignment horizontal="center"/>
    </xf>
    <xf numFmtId="0" fontId="9" fillId="13" borderId="0" xfId="15" applyFont="1" applyFill="1" applyBorder="1"/>
    <xf numFmtId="0" fontId="9" fillId="13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4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3" borderId="15" xfId="8" applyFont="1" applyFill="1" applyBorder="1"/>
    <xf numFmtId="0" fontId="9" fillId="13" borderId="21" xfId="8" applyFont="1" applyFill="1" applyBorder="1"/>
    <xf numFmtId="0" fontId="9" fillId="13" borderId="23" xfId="8" applyFont="1" applyFill="1" applyBorder="1"/>
    <xf numFmtId="0" fontId="9" fillId="13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3" borderId="43" xfId="14" applyFont="1" applyFill="1" applyBorder="1"/>
    <xf numFmtId="0" fontId="9" fillId="13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4" borderId="1" xfId="14" applyFont="1" applyFill="1" applyBorder="1" applyAlignment="1">
      <alignment horizontal="center"/>
    </xf>
    <xf numFmtId="0" fontId="13" fillId="4" borderId="2" xfId="14" applyFont="1" applyFill="1" applyBorder="1" applyAlignment="1">
      <alignment horizontal="center"/>
    </xf>
    <xf numFmtId="0" fontId="13" fillId="4" borderId="3" xfId="14" applyFont="1" applyFill="1" applyBorder="1" applyAlignment="1">
      <alignment horizontal="center"/>
    </xf>
    <xf numFmtId="0" fontId="17" fillId="12" borderId="20" xfId="8" applyFont="1" applyFill="1" applyBorder="1" applyAlignment="1">
      <alignment horizontal="center" vertical="center" wrapText="1"/>
    </xf>
    <xf numFmtId="0" fontId="17" fillId="12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91</v>
          </cell>
        </row>
        <row r="7">
          <cell r="D7">
            <v>2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J4</v>
          </cell>
        </row>
        <row r="7">
          <cell r="D7" t="str">
            <v>K4</v>
          </cell>
        </row>
      </sheetData>
      <sheetData sheetId="8">
        <row r="6">
          <cell r="D6" t="str">
            <v>Future Code</v>
          </cell>
        </row>
        <row r="7">
          <cell r="D7" t="str">
            <v>J4</v>
          </cell>
        </row>
      </sheetData>
      <sheetData sheetId="9">
        <row r="6">
          <cell r="D6" t="str">
            <v>J4</v>
          </cell>
        </row>
        <row r="7">
          <cell r="D7" t="str">
            <v>K4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D11" sqref="D11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5" width="32.33203125" style="1" bestFit="1" customWidth="1"/>
    <col min="6" max="6" width="2.83203125" style="1" customWidth="1"/>
    <col min="7" max="7" width="3.5" style="1" customWidth="1"/>
    <col min="8" max="8" width="4.5" style="1" customWidth="1"/>
    <col min="9" max="9" width="13.3320312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Mar  3 2014 10:58:57</v>
      </c>
    </row>
    <row r="2" spans="1:36" ht="19.5" thickBot="1" x14ac:dyDescent="0.3">
      <c r="B2" s="367" t="s">
        <v>0</v>
      </c>
      <c r="C2" s="368"/>
      <c r="D2" s="368"/>
      <c r="E2" s="368"/>
      <c r="F2" s="369"/>
      <c r="H2" s="370" t="s">
        <v>5</v>
      </c>
      <c r="I2" s="371"/>
      <c r="J2" s="371"/>
      <c r="K2" s="372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1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 t="s">
        <v>15</v>
      </c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17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79" t="s">
        <v>26</v>
      </c>
      <c r="D10" s="281">
        <v>41732.453043981484</v>
      </c>
      <c r="E10" s="280"/>
      <c r="F10" s="4"/>
      <c r="H10" s="9"/>
      <c r="I10" s="13" t="s">
        <v>21</v>
      </c>
      <c r="J10" s="19" t="s">
        <v>22</v>
      </c>
      <c r="K10" s="15"/>
    </row>
    <row r="11" spans="1:36" x14ac:dyDescent="0.2">
      <c r="B11" s="2"/>
      <c r="C11" s="279" t="s">
        <v>27</v>
      </c>
      <c r="D11" s="366" t="b">
        <v>1</v>
      </c>
      <c r="E11" s="280"/>
      <c r="F11" s="4"/>
      <c r="H11" s="9"/>
      <c r="I11" s="13" t="s">
        <v>24</v>
      </c>
      <c r="J11" s="20">
        <v>1E-4</v>
      </c>
      <c r="K11" s="15"/>
    </row>
    <row r="12" spans="1:36" x14ac:dyDescent="0.2">
      <c r="B12" s="2"/>
      <c r="C12" s="21"/>
      <c r="D12" s="279"/>
      <c r="E12" s="280"/>
      <c r="F12" s="4"/>
      <c r="H12" s="9"/>
      <c r="I12" s="13" t="s">
        <v>25</v>
      </c>
      <c r="J12" s="22">
        <v>-0.01</v>
      </c>
      <c r="K12" s="15"/>
    </row>
    <row r="13" spans="1:36" ht="12" thickBot="1" x14ac:dyDescent="0.25">
      <c r="B13" s="2"/>
      <c r="C13" s="21"/>
      <c r="D13" s="279"/>
      <c r="E13" s="280"/>
      <c r="F13" s="4"/>
      <c r="H13" s="25"/>
      <c r="I13" s="26"/>
      <c r="J13" s="26"/>
      <c r="K13" s="27"/>
    </row>
    <row r="14" spans="1:36" ht="12" thickBot="1" x14ac:dyDescent="0.25">
      <c r="B14" s="31"/>
      <c r="C14" s="32"/>
      <c r="D14" s="32"/>
      <c r="E14" s="32"/>
      <c r="F14" s="33"/>
    </row>
    <row r="15" spans="1:36" x14ac:dyDescent="0.2">
      <c r="C15" s="34"/>
      <c r="D15" s="34"/>
      <c r="E15" s="34"/>
      <c r="F15" s="34"/>
    </row>
    <row r="16" spans="1:36" ht="12" thickBot="1" x14ac:dyDescent="0.25">
      <c r="E16" s="34"/>
      <c r="F16" s="34"/>
    </row>
    <row r="17" spans="2:6" ht="19.5" thickBot="1" x14ac:dyDescent="0.25">
      <c r="B17" s="367" t="s">
        <v>133</v>
      </c>
      <c r="C17" s="368"/>
      <c r="D17" s="368"/>
      <c r="E17" s="368"/>
      <c r="F17" s="369"/>
    </row>
    <row r="18" spans="2:6" x14ac:dyDescent="0.2">
      <c r="B18" s="253"/>
      <c r="C18" s="254"/>
      <c r="D18" s="255"/>
      <c r="E18" s="256"/>
      <c r="F18" s="257"/>
    </row>
    <row r="19" spans="2:6" x14ac:dyDescent="0.2">
      <c r="B19" s="2"/>
      <c r="C19" s="262" t="s">
        <v>11</v>
      </c>
      <c r="D19" s="16">
        <f>_xll.qlCalendarAdvance(Calendar,EvaluationDate,"2D","f")</f>
        <v>41737</v>
      </c>
      <c r="E19" s="3"/>
      <c r="F19" s="4"/>
    </row>
    <row r="20" spans="2:6" x14ac:dyDescent="0.2">
      <c r="B20" s="2"/>
      <c r="C20" s="262" t="s">
        <v>16</v>
      </c>
      <c r="D20" s="17" t="str">
        <f>_xll.qlDiscountingSwapEngine(,OisCurve,,,,,EvaluationDate)</f>
        <v>obj_00372#0000</v>
      </c>
      <c r="E20" s="3"/>
      <c r="F20" s="4"/>
    </row>
    <row r="21" spans="2:6" x14ac:dyDescent="0.2">
      <c r="B21" s="2"/>
      <c r="C21" s="262" t="s">
        <v>20</v>
      </c>
      <c r="D21" s="260">
        <f>_xll.qlCalendarAdjust(Calendar,DATE(YEAR(SettlementDate),12,31),"Preceding")</f>
        <v>42004</v>
      </c>
      <c r="E21" s="3"/>
      <c r="F21" s="4"/>
    </row>
    <row r="22" spans="2:6" x14ac:dyDescent="0.2">
      <c r="B22" s="2"/>
      <c r="C22" s="262" t="s">
        <v>23</v>
      </c>
      <c r="D22" s="260">
        <f>_xll.qlCalendarAdjust(Calendar,DATE(YEAR(SettlementDate)+1,12,31),"Preceding")</f>
        <v>42369</v>
      </c>
      <c r="E22" s="3"/>
      <c r="F22" s="4"/>
    </row>
    <row r="23" spans="2:6" ht="12" thickBot="1" x14ac:dyDescent="0.25">
      <c r="B23" s="31"/>
      <c r="C23" s="32"/>
      <c r="D23" s="32"/>
      <c r="E23" s="32"/>
      <c r="F23" s="33"/>
    </row>
    <row r="25" spans="2:6" ht="12" thickBot="1" x14ac:dyDescent="0.25"/>
    <row r="26" spans="2:6" ht="19.5" thickBot="1" x14ac:dyDescent="0.25">
      <c r="B26" s="367" t="s">
        <v>134</v>
      </c>
      <c r="C26" s="368"/>
      <c r="D26" s="368"/>
      <c r="E26" s="368"/>
      <c r="F26" s="369"/>
    </row>
    <row r="27" spans="2:6" x14ac:dyDescent="0.2">
      <c r="B27" s="2"/>
      <c r="C27" s="3"/>
      <c r="D27" s="3"/>
      <c r="E27" s="3"/>
      <c r="F27" s="4"/>
    </row>
    <row r="28" spans="2:6" x14ac:dyDescent="0.2">
      <c r="B28" s="2"/>
      <c r="C28" s="262" t="s">
        <v>32</v>
      </c>
      <c r="D28" s="6" t="s">
        <v>33</v>
      </c>
      <c r="E28" s="3"/>
      <c r="F28" s="4"/>
    </row>
    <row r="29" spans="2:6" x14ac:dyDescent="0.2">
      <c r="B29" s="2"/>
      <c r="C29" s="262" t="s">
        <v>35</v>
      </c>
      <c r="D29" s="259">
        <v>2</v>
      </c>
      <c r="E29" s="3"/>
      <c r="F29" s="4"/>
    </row>
    <row r="30" spans="2:6" x14ac:dyDescent="0.2">
      <c r="B30" s="2"/>
      <c r="C30" s="262" t="s">
        <v>36</v>
      </c>
      <c r="D30" s="7" t="e">
        <v>#N/A</v>
      </c>
      <c r="E30" s="3"/>
      <c r="F30" s="4"/>
    </row>
    <row r="31" spans="2:6" x14ac:dyDescent="0.2">
      <c r="B31" s="2"/>
      <c r="C31" s="262" t="s">
        <v>37</v>
      </c>
      <c r="D31" s="12" t="s">
        <v>38</v>
      </c>
      <c r="E31" s="3"/>
      <c r="F31" s="4"/>
    </row>
    <row r="32" spans="2:6" x14ac:dyDescent="0.2">
      <c r="B32" s="2"/>
      <c r="C32" s="262" t="s">
        <v>39</v>
      </c>
      <c r="D32" s="17" t="s">
        <v>40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62" t="s">
        <v>135</v>
      </c>
      <c r="D34" s="26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136</v>
      </c>
      <c r="D36" s="263" t="str">
        <f>_xll.qlEuribor(,IborTenor,YieldCurve,,D34)</f>
        <v>obj_003ad#0000</v>
      </c>
      <c r="E36" s="29"/>
      <c r="F36" s="4"/>
    </row>
    <row r="37" spans="2:6" x14ac:dyDescent="0.2">
      <c r="B37" s="2"/>
      <c r="C37" s="5" t="s">
        <v>137</v>
      </c>
      <c r="D37" s="261" t="s">
        <v>139</v>
      </c>
      <c r="E37" s="29"/>
      <c r="F37" s="4"/>
    </row>
    <row r="38" spans="2:6" x14ac:dyDescent="0.2">
      <c r="B38" s="2"/>
      <c r="C38" s="5" t="s">
        <v>138</v>
      </c>
      <c r="D38" s="264" t="str">
        <f>_xll.qlInterpolation(,BasisInterpolation,SynthFra!I2:I6,SynthFra!O2:O6)</f>
        <v>obj_003ab#0000</v>
      </c>
      <c r="E38" s="29"/>
      <c r="F38" s="4"/>
    </row>
    <row r="39" spans="2:6" x14ac:dyDescent="0.2">
      <c r="B39" s="2"/>
      <c r="C39" s="5" t="s">
        <v>18</v>
      </c>
      <c r="D39" s="258" t="s">
        <v>19</v>
      </c>
      <c r="E39" s="3"/>
      <c r="F39" s="4"/>
    </row>
    <row r="40" spans="2:6" x14ac:dyDescent="0.2">
      <c r="B40" s="2"/>
      <c r="C40" s="269" t="s">
        <v>140</v>
      </c>
      <c r="D40" s="270" t="str">
        <f>_xll.qlPiecewiseYieldCurve(,NDays,Calendar,_xll.ohPack(SynthFra!A3:A127),DayCounter,,,Accuracy,TraitsID,InterpolatorID)</f>
        <v>obj_003ac#0000</v>
      </c>
      <c r="E40" s="29"/>
      <c r="F40" s="4"/>
    </row>
    <row r="41" spans="2:6" x14ac:dyDescent="0.2">
      <c r="B41" s="2"/>
      <c r="C41" s="271" t="s">
        <v>141</v>
      </c>
      <c r="D41" s="27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65">
        <f>_xll.qlTermStructureReferenceDate(YieldCurve)</f>
        <v>41737</v>
      </c>
      <c r="D43" s="266">
        <f ca="1">MAX(_xll.ohPack(SynthFra!E2:E127))</f>
        <v>1</v>
      </c>
      <c r="E43" s="29"/>
      <c r="F43" s="4"/>
    </row>
    <row r="44" spans="2:6" x14ac:dyDescent="0.2">
      <c r="B44" s="2"/>
      <c r="C44" s="267">
        <f>MAX(_xll.ohPack(SynthFra!D3:D127))</f>
        <v>43563</v>
      </c>
      <c r="D44" s="268">
        <f ca="1">MIN(_xll.ohPack(SynthFra!E2:E127))</f>
        <v>0.94403360238596556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mergeCells count="4">
    <mergeCell ref="B2:F2"/>
    <mergeCell ref="B17:F17"/>
    <mergeCell ref="B26:F26"/>
    <mergeCell ref="H2:K2"/>
  </mergeCells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7"/>
  <sheetViews>
    <sheetView workbookViewId="0">
      <selection activeCell="C5" sqref="C5"/>
    </sheetView>
  </sheetViews>
  <sheetFormatPr defaultRowHeight="11.25" x14ac:dyDescent="0.2"/>
  <cols>
    <col min="1" max="1" width="3.83203125" style="38" customWidth="1"/>
    <col min="2" max="2" width="27.5" style="38" bestFit="1" customWidth="1"/>
    <col min="3" max="3" width="31.1640625" style="38" customWidth="1"/>
    <col min="4" max="16384" width="9.33203125" style="38"/>
  </cols>
  <sheetData>
    <row r="1" spans="1:26" x14ac:dyDescent="0.2">
      <c r="A1" s="35"/>
      <c r="B1" s="35"/>
      <c r="C1" s="35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">
      <c r="A2" s="39"/>
      <c r="B2" s="40" t="s">
        <v>28</v>
      </c>
      <c r="C2" s="41">
        <v>41733.448287037034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">
      <c r="A3" s="39"/>
      <c r="B3" s="40" t="s">
        <v>29</v>
      </c>
      <c r="C3" s="42">
        <f>_xll.qlSettingsEvaluationDate(Trigger)</f>
        <v>41733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">
      <c r="A4" s="39"/>
      <c r="B4" s="35"/>
      <c r="C4" s="35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9"/>
      <c r="B5" s="40" t="s">
        <v>30</v>
      </c>
      <c r="C5" s="43">
        <f ca="1">[1]!TriggerCounter</f>
        <v>91</v>
      </c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9"/>
      <c r="B6" s="40" t="s">
        <v>31</v>
      </c>
      <c r="C6" s="43">
        <f>[1]!LastFixingsTrigger</f>
        <v>2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9"/>
      <c r="B7" s="40" t="s">
        <v>34</v>
      </c>
      <c r="C7" s="43">
        <f ca="1">_xll.ohTrigger(Contribution!P2,Contribution!P8,Contribution!P15,Contribution!P25,Contribution!P41)</f>
        <v>75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44"/>
      <c r="B8" s="45"/>
      <c r="C8" s="45"/>
      <c r="D8" s="4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/>
      <c r="B197" s="37"/>
      <c r="C197" s="37"/>
      <c r="D197" s="3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G22" workbookViewId="0">
      <selection activeCell="J34" sqref="J34"/>
    </sheetView>
  </sheetViews>
  <sheetFormatPr defaultRowHeight="11.25" outlineLevelCol="1" x14ac:dyDescent="0.2"/>
  <cols>
    <col min="1" max="1" width="11.6640625" style="38" hidden="1" customWidth="1" outlineLevel="1"/>
    <col min="2" max="2" width="17.83203125" style="38" hidden="1" customWidth="1" outlineLevel="1"/>
    <col min="3" max="3" width="7" style="38" hidden="1" customWidth="1" outlineLevel="1"/>
    <col min="4" max="4" width="31.1640625" style="38" bestFit="1" customWidth="1" collapsed="1"/>
    <col min="5" max="6" width="20.1640625" style="38" bestFit="1" customWidth="1"/>
    <col min="7" max="7" width="12.83203125" style="38" bestFit="1" customWidth="1"/>
    <col min="8" max="9" width="10.5" style="38" bestFit="1" customWidth="1"/>
    <col min="10" max="10" width="9.33203125" style="38"/>
    <col min="11" max="11" width="9.33203125" style="38" customWidth="1"/>
    <col min="12" max="12" width="10.5" style="38" bestFit="1" customWidth="1"/>
    <col min="13" max="13" width="2.33203125" style="38" bestFit="1" customWidth="1"/>
    <col min="14" max="17" width="10.5" style="38" customWidth="1"/>
    <col min="18" max="18" width="2.1640625" style="38" customWidth="1"/>
    <col min="19" max="19" width="3.5" style="38" bestFit="1" customWidth="1"/>
    <col min="20" max="20" width="11.6640625" style="38" bestFit="1" customWidth="1"/>
    <col min="21" max="21" width="10.5" style="38" bestFit="1" customWidth="1"/>
    <col min="22" max="22" width="5.83203125" style="38" bestFit="1" customWidth="1"/>
    <col min="23" max="23" width="3.5" style="38" bestFit="1" customWidth="1"/>
    <col min="24" max="25" width="10.5" style="38" bestFit="1" customWidth="1"/>
    <col min="26" max="26" width="5.83203125" style="38" bestFit="1" customWidth="1"/>
    <col min="27" max="27" width="2.33203125" style="38" bestFit="1" customWidth="1"/>
    <col min="28" max="28" width="10.5" style="38" bestFit="1" customWidth="1"/>
    <col min="29" max="29" width="2.33203125" style="38" bestFit="1" customWidth="1"/>
    <col min="30" max="30" width="10.5" style="38" bestFit="1" customWidth="1"/>
    <col min="31" max="31" width="2.33203125" style="38" customWidth="1"/>
    <col min="32" max="34" width="10.5" style="38" bestFit="1" customWidth="1"/>
    <col min="35" max="35" width="1.83203125" style="38" customWidth="1"/>
    <col min="36" max="37" width="10.5" style="38" bestFit="1" customWidth="1"/>
    <col min="38" max="38" width="3.5" style="38" bestFit="1" customWidth="1"/>
    <col min="39" max="40" width="10.5" style="38" bestFit="1" customWidth="1"/>
    <col min="41" max="41" width="3.33203125" style="38" customWidth="1"/>
    <col min="42" max="43" width="10.5" style="38" bestFit="1" customWidth="1"/>
    <col min="44" max="16384" width="9.33203125" style="38"/>
  </cols>
  <sheetData>
    <row r="1" spans="1:36" x14ac:dyDescent="0.2">
      <c r="B1" s="47" t="s">
        <v>41</v>
      </c>
      <c r="C1" s="48"/>
      <c r="D1" s="47" t="s">
        <v>42</v>
      </c>
      <c r="E1" s="48" t="s">
        <v>43</v>
      </c>
      <c r="F1" s="49" t="s">
        <v>44</v>
      </c>
      <c r="G1" s="48" t="s">
        <v>45</v>
      </c>
      <c r="H1" s="48" t="s">
        <v>46</v>
      </c>
      <c r="I1" s="50" t="s">
        <v>47</v>
      </c>
      <c r="K1" s="51" t="s">
        <v>48</v>
      </c>
      <c r="L1" s="51" t="s">
        <v>49</v>
      </c>
      <c r="M1" s="51"/>
      <c r="N1" s="52" t="s">
        <v>50</v>
      </c>
      <c r="O1" s="52" t="s">
        <v>51</v>
      </c>
      <c r="P1" s="52" t="s">
        <v>52</v>
      </c>
    </row>
    <row r="2" spans="1:36" x14ac:dyDescent="0.2">
      <c r="A2" s="38">
        <v>1</v>
      </c>
      <c r="B2" s="53" t="str">
        <f>_xll.qlMakeDatedOIS(,E2,F2,OvernightIndex,0,,,,Trigger)</f>
        <v>obj_003a6#0000</v>
      </c>
      <c r="C2" s="54" t="b">
        <f>_xll.qlInstrumentSetPricingEngine(B2,OisEngine)</f>
        <v>1</v>
      </c>
      <c r="D2" s="55" t="str">
        <f>Currency&amp;A3&amp;"D_Quote"</f>
        <v>EUR1MD_Quote</v>
      </c>
      <c r="E2" s="56">
        <f>SettlementDate</f>
        <v>41737</v>
      </c>
      <c r="F2" s="57">
        <f>_xll.qlCalendarAdvance(Calendar,E2,A3,"mf")</f>
        <v>41767</v>
      </c>
      <c r="G2" s="58">
        <f ca="1">_xll.qlQuoteValue($D2,AllTriggers)</f>
        <v>2.7000000000000001E-3</v>
      </c>
      <c r="H2" s="59">
        <f ca="1">_xll.qlOvernightIndexedSwapFairRate(B2,_xll.ohTrigger(C2,InterestRatesTrigger))</f>
        <v>2.2500000000000853E-3</v>
      </c>
      <c r="I2" s="60">
        <f ca="1">G2-H2</f>
        <v>4.4999999999991488E-4</v>
      </c>
      <c r="J2" s="61" t="b">
        <v>0</v>
      </c>
      <c r="K2" s="61"/>
      <c r="L2" s="61"/>
      <c r="M2" s="62"/>
      <c r="N2" s="63">
        <f t="shared" ref="N2:O4" si="0">E2-SettlementDate</f>
        <v>0</v>
      </c>
      <c r="O2" s="63">
        <f t="shared" si="0"/>
        <v>30</v>
      </c>
      <c r="P2" s="62">
        <f>(O2^2-N2^2)/(O2-N2)</f>
        <v>30</v>
      </c>
      <c r="Q2" s="61"/>
      <c r="R2" s="61"/>
      <c r="S2" s="61"/>
      <c r="T2" s="64">
        <f>(O2^3-N2^3)/3/(O2-N2)</f>
        <v>300</v>
      </c>
      <c r="U2" s="64">
        <f>(O2+N2)/2</f>
        <v>15</v>
      </c>
      <c r="V2" s="64">
        <v>1</v>
      </c>
    </row>
    <row r="3" spans="1:36" x14ac:dyDescent="0.2">
      <c r="A3" s="38" t="str">
        <f>_xll.qlPeriodEquivalent(A2&amp;"M")</f>
        <v>1M</v>
      </c>
      <c r="B3" s="65" t="str">
        <f>_xll.qlMakeDatedOIS(,E3,F3,OvernightIndex,0,,,,Trigger)</f>
        <v>obj_0032a#0003</v>
      </c>
      <c r="C3" s="66" t="b">
        <f>_xll.qlInstrumentSetPricingEngine(B3,OisEngine)</f>
        <v>1</v>
      </c>
      <c r="D3" s="67" t="str">
        <f>A4&amp;"LastFixing_Quote"</f>
        <v>Euribor1MLastFixing_Quote</v>
      </c>
      <c r="E3" s="68">
        <f>_xll.qlCalendarAdvance(Calendar,_xll.qlLastFixingQuoteReferenceDate(D3),_xll.qlInterestRateIndexFixingDays(A4)&amp;"D","f",,LastFixingsTrigger)</f>
        <v>41736</v>
      </c>
      <c r="F3" s="69">
        <f>_xll.qlInterestRateIndexMaturity(A4,E3)</f>
        <v>41766</v>
      </c>
      <c r="G3" s="70">
        <f ca="1">_xll.qlQuoteValue(D3,AllTriggers)</f>
        <v>2.3999999999999998E-3</v>
      </c>
      <c r="H3" s="71">
        <f ca="1">_xll.qlOvernightIndexedSwapFairRate(B3,_xll.ohTrigger(C3,InterestRatesTrigger))</f>
        <v>2.2671431900995746E-3</v>
      </c>
      <c r="I3" s="72">
        <f t="shared" ref="I3:I27" ca="1" si="1">G3-H3</f>
        <v>1.3285680990042514E-4</v>
      </c>
      <c r="J3" s="61" t="b">
        <f ca="1">NOT(ISERROR(I3))</f>
        <v>1</v>
      </c>
      <c r="K3" s="73">
        <f ca="1">K4</f>
        <v>7.2460682061358734E-6</v>
      </c>
      <c r="L3" s="71">
        <f ca="1">_xll.ohFilter($I$2:$I$3,$J$2:$J$3)-K3*_xll.ohFilter($P$2:$P$3,$J$2:$J$3)</f>
        <v>-7.0033099871379313E-5</v>
      </c>
      <c r="M3" s="62"/>
      <c r="N3" s="63">
        <f t="shared" si="0"/>
        <v>-1</v>
      </c>
      <c r="O3" s="63">
        <f t="shared" si="0"/>
        <v>29</v>
      </c>
      <c r="P3" s="62">
        <f>(O3^2-N3^2)/(O3-N3)</f>
        <v>28</v>
      </c>
      <c r="Q3" s="61"/>
      <c r="R3" s="61"/>
      <c r="S3" s="61"/>
      <c r="T3" s="64">
        <f>(O3^3-N3^3)/3/(O3-N3)</f>
        <v>271</v>
      </c>
      <c r="U3" s="64">
        <f>(O3+N3)/2</f>
        <v>14</v>
      </c>
      <c r="V3" s="64">
        <v>1</v>
      </c>
    </row>
    <row r="4" spans="1:36" x14ac:dyDescent="0.2">
      <c r="A4" s="38" t="str">
        <f>PROPER(Currency)&amp;IborType&amp;SynthDepo!A3</f>
        <v>Euribor1M</v>
      </c>
      <c r="B4" s="65" t="str">
        <f>_xll.qlMakeDatedOIS(,E4,F4,OvernightIndex,0,,,,Trigger)</f>
        <v>obj_0032c#0003</v>
      </c>
      <c r="C4" s="66" t="b">
        <f>_xll.qlInstrumentSetPricingEngine(B4,OisEngine)</f>
        <v>1</v>
      </c>
      <c r="D4" s="74" t="s">
        <v>53</v>
      </c>
      <c r="E4" s="75">
        <f>F3</f>
        <v>41766</v>
      </c>
      <c r="F4" s="76">
        <f>F5</f>
        <v>41799</v>
      </c>
      <c r="G4" s="77">
        <f ca="1">((1+G5*(F5-E5)/360)/(1+G3*(F3-E3)/360)-1)/(F4-E4)*360</f>
        <v>2.3831597316916549E-3</v>
      </c>
      <c r="H4" s="78">
        <f ca="1">_xll.qlOvernightIndexedSwapFairRate(B4,_xll.ohTrigger(C4,InterestRatesTrigger))</f>
        <v>1.7938006248046697E-3</v>
      </c>
      <c r="I4" s="79">
        <f ca="1">G4-H4</f>
        <v>5.8935910688698518E-4</v>
      </c>
      <c r="J4" s="38" t="b">
        <f ca="1">NOT(ISERROR(I4))</f>
        <v>1</v>
      </c>
      <c r="K4" s="78">
        <f ca="1">(I4-_xll.ohFilter($I$2:$I$3,$J$2:$J$3))/(P4-_xll.ohFilter($P$2:$P$3,$J$2:$J$3))</f>
        <v>7.2460682061358734E-6</v>
      </c>
      <c r="L4" s="78">
        <f ca="1">_xll.ohFilter($I$2:$I$3,$J$2:$J$3)-K4*_xll.ohFilter($P$2:$P$3,$J$2:$J$3)</f>
        <v>-7.0033099871379313E-5</v>
      </c>
      <c r="M4" s="80"/>
      <c r="N4" s="81">
        <f t="shared" si="0"/>
        <v>29</v>
      </c>
      <c r="O4" s="81">
        <f t="shared" si="0"/>
        <v>62</v>
      </c>
      <c r="P4" s="80">
        <f>(O4^2-N4^2)/(O4-N4)</f>
        <v>91</v>
      </c>
      <c r="T4" s="82">
        <f>(O4^3-N4^3)/3/(O4-N4)</f>
        <v>2161</v>
      </c>
      <c r="U4" s="82">
        <f>(O4+N4)/2</f>
        <v>45.5</v>
      </c>
      <c r="V4" s="82">
        <v>1</v>
      </c>
    </row>
    <row r="5" spans="1:36" x14ac:dyDescent="0.2">
      <c r="B5" s="65"/>
      <c r="C5" s="66"/>
      <c r="D5" s="83" t="str">
        <f>Currency&amp;"2X1S"&amp;QuoteSuffix</f>
        <v>EUR2X1S_Quote</v>
      </c>
      <c r="E5" s="75">
        <f>SettlementDate</f>
        <v>41737</v>
      </c>
      <c r="F5" s="76">
        <f>_xll.qlCalendarAdvance(Calendar,E5,"2M","mf")</f>
        <v>41799</v>
      </c>
      <c r="G5" s="84">
        <f ca="1">_xll.qlQuoteValue($D5,AllTriggers)</f>
        <v>2.4299999999999999E-3</v>
      </c>
      <c r="H5" s="78"/>
      <c r="I5" s="79"/>
      <c r="J5" s="38" t="b">
        <v>0</v>
      </c>
      <c r="K5" s="85"/>
      <c r="L5" s="85"/>
      <c r="M5" s="86"/>
      <c r="N5" s="87"/>
      <c r="O5" s="81"/>
      <c r="P5" s="80"/>
      <c r="T5" s="82"/>
      <c r="U5" s="82"/>
      <c r="V5" s="82"/>
    </row>
    <row r="6" spans="1:36" x14ac:dyDescent="0.2">
      <c r="A6" s="38">
        <v>3</v>
      </c>
      <c r="B6" s="53" t="str">
        <f>_xll.qlMakeDatedOIS(,E6,F6,OvernightIndex,0,,,,EvaluationDate)</f>
        <v>obj_003a9#0000</v>
      </c>
      <c r="C6" s="54" t="b">
        <f>_xll.qlInstrumentSetPricingEngine(B6,OisEngine)</f>
        <v>1</v>
      </c>
      <c r="D6" s="55" t="str">
        <f>Currency&amp;A7&amp;"D_Quote"</f>
        <v>EUR3MD_Quote</v>
      </c>
      <c r="E6" s="56">
        <f>SettlementDate</f>
        <v>41737</v>
      </c>
      <c r="F6" s="57">
        <f>_xll.qlCalendarAdvance(Calendar,E6,A7,"mf")</f>
        <v>41828</v>
      </c>
      <c r="G6" s="58">
        <f ca="1">_xll.qlQuoteValue($D6,AllTriggers)</f>
        <v>3.3E-3</v>
      </c>
      <c r="H6" s="59">
        <f ca="1">_xll.qlOvernightIndexedSwapFairRate(B6,_xll.ohTrigger(C6,InterestRatesTrigger))</f>
        <v>1.919999999996064E-3</v>
      </c>
      <c r="I6" s="60">
        <f t="shared" ca="1" si="1"/>
        <v>1.380000000003936E-3</v>
      </c>
      <c r="J6" s="61" t="b">
        <v>0</v>
      </c>
      <c r="K6" s="62"/>
      <c r="L6" s="62"/>
      <c r="M6" s="62"/>
      <c r="N6" s="63">
        <f t="shared" ref="N6:N9" si="2">E6-SettlementDate</f>
        <v>0</v>
      </c>
      <c r="O6" s="63">
        <f t="shared" ref="O6:O9" si="3">F6-SettlementDate</f>
        <v>91</v>
      </c>
      <c r="P6" s="62">
        <f>(O6^2-N6^2)/(O6-N6)</f>
        <v>91</v>
      </c>
      <c r="Q6" s="61"/>
      <c r="R6" s="61"/>
      <c r="S6" s="61"/>
      <c r="T6" s="64">
        <f t="shared" ref="T6:T27" si="4">(O6^3-N6^3)/3/(O6-N6)</f>
        <v>2760.3333333333335</v>
      </c>
      <c r="U6" s="64">
        <f t="shared" ref="U6:U27" si="5">(O6+N6)/2</f>
        <v>45.5</v>
      </c>
      <c r="V6" s="64">
        <v>1</v>
      </c>
    </row>
    <row r="7" spans="1:36" x14ac:dyDescent="0.2">
      <c r="A7" s="38" t="str">
        <f>_xll.qlPeriodEquivalent(A6&amp;"M")</f>
        <v>3M</v>
      </c>
      <c r="B7" s="65" t="str">
        <f>_xll.qlMakeDatedOIS(,E7,F7,OvernightIndex,0,,,,EvaluationDate)</f>
        <v>obj_0032b#0003</v>
      </c>
      <c r="C7" s="66" t="b">
        <f>_xll.qlInstrumentSetPricingEngine(B7,OisEngine)</f>
        <v>1</v>
      </c>
      <c r="D7" s="67" t="str">
        <f>A8&amp;"LastFixing_Quote"</f>
        <v>Euribor3MLastFixing_Quote</v>
      </c>
      <c r="E7" s="68">
        <f>_xll.qlCalendarAdvance(Calendar,_xll.qlLastFixingQuoteReferenceDate(D7),_xll.qlInterestRateIndexFixingDays(A8)&amp;"D","f",,LastFixingsTrigger)</f>
        <v>41736</v>
      </c>
      <c r="F7" s="69">
        <f>_xll.qlInterestRateIndexMaturity(A8,E7)</f>
        <v>41827</v>
      </c>
      <c r="G7" s="70">
        <f ca="1">_xll.qlQuoteValue(D7,AllTriggers)</f>
        <v>3.1900000000000001E-3</v>
      </c>
      <c r="H7" s="71">
        <f ca="1">_xll.qlOvernightIndexedSwapFairRate(B7,_xll.ohTrigger(C7,InterestRatesTrigger))</f>
        <v>1.9299052893443688E-3</v>
      </c>
      <c r="I7" s="72">
        <f t="shared" ca="1" si="1"/>
        <v>1.2600947106556314E-3</v>
      </c>
      <c r="J7" s="61" t="b">
        <f ca="1">AND(ISERROR(I8),ISERROR(I9),NOT(ISERROR(I7)))</f>
        <v>1</v>
      </c>
      <c r="K7" s="88"/>
      <c r="L7" s="62"/>
      <c r="M7" s="62"/>
      <c r="N7" s="63">
        <f t="shared" si="2"/>
        <v>-1</v>
      </c>
      <c r="O7" s="63">
        <f t="shared" si="3"/>
        <v>90</v>
      </c>
      <c r="P7" s="62">
        <f t="shared" ref="P7:P27" si="6">(O7^2-N7^2)/(O7-N7)</f>
        <v>89</v>
      </c>
      <c r="Q7" s="61"/>
      <c r="R7" s="61"/>
      <c r="S7" s="61"/>
      <c r="T7" s="64">
        <f t="shared" si="4"/>
        <v>2670.3333333333335</v>
      </c>
      <c r="U7" s="64">
        <f t="shared" si="5"/>
        <v>44.5</v>
      </c>
      <c r="V7" s="64">
        <v>1</v>
      </c>
    </row>
    <row r="8" spans="1:36" x14ac:dyDescent="0.2">
      <c r="A8" s="38" t="str">
        <f>PROPER(Currency)&amp;IborType&amp;SynthDepo!A7</f>
        <v>Euribor3M</v>
      </c>
      <c r="B8" s="89"/>
      <c r="C8" s="66"/>
      <c r="D8" s="67"/>
      <c r="E8" s="68"/>
      <c r="F8" s="69"/>
      <c r="G8" s="90"/>
      <c r="H8" s="71"/>
      <c r="I8" s="72" t="e">
        <f>NA()</f>
        <v>#N/A</v>
      </c>
      <c r="J8" s="61" t="b">
        <v>0</v>
      </c>
      <c r="K8" s="61"/>
      <c r="L8" s="61"/>
      <c r="M8" s="62"/>
      <c r="N8" s="63">
        <v>0</v>
      </c>
      <c r="O8" s="63">
        <f t="shared" si="3"/>
        <v>-41737</v>
      </c>
      <c r="P8" s="62">
        <f t="shared" si="6"/>
        <v>-41737</v>
      </c>
      <c r="Q8" s="61"/>
      <c r="R8" s="61"/>
      <c r="S8" s="61"/>
      <c r="T8" s="64">
        <f t="shared" si="4"/>
        <v>580659056.33333325</v>
      </c>
      <c r="U8" s="64">
        <f t="shared" si="5"/>
        <v>-20868.5</v>
      </c>
      <c r="V8" s="64">
        <v>1</v>
      </c>
      <c r="AB8" s="38" t="s">
        <v>54</v>
      </c>
      <c r="AF8" s="38" t="s">
        <v>55</v>
      </c>
      <c r="AJ8" s="38" t="s">
        <v>56</v>
      </c>
    </row>
    <row r="9" spans="1:36" x14ac:dyDescent="0.2">
      <c r="B9" s="89"/>
      <c r="C9" s="66"/>
      <c r="D9" s="67"/>
      <c r="E9" s="68"/>
      <c r="F9" s="69"/>
      <c r="G9" s="90"/>
      <c r="H9" s="71"/>
      <c r="I9" s="72" t="e">
        <f>NA()</f>
        <v>#N/A</v>
      </c>
      <c r="J9" s="61" t="b">
        <v>0</v>
      </c>
      <c r="K9" s="71">
        <f ca="1">AVERAGE(_xll.ohFilter(K10:K12,J10:J12))</f>
        <v>5.6596487595227171E-6</v>
      </c>
      <c r="L9" s="71">
        <f ca="1">_xll.ohFilter($I$6:$I$9,$J$6:$J$9)-K9*_xll.ohFilter($P$6:$P$9,$J$6:$J$9)</f>
        <v>7.5638597105810951E-4</v>
      </c>
      <c r="M9" s="62"/>
      <c r="N9" s="63">
        <f t="shared" si="2"/>
        <v>-41737</v>
      </c>
      <c r="O9" s="63">
        <f t="shared" si="3"/>
        <v>-41737</v>
      </c>
      <c r="P9" s="62" t="e">
        <f t="shared" si="6"/>
        <v>#DIV/0!</v>
      </c>
      <c r="Q9" s="61"/>
      <c r="R9" s="61"/>
      <c r="S9" s="61"/>
      <c r="T9" s="64" t="e">
        <f t="shared" si="4"/>
        <v>#DIV/0!</v>
      </c>
      <c r="U9" s="64">
        <f t="shared" si="5"/>
        <v>-41737</v>
      </c>
      <c r="V9" s="64">
        <v>1</v>
      </c>
      <c r="X9" s="91">
        <f t="array" aca="1" ref="X9:X11" ca="1">_xll.ohFilter(T6:T14,$J6:$J14)</f>
        <v>2670.3333333333335</v>
      </c>
      <c r="Y9" s="94">
        <f t="array" aca="1" ref="Y9:Y11" ca="1">_xll.ohFilter(U6:U14,$J6:$J14)</f>
        <v>44.5</v>
      </c>
      <c r="Z9" s="97">
        <f t="array" aca="1" ref="Z9:Z11" ca="1">_xll.ohFilter(V6:V14,$J6:$J14)</f>
        <v>1</v>
      </c>
      <c r="AB9" s="100">
        <f t="array" aca="1" ref="AB9:AB11" ca="1">MMULT(AF9:AH11,AD9:AD11)</f>
        <v>-3.1186466138234793E-7</v>
      </c>
      <c r="AD9" s="100">
        <f t="array" aca="1" ref="AD9:AD11" ca="1">_xll.ohFilter(I6:I14,$J6:$J14)</f>
        <v>1.2600947106556314E-3</v>
      </c>
      <c r="AF9" s="103">
        <f t="array" aca="1" ref="AF9:AH11" ca="1">MINVERSE(X9:Z11)</f>
        <v>1.5275071564311634E-3</v>
      </c>
      <c r="AG9" s="104">
        <f ca="1"/>
        <v>-1.7440042337206194E-3</v>
      </c>
      <c r="AH9" s="105">
        <f ca="1"/>
        <v>2.1649707728945629E-4</v>
      </c>
      <c r="AJ9" s="112">
        <f t="array" aca="1" ref="AJ9:AJ11" ca="1">MMULT(X9:Z11,AB9:AB11)-AD9:AD11</f>
        <v>0</v>
      </c>
    </row>
    <row r="10" spans="1:36" x14ac:dyDescent="0.2">
      <c r="A10" s="38" t="str">
        <f>_xll.qlIMMNextCode(EvaluationDate,FALSE)</f>
        <v>J4</v>
      </c>
      <c r="B10" s="89" t="str">
        <f>_xll.qlMakeDatedOIS(,E10,F10,OvernightIndex,0,,,,EvaluationDate)</f>
        <v>obj_0038f#0000</v>
      </c>
      <c r="C10" s="66" t="b">
        <f>_xll.qlInstrumentSetPricingEngine(B10,OisEngine)</f>
        <v>1</v>
      </c>
      <c r="D10" s="74" t="str">
        <f>Currency&amp;"FUT3M"&amp;A10&amp;QuoteSuffix</f>
        <v>EURFUT3MJ4_Quote</v>
      </c>
      <c r="E10" s="75">
        <f>_xll.qlIMMdate(A10)</f>
        <v>41745</v>
      </c>
      <c r="F10" s="76">
        <f>_xll.qlCalendarAdvance(Calendar,E10,"3M","mf")</f>
        <v>41836</v>
      </c>
      <c r="G10" s="84">
        <f ca="1">1-_xll.qlQuoteValue($D10,AllTriggers)/100</f>
        <v>3.3249999999999114E-3</v>
      </c>
      <c r="H10" s="78">
        <f ca="1">_xll.qlOvernightIndexedSwapFairRate(B10,_xll.ohTrigger(C10,InterestRatesTrigger))</f>
        <v>1.8670645969566357E-3</v>
      </c>
      <c r="I10" s="79">
        <f t="shared" ca="1" si="1"/>
        <v>1.4579354030432757E-3</v>
      </c>
      <c r="J10" s="38" t="b">
        <f ca="1">AND(NOT(ISERROR(I10)),E10&lt;&gt;$E$9,E10&lt;&gt;SettlementDate)</f>
        <v>1</v>
      </c>
      <c r="K10" s="78">
        <f ca="1">(I10-_xll.ohFilter($I$6:$I$9,$J$6:$J$9))/(P10-_xll.ohFilter($P$6:$P$9,$J$6:$J$9))</f>
        <v>1.0991149577091351E-5</v>
      </c>
      <c r="L10" s="78">
        <f ca="1">_xll.ohFilter($I$6:$I$9,$J$6:$J$9)-K10*_xll.ohFilter($P$6:$P$9,$J$6:$J$9)</f>
        <v>2.8188239829450112E-4</v>
      </c>
      <c r="M10" s="80"/>
      <c r="N10" s="81">
        <f t="shared" ref="N10:N18" si="7">E10-SettlementDate</f>
        <v>8</v>
      </c>
      <c r="O10" s="81">
        <f t="shared" ref="O10:O18" si="8">F10-SettlementDate</f>
        <v>99</v>
      </c>
      <c r="P10" s="80">
        <f t="shared" si="6"/>
        <v>107</v>
      </c>
      <c r="T10" s="82">
        <f t="shared" si="4"/>
        <v>3552.333333333333</v>
      </c>
      <c r="U10" s="82">
        <f t="shared" si="5"/>
        <v>53.5</v>
      </c>
      <c r="V10" s="82">
        <v>1</v>
      </c>
      <c r="X10" s="92">
        <f ca="1"/>
        <v>3552.333333333333</v>
      </c>
      <c r="Y10" s="95">
        <f ca="1"/>
        <v>53.5</v>
      </c>
      <c r="Z10" s="98">
        <f ca="1"/>
        <v>1</v>
      </c>
      <c r="AA10" s="51" t="s">
        <v>57</v>
      </c>
      <c r="AB10" s="101">
        <f ca="1"/>
        <v>5.2545035969652745E-5</v>
      </c>
      <c r="AC10" s="51" t="s">
        <v>58</v>
      </c>
      <c r="AD10" s="101">
        <f ca="1"/>
        <v>1.4579354030432757E-3</v>
      </c>
      <c r="AF10" s="106">
        <f ca="1"/>
        <v>-0.26080681244136494</v>
      </c>
      <c r="AG10" s="107">
        <f ca="1"/>
        <v>0.28202352601573161</v>
      </c>
      <c r="AH10" s="108">
        <f ca="1"/>
        <v>-2.1216713574366691E-2</v>
      </c>
      <c r="AJ10" s="113">
        <f ca="1"/>
        <v>-2.1684043449710089E-19</v>
      </c>
    </row>
    <row r="11" spans="1:36" x14ac:dyDescent="0.2">
      <c r="A11" s="38" t="str">
        <f>_xll.qlIMMNextCode(E10,IF(_xll.qlIMMIsIMMdate(E10,TRUE),FALSE,TRUE))</f>
        <v>M4</v>
      </c>
      <c r="B11" s="89" t="str">
        <f>_xll.qlMakeDatedOIS(,E11,F11,OvernightIndex,0,,,,EvaluationDate)</f>
        <v>obj_0039c#0000</v>
      </c>
      <c r="C11" s="66" t="b">
        <f>_xll.qlInstrumentSetPricingEngine(B11,OisEngine)</f>
        <v>1</v>
      </c>
      <c r="D11" s="74" t="str">
        <f>Currency&amp;"FUT3M"&amp;A11&amp;QuoteSuffix</f>
        <v>EURFUT3MM4_Quote</v>
      </c>
      <c r="E11" s="75">
        <f>_xll.qlIMMdate(A11)</f>
        <v>41808</v>
      </c>
      <c r="F11" s="76">
        <f>_xll.qlCalendarAdvance(Calendar,E11,"3M","mf")</f>
        <v>41900</v>
      </c>
      <c r="G11" s="84">
        <f ca="1">1-_xll.qlQuoteValue($D11,AllTriggers)/100</f>
        <v>3.0750000000000499E-3</v>
      </c>
      <c r="H11" s="78">
        <f ca="1">_xll.qlOvernightIndexedSwapFairRate(B11,_xll.ohTrigger(C11,InterestRatesTrigger))</f>
        <v>1.6616914715912412E-3</v>
      </c>
      <c r="I11" s="79">
        <f t="shared" ca="1" si="1"/>
        <v>1.4133085284088087E-3</v>
      </c>
      <c r="J11" s="38" t="b">
        <f ca="1">NOT(ISERROR(I11))</f>
        <v>1</v>
      </c>
      <c r="K11" s="78">
        <f ca="1">(I11-_xll.ohFilter($I$6:$I$9,$J$6:$J$9))/(P11-_xll.ohFilter($P$6:$P$9,$J$6:$J$9))</f>
        <v>1.0566470189874302E-6</v>
      </c>
      <c r="L11" s="78">
        <f ca="1">_xll.ohFilter($I$6:$I$9,$J$6:$J$9)-K11*_xll.ohFilter($P$6:$P$9,$J$6:$J$9)</f>
        <v>1.16605312596575E-3</v>
      </c>
      <c r="M11" s="80"/>
      <c r="N11" s="81">
        <f t="shared" si="7"/>
        <v>71</v>
      </c>
      <c r="O11" s="81">
        <f t="shared" si="8"/>
        <v>163</v>
      </c>
      <c r="P11" s="80">
        <f t="shared" si="6"/>
        <v>234</v>
      </c>
      <c r="T11" s="82">
        <f t="shared" si="4"/>
        <v>14394.333333333334</v>
      </c>
      <c r="U11" s="82">
        <f t="shared" si="5"/>
        <v>117</v>
      </c>
      <c r="V11" s="82">
        <v>1</v>
      </c>
      <c r="X11" s="93">
        <f ca="1"/>
        <v>14394.333333333334</v>
      </c>
      <c r="Y11" s="96">
        <f ca="1"/>
        <v>117</v>
      </c>
      <c r="Z11" s="99">
        <f ca="1"/>
        <v>1</v>
      </c>
      <c r="AB11" s="102">
        <f ca="1"/>
        <v>-2.4537678921591891E-4</v>
      </c>
      <c r="AD11" s="102">
        <f ca="1"/>
        <v>1.4133085284088087E-3</v>
      </c>
      <c r="AF11" s="109">
        <f ca="1"/>
        <v>8.5269498769173886</v>
      </c>
      <c r="AG11" s="110">
        <f ca="1"/>
        <v>-7.8929742689214279</v>
      </c>
      <c r="AH11" s="111">
        <f ca="1"/>
        <v>0.36602439200403952</v>
      </c>
      <c r="AJ11" s="114">
        <f ca="1"/>
        <v>0</v>
      </c>
    </row>
    <row r="12" spans="1:36" x14ac:dyDescent="0.2">
      <c r="A12" s="38">
        <v>1</v>
      </c>
      <c r="B12" s="89" t="str">
        <f>_xll.qlMakeDatedOIS(,E12,F12,OvernightIndex,0,,,,EvaluationDate)</f>
        <v>obj_0039d#0000</v>
      </c>
      <c r="C12" s="66" t="b">
        <f>_xll.qlInstrumentSetPricingEngine(B12,OisEngine)</f>
        <v>1</v>
      </c>
      <c r="D12" s="74" t="str">
        <f>Currency&amp;A12&amp;"x"&amp;A12+3&amp;"F"&amp;QuoteSuffix</f>
        <v>EUR1x4F_Quote</v>
      </c>
      <c r="E12" s="75">
        <f>_xll.qlCalendarAdvance(Calendar,SettlementDate,A12&amp;"M","mf")</f>
        <v>41767</v>
      </c>
      <c r="F12" s="76">
        <f>_xll.qlInterestRateIndexMaturity($A$8,E12)</f>
        <v>41859</v>
      </c>
      <c r="G12" s="84">
        <f ca="1">_xll.qlQuoteValue(D12,AllTriggers)</f>
        <v>3.2899999999999995E-3</v>
      </c>
      <c r="H12" s="78">
        <f ca="1">_xll.qlOvernightIndexedSwapFairRate(B12,_xll.ohTrigger(C12,InterestRatesTrigger))</f>
        <v>1.719242859347538E-3</v>
      </c>
      <c r="I12" s="79">
        <f ca="1">G12-H12</f>
        <v>1.5707571406524616E-3</v>
      </c>
      <c r="J12" s="38" t="b">
        <f ca="1">AND(NOT(ISERROR(I12)),E12&lt;&gt;$E$11,E12&lt;&gt;$E$10)</f>
        <v>1</v>
      </c>
      <c r="K12" s="78">
        <f ca="1">(I12-_xll.ohFilter($I$6:$I$9,$J$6:$J$9))/(P12-_xll.ohFilter($P$6:$P$9,$J$6:$J$9))</f>
        <v>4.9311496824893679E-6</v>
      </c>
      <c r="L12" s="78">
        <f ca="1">_xll.ohFilter($I$6:$I$9,$J$6:$J$9)-K12*_xll.ohFilter($P$6:$P$9,$J$6:$J$9)</f>
        <v>8.2122238891407762E-4</v>
      </c>
      <c r="M12" s="80"/>
      <c r="N12" s="81">
        <f t="shared" si="7"/>
        <v>30</v>
      </c>
      <c r="O12" s="81">
        <f t="shared" si="8"/>
        <v>122</v>
      </c>
      <c r="P12" s="80">
        <f t="shared" si="6"/>
        <v>152</v>
      </c>
      <c r="T12" s="82">
        <f t="shared" si="4"/>
        <v>6481.333333333333</v>
      </c>
      <c r="U12" s="82">
        <f t="shared" si="5"/>
        <v>76</v>
      </c>
      <c r="V12" s="82">
        <v>1</v>
      </c>
      <c r="X12" s="82"/>
      <c r="Y12" s="82"/>
      <c r="Z12" s="82"/>
    </row>
    <row r="13" spans="1:36" x14ac:dyDescent="0.2">
      <c r="A13" s="38">
        <v>2</v>
      </c>
      <c r="B13" s="89" t="str">
        <f>_xll.qlMakeDatedOIS(,E13,F13,OvernightIndex,0,,,,EvaluationDate)</f>
        <v>obj_003a1#0000</v>
      </c>
      <c r="C13" s="66" t="b">
        <f>_xll.qlInstrumentSetPricingEngine(B13,OisEngine)</f>
        <v>1</v>
      </c>
      <c r="D13" s="74" t="str">
        <f>Currency&amp;A13&amp;"x"&amp;A13+3&amp;"F"&amp;QuoteSuffix</f>
        <v>EUR2x5F_Quote</v>
      </c>
      <c r="E13" s="75">
        <f>_xll.qlCalendarAdvance(Calendar,SettlementDate,A13&amp;"M","mf")</f>
        <v>41799</v>
      </c>
      <c r="F13" s="76">
        <f>_xll.qlInterestRateIndexMaturity($A$8,E13)</f>
        <v>41891</v>
      </c>
      <c r="G13" s="84">
        <f ca="1">_xll.qlQuoteValue(D13,AllTriggers)</f>
        <v>3.1099999999999999E-3</v>
      </c>
      <c r="H13" s="78">
        <f ca="1">_xll.qlOvernightIndexedSwapFairRate(B13,_xll.ohTrigger(C13,InterestRatesTrigger))</f>
        <v>1.6726482647492263E-3</v>
      </c>
      <c r="I13" s="79">
        <f ca="1">G13-H13</f>
        <v>1.4373517352507736E-3</v>
      </c>
      <c r="J13" s="38" t="b">
        <f ca="1">AND(NOT(ISERROR(I13)),E13&lt;&gt;$E$11,E13&lt;&gt;$E$10)</f>
        <v>1</v>
      </c>
      <c r="K13" s="78">
        <f ca="1">(I13-_xll.ohFilter($I$6:$I$9,$J$6:$J$9))/(P13-_xll.ohFilter($P$6:$P$9,$J$6:$J$9))</f>
        <v>1.3957246031113561E-6</v>
      </c>
      <c r="L13" s="78">
        <f ca="1">_xll.ohFilter($I$6:$I$9,$J$6:$J$9)-K13*_xll.ohFilter($P$6:$P$9,$J$6:$J$9)</f>
        <v>1.1358752209787207E-3</v>
      </c>
      <c r="M13" s="80"/>
      <c r="N13" s="81">
        <f t="shared" si="7"/>
        <v>62</v>
      </c>
      <c r="O13" s="81">
        <f t="shared" si="8"/>
        <v>154</v>
      </c>
      <c r="P13" s="80">
        <f t="shared" si="6"/>
        <v>216</v>
      </c>
      <c r="T13" s="82">
        <f t="shared" si="4"/>
        <v>12369.333333333334</v>
      </c>
      <c r="U13" s="82">
        <f t="shared" si="5"/>
        <v>108</v>
      </c>
      <c r="V13" s="82">
        <v>1</v>
      </c>
      <c r="X13" s="82"/>
      <c r="Y13" s="82"/>
      <c r="Z13" s="82"/>
    </row>
    <row r="14" spans="1:36" x14ac:dyDescent="0.2">
      <c r="A14" s="38">
        <v>3</v>
      </c>
      <c r="B14" s="89" t="str">
        <f>_xll.qlMakeDatedOIS(,E14,F14,OvernightIndex,0,,,,EvaluationDate)</f>
        <v>obj_003a8#0000</v>
      </c>
      <c r="C14" s="66" t="b">
        <f>_xll.qlInstrumentSetPricingEngine(B14,OisEngine)</f>
        <v>1</v>
      </c>
      <c r="D14" s="74" t="str">
        <f>Currency&amp;A14&amp;"x"&amp;A14+3&amp;"F"&amp;QuoteSuffix</f>
        <v>EUR3x6F_Quote</v>
      </c>
      <c r="E14" s="75">
        <f>_xll.qlCalendarAdvance(Calendar,SettlementDate,A14&amp;"M","mf")</f>
        <v>41828</v>
      </c>
      <c r="F14" s="76">
        <f>_xll.qlInterestRateIndexMaturity($A$8,E14)</f>
        <v>41920</v>
      </c>
      <c r="G14" s="84">
        <f ca="1">_xll.qlQuoteValue(D14,AllTriggers)</f>
        <v>3.0600000000000007E-3</v>
      </c>
      <c r="H14" s="78">
        <f ca="1">_xll.qlOvernightIndexedSwapFairRate(B14,_xll.ohTrigger(C14,InterestRatesTrigger))</f>
        <v>1.6208437852578514E-3</v>
      </c>
      <c r="I14" s="79">
        <f ca="1">G14-H14</f>
        <v>1.4391562147421492E-3</v>
      </c>
      <c r="J14" s="38" t="b">
        <f ca="1">AND(NOT(ISERROR(I14)),E14&lt;&gt;$E$11,E14&lt;&gt;$E$10)</f>
        <v>1</v>
      </c>
      <c r="K14" s="78">
        <f ca="1">(I14-_xll.ohFilter($I$6:$I$9,$J$6:$J$9))/(P14-_xll.ohFilter($P$6:$P$9,$J$6:$J$9))</f>
        <v>9.679000220892857E-7</v>
      </c>
      <c r="L14" s="78">
        <f ca="1">_xll.ohFilter($I$6:$I$9,$J$6:$J$9)-K14*_xll.ohFilter($P$6:$P$9,$J$6:$J$9)</f>
        <v>1.1739516086896849E-3</v>
      </c>
      <c r="M14" s="80"/>
      <c r="N14" s="81">
        <f t="shared" si="7"/>
        <v>91</v>
      </c>
      <c r="O14" s="81">
        <f t="shared" si="8"/>
        <v>183</v>
      </c>
      <c r="P14" s="80">
        <f t="shared" si="6"/>
        <v>274</v>
      </c>
      <c r="T14" s="82">
        <f t="shared" si="4"/>
        <v>19474.333333333336</v>
      </c>
      <c r="U14" s="82">
        <f t="shared" si="5"/>
        <v>137</v>
      </c>
      <c r="V14" s="82">
        <v>1</v>
      </c>
      <c r="X14" s="82"/>
      <c r="Y14" s="82"/>
      <c r="Z14" s="82"/>
    </row>
    <row r="15" spans="1:36" x14ac:dyDescent="0.2">
      <c r="A15" s="38">
        <v>6</v>
      </c>
      <c r="B15" s="53" t="str">
        <f>_xll.qlMakeDatedOIS(,E15,F15,OvernightIndex,0,,,,EvaluationDate)</f>
        <v>obj_003a3#0000</v>
      </c>
      <c r="C15" s="54" t="b">
        <f>_xll.qlInstrumentSetPricingEngine(B15,OisEngine)</f>
        <v>1</v>
      </c>
      <c r="D15" s="55" t="str">
        <f>Currency&amp;A16&amp;"D_Quote"</f>
        <v>EUR6MD_Quote</v>
      </c>
      <c r="E15" s="56">
        <f>SettlementDate</f>
        <v>41737</v>
      </c>
      <c r="F15" s="57">
        <f>_xll.qlCalendarAdvance(Calendar,E15,A16,"mf")</f>
        <v>41920</v>
      </c>
      <c r="G15" s="58">
        <f ca="1">_xll.qlQuoteValue($D15,AllTriggers)</f>
        <v>4.3E-3</v>
      </c>
      <c r="H15" s="59">
        <f ca="1">_xll.qlOvernightIndexedSwapFairRate(B15,_xll.ohTrigger(C15,InterestRatesTrigger))</f>
        <v>1.7699999999940578E-3</v>
      </c>
      <c r="I15" s="60">
        <f t="shared" ca="1" si="1"/>
        <v>2.5300000000059424E-3</v>
      </c>
      <c r="J15" s="61" t="b">
        <v>0</v>
      </c>
      <c r="K15" s="62"/>
      <c r="L15" s="62"/>
      <c r="M15" s="62"/>
      <c r="N15" s="63">
        <f t="shared" si="7"/>
        <v>0</v>
      </c>
      <c r="O15" s="63">
        <f t="shared" si="8"/>
        <v>183</v>
      </c>
      <c r="P15" s="62">
        <f t="shared" si="6"/>
        <v>183</v>
      </c>
      <c r="Q15" s="61"/>
      <c r="R15" s="61"/>
      <c r="S15" s="61"/>
      <c r="T15" s="64">
        <f t="shared" si="4"/>
        <v>11163</v>
      </c>
      <c r="U15" s="64">
        <f t="shared" si="5"/>
        <v>91.5</v>
      </c>
      <c r="V15" s="64">
        <v>1</v>
      </c>
    </row>
    <row r="16" spans="1:36" x14ac:dyDescent="0.2">
      <c r="A16" s="38" t="str">
        <f>_xll.qlPeriodEquivalent(A15&amp;"M")</f>
        <v>6M</v>
      </c>
      <c r="B16" s="65" t="str">
        <f>_xll.qlMakeDatedOIS(,E16,F16,OvernightIndex,0,,,,EvaluationDate)</f>
        <v>obj_00329#0003</v>
      </c>
      <c r="C16" s="66" t="b">
        <f>_xll.qlInstrumentSetPricingEngine(B16,OisEngine)</f>
        <v>1</v>
      </c>
      <c r="D16" s="67" t="str">
        <f>PROPER(Currency&amp;IborType)&amp;A16&amp;"LastFixing_Quote"</f>
        <v>Euribor6MLastFixing_Quote</v>
      </c>
      <c r="E16" s="68">
        <f>_xll.qlCalendarAdvance(Calendar,_xll.qlLastFixingQuoteReferenceDate(D16),_xll.qlInterestRateIndexFixingDays(A17)&amp;"D","f",,LastFixingsTrigger)</f>
        <v>41736</v>
      </c>
      <c r="F16" s="69">
        <f>_xll.qlInterestRateIndexMaturity(A17,E16)</f>
        <v>41919</v>
      </c>
      <c r="G16" s="70">
        <f ca="1">_xll.qlQuoteValue(D16,AllTriggers)</f>
        <v>4.2300000000000003E-3</v>
      </c>
      <c r="H16" s="71">
        <f ca="1">_xll.qlOvernightIndexedSwapFairRate(B16,_xll.ohTrigger(C16,InterestRatesTrigger))</f>
        <v>1.776025529312835E-3</v>
      </c>
      <c r="I16" s="72">
        <f t="shared" ca="1" si="1"/>
        <v>2.4539744706871653E-3</v>
      </c>
      <c r="J16" s="61" t="b">
        <f ca="1">AND(ISERROR(I17),ISERROR(I18),NOT(ISERROR(I16)))</f>
        <v>1</v>
      </c>
      <c r="K16" s="62"/>
      <c r="L16" s="62"/>
      <c r="M16" s="62"/>
      <c r="N16" s="63">
        <f t="shared" si="7"/>
        <v>-1</v>
      </c>
      <c r="O16" s="63">
        <f t="shared" si="8"/>
        <v>182</v>
      </c>
      <c r="P16" s="62">
        <f t="shared" si="6"/>
        <v>181</v>
      </c>
      <c r="Q16" s="61"/>
      <c r="R16" s="61"/>
      <c r="S16" s="61"/>
      <c r="T16" s="64">
        <f t="shared" si="4"/>
        <v>10981</v>
      </c>
      <c r="U16" s="64">
        <f t="shared" si="5"/>
        <v>90.5</v>
      </c>
      <c r="V16" s="64">
        <v>1</v>
      </c>
    </row>
    <row r="17" spans="1:36" x14ac:dyDescent="0.2">
      <c r="A17" s="38" t="str">
        <f>PROPER(Currency)&amp;IborType&amp;SynthDepo!A16</f>
        <v>Euribor6M</v>
      </c>
      <c r="B17" s="89"/>
      <c r="C17" s="66"/>
      <c r="D17" s="67"/>
      <c r="E17" s="68"/>
      <c r="F17" s="69"/>
      <c r="G17" s="70"/>
      <c r="H17" s="71"/>
      <c r="I17" s="72" t="e">
        <f>NA()</f>
        <v>#N/A</v>
      </c>
      <c r="J17" s="61" t="b">
        <v>0</v>
      </c>
      <c r="K17" s="61"/>
      <c r="L17" s="61"/>
      <c r="M17" s="62"/>
      <c r="N17" s="63">
        <f t="shared" si="7"/>
        <v>-41737</v>
      </c>
      <c r="O17" s="63">
        <f t="shared" si="8"/>
        <v>-41737</v>
      </c>
      <c r="P17" s="62" t="e">
        <f t="shared" si="6"/>
        <v>#DIV/0!</v>
      </c>
      <c r="Q17" s="61"/>
      <c r="R17" s="61"/>
      <c r="S17" s="61"/>
      <c r="T17" s="64" t="e">
        <f t="shared" si="4"/>
        <v>#DIV/0!</v>
      </c>
      <c r="U17" s="64">
        <f t="shared" si="5"/>
        <v>-41737</v>
      </c>
      <c r="V17" s="64">
        <v>1</v>
      </c>
      <c r="AF17" s="38" t="s">
        <v>55</v>
      </c>
      <c r="AJ17" s="38" t="s">
        <v>56</v>
      </c>
    </row>
    <row r="18" spans="1:36" x14ac:dyDescent="0.2">
      <c r="B18" s="89"/>
      <c r="C18" s="66"/>
      <c r="D18" s="67"/>
      <c r="E18" s="68"/>
      <c r="F18" s="69"/>
      <c r="G18" s="70"/>
      <c r="H18" s="71"/>
      <c r="I18" s="72" t="e">
        <f>NA()</f>
        <v>#N/A</v>
      </c>
      <c r="J18" s="61" t="b">
        <v>0</v>
      </c>
      <c r="K18" s="71">
        <f ca="1">AVERAGE(_xll.ohFilter(K19:K21,J19:J21))</f>
        <v>1.5785238036510304E-6</v>
      </c>
      <c r="L18" s="71">
        <f ca="1">_xll.ohFilter($I$15:$I$18,$J$15:$J$18)-K18*_xll.ohFilter($P$15:$P$18,$J$15:$J$18)</f>
        <v>2.1682616622263288E-3</v>
      </c>
      <c r="M18" s="62"/>
      <c r="N18" s="63">
        <f t="shared" si="7"/>
        <v>-41737</v>
      </c>
      <c r="O18" s="63">
        <f t="shared" si="8"/>
        <v>-41737</v>
      </c>
      <c r="P18" s="62" t="e">
        <f t="shared" si="6"/>
        <v>#DIV/0!</v>
      </c>
      <c r="Q18" s="61"/>
      <c r="R18" s="61"/>
      <c r="S18" s="61"/>
      <c r="T18" s="64" t="e">
        <f t="shared" si="4"/>
        <v>#DIV/0!</v>
      </c>
      <c r="U18" s="64">
        <f t="shared" si="5"/>
        <v>-41737</v>
      </c>
      <c r="V18" s="64">
        <v>1</v>
      </c>
      <c r="X18" s="91">
        <f t="array" aca="1" ref="X18:X20" ca="1">_xll.ohFilter(T15:T24,$J15:$J24)</f>
        <v>10981</v>
      </c>
      <c r="Y18" s="94">
        <f t="array" aca="1" ref="Y18:Y20" ca="1">_xll.ohFilter(U15:U24,$J15:$J24)</f>
        <v>90.5</v>
      </c>
      <c r="Z18" s="97">
        <f t="array" aca="1" ref="Z18:Z20" ca="1">_xll.ohFilter(V15:V24,$J15:$J24)</f>
        <v>1</v>
      </c>
      <c r="AB18" s="100">
        <f t="array" aca="1" ref="AB18:AB20" ca="1">MMULT(AF18:AH20,AD18:AD20)</f>
        <v>-1.4119419196884435E-7</v>
      </c>
      <c r="AD18" s="100">
        <f t="array" aca="1" ref="AD18:AD20" ca="1">_xll.ohFilter(I15:I24,$J15:$J24)</f>
        <v>2.4539744706871653E-3</v>
      </c>
      <c r="AF18" s="103">
        <f t="array" aca="1" ref="AF18:AH20" ca="1">MINVERSE(X18:Z20)</f>
        <v>5.3851722372300645E-4</v>
      </c>
      <c r="AG18" s="104">
        <f ca="1"/>
        <v>-1.1123470522803088E-3</v>
      </c>
      <c r="AH18" s="105">
        <f ca="1"/>
        <v>5.7382982855730207E-4</v>
      </c>
      <c r="AJ18" s="112">
        <f t="array" aca="1" ref="AJ18:AJ20" ca="1">MMULT(X18:Z20,AB18:AB20)-AD18:AD20</f>
        <v>1.0842021724855044E-17</v>
      </c>
    </row>
    <row r="19" spans="1:36" x14ac:dyDescent="0.2">
      <c r="A19" s="38">
        <v>1</v>
      </c>
      <c r="B19" s="89" t="str">
        <f>_xll.qlMakeDatedOIS(,E19,F19,OvernightIndex,0,,,,EvaluationDate)</f>
        <v>obj_003a2#0000</v>
      </c>
      <c r="C19" s="66" t="b">
        <f>_xll.qlInstrumentSetPricingEngine(B19,OisEngine)</f>
        <v>1</v>
      </c>
      <c r="D19" s="74" t="str">
        <f t="shared" ref="D19:D24" si="9">Currency&amp;A19&amp;"x"&amp;A19+6&amp;"F"&amp;QuoteSuffix</f>
        <v>EUR1x7F_Quote</v>
      </c>
      <c r="E19" s="75">
        <f>_xll.qlCalendarAdvance(Calendar,SettlementDate,A19&amp;"M","mf")</f>
        <v>41767</v>
      </c>
      <c r="F19" s="76">
        <f>_xll.qlInterestRateIndexMaturity($A$17,E19)</f>
        <v>41953</v>
      </c>
      <c r="G19" s="77">
        <f ca="1">_xll.qlQuoteValue(D19,AllTriggers)</f>
        <v>4.2800000000000008E-3</v>
      </c>
      <c r="H19" s="78">
        <f ca="1">_xll.qlOvernightIndexedSwapFairRate(B19,_xll.ohTrigger(C19,InterestRatesTrigger))</f>
        <v>1.6342097147110798E-3</v>
      </c>
      <c r="I19" s="79">
        <f t="shared" ca="1" si="1"/>
        <v>2.6457902852889213E-3</v>
      </c>
      <c r="J19" s="38" t="b">
        <f t="shared" ref="J19:J24" ca="1" si="10">NOT(ISERROR(I19))</f>
        <v>1</v>
      </c>
      <c r="K19" s="78">
        <f ca="1">(I19-_xll.ohFilter($I$15:$I$18,$J$15:$J$18))/(P19-_xll.ohFilter($P$15:$P$18,$J$15:$J$18))</f>
        <v>2.9510125323347071E-6</v>
      </c>
      <c r="L19" s="78">
        <f ca="1">_xll.ohFilter($I$15:$I$18,$J$15:$J$18)-K19*_xll.ohFilter($P$15:$P$18,$J$15:$J$18)</f>
        <v>1.9198412023345834E-3</v>
      </c>
      <c r="M19" s="80"/>
      <c r="N19" s="81">
        <f t="shared" ref="N19:N27" si="11">E19-SettlementDate</f>
        <v>30</v>
      </c>
      <c r="O19" s="81">
        <f t="shared" ref="O19:O27" si="12">F19-SettlementDate</f>
        <v>216</v>
      </c>
      <c r="P19" s="80">
        <f t="shared" si="6"/>
        <v>246</v>
      </c>
      <c r="T19" s="82">
        <f t="shared" si="4"/>
        <v>18012</v>
      </c>
      <c r="U19" s="82">
        <f t="shared" si="5"/>
        <v>123</v>
      </c>
      <c r="V19" s="82">
        <v>1</v>
      </c>
      <c r="X19" s="92">
        <f ca="1"/>
        <v>18012</v>
      </c>
      <c r="Y19" s="95">
        <f ca="1"/>
        <v>123</v>
      </c>
      <c r="Z19" s="98">
        <f ca="1"/>
        <v>1</v>
      </c>
      <c r="AA19" s="51" t="s">
        <v>57</v>
      </c>
      <c r="AB19" s="101">
        <f ca="1"/>
        <v>3.6447759333375473E-5</v>
      </c>
      <c r="AC19" s="51" t="s">
        <v>58</v>
      </c>
      <c r="AD19" s="101">
        <f ca="1"/>
        <v>2.6457902852889213E-3</v>
      </c>
      <c r="AF19" s="106">
        <f ca="1"/>
        <v>-0.14727121846142946</v>
      </c>
      <c r="AG19" s="107">
        <f ca="1"/>
        <v>0.27141268075639535</v>
      </c>
      <c r="AH19" s="108">
        <f ca="1"/>
        <v>-0.12414146229496584</v>
      </c>
      <c r="AJ19" s="113">
        <f ca="1"/>
        <v>1.214306433183765E-17</v>
      </c>
    </row>
    <row r="20" spans="1:36" x14ac:dyDescent="0.2">
      <c r="A20" s="38">
        <v>2</v>
      </c>
      <c r="B20" s="89" t="str">
        <f>_xll.qlMakeDatedOIS(,E20,F20,OvernightIndex,0,,,,EvaluationDate)</f>
        <v>obj_0039e#0000</v>
      </c>
      <c r="C20" s="66" t="b">
        <f>_xll.qlInstrumentSetPricingEngine(B20,OisEngine)</f>
        <v>1</v>
      </c>
      <c r="D20" s="74" t="str">
        <f t="shared" si="9"/>
        <v>EUR2x8F_Quote</v>
      </c>
      <c r="E20" s="75">
        <f>_xll.qlCalendarAdvance(Calendar,SettlementDate,A20&amp;"M","mf")</f>
        <v>41799</v>
      </c>
      <c r="F20" s="76">
        <f>_xll.qlInterestRateIndexMaturity($A$17,E20)</f>
        <v>41982</v>
      </c>
      <c r="G20" s="77">
        <f ca="1">_xll.qlQuoteValue(D20,AllTriggers)</f>
        <v>4.1600000000000005E-3</v>
      </c>
      <c r="H20" s="78">
        <f ca="1">_xll.qlOvernightIndexedSwapFairRate(B20,_xll.ohTrigger(C20,InterestRatesTrigger))</f>
        <v>1.5802538102552596E-3</v>
      </c>
      <c r="I20" s="79">
        <f t="shared" ca="1" si="1"/>
        <v>2.5797461897447407E-3</v>
      </c>
      <c r="J20" s="38" t="b">
        <f t="shared" ca="1" si="10"/>
        <v>1</v>
      </c>
      <c r="K20" s="78">
        <f ca="1">(I20-_xll.ohFilter($I$15:$I$18,$J$15:$J$18))/(P20-_xll.ohFilter($P$15:$P$18,$J$15:$J$18))</f>
        <v>9.9818824648869371E-7</v>
      </c>
      <c r="L20" s="78">
        <f ca="1">_xll.ohFilter($I$15:$I$18,$J$15:$J$18)-K20*_xll.ohFilter($P$15:$P$18,$J$15:$J$18)</f>
        <v>2.2733023980727116E-3</v>
      </c>
      <c r="M20" s="80"/>
      <c r="N20" s="81">
        <f t="shared" si="11"/>
        <v>62</v>
      </c>
      <c r="O20" s="81">
        <f t="shared" si="12"/>
        <v>245</v>
      </c>
      <c r="P20" s="80">
        <f t="shared" si="6"/>
        <v>307</v>
      </c>
      <c r="T20" s="82">
        <f t="shared" si="4"/>
        <v>26353</v>
      </c>
      <c r="U20" s="82">
        <f t="shared" si="5"/>
        <v>153.5</v>
      </c>
      <c r="V20" s="82">
        <v>1</v>
      </c>
      <c r="X20" s="93">
        <f ca="1"/>
        <v>26353</v>
      </c>
      <c r="Y20" s="96">
        <f ca="1"/>
        <v>153.5</v>
      </c>
      <c r="Z20" s="99">
        <f ca="1"/>
        <v>1</v>
      </c>
      <c r="AB20" s="102">
        <f ca="1"/>
        <v>7.0590567302657517E-4</v>
      </c>
      <c r="AD20" s="102">
        <f ca="1"/>
        <v>2.5797461897447407E-3</v>
      </c>
      <c r="AF20" s="109">
        <f ca="1"/>
        <v>8.4145876370570321</v>
      </c>
      <c r="AG20" s="110">
        <f ca="1"/>
        <v>-12.348164627363705</v>
      </c>
      <c r="AH20" s="111">
        <f ca="1"/>
        <v>4.9335769903066735</v>
      </c>
      <c r="AJ20" s="114">
        <f ca="1"/>
        <v>1.4311468676808659E-17</v>
      </c>
    </row>
    <row r="21" spans="1:36" x14ac:dyDescent="0.2">
      <c r="A21" s="38">
        <v>3</v>
      </c>
      <c r="B21" s="89" t="str">
        <f>_xll.qlMakeDatedOIS(,E21,F21,OvernightIndex,0,,,,EvaluationDate)</f>
        <v>obj_003a0#0000</v>
      </c>
      <c r="C21" s="66" t="b">
        <f>_xll.qlInstrumentSetPricingEngine(B21,OisEngine)</f>
        <v>1</v>
      </c>
      <c r="D21" s="74" t="str">
        <f t="shared" si="9"/>
        <v>EUR3x9F_Quote</v>
      </c>
      <c r="E21" s="75">
        <f>_xll.qlCalendarAdvance(Calendar,SettlementDate,A21&amp;"M","mf")</f>
        <v>41828</v>
      </c>
      <c r="F21" s="76">
        <f>_xll.qlInterestRateIndexMaturity($A$17,E21)</f>
        <v>42012</v>
      </c>
      <c r="G21" s="77">
        <f ca="1">_xll.qlQuoteValue(D21,AllTriggers)</f>
        <v>4.1600000000000005E-3</v>
      </c>
      <c r="H21" s="78">
        <f ca="1">_xll.qlOvernightIndexedSwapFairRate(B21,_xll.ohTrigger(C21,InterestRatesTrigger))</f>
        <v>1.5605469623688425E-3</v>
      </c>
      <c r="I21" s="79">
        <f t="shared" ca="1" si="1"/>
        <v>2.599453037631158E-3</v>
      </c>
      <c r="J21" s="38" t="b">
        <f t="shared" ca="1" si="10"/>
        <v>1</v>
      </c>
      <c r="K21" s="78">
        <f ca="1">(I21-_xll.ohFilter($I$15:$I$18,$J$15:$J$18))/(P21-_xll.ohFilter($P$15:$P$18,$J$15:$J$18))</f>
        <v>7.8637063212969036E-7</v>
      </c>
      <c r="L21" s="78">
        <f ca="1">_xll.ohFilter($I$15:$I$18,$J$15:$J$18)-K21*_xll.ohFilter($P$15:$P$18,$J$15:$J$18)</f>
        <v>2.3116413862716914E-3</v>
      </c>
      <c r="M21" s="80"/>
      <c r="N21" s="81">
        <f t="shared" si="11"/>
        <v>91</v>
      </c>
      <c r="O21" s="81">
        <f t="shared" si="12"/>
        <v>275</v>
      </c>
      <c r="P21" s="80">
        <f t="shared" si="6"/>
        <v>366</v>
      </c>
      <c r="T21" s="82">
        <f t="shared" si="4"/>
        <v>36310.333333333328</v>
      </c>
      <c r="U21" s="82">
        <f t="shared" si="5"/>
        <v>183</v>
      </c>
      <c r="V21" s="82">
        <v>1</v>
      </c>
      <c r="X21" s="82"/>
      <c r="Y21" s="82"/>
      <c r="Z21" s="82"/>
      <c r="AD21" s="115"/>
    </row>
    <row r="22" spans="1:36" x14ac:dyDescent="0.2">
      <c r="A22" s="38">
        <v>4</v>
      </c>
      <c r="B22" s="89" t="str">
        <f>_xll.qlMakeDatedOIS(,E22,F22,OvernightIndex,0,,,,EvaluationDate)</f>
        <v>obj_003aa#0000</v>
      </c>
      <c r="C22" s="66" t="b">
        <f>_xll.qlInstrumentSetPricingEngine(B22,OisEngine)</f>
        <v>1</v>
      </c>
      <c r="D22" s="74" t="str">
        <f t="shared" si="9"/>
        <v>EUR4x10F_Quote</v>
      </c>
      <c r="E22" s="75">
        <f>_xll.qlCalendarAdvance(Calendar,SettlementDate,A22&amp;"M","mf")</f>
        <v>41859</v>
      </c>
      <c r="F22" s="76">
        <f>_xll.qlInterestRateIndexMaturity($A$17,E22)</f>
        <v>42044</v>
      </c>
      <c r="G22" s="77">
        <f ca="1">_xll.qlQuoteValue(D22,AllTriggers)</f>
        <v>4.1200000000000004E-3</v>
      </c>
      <c r="H22" s="78">
        <f ca="1">_xll.qlOvernightIndexedSwapFairRate(B22,_xll.ohTrigger(C22,InterestRatesTrigger))</f>
        <v>1.5337411322195594E-3</v>
      </c>
      <c r="I22" s="79">
        <f t="shared" ca="1" si="1"/>
        <v>2.586258867780441E-3</v>
      </c>
      <c r="J22" s="38" t="b">
        <f t="shared" ca="1" si="10"/>
        <v>1</v>
      </c>
      <c r="K22" s="78">
        <f ca="1">(I22-_xll.ohFilter($I$15:$I$18,$J$15:$J$18))/(P22-_xll.ohFilter($P$15:$P$18,$J$15:$J$18))</f>
        <v>5.3340482698901482E-7</v>
      </c>
      <c r="L22" s="78">
        <f ca="1">_xll.ohFilter($I$15:$I$18,$J$15:$J$18)-K22*_xll.ohFilter($P$15:$P$18,$J$15:$J$18)</f>
        <v>2.3574281970021537E-3</v>
      </c>
      <c r="M22" s="80"/>
      <c r="N22" s="81">
        <f t="shared" si="11"/>
        <v>122</v>
      </c>
      <c r="O22" s="81">
        <f t="shared" si="12"/>
        <v>307</v>
      </c>
      <c r="P22" s="80">
        <f t="shared" si="6"/>
        <v>429</v>
      </c>
      <c r="T22" s="82">
        <f t="shared" si="4"/>
        <v>48862.333333333328</v>
      </c>
      <c r="U22" s="82">
        <f t="shared" si="5"/>
        <v>214.5</v>
      </c>
      <c r="V22" s="82">
        <v>1</v>
      </c>
      <c r="X22" s="82"/>
      <c r="Y22" s="82"/>
      <c r="Z22" s="82"/>
      <c r="AD22" s="115"/>
    </row>
    <row r="23" spans="1:36" x14ac:dyDescent="0.2">
      <c r="A23" s="38">
        <v>5</v>
      </c>
      <c r="B23" s="89" t="str">
        <f>_xll.qlMakeDatedOIS(,E23,F23,OvernightIndex,0,,,,EvaluationDate)</f>
        <v>obj_0039f#0000</v>
      </c>
      <c r="C23" s="66" t="b">
        <f>_xll.qlInstrumentSetPricingEngine(B23,OisEngine)</f>
        <v>1</v>
      </c>
      <c r="D23" s="74" t="str">
        <f t="shared" si="9"/>
        <v>EUR5x11F_Quote</v>
      </c>
      <c r="E23" s="75">
        <f>_xll.qlCalendarAdvance(Calendar,SettlementDate,A23&amp;"M","mf")</f>
        <v>41890</v>
      </c>
      <c r="F23" s="76">
        <f>_xll.qlInterestRateIndexMaturity($A$17,E23)</f>
        <v>42072</v>
      </c>
      <c r="G23" s="77">
        <f ca="1">_xll.qlQuoteValue(D23,AllTriggers)</f>
        <v>4.0899999999999999E-3</v>
      </c>
      <c r="H23" s="78">
        <f ca="1">_xll.qlOvernightIndexedSwapFairRate(B23,_xll.ohTrigger(C23,InterestRatesTrigger))</f>
        <v>1.495937162430933E-3</v>
      </c>
      <c r="I23" s="79">
        <f t="shared" ca="1" si="1"/>
        <v>2.5940628375690669E-3</v>
      </c>
      <c r="J23" s="38" t="b">
        <f t="shared" ca="1" si="10"/>
        <v>1</v>
      </c>
      <c r="K23" s="78">
        <f ca="1">(I23-_xll.ohFilter($I$15:$I$18,$J$15:$J$18))/(P23-_xll.ohFilter($P$15:$P$18,$J$15:$J$18))</f>
        <v>4.5631389863811602E-7</v>
      </c>
      <c r="L23" s="78">
        <f ca="1">_xll.ohFilter($I$15:$I$18,$J$15:$J$18)-K23*_xll.ohFilter($P$15:$P$18,$J$15:$J$18)</f>
        <v>2.3713816550336663E-3</v>
      </c>
      <c r="M23" s="80"/>
      <c r="N23" s="81">
        <f t="shared" si="11"/>
        <v>153</v>
      </c>
      <c r="O23" s="81">
        <f t="shared" si="12"/>
        <v>335</v>
      </c>
      <c r="P23" s="80">
        <f t="shared" si="6"/>
        <v>488</v>
      </c>
      <c r="T23" s="82">
        <f t="shared" si="4"/>
        <v>62296.333333333328</v>
      </c>
      <c r="U23" s="82">
        <f t="shared" si="5"/>
        <v>244</v>
      </c>
      <c r="V23" s="82">
        <v>1</v>
      </c>
      <c r="X23" s="82"/>
      <c r="Y23" s="82"/>
      <c r="Z23" s="82"/>
      <c r="AD23" s="115"/>
    </row>
    <row r="24" spans="1:36" x14ac:dyDescent="0.2">
      <c r="A24" s="38">
        <v>6</v>
      </c>
      <c r="B24" s="89" t="str">
        <f>_xll.qlMakeDatedOIS(,E24,F24,OvernightIndex,0,,,,EvaluationDate)</f>
        <v>obj_003a7#0000</v>
      </c>
      <c r="C24" s="66" t="b">
        <f>_xll.qlInstrumentSetPricingEngine(B24,OisEngine)</f>
        <v>1</v>
      </c>
      <c r="D24" s="74" t="str">
        <f t="shared" si="9"/>
        <v>EUR6x12F_Quote</v>
      </c>
      <c r="E24" s="75">
        <f>_xll.qlCalendarAdvance(Calendar,SettlementDate,A24&amp;"M","mf")</f>
        <v>41920</v>
      </c>
      <c r="F24" s="76">
        <f>_xll.qlInterestRateIndexMaturity($A$17,E24)</f>
        <v>42102</v>
      </c>
      <c r="G24" s="77">
        <f ca="1">_xll.qlQuoteValue(D24,AllTriggers)</f>
        <v>4.1099999999999999E-3</v>
      </c>
      <c r="H24" s="78">
        <f ca="1">_xll.qlOvernightIndexedSwapFairRate(B24,_xll.ohTrigger(C24,InterestRatesTrigger))</f>
        <v>1.5079289552125637E-3</v>
      </c>
      <c r="I24" s="79">
        <f t="shared" ca="1" si="1"/>
        <v>2.602071044787436E-3</v>
      </c>
      <c r="J24" s="38" t="b">
        <f t="shared" ca="1" si="10"/>
        <v>1</v>
      </c>
      <c r="K24" s="78">
        <f ca="1">(I24-_xll.ohFilter($I$15:$I$18,$J$15:$J$18))/(P24-_xll.ohFilter($P$15:$P$18,$J$15:$J$18))</f>
        <v>4.0353289945577847E-7</v>
      </c>
      <c r="L24" s="78">
        <f ca="1">_xll.ohFilter($I$15:$I$18,$J$15:$J$18)-K24*_xll.ohFilter($P$15:$P$18,$J$15:$J$18)</f>
        <v>2.3809350158856693E-3</v>
      </c>
      <c r="M24" s="80"/>
      <c r="N24" s="81">
        <f t="shared" si="11"/>
        <v>183</v>
      </c>
      <c r="O24" s="81">
        <f t="shared" si="12"/>
        <v>365</v>
      </c>
      <c r="P24" s="80">
        <f t="shared" si="6"/>
        <v>548</v>
      </c>
      <c r="T24" s="82">
        <f t="shared" si="4"/>
        <v>77836.333333333328</v>
      </c>
      <c r="U24" s="82">
        <f t="shared" si="5"/>
        <v>274</v>
      </c>
      <c r="V24" s="82">
        <v>1</v>
      </c>
    </row>
    <row r="25" spans="1:36" x14ac:dyDescent="0.2">
      <c r="A25" s="38">
        <v>12</v>
      </c>
      <c r="B25" s="53" t="str">
        <f>_xll.qlMakeDatedOIS(,E25,F25,OvernightIndex,0,,,,EvaluationDate)</f>
        <v>obj_003a4#0000</v>
      </c>
      <c r="C25" s="54" t="b">
        <f>_xll.qlInstrumentSetPricingEngine(B25,OisEngine)</f>
        <v>1</v>
      </c>
      <c r="D25" s="55" t="str">
        <f>Currency&amp;A26&amp;"D_Quote"</f>
        <v>EUR1YD_Quote</v>
      </c>
      <c r="E25" s="56">
        <f>SettlementDate</f>
        <v>41737</v>
      </c>
      <c r="F25" s="57">
        <f>_xll.qlCalendarAdvance(Calendar,E25,A26,"mf")</f>
        <v>42102</v>
      </c>
      <c r="G25" s="58">
        <f ca="1">_xll.qlQuoteValue($D25,AllTriggers)</f>
        <v>6.0000000000000001E-3</v>
      </c>
      <c r="H25" s="59">
        <f ca="1">_xll.qlOvernightIndexedSwapFairRate(B25,_xll.ohTrigger(C25,InterestRatesTrigger))</f>
        <v>1.6399999999993562E-3</v>
      </c>
      <c r="I25" s="60">
        <f t="shared" ca="1" si="1"/>
        <v>4.3600000000006437E-3</v>
      </c>
      <c r="J25" s="61" t="b">
        <v>0</v>
      </c>
      <c r="K25" s="61"/>
      <c r="L25" s="61"/>
      <c r="M25" s="62"/>
      <c r="N25" s="63">
        <f t="shared" si="11"/>
        <v>0</v>
      </c>
      <c r="O25" s="63">
        <f t="shared" si="12"/>
        <v>365</v>
      </c>
      <c r="P25" s="62">
        <f t="shared" si="6"/>
        <v>365</v>
      </c>
      <c r="Q25" s="61"/>
      <c r="R25" s="61"/>
      <c r="S25" s="61"/>
      <c r="T25" s="64">
        <f t="shared" si="4"/>
        <v>44408.333333333328</v>
      </c>
      <c r="U25" s="64">
        <f t="shared" si="5"/>
        <v>182.5</v>
      </c>
      <c r="V25" s="64">
        <v>1</v>
      </c>
    </row>
    <row r="26" spans="1:36" x14ac:dyDescent="0.2">
      <c r="A26" s="38" t="str">
        <f>_xll.qlPeriodEquivalent(A25&amp;"M")</f>
        <v>1Y</v>
      </c>
      <c r="B26" s="89" t="str">
        <f>_xll.qlMakeDatedOIS(,E26,F26,OvernightIndex,0,,,,EvaluationDate)</f>
        <v>obj_00328#0003</v>
      </c>
      <c r="C26" s="66" t="b">
        <f>_xll.qlInstrumentSetPricingEngine(B26,OisEngine)</f>
        <v>1</v>
      </c>
      <c r="D26" s="67" t="str">
        <f>PROPER(Currency&amp;IborType)&amp;A26&amp;"LastFixing_Quote"</f>
        <v>Euribor1YLastFixing_Quote</v>
      </c>
      <c r="E26" s="68">
        <f>_xll.qlCalendarAdvance(Calendar,_xll.qlLastFixingQuoteReferenceDate(D26),_xll.qlInterestRateIndexFixingDays(A27)&amp;"D","f",,LastFixingsTrigger)</f>
        <v>41736</v>
      </c>
      <c r="F26" s="69">
        <f>_xll.qlInterestRateIndexMaturity(A27,E26)</f>
        <v>42101</v>
      </c>
      <c r="G26" s="70">
        <f ca="1">_xll.qlQuoteValue(D26,AllTriggers)</f>
        <v>6.0000000000000001E-3</v>
      </c>
      <c r="H26" s="71">
        <f ca="1">_xll.qlOvernightIndexedSwapFairRate(B26,_xll.ohTrigger(C26,InterestRatesTrigger))</f>
        <v>1.6425102461985353E-3</v>
      </c>
      <c r="I26" s="72">
        <f t="shared" ca="1" si="1"/>
        <v>4.3574897538014648E-3</v>
      </c>
      <c r="J26" s="61" t="b">
        <f ca="1">NOT(ISERROR(I26))</f>
        <v>1</v>
      </c>
      <c r="K26" s="73">
        <f ca="1">K27</f>
        <v>-1.0069638990340138E-8</v>
      </c>
      <c r="L26" s="71">
        <f ca="1">_xll.ohFilter($I$25:$I$26,$J$25:$J$26)-K26*_xll.ohFilter($P$25:$P$26,$J$25:$J$26)</f>
        <v>4.3611450327549579E-3</v>
      </c>
      <c r="M26" s="62"/>
      <c r="N26" s="63">
        <f t="shared" si="11"/>
        <v>-1</v>
      </c>
      <c r="O26" s="63">
        <f t="shared" si="12"/>
        <v>364</v>
      </c>
      <c r="P26" s="62">
        <f t="shared" si="6"/>
        <v>363</v>
      </c>
      <c r="Q26" s="61"/>
      <c r="R26" s="61"/>
      <c r="S26" s="61"/>
      <c r="T26" s="64">
        <f t="shared" si="4"/>
        <v>44044.333333333328</v>
      </c>
      <c r="U26" s="64">
        <f t="shared" si="5"/>
        <v>181.5</v>
      </c>
      <c r="V26" s="64">
        <v>1</v>
      </c>
    </row>
    <row r="27" spans="1:36" x14ac:dyDescent="0.2">
      <c r="A27" s="38" t="str">
        <f>PROPER(Currency)&amp;IborType&amp;SynthDepo!A26</f>
        <v>Euribor1Y</v>
      </c>
      <c r="B27" s="89" t="str">
        <f>_xll.qlMakeDatedOIS(,E27,F27,OvernightIndex,0,,,,EvaluationDate)</f>
        <v>obj_003a5#0000</v>
      </c>
      <c r="C27" s="66" t="b">
        <f>_xll.qlInstrumentSetPricingEngine(B27,OisEngine)</f>
        <v>1</v>
      </c>
      <c r="D27" s="74" t="str">
        <f>Currency&amp;"12x24F"&amp;QuoteSuffix</f>
        <v>EUR12x24F_Quote</v>
      </c>
      <c r="E27" s="75">
        <f>_xll.qlCalendarAdvance(Calendar,SettlementDate,"12M","mf")</f>
        <v>42102</v>
      </c>
      <c r="F27" s="76">
        <f>_xll.qlInterestRateIndexMaturity(A27,E27)</f>
        <v>42468</v>
      </c>
      <c r="G27" s="77">
        <f ca="1">_xll.qlQuoteValue(D27,AllTriggers)</f>
        <v>6.7700000000000008E-3</v>
      </c>
      <c r="H27" s="78">
        <f ca="1">_xll.qlOvernightIndexedSwapFairRate(B27,_xll.ohTrigger(C27,InterestRatesTrigger))</f>
        <v>2.4198912915784549E-3</v>
      </c>
      <c r="I27" s="79">
        <f t="shared" ca="1" si="1"/>
        <v>4.3501087084215455E-3</v>
      </c>
      <c r="J27" s="38" t="b">
        <f ca="1">NOT(ISERROR(I27))</f>
        <v>1</v>
      </c>
      <c r="K27" s="78">
        <f ca="1">(I27-_xll.ohFilter($I$25:$I$26,$J$25:$J$26))/(P27-_xll.ohFilter($P$25:$P$26,$J$25:$J$26))</f>
        <v>-1.0069638990340138E-8</v>
      </c>
      <c r="L27" s="78">
        <f ca="1">_xll.ohFilter($I$25:$I$26,$J$25:$J$26)-K27*_xll.ohFilter($P$25:$P$26,$J$25:$J$26)</f>
        <v>4.3611450327549579E-3</v>
      </c>
      <c r="M27" s="80"/>
      <c r="N27" s="81">
        <f t="shared" si="11"/>
        <v>365</v>
      </c>
      <c r="O27" s="81">
        <f t="shared" si="12"/>
        <v>731</v>
      </c>
      <c r="P27" s="80">
        <f t="shared" si="6"/>
        <v>1096</v>
      </c>
      <c r="T27" s="82">
        <f t="shared" si="4"/>
        <v>311467</v>
      </c>
      <c r="U27" s="82">
        <f t="shared" si="5"/>
        <v>548</v>
      </c>
      <c r="V27" s="82">
        <v>1</v>
      </c>
    </row>
    <row r="28" spans="1:36" x14ac:dyDescent="0.2">
      <c r="B28" s="116"/>
      <c r="C28" s="116"/>
      <c r="D28" s="117" t="e">
        <f>_xll.qlRateHelperQuoteName(D2)</f>
        <v>#NUM!</v>
      </c>
      <c r="E28" s="117"/>
      <c r="F28" s="117"/>
      <c r="G28" s="117"/>
      <c r="H28" s="117"/>
      <c r="I28" s="118"/>
      <c r="O28" s="119"/>
      <c r="U28" s="119"/>
      <c r="V28" s="119"/>
      <c r="W28" s="119"/>
      <c r="X28" s="119"/>
      <c r="Y28" s="119"/>
      <c r="Z28" s="119"/>
      <c r="AC28" s="119"/>
    </row>
    <row r="29" spans="1:36" x14ac:dyDescent="0.2">
      <c r="G29" s="51" t="s">
        <v>59</v>
      </c>
      <c r="H29" s="51" t="s">
        <v>59</v>
      </c>
      <c r="I29" s="51" t="s">
        <v>59</v>
      </c>
      <c r="J29" s="51" t="s">
        <v>59</v>
      </c>
    </row>
    <row r="30" spans="1:36" x14ac:dyDescent="0.2">
      <c r="A30" s="120"/>
      <c r="B30" s="120"/>
      <c r="C30" s="120"/>
      <c r="D30" s="120"/>
      <c r="E30" s="120"/>
      <c r="F30" s="120"/>
      <c r="G30" s="51" t="b">
        <v>0</v>
      </c>
      <c r="H30" s="51" t="b">
        <v>0</v>
      </c>
      <c r="I30" s="51" t="b">
        <v>0</v>
      </c>
      <c r="J30" s="51" t="b">
        <v>0</v>
      </c>
      <c r="M30" s="38" t="s">
        <v>60</v>
      </c>
      <c r="O30" s="51" t="b">
        <v>0</v>
      </c>
      <c r="P30" s="51" t="b">
        <v>0</v>
      </c>
      <c r="S30" s="121" t="s">
        <v>60</v>
      </c>
      <c r="T30" s="122">
        <f ca="1">AB9</f>
        <v>-3.1186466138234793E-7</v>
      </c>
      <c r="U30" s="123">
        <f ca="1">AB18</f>
        <v>-1.4119419196884435E-7</v>
      </c>
    </row>
    <row r="31" spans="1:36" x14ac:dyDescent="0.2">
      <c r="E31" s="52"/>
      <c r="F31" s="52" t="s">
        <v>61</v>
      </c>
      <c r="G31" s="124">
        <f ca="1">_xll.ohFilter(I2:I3,J2:J3)</f>
        <v>1.3285680990042514E-4</v>
      </c>
      <c r="H31" s="125">
        <f ca="1">_xll.ohFilter(I6:I9,J6:J9)</f>
        <v>1.2600947106556314E-3</v>
      </c>
      <c r="I31" s="125">
        <f ca="1">_xll.ohFilter(I15:I18,J15:J18)</f>
        <v>2.4539744706871653E-3</v>
      </c>
      <c r="J31" s="126">
        <f ca="1">_xll.ohFilter(I25:I26,J25:J26)</f>
        <v>4.3574897538014648E-3</v>
      </c>
      <c r="M31" s="51" t="s">
        <v>48</v>
      </c>
      <c r="N31" s="115">
        <f ca="1">K4</f>
        <v>7.2460682061358734E-6</v>
      </c>
      <c r="O31" s="115">
        <f ca="1">K9</f>
        <v>5.6596487595227171E-6</v>
      </c>
      <c r="P31" s="115">
        <f ca="1">AVERAGE(K19:K21)</f>
        <v>1.5785238036510304E-6</v>
      </c>
      <c r="Q31" s="115">
        <f ca="1">K26</f>
        <v>-1.0069638990340138E-8</v>
      </c>
      <c r="R31" s="115"/>
      <c r="S31" s="127" t="s">
        <v>48</v>
      </c>
      <c r="T31" s="128">
        <f ca="1">AB10</f>
        <v>5.2545035969652745E-5</v>
      </c>
      <c r="U31" s="79">
        <f ca="1">AB19</f>
        <v>3.6447759333375473E-5</v>
      </c>
    </row>
    <row r="32" spans="1:36" x14ac:dyDescent="0.2">
      <c r="E32" s="52"/>
      <c r="F32" s="52" t="s">
        <v>62</v>
      </c>
      <c r="G32" s="124">
        <f ca="1">IF(G31&lt;H31,G31,H31)</f>
        <v>1.3285680990042514E-4</v>
      </c>
      <c r="H32" s="125">
        <f ca="1">H31</f>
        <v>1.2600947106556314E-3</v>
      </c>
      <c r="I32" s="125">
        <f ca="1">IF(I31&lt;H31,H31,I31)</f>
        <v>2.4539744706871653E-3</v>
      </c>
      <c r="J32" s="126">
        <f ca="1">IF(J31&lt;I31,I31,J31)</f>
        <v>4.3574897538014648E-3</v>
      </c>
      <c r="M32" s="51" t="s">
        <v>49</v>
      </c>
      <c r="N32" s="115">
        <f ca="1">L4</f>
        <v>-7.0033099871379313E-5</v>
      </c>
      <c r="O32" s="115">
        <f ca="1">L9</f>
        <v>7.5638597105810951E-4</v>
      </c>
      <c r="P32" s="115">
        <f ca="1">L18</f>
        <v>2.1682616622263288E-3</v>
      </c>
      <c r="Q32" s="115">
        <f ca="1">L26</f>
        <v>4.3611450327549579E-3</v>
      </c>
      <c r="R32" s="115"/>
      <c r="S32" s="127" t="s">
        <v>49</v>
      </c>
      <c r="T32" s="128">
        <f ca="1">AB11</f>
        <v>-2.4537678921591891E-4</v>
      </c>
      <c r="U32" s="79">
        <f ca="1">AB20</f>
        <v>7.0590567302657517E-4</v>
      </c>
    </row>
    <row r="33" spans="2:21" x14ac:dyDescent="0.2">
      <c r="B33" s="47" t="s">
        <v>41</v>
      </c>
      <c r="C33" s="48"/>
      <c r="D33" s="47" t="s">
        <v>42</v>
      </c>
      <c r="E33" s="48" t="s">
        <v>43</v>
      </c>
      <c r="F33" s="49" t="s">
        <v>44</v>
      </c>
      <c r="G33" s="47" t="s">
        <v>63</v>
      </c>
      <c r="H33" s="48" t="s">
        <v>64</v>
      </c>
      <c r="I33" s="48" t="s">
        <v>65</v>
      </c>
      <c r="J33" s="50" t="s">
        <v>33</v>
      </c>
      <c r="K33" s="47" t="s">
        <v>66</v>
      </c>
      <c r="L33" s="50" t="s">
        <v>46</v>
      </c>
      <c r="N33" s="47" t="s">
        <v>63</v>
      </c>
      <c r="O33" s="48" t="s">
        <v>64</v>
      </c>
      <c r="P33" s="48" t="s">
        <v>65</v>
      </c>
      <c r="Q33" s="50" t="s">
        <v>33</v>
      </c>
      <c r="R33" s="48"/>
      <c r="S33" s="129"/>
      <c r="T33" s="48" t="s">
        <v>64</v>
      </c>
      <c r="U33" s="50" t="s">
        <v>65</v>
      </c>
    </row>
    <row r="34" spans="2:21" x14ac:dyDescent="0.2">
      <c r="B34" s="53" t="str">
        <f>_xll.qlMakeDatedOIS(,E34,F34,OvernightIndex,0,,,,EvaluationDate)</f>
        <v>obj_00390#0000</v>
      </c>
      <c r="C34" s="116" t="b">
        <f>_xll.qlInstrumentSetPricingEngine(B34,OisEngine)</f>
        <v>1</v>
      </c>
      <c r="D34" s="130" t="s">
        <v>67</v>
      </c>
      <c r="E34" s="131">
        <f t="shared" ref="E34:E49" si="13">SettlementDate</f>
        <v>41737</v>
      </c>
      <c r="F34" s="132">
        <f>_xll.qlCalendarAdvance(Calendar,SettlementDate,D34,"Following")</f>
        <v>41738</v>
      </c>
      <c r="G34" s="133">
        <f t="shared" ref="G34:J49" ca="1" si="14">$L34+IF(G$30,G$32,N34)</f>
        <v>2.5372129656339639E-3</v>
      </c>
      <c r="H34" s="133">
        <f t="shared" ca="1" si="14"/>
        <v>3.3620456171168395E-3</v>
      </c>
      <c r="I34" s="133">
        <f t="shared" ca="1" si="14"/>
        <v>4.7698401833291869E-3</v>
      </c>
      <c r="J34" s="133">
        <f t="shared" ca="1" si="14"/>
        <v>6.9611349604151744E-3</v>
      </c>
      <c r="K34" s="282">
        <f t="shared" ref="K34:K49" si="15">F34-SettlementDate</f>
        <v>1</v>
      </c>
      <c r="L34" s="135">
        <f ca="1">_xll.qlOvernightIndexedSwapFairRate(B34,_xll.ohTrigger(C34,InterestRatesTrigger))</f>
        <v>2.5999999972992072E-3</v>
      </c>
      <c r="N34" s="136">
        <f ca="1">N$31*$K34+N$32</f>
        <v>-6.2787031665243446E-5</v>
      </c>
      <c r="O34" s="128">
        <f t="shared" ref="O34:P40" ca="1" si="16">IF(O$30,T34,O$31*$K34+O$32)</f>
        <v>7.6204561981763226E-4</v>
      </c>
      <c r="P34" s="128">
        <f t="shared" ca="1" si="16"/>
        <v>2.1698401860299798E-3</v>
      </c>
      <c r="Q34" s="79">
        <f t="shared" ref="Q34:Q49" ca="1" si="17">Q$31*$K34+Q$32</f>
        <v>4.3611349631159672E-3</v>
      </c>
      <c r="R34" s="128"/>
      <c r="S34" s="137" t="s">
        <v>67</v>
      </c>
      <c r="T34" s="128">
        <f t="shared" ref="T34:U40" ca="1" si="18">$K34*$K34/3*T$30+$K34/2*T$31+T$32</f>
        <v>-2.1920822611821999E-4</v>
      </c>
      <c r="U34" s="79">
        <f t="shared" ca="1" si="18"/>
        <v>7.2408248796260665E-4</v>
      </c>
    </row>
    <row r="35" spans="2:21" x14ac:dyDescent="0.2">
      <c r="B35" s="89" t="str">
        <f>_xll.qlMakeDatedOIS(,E35,F35,OvernightIndex,0,,,,EvaluationDate)</f>
        <v>obj_0038d#0000</v>
      </c>
      <c r="C35" s="80" t="b">
        <f>_xll.qlInstrumentSetPricingEngine(B35,OisEngine)</f>
        <v>1</v>
      </c>
      <c r="D35" s="138" t="s">
        <v>68</v>
      </c>
      <c r="E35" s="75">
        <f t="shared" si="13"/>
        <v>41737</v>
      </c>
      <c r="F35" s="139">
        <f>_xll.qlCalendarAdvance(Calendar,SettlementDate,D35,"Following")</f>
        <v>41744</v>
      </c>
      <c r="G35" s="133">
        <f t="shared" ca="1" si="14"/>
        <v>2.2406893703087699E-3</v>
      </c>
      <c r="H35" s="133">
        <f t="shared" ca="1" si="14"/>
        <v>3.0560035051119664E-3</v>
      </c>
      <c r="I35" s="133">
        <f t="shared" ca="1" si="14"/>
        <v>4.439311321589084E-3</v>
      </c>
      <c r="J35" s="133">
        <f t="shared" ca="1" si="14"/>
        <v>6.621074538019224E-3</v>
      </c>
      <c r="K35" s="140">
        <f t="shared" si="15"/>
        <v>7</v>
      </c>
      <c r="L35" s="141">
        <f ca="1">_xll.qlOvernightIndexedSwapFairRate(B35,_xll.ohTrigger(C35,InterestRatesTrigger))</f>
        <v>2.259999992737198E-3</v>
      </c>
      <c r="N35" s="136">
        <f ca="1">N$31*$K35+N$32</f>
        <v>-1.9310622428428199E-5</v>
      </c>
      <c r="O35" s="128">
        <f t="shared" ca="1" si="16"/>
        <v>7.9600351237476858E-4</v>
      </c>
      <c r="P35" s="128">
        <f t="shared" ca="1" si="16"/>
        <v>2.179311328851886E-3</v>
      </c>
      <c r="Q35" s="79">
        <f t="shared" ca="1" si="17"/>
        <v>4.3610745452820256E-3</v>
      </c>
      <c r="R35" s="128"/>
      <c r="S35" s="142" t="s">
        <v>68</v>
      </c>
      <c r="T35" s="128">
        <f t="shared" ca="1" si="18"/>
        <v>-6.6562952791379313E-5</v>
      </c>
      <c r="U35" s="79">
        <f t="shared" ca="1" si="18"/>
        <v>8.3116665889123155E-4</v>
      </c>
    </row>
    <row r="36" spans="2:21" x14ac:dyDescent="0.2">
      <c r="B36" s="89" t="str">
        <f>_xll.qlMakeDatedOIS(,E36,F36,OvernightIndex,0,,,,EvaluationDate)</f>
        <v>obj_00394#0000</v>
      </c>
      <c r="C36" s="80" t="b">
        <f>_xll.qlInstrumentSetPricingEngine(B36,OisEngine)</f>
        <v>1</v>
      </c>
      <c r="D36" s="138" t="s">
        <v>69</v>
      </c>
      <c r="E36" s="75">
        <f t="shared" si="13"/>
        <v>41737</v>
      </c>
      <c r="F36" s="139">
        <f>_xll.qlCalendarAdvance(Calendar,SettlementDate,D36,"Following")</f>
        <v>41751</v>
      </c>
      <c r="G36" s="133">
        <f t="shared" ca="1" si="14"/>
        <v>2.4314118550131168E-3</v>
      </c>
      <c r="H36" s="133">
        <f t="shared" ca="1" si="14"/>
        <v>3.2356210536900213E-3</v>
      </c>
      <c r="I36" s="133">
        <f t="shared" ca="1" si="14"/>
        <v>4.5903609954760366E-3</v>
      </c>
      <c r="J36" s="133">
        <f t="shared" ca="1" si="14"/>
        <v>6.7610040578076867E-3</v>
      </c>
      <c r="K36" s="140">
        <f t="shared" si="15"/>
        <v>14</v>
      </c>
      <c r="L36" s="141">
        <f ca="1">_xll.qlOvernightIndexedSwapFairRate(B36,_xll.ohTrigger(C36,InterestRatesTrigger))</f>
        <v>2.3999999999985938E-3</v>
      </c>
      <c r="N36" s="136">
        <f ca="1">N$31*$K36+N$32</f>
        <v>3.1411855014522915E-5</v>
      </c>
      <c r="O36" s="128">
        <f t="shared" ca="1" si="16"/>
        <v>8.3562105369142754E-4</v>
      </c>
      <c r="P36" s="128">
        <f t="shared" ca="1" si="16"/>
        <v>2.1903609954774432E-3</v>
      </c>
      <c r="Q36" s="79">
        <f t="shared" ca="1" si="17"/>
        <v>4.3610040578090934E-3</v>
      </c>
      <c r="R36" s="128"/>
      <c r="S36" s="142" t="s">
        <v>69</v>
      </c>
      <c r="T36" s="128">
        <f t="shared" ca="1" si="18"/>
        <v>1.0206330469467021E-4</v>
      </c>
      <c r="U36" s="79">
        <f t="shared" ca="1" si="18"/>
        <v>9.5181530115157238E-4</v>
      </c>
    </row>
    <row r="37" spans="2:21" x14ac:dyDescent="0.2">
      <c r="B37" s="143" t="str">
        <f>_xll.qlMakeDatedOIS(,E37,F37,OvernightIndex,0,,,,EvaluationDate)</f>
        <v>obj_00387#0000</v>
      </c>
      <c r="C37" s="144" t="b">
        <f>_xll.qlInstrumentSetPricingEngine(B37,OisEngine)</f>
        <v>1</v>
      </c>
      <c r="D37" s="145" t="s">
        <v>70</v>
      </c>
      <c r="E37" s="146">
        <f t="shared" si="13"/>
        <v>41737</v>
      </c>
      <c r="F37" s="147">
        <f>_xll.qlCalendarAdvance(Calendar,SettlementDate,D37,"Following")</f>
        <v>41758</v>
      </c>
      <c r="G37" s="148">
        <f t="shared" ca="1" si="14"/>
        <v>2.392134332456811E-3</v>
      </c>
      <c r="H37" s="148">
        <f t="shared" ca="1" si="14"/>
        <v>3.1852385950074235E-3</v>
      </c>
      <c r="I37" s="148">
        <f t="shared" ca="1" si="14"/>
        <v>4.5114106621023369E-3</v>
      </c>
      <c r="J37" s="148">
        <f t="shared" ca="1" si="14"/>
        <v>6.670933570335498E-3</v>
      </c>
      <c r="K37" s="149">
        <f t="shared" si="15"/>
        <v>21</v>
      </c>
      <c r="L37" s="150">
        <f ca="1">_xll.qlOvernightIndexedSwapFairRate(B37,_xll.ohTrigger(C37,InterestRatesTrigger))</f>
        <v>2.3099999999993369E-3</v>
      </c>
      <c r="N37" s="151">
        <f ca="1">N$31*$K37+N$32</f>
        <v>8.2134332457474023E-5</v>
      </c>
      <c r="O37" s="152">
        <f t="shared" ca="1" si="16"/>
        <v>8.7523859500808661E-4</v>
      </c>
      <c r="P37" s="152">
        <f t="shared" ca="1" si="16"/>
        <v>2.2014106621030005E-3</v>
      </c>
      <c r="Q37" s="153">
        <f t="shared" ca="1" si="17"/>
        <v>4.3609335703361611E-3</v>
      </c>
      <c r="R37" s="152"/>
      <c r="S37" s="154" t="s">
        <v>70</v>
      </c>
      <c r="T37" s="152">
        <f t="shared" ca="1" si="18"/>
        <v>2.6050198324222983E-4</v>
      </c>
      <c r="U37" s="153">
        <f t="shared" ca="1" si="18"/>
        <v>1.0678515998075976E-3</v>
      </c>
    </row>
    <row r="38" spans="2:21" x14ac:dyDescent="0.2">
      <c r="B38" s="89" t="str">
        <f>_xll.qlMakeDatedOIS(,E38,F38,OvernightIndex,0,,,,EvaluationDate)</f>
        <v>obj_0038e#0000</v>
      </c>
      <c r="C38" s="80" t="b">
        <f>_xll.qlInstrumentSetPricingEngine(B38,OisEngine)</f>
        <v>1</v>
      </c>
      <c r="D38" s="138" t="s">
        <v>63</v>
      </c>
      <c r="E38" s="75">
        <f t="shared" si="13"/>
        <v>41737</v>
      </c>
      <c r="F38" s="139">
        <f>_xll.qlCalendarAdvance(Calendar,SettlementDate,D38,"mf",TRUE)</f>
        <v>41767</v>
      </c>
      <c r="G38" s="155">
        <f t="shared" ca="1" si="14"/>
        <v>2.3973489463127821E-3</v>
      </c>
      <c r="H38" s="155">
        <f t="shared" ca="1" si="14"/>
        <v>3.1761754338438765E-3</v>
      </c>
      <c r="I38" s="155">
        <f t="shared" ca="1" si="14"/>
        <v>4.4656173763359449E-3</v>
      </c>
      <c r="J38" s="155">
        <f t="shared" ca="1" si="14"/>
        <v>6.6108429435853327E-3</v>
      </c>
      <c r="K38" s="134">
        <f t="shared" si="15"/>
        <v>30</v>
      </c>
      <c r="L38" s="141">
        <f ca="1">_xll.qlOvernightIndexedSwapFairRate(B38,_xll.ohTrigger(C38,InterestRatesTrigger))</f>
        <v>2.2500000000000853E-3</v>
      </c>
      <c r="N38" s="136">
        <f ca="1">N$31*$K38+N$32</f>
        <v>1.473489463126969E-4</v>
      </c>
      <c r="O38" s="128">
        <f t="shared" ca="1" si="16"/>
        <v>9.2617543384379097E-4</v>
      </c>
      <c r="P38" s="128">
        <f t="shared" ca="1" si="16"/>
        <v>2.2156173763358596E-3</v>
      </c>
      <c r="Q38" s="79">
        <f t="shared" ca="1" si="17"/>
        <v>4.3608429435852475E-3</v>
      </c>
      <c r="R38" s="128"/>
      <c r="S38" s="142" t="s">
        <v>63</v>
      </c>
      <c r="T38" s="128">
        <f t="shared" ca="1" si="18"/>
        <v>4.4923935191416788E-4</v>
      </c>
      <c r="U38" s="79">
        <f t="shared" ca="1" si="18"/>
        <v>1.2102638054365539E-3</v>
      </c>
    </row>
    <row r="39" spans="2:21" x14ac:dyDescent="0.2">
      <c r="B39" s="89" t="str">
        <f>_xll.qlMakeDatedOIS(,E39,F39,OvernightIndex,0,,,,EvaluationDate)</f>
        <v>obj_0039a#0000</v>
      </c>
      <c r="C39" s="80" t="b">
        <f>_xll.qlInstrumentSetPricingEngine(B39,OisEngine)</f>
        <v>1</v>
      </c>
      <c r="D39" s="138" t="s">
        <v>71</v>
      </c>
      <c r="E39" s="75">
        <f t="shared" si="13"/>
        <v>41737</v>
      </c>
      <c r="F39" s="139">
        <f>_xll.qlCalendarAdvance(Calendar,SettlementDate,D39,"mf",TRUE)</f>
        <v>41799</v>
      </c>
      <c r="G39" s="156"/>
      <c r="H39" s="133">
        <f t="shared" ca="1" si="14"/>
        <v>3.1172841941458276E-3</v>
      </c>
      <c r="I39" s="133">
        <f t="shared" ca="1" si="14"/>
        <v>4.2761301380500024E-3</v>
      </c>
      <c r="J39" s="133">
        <f t="shared" ca="1" si="14"/>
        <v>6.3705207151348656E-3</v>
      </c>
      <c r="K39" s="140">
        <f t="shared" si="15"/>
        <v>62</v>
      </c>
      <c r="L39" s="141">
        <f ca="1">_xll.qlOvernightIndexedSwapFairRate(B39,_xll.ohTrigger(C39,InterestRatesTrigger))</f>
        <v>2.0099999999973095E-3</v>
      </c>
      <c r="N39" s="156"/>
      <c r="O39" s="128">
        <f t="shared" ca="1" si="16"/>
        <v>1.1072841941485181E-3</v>
      </c>
      <c r="P39" s="128">
        <f t="shared" ca="1" si="16"/>
        <v>2.2661301380526929E-3</v>
      </c>
      <c r="Q39" s="79">
        <f t="shared" ca="1" si="17"/>
        <v>4.3605207151375565E-3</v>
      </c>
      <c r="R39" s="128"/>
      <c r="S39" s="142" t="s">
        <v>71</v>
      </c>
      <c r="T39" s="128">
        <f t="shared" ca="1" si="18"/>
        <v>9.839167397254012E-4</v>
      </c>
      <c r="U39" s="79">
        <f t="shared" ca="1" si="18"/>
        <v>1.6548693877184689E-3</v>
      </c>
    </row>
    <row r="40" spans="2:21" x14ac:dyDescent="0.2">
      <c r="B40" s="89" t="str">
        <f>_xll.qlMakeDatedOIS(,E40,F40,OvernightIndex,0,,,,EvaluationDate)</f>
        <v>obj_00388#0000</v>
      </c>
      <c r="C40" s="80" t="b">
        <f>_xll.qlInstrumentSetPricingEngine(B40,OisEngine)</f>
        <v>1</v>
      </c>
      <c r="D40" s="138" t="s">
        <v>64</v>
      </c>
      <c r="E40" s="75">
        <f t="shared" si="13"/>
        <v>41737</v>
      </c>
      <c r="F40" s="139">
        <f>_xll.qlCalendarAdvance(Calendar,SettlementDate,D40,"mf",TRUE)</f>
        <v>41828</v>
      </c>
      <c r="G40" s="157"/>
      <c r="H40" s="133">
        <f t="shared" ca="1" si="14"/>
        <v>3.191414008170741E-3</v>
      </c>
      <c r="I40" s="133">
        <f t="shared" ca="1" si="14"/>
        <v>4.2319073283546369E-3</v>
      </c>
      <c r="J40" s="133">
        <f t="shared" ca="1" si="14"/>
        <v>6.2802286956029005E-3</v>
      </c>
      <c r="K40" s="140">
        <f t="shared" si="15"/>
        <v>91</v>
      </c>
      <c r="L40" s="141">
        <f ca="1">_xll.qlOvernightIndexedSwapFairRate(B40,_xll.ohTrigger(C40,InterestRatesTrigger))</f>
        <v>1.919999999996064E-3</v>
      </c>
      <c r="N40" s="157"/>
      <c r="O40" s="128">
        <f t="shared" ca="1" si="16"/>
        <v>1.2714140081746769E-3</v>
      </c>
      <c r="P40" s="128">
        <f t="shared" ca="1" si="16"/>
        <v>2.3119073283585727E-3</v>
      </c>
      <c r="Q40" s="79">
        <f t="shared" ca="1" si="17"/>
        <v>4.3602286956068367E-3</v>
      </c>
      <c r="R40" s="128"/>
      <c r="S40" s="142" t="s">
        <v>64</v>
      </c>
      <c r="T40" s="128">
        <f t="shared" ca="1" si="18"/>
        <v>1.284571927100873E-3</v>
      </c>
      <c r="U40" s="79">
        <f t="shared" ca="1" si="18"/>
        <v>1.9745356881304922E-3</v>
      </c>
    </row>
    <row r="41" spans="2:21" x14ac:dyDescent="0.2">
      <c r="B41" s="89" t="str">
        <f>_xll.qlMakeDatedOIS(,E41,F41,OvernightIndex,0,,,,EvaluationDate)</f>
        <v>obj_00398#0000</v>
      </c>
      <c r="C41" s="80" t="b">
        <f>_xll.qlInstrumentSetPricingEngine(B41,OisEngine)</f>
        <v>1</v>
      </c>
      <c r="D41" s="138" t="s">
        <v>72</v>
      </c>
      <c r="E41" s="75">
        <f t="shared" si="13"/>
        <v>41737</v>
      </c>
      <c r="F41" s="139">
        <f>_xll.qlCalendarAdvance(Calendar,SettlementDate,D41,"mf",TRUE)</f>
        <v>41859</v>
      </c>
      <c r="G41" s="158"/>
      <c r="H41" s="159"/>
      <c r="I41" s="133">
        <f t="shared" ca="1" si="14"/>
        <v>4.2108415662658561E-3</v>
      </c>
      <c r="J41" s="133">
        <f t="shared" ca="1" si="14"/>
        <v>6.2099165367922376E-3</v>
      </c>
      <c r="K41" s="140">
        <f t="shared" si="15"/>
        <v>122</v>
      </c>
      <c r="L41" s="141">
        <f ca="1">_xll.qlOvernightIndexedSwapFairRate(B41,_xll.ohTrigger(C41,InterestRatesTrigger))</f>
        <v>1.8499999999941014E-3</v>
      </c>
      <c r="N41" s="158"/>
      <c r="O41" s="159"/>
      <c r="P41" s="128">
        <f ca="1">IF(P$30,U41,P$31*$K41+P$32)</f>
        <v>2.3608415662717546E-3</v>
      </c>
      <c r="Q41" s="79">
        <f t="shared" ca="1" si="17"/>
        <v>4.3599165367981365E-3</v>
      </c>
      <c r="R41" s="128"/>
      <c r="S41" s="142" t="s">
        <v>72</v>
      </c>
      <c r="T41" s="159"/>
      <c r="U41" s="79">
        <f ca="1">$K41*$K41/3*U$30+$K41/2*U$31+U$32</f>
        <v>2.2287075412743859E-3</v>
      </c>
    </row>
    <row r="42" spans="2:21" x14ac:dyDescent="0.2">
      <c r="B42" s="89" t="str">
        <f>_xll.qlMakeDatedOIS(,E42,F42,OvernightIndex,0,,,,EvaluationDate)</f>
        <v>obj_00399#0000</v>
      </c>
      <c r="C42" s="80" t="b">
        <f>_xll.qlInstrumentSetPricingEngine(B42,OisEngine)</f>
        <v>1</v>
      </c>
      <c r="D42" s="138" t="s">
        <v>73</v>
      </c>
      <c r="E42" s="75">
        <f t="shared" si="13"/>
        <v>41737</v>
      </c>
      <c r="F42" s="139">
        <f>_xll.qlCalendarAdvance(Calendar,SettlementDate,D42,"mf",TRUE)</f>
        <v>41890</v>
      </c>
      <c r="G42" s="158"/>
      <c r="H42" s="160"/>
      <c r="I42" s="133">
        <f t="shared" ca="1" si="14"/>
        <v>4.2197758041782728E-3</v>
      </c>
      <c r="J42" s="133">
        <f t="shared" ca="1" si="14"/>
        <v>6.1696043779827731E-3</v>
      </c>
      <c r="K42" s="140">
        <f t="shared" si="15"/>
        <v>153</v>
      </c>
      <c r="L42" s="141">
        <f ca="1">_xll.qlOvernightIndexedSwapFairRate(B42,_xll.ohTrigger(C42,InterestRatesTrigger))</f>
        <v>1.8099999999933367E-3</v>
      </c>
      <c r="N42" s="158"/>
      <c r="O42" s="160"/>
      <c r="P42" s="128">
        <f ca="1">IF(P$30,U42,P$31*$K42+P$32)</f>
        <v>2.4097758041849364E-3</v>
      </c>
      <c r="Q42" s="79">
        <f t="shared" ca="1" si="17"/>
        <v>4.3596043779894362E-3</v>
      </c>
      <c r="R42" s="128"/>
      <c r="S42" s="142" t="s">
        <v>73</v>
      </c>
      <c r="T42" s="160"/>
      <c r="U42" s="79">
        <f ca="1">$K42*$K42/3*U$30+$K42/2*U$31+U$32</f>
        <v>2.3924209820969065E-3</v>
      </c>
    </row>
    <row r="43" spans="2:21" x14ac:dyDescent="0.2">
      <c r="B43" s="89" t="str">
        <f>_xll.qlMakeDatedOIS(,E43,F43,OvernightIndex,0,,,,EvaluationDate)</f>
        <v>obj_00389#0000</v>
      </c>
      <c r="C43" s="80" t="b">
        <f>_xll.qlInstrumentSetPricingEngine(B43,OisEngine)</f>
        <v>1</v>
      </c>
      <c r="D43" s="161" t="s">
        <v>65</v>
      </c>
      <c r="E43" s="75">
        <f t="shared" si="13"/>
        <v>41737</v>
      </c>
      <c r="F43" s="139">
        <f>_xll.qlCalendarAdvance(Calendar,SettlementDate,D43,"mf",TRUE)</f>
        <v>41920</v>
      </c>
      <c r="G43" s="158"/>
      <c r="H43" s="160"/>
      <c r="I43" s="133">
        <f t="shared" ca="1" si="14"/>
        <v>4.2271315182885252E-3</v>
      </c>
      <c r="J43" s="133">
        <f t="shared" ca="1" si="14"/>
        <v>6.1293022888137833E-3</v>
      </c>
      <c r="K43" s="140">
        <f t="shared" si="15"/>
        <v>183</v>
      </c>
      <c r="L43" s="141">
        <f ca="1">_xll.qlOvernightIndexedSwapFairRate(B43,_xll.ohTrigger(C43,InterestRatesTrigger))</f>
        <v>1.7699999999940578E-3</v>
      </c>
      <c r="N43" s="158"/>
      <c r="O43" s="160"/>
      <c r="P43" s="128">
        <f ca="1">IF(P$30,U43,P$31*$K43+P$32)</f>
        <v>2.4571315182944672E-3</v>
      </c>
      <c r="Q43" s="79">
        <f t="shared" ca="1" si="17"/>
        <v>4.3593022888197257E-3</v>
      </c>
      <c r="R43" s="128"/>
      <c r="S43" s="162" t="s">
        <v>65</v>
      </c>
      <c r="T43" s="163"/>
      <c r="U43" s="153">
        <f ca="1">$K43*$K43/3*U$30+$K43/2*U$31+U$32</f>
        <v>2.4647248870822212E-3</v>
      </c>
    </row>
    <row r="44" spans="2:21" x14ac:dyDescent="0.2">
      <c r="B44" s="89" t="str">
        <f>_xll.qlMakeDatedOIS(,E44,F44,OvernightIndex,0,,,,EvaluationDate)</f>
        <v>obj_0038c#0000</v>
      </c>
      <c r="C44" s="80" t="b">
        <f>_xll.qlInstrumentSetPricingEngine(B44,OisEngine)</f>
        <v>1</v>
      </c>
      <c r="D44" s="161" t="s">
        <v>74</v>
      </c>
      <c r="E44" s="75">
        <f t="shared" si="13"/>
        <v>41737</v>
      </c>
      <c r="F44" s="139">
        <f>_xll.qlCalendarAdvance(Calendar,SettlementDate,D44,"mf",TRUE)</f>
        <v>41953</v>
      </c>
      <c r="G44" s="158"/>
      <c r="H44" s="164"/>
      <c r="I44" s="159"/>
      <c r="J44" s="133">
        <f t="shared" ca="1" si="14"/>
        <v>6.0789699907332836E-3</v>
      </c>
      <c r="K44" s="140">
        <f t="shared" si="15"/>
        <v>216</v>
      </c>
      <c r="L44" s="141">
        <f ca="1">_xll.qlOvernightIndexedSwapFairRate(B44,_xll.ohTrigger(C44,InterestRatesTrigger))</f>
        <v>1.72000000000024E-3</v>
      </c>
      <c r="N44" s="165" t="s">
        <v>75</v>
      </c>
      <c r="O44" s="166"/>
      <c r="P44" s="159"/>
      <c r="Q44" s="79">
        <f t="shared" ca="1" si="17"/>
        <v>4.3589699907330441E-3</v>
      </c>
      <c r="R44" s="128"/>
      <c r="S44" s="128"/>
    </row>
    <row r="45" spans="2:21" x14ac:dyDescent="0.2">
      <c r="B45" s="89" t="str">
        <f>_xll.qlMakeDatedOIS(,E45,F45,OvernightIndex,0,,,,EvaluationDate)</f>
        <v>obj_00386#0000</v>
      </c>
      <c r="C45" s="80" t="b">
        <f>_xll.qlInstrumentSetPricingEngine(B45,OisEngine)</f>
        <v>1</v>
      </c>
      <c r="D45" s="161" t="s">
        <v>76</v>
      </c>
      <c r="E45" s="75">
        <f t="shared" si="13"/>
        <v>41737</v>
      </c>
      <c r="F45" s="139">
        <f>_xll.qlCalendarAdvance(Calendar,SettlementDate,D45,"mf",TRUE)</f>
        <v>41981</v>
      </c>
      <c r="G45" s="158"/>
      <c r="H45" s="164"/>
      <c r="I45" s="160"/>
      <c r="J45" s="133">
        <f t="shared" ca="1" si="14"/>
        <v>6.048688040837513E-3</v>
      </c>
      <c r="K45" s="140">
        <f t="shared" si="15"/>
        <v>244</v>
      </c>
      <c r="L45" s="141">
        <f ca="1">_xll.qlOvernightIndexedSwapFairRate(B45,_xll.ohTrigger(C45,InterestRatesTrigger))</f>
        <v>1.6899999999961982E-3</v>
      </c>
      <c r="N45" s="167"/>
      <c r="O45" s="168" t="s">
        <v>77</v>
      </c>
      <c r="P45" s="169"/>
      <c r="Q45" s="79">
        <f t="shared" ca="1" si="17"/>
        <v>4.358688040841315E-3</v>
      </c>
      <c r="R45" s="128"/>
      <c r="S45" s="128"/>
    </row>
    <row r="46" spans="2:21" x14ac:dyDescent="0.2">
      <c r="B46" s="89" t="str">
        <f>_xll.qlMakeDatedOIS(,E46,F46,OvernightIndex,0,,,,EvaluationDate)</f>
        <v>obj_00395#0000</v>
      </c>
      <c r="C46" s="80" t="b">
        <f>_xll.qlInstrumentSetPricingEngine(B46,OisEngine)</f>
        <v>1</v>
      </c>
      <c r="D46" s="161" t="s">
        <v>78</v>
      </c>
      <c r="E46" s="75">
        <f t="shared" si="13"/>
        <v>41737</v>
      </c>
      <c r="F46" s="139">
        <f>_xll.qlCalendarAdvance(Calendar,SettlementDate,D46,"mf",TRUE)</f>
        <v>42012</v>
      </c>
      <c r="G46" s="158"/>
      <c r="H46" s="164"/>
      <c r="I46" s="160"/>
      <c r="J46" s="133">
        <f t="shared" ca="1" si="14"/>
        <v>6.0383758820325749E-3</v>
      </c>
      <c r="K46" s="140">
        <f t="shared" si="15"/>
        <v>275</v>
      </c>
      <c r="L46" s="141">
        <f ca="1">_xll.qlOvernightIndexedSwapFairRate(B46,_xll.ohTrigger(C46,InterestRatesTrigger))</f>
        <v>1.6799999999999604E-3</v>
      </c>
      <c r="N46" s="158"/>
      <c r="O46" s="166"/>
      <c r="P46" s="170" t="s">
        <v>79</v>
      </c>
      <c r="Q46" s="79">
        <f t="shared" ca="1" si="17"/>
        <v>4.3583758820326148E-3</v>
      </c>
      <c r="R46" s="128"/>
      <c r="S46" s="128"/>
    </row>
    <row r="47" spans="2:21" x14ac:dyDescent="0.2">
      <c r="B47" s="89" t="str">
        <f>_xll.qlMakeDatedOIS(,E47,F47,OvernightIndex,0,,,,EvaluationDate)</f>
        <v>obj_00393#0000</v>
      </c>
      <c r="C47" s="80" t="b">
        <f>_xll.qlInstrumentSetPricingEngine(B47,OisEngine)</f>
        <v>1</v>
      </c>
      <c r="D47" s="161" t="s">
        <v>80</v>
      </c>
      <c r="E47" s="75">
        <f t="shared" si="13"/>
        <v>41737</v>
      </c>
      <c r="F47" s="139">
        <f>_xll.qlCalendarAdvance(Calendar,SettlementDate,D47,"mf",TRUE)</f>
        <v>42044</v>
      </c>
      <c r="G47" s="158"/>
      <c r="H47" s="164"/>
      <c r="I47" s="160"/>
      <c r="J47" s="133">
        <f t="shared" ca="1" si="14"/>
        <v>6.0180536535821812E-3</v>
      </c>
      <c r="K47" s="140">
        <f t="shared" si="15"/>
        <v>307</v>
      </c>
      <c r="L47" s="141">
        <f ca="1">_xll.qlOvernightIndexedSwapFairRate(B47,_xll.ohTrigger(C47,InterestRatesTrigger))</f>
        <v>1.6599999999972574E-3</v>
      </c>
      <c r="N47" s="158"/>
      <c r="O47" s="164"/>
      <c r="P47" s="160"/>
      <c r="Q47" s="79">
        <f t="shared" ca="1" si="17"/>
        <v>4.3580536535849238E-3</v>
      </c>
      <c r="R47" s="128"/>
      <c r="S47" s="128"/>
    </row>
    <row r="48" spans="2:21" x14ac:dyDescent="0.2">
      <c r="B48" s="89" t="str">
        <f>_xll.qlMakeDatedOIS(,E48,F48,OvernightIndex,0,,,,EvaluationDate)</f>
        <v>obj_00396#0000</v>
      </c>
      <c r="C48" s="80" t="b">
        <f>_xll.qlInstrumentSetPricingEngine(B48,OisEngine)</f>
        <v>1</v>
      </c>
      <c r="D48" s="161" t="s">
        <v>81</v>
      </c>
      <c r="E48" s="75">
        <f t="shared" si="13"/>
        <v>41737</v>
      </c>
      <c r="F48" s="139">
        <f>_xll.qlCalendarAdvance(Calendar,SettlementDate,D48,"mf",TRUE)</f>
        <v>42072</v>
      </c>
      <c r="G48" s="158"/>
      <c r="H48" s="164"/>
      <c r="I48" s="160"/>
      <c r="J48" s="133">
        <f t="shared" ca="1" si="14"/>
        <v>5.9977717036931999E-3</v>
      </c>
      <c r="K48" s="140">
        <f t="shared" si="15"/>
        <v>335</v>
      </c>
      <c r="L48" s="141">
        <f ca="1">_xll.qlOvernightIndexedSwapFairRate(B48,_xll.ohTrigger(C48,InterestRatesTrigger))</f>
        <v>1.6400000000000063E-3</v>
      </c>
      <c r="N48" s="158"/>
      <c r="O48" s="164"/>
      <c r="P48" s="160"/>
      <c r="Q48" s="79">
        <f t="shared" ca="1" si="17"/>
        <v>4.3577717036931939E-3</v>
      </c>
      <c r="R48" s="128"/>
      <c r="S48" s="128"/>
    </row>
    <row r="49" spans="2:19" x14ac:dyDescent="0.2">
      <c r="B49" s="143" t="str">
        <f>_xll.qlMakeDatedOIS(,E49,F49,OvernightIndex,0,,,,EvaluationDate)</f>
        <v>obj_00391#0000</v>
      </c>
      <c r="C49" s="144" t="b">
        <f>_xll.qlInstrumentSetPricingEngine(B49,OisEngine)</f>
        <v>1</v>
      </c>
      <c r="D49" s="161" t="s">
        <v>82</v>
      </c>
      <c r="E49" s="75">
        <f t="shared" si="13"/>
        <v>41737</v>
      </c>
      <c r="F49" s="139">
        <f>_xll.qlCalendarAdvance(Calendar,SettlementDate,D49,"mf",TRUE)</f>
        <v>42102</v>
      </c>
      <c r="G49" s="158"/>
      <c r="H49" s="164"/>
      <c r="I49" s="160"/>
      <c r="J49" s="133">
        <f t="shared" ca="1" si="14"/>
        <v>5.9974696145228398E-3</v>
      </c>
      <c r="K49" s="140">
        <f t="shared" si="15"/>
        <v>365</v>
      </c>
      <c r="L49" s="141">
        <f ca="1">_xll.qlOvernightIndexedSwapFairRate(B49,_xll.ohTrigger(C49,InterestRatesTrigger))</f>
        <v>1.6399999999993562E-3</v>
      </c>
      <c r="N49" s="171"/>
      <c r="O49" s="172"/>
      <c r="P49" s="163"/>
      <c r="Q49" s="153">
        <f t="shared" ca="1" si="17"/>
        <v>4.3574696145234834E-3</v>
      </c>
      <c r="R49" s="128"/>
      <c r="S49" s="128"/>
    </row>
    <row r="50" spans="2:19" x14ac:dyDescent="0.2">
      <c r="D50" s="116"/>
      <c r="E50" s="116"/>
      <c r="F50" s="116"/>
      <c r="G50" s="116"/>
      <c r="H50" s="116"/>
      <c r="I50" s="116"/>
      <c r="J50" s="116"/>
      <c r="K50" s="116"/>
      <c r="L50" s="116"/>
    </row>
    <row r="51" spans="2:19" x14ac:dyDescent="0.2">
      <c r="N51" s="173"/>
      <c r="O51" s="173"/>
      <c r="P51" s="173"/>
      <c r="Q51" s="173"/>
      <c r="R51" s="173"/>
      <c r="S51" s="173"/>
    </row>
  </sheetData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G3" sqref="G3"/>
    </sheetView>
  </sheetViews>
  <sheetFormatPr defaultRowHeight="11.25" outlineLevelCol="1" x14ac:dyDescent="0.2"/>
  <cols>
    <col min="1" max="1" width="6.6640625" style="205" hidden="1" customWidth="1" outlineLevel="1"/>
    <col min="2" max="3" width="7" style="235" hidden="1" customWidth="1" outlineLevel="1"/>
    <col min="4" max="4" width="6" style="235" customWidth="1" collapsed="1"/>
    <col min="5" max="5" width="31.1640625" style="205" bestFit="1" customWidth="1"/>
    <col min="6" max="6" width="22.5" style="205" bestFit="1" customWidth="1"/>
    <col min="7" max="8" width="9.33203125" style="235" bestFit="1" customWidth="1"/>
    <col min="9" max="10" width="10.5" style="235" bestFit="1" customWidth="1"/>
    <col min="11" max="12" width="20.1640625" style="235" bestFit="1" customWidth="1"/>
    <col min="13" max="13" width="3.1640625" style="205" bestFit="1" customWidth="1"/>
    <col min="14" max="16384" width="9.33203125" style="205"/>
  </cols>
  <sheetData>
    <row r="1" spans="2:13" ht="22.5" x14ac:dyDescent="0.2">
      <c r="B1" s="373" t="s">
        <v>104</v>
      </c>
      <c r="C1" s="374"/>
      <c r="D1" s="374"/>
      <c r="E1" s="203" t="s">
        <v>105</v>
      </c>
      <c r="F1" s="203" t="s">
        <v>106</v>
      </c>
      <c r="G1" s="203" t="s">
        <v>107</v>
      </c>
      <c r="H1" s="203" t="s">
        <v>108</v>
      </c>
      <c r="I1" s="203" t="s">
        <v>109</v>
      </c>
      <c r="J1" s="203" t="s">
        <v>110</v>
      </c>
      <c r="K1" s="203" t="s">
        <v>111</v>
      </c>
      <c r="L1" s="204" t="s">
        <v>112</v>
      </c>
    </row>
    <row r="2" spans="2:13" x14ac:dyDescent="0.2">
      <c r="B2" s="206"/>
      <c r="C2" s="207" t="s">
        <v>33</v>
      </c>
      <c r="D2" s="208" t="s">
        <v>113</v>
      </c>
      <c r="E2" s="275" t="str">
        <f>Contribution!$D$40</f>
        <v>EUR1YD_SYNTH1Y_Quote#0000</v>
      </c>
      <c r="F2" s="275" t="str">
        <f>_xll.qlDepositRateHelper(,E2,$F$10,)</f>
        <v>obj_0038b#0000</v>
      </c>
      <c r="G2" s="209">
        <f ca="1">_xll.qlRateHelperQuoteValue(F2,InterestRatesTrigger)</f>
        <v>5.9969999999999997E-3</v>
      </c>
      <c r="H2" s="210" t="b">
        <v>1</v>
      </c>
      <c r="I2" s="210">
        <v>70</v>
      </c>
      <c r="J2" s="210">
        <v>1</v>
      </c>
      <c r="K2" s="211">
        <f ca="1">_xll.qlRateHelperEarliestDate($F2,InterestRatesTrigger)</f>
        <v>41737</v>
      </c>
      <c r="L2" s="212">
        <f ca="1">_xll.qlRateHelperLatestDate($F2,InterestRatesTrigger)</f>
        <v>42102</v>
      </c>
    </row>
    <row r="3" spans="2:13" ht="11.25" customHeight="1" x14ac:dyDescent="0.2">
      <c r="B3" s="213">
        <v>12</v>
      </c>
      <c r="C3" s="214" t="s">
        <v>114</v>
      </c>
      <c r="D3" s="214" t="s">
        <v>115</v>
      </c>
      <c r="E3" s="276" t="s">
        <v>116</v>
      </c>
      <c r="F3" s="276" t="str">
        <f>_xll.qlFraRateHelper(,E3,B3&amp;"M",$F$10)</f>
        <v>obj_0038a#0000</v>
      </c>
      <c r="G3" s="215">
        <f ca="1">_xll.qlRateHelperQuoteValue(F3,InterestRatesTrigger)</f>
        <v>6.7700000000000008E-3</v>
      </c>
      <c r="H3" s="216" t="b">
        <v>1</v>
      </c>
      <c r="I3" s="216">
        <v>70</v>
      </c>
      <c r="J3" s="216">
        <v>1</v>
      </c>
      <c r="K3" s="217">
        <f ca="1">_xll.qlRateHelperEarliestDate($F3,InterestRatesTrigger)</f>
        <v>42102</v>
      </c>
      <c r="L3" s="218">
        <f ca="1">_xll.qlRateHelperLatestDate($F3,InterestRatesTrigger)</f>
        <v>42468</v>
      </c>
      <c r="M3" s="219"/>
    </row>
    <row r="4" spans="2:13" x14ac:dyDescent="0.2">
      <c r="B4" s="220" t="s">
        <v>117</v>
      </c>
      <c r="C4" s="221" t="s">
        <v>118</v>
      </c>
      <c r="D4" s="222" t="s">
        <v>119</v>
      </c>
      <c r="E4" s="277" t="s">
        <v>120</v>
      </c>
      <c r="F4" s="277" t="str">
        <f>_xll.qlSwapRateHelper2(,E4,D4,Calendar,"annual","mf","30/360 (Bond Basis)",$F$10,0,"0D",OisCurve)</f>
        <v>obj_0039b#0000</v>
      </c>
      <c r="G4" s="223">
        <f ca="1">_xll.qlRateHelperQuoteValue(F4,InterestRatesTrigger)</f>
        <v>7.8399999999999997E-3</v>
      </c>
      <c r="H4" s="224" t="b">
        <v>1</v>
      </c>
      <c r="I4" s="224">
        <v>50</v>
      </c>
      <c r="J4" s="224">
        <v>1</v>
      </c>
      <c r="K4" s="225">
        <f ca="1">_xll.qlRateHelperEarliestDate($F4,InterestRatesTrigger)</f>
        <v>41737</v>
      </c>
      <c r="L4" s="226">
        <f ca="1">_xll.qlRateHelperLatestDate($F4,InterestRatesTrigger)</f>
        <v>42835</v>
      </c>
    </row>
    <row r="5" spans="2:13" x14ac:dyDescent="0.2">
      <c r="B5" s="227" t="s">
        <v>117</v>
      </c>
      <c r="C5" s="228" t="s">
        <v>118</v>
      </c>
      <c r="D5" s="229" t="s">
        <v>121</v>
      </c>
      <c r="E5" s="278" t="s">
        <v>122</v>
      </c>
      <c r="F5" s="278" t="str">
        <f>_xll.qlSwapRateHelper2(,E5,D5,Calendar,"annual","mf","30/360 (Bond Basis)",$F$10,0,"0D",OisCurve)</f>
        <v>obj_00397#0000</v>
      </c>
      <c r="G5" s="230">
        <f ca="1">_xll.qlRateHelperQuoteValue(F5,InterestRatesTrigger)</f>
        <v>9.6399999999999993E-3</v>
      </c>
      <c r="H5" s="231" t="b">
        <v>1</v>
      </c>
      <c r="I5" s="231">
        <v>50</v>
      </c>
      <c r="J5" s="231">
        <v>1</v>
      </c>
      <c r="K5" s="232">
        <f ca="1">_xll.qlRateHelperEarliestDate($F5,InterestRatesTrigger)</f>
        <v>41737</v>
      </c>
      <c r="L5" s="233">
        <f ca="1">_xll.qlRateHelperLatestDate($F5,InterestRatesTrigger)</f>
        <v>43199</v>
      </c>
    </row>
    <row r="6" spans="2:13" x14ac:dyDescent="0.2">
      <c r="B6" s="234" t="s">
        <v>117</v>
      </c>
      <c r="C6" s="207" t="s">
        <v>118</v>
      </c>
      <c r="D6" s="208" t="s">
        <v>123</v>
      </c>
      <c r="E6" s="275" t="s">
        <v>124</v>
      </c>
      <c r="F6" s="275" t="str">
        <f>_xll.qlSwapRateHelper2(,E6,D6,Calendar,"annual","mf","30/360 (Bond Basis)",$F$10,0,"0D",OisCurve)</f>
        <v>obj_00392#0000</v>
      </c>
      <c r="G6" s="209">
        <f ca="1">_xll.qlRateHelperQuoteValue(F6,InterestRatesTrigger)</f>
        <v>1.1539999999999998E-2</v>
      </c>
      <c r="H6" s="210" t="b">
        <v>1</v>
      </c>
      <c r="I6" s="210">
        <v>50</v>
      </c>
      <c r="J6" s="210">
        <v>1</v>
      </c>
      <c r="K6" s="211">
        <f ca="1">_xll.qlRateHelperEarliestDate($F6,InterestRatesTrigger)</f>
        <v>41737</v>
      </c>
      <c r="L6" s="212">
        <f ca="1">_xll.qlRateHelperLatestDate($F6,InterestRatesTrigger)</f>
        <v>43563</v>
      </c>
    </row>
    <row r="10" spans="2:13" x14ac:dyDescent="0.2">
      <c r="F10" s="205" t="str">
        <f>_xll.qlEuribor(,IborTenor,,,EvaluationDate)</f>
        <v>obj_0036e#0000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>
      <selection activeCell="C14" sqref="C14"/>
    </sheetView>
  </sheetViews>
  <sheetFormatPr defaultRowHeight="11.25" outlineLevelCol="1" x14ac:dyDescent="0.2"/>
  <cols>
    <col min="1" max="1" width="17.6640625" style="235" bestFit="1" customWidth="1"/>
    <col min="2" max="2" width="9.33203125" style="235" bestFit="1" customWidth="1"/>
    <col min="3" max="4" width="20.1640625" style="235" bestFit="1" customWidth="1"/>
    <col min="5" max="5" width="11.6640625" style="205" bestFit="1" customWidth="1"/>
    <col min="6" max="6" width="7.33203125" style="205" customWidth="1"/>
    <col min="7" max="7" width="20.1640625" style="205" hidden="1" customWidth="1" outlineLevel="1"/>
    <col min="8" max="8" width="17.6640625" style="205" hidden="1" customWidth="1" outlineLevel="1"/>
    <col min="9" max="9" width="20.1640625" style="205" customWidth="1" collapsed="1"/>
    <col min="10" max="10" width="20.1640625" style="205" customWidth="1"/>
    <col min="11" max="12" width="9.33203125" style="205" bestFit="1" customWidth="1"/>
    <col min="13" max="13" width="10.5" style="205" bestFit="1" customWidth="1"/>
    <col min="14" max="14" width="9.33203125" style="205" customWidth="1"/>
    <col min="15" max="15" width="17.6640625" style="205" bestFit="1" customWidth="1"/>
    <col min="16" max="16384" width="9.33203125" style="205"/>
  </cols>
  <sheetData>
    <row r="1" spans="1:16" ht="22.5" x14ac:dyDescent="0.2">
      <c r="A1" s="236" t="s">
        <v>125</v>
      </c>
      <c r="B1" s="203" t="s">
        <v>126</v>
      </c>
      <c r="C1" s="203" t="s">
        <v>111</v>
      </c>
      <c r="D1" s="204" t="s">
        <v>112</v>
      </c>
      <c r="E1" s="237" t="s">
        <v>126</v>
      </c>
      <c r="F1" s="237"/>
      <c r="G1" s="237" t="s">
        <v>127</v>
      </c>
      <c r="H1" s="237"/>
      <c r="I1" s="237" t="s">
        <v>128</v>
      </c>
      <c r="J1" s="237" t="s">
        <v>129</v>
      </c>
      <c r="K1" s="237" t="s">
        <v>130</v>
      </c>
      <c r="L1" s="237" t="s">
        <v>46</v>
      </c>
      <c r="M1" s="237" t="s">
        <v>131</v>
      </c>
      <c r="N1" s="237" t="s">
        <v>132</v>
      </c>
    </row>
    <row r="2" spans="1:16" x14ac:dyDescent="0.2">
      <c r="A2" s="238"/>
      <c r="B2" s="239"/>
      <c r="C2" s="240"/>
      <c r="D2" s="241">
        <f>SettlementDate</f>
        <v>41737</v>
      </c>
      <c r="E2" s="242">
        <f t="array" aca="1" ref="E2:E127" ca="1">_xll.qlPiecewiseYieldCurveData(YieldCurve,InterestRatesTrigger)</f>
        <v>1</v>
      </c>
      <c r="F2" s="205">
        <v>0</v>
      </c>
      <c r="G2" s="243">
        <f>_xll.qlInterestRateIndexFixingDate(IborIndex,I2)</f>
        <v>41733</v>
      </c>
      <c r="H2" s="205" t="str">
        <f>_xll.qlMakeDatedOIS(,I2,J2,OvernightIndex,0,"Act/360",0)</f>
        <v>obj_003d3#0000</v>
      </c>
      <c r="I2" s="243">
        <f>_xll.qlCalendarAdvance(Calendar,$D$2,F2&amp;"M","mf")</f>
        <v>41737</v>
      </c>
      <c r="J2" s="243">
        <f>_xll.qlInterestRateIndexMaturity(IborIndex,I2)</f>
        <v>42102</v>
      </c>
      <c r="K2" s="242">
        <f ca="1">_xll.qlIndexFixing(IborIndex,G2,TRUE,InterestRatesTrigger)</f>
        <v>5.9970000000004534E-3</v>
      </c>
      <c r="L2" s="242">
        <f ca="1">_xll.qlOvernightIndexedSwapFairRate(H2,Contribution!$P$25)</f>
        <v>1.6399999999993562E-3</v>
      </c>
      <c r="M2" s="219">
        <f ca="1">ROUND(K2-L2,6)</f>
        <v>4.3569999999999998E-3</v>
      </c>
      <c r="N2" s="242"/>
      <c r="O2" s="205" t="str">
        <f>_xll.qlSimpleQuote(,,,,EvaluationDate)</f>
        <v>obj_0036a#0000</v>
      </c>
      <c r="P2" s="242">
        <f ca="1">_xll.qlSimpleQuoteSetValue(O2,M2)</f>
        <v>0</v>
      </c>
    </row>
    <row r="3" spans="1:16" x14ac:dyDescent="0.2">
      <c r="A3" s="244" t="str">
        <f>RateHelpersFra!F2</f>
        <v>obj_0038b#0000</v>
      </c>
      <c r="B3" s="245">
        <f ca="1">_xll.qlRateHelperRate($A3,InterestRatesTrigger)</f>
        <v>5.9969999999999997E-3</v>
      </c>
      <c r="C3" s="246">
        <f>_xll.qlRateHelperEarliestDate($A3)</f>
        <v>41737</v>
      </c>
      <c r="D3" s="241">
        <f>_xll.qlRateHelperLatestDate($A3)</f>
        <v>42102</v>
      </c>
      <c r="E3" s="242">
        <f ca="1"/>
        <v>0.99395645485054229</v>
      </c>
      <c r="F3" s="205">
        <v>12</v>
      </c>
      <c r="G3" s="243">
        <f>_xll.qlInterestRateIndexFixingDate(IborIndex,I3)</f>
        <v>42096</v>
      </c>
      <c r="H3" s="205" t="str">
        <f>_xll.qlMakeDatedOIS(,I3,J3,OvernightIndex,0,"Act/360",0)</f>
        <v>obj_003bd#0000</v>
      </c>
      <c r="I3" s="243">
        <f>_xll.qlCalendarAdvance(Calendar,$D$2,F3&amp;"M","mf")</f>
        <v>42102</v>
      </c>
      <c r="J3" s="243">
        <f>_xll.qlInterestRateIndexMaturity(IborIndex,I3)</f>
        <v>42468</v>
      </c>
      <c r="K3" s="242">
        <f ca="1">_xll.qlIndexFixing(IborIndex,G3,TRUE,InterestRatesTrigger)</f>
        <v>6.7699999999999505E-3</v>
      </c>
      <c r="L3" s="242">
        <f ca="1">_xll.qlOvernightIndexedSwapFairRate(H3,Contribution!$P$25)</f>
        <v>2.4198912915784549E-3</v>
      </c>
      <c r="M3" s="219">
        <f ca="1">ROUND(K3-L3,6)</f>
        <v>4.3499999999999997E-3</v>
      </c>
      <c r="N3" s="242"/>
      <c r="O3" s="205" t="str">
        <f>_xll.qlSimpleQuote(,,,,EvaluationDate)</f>
        <v>obj_00380#0000</v>
      </c>
      <c r="P3" s="242">
        <f ca="1">_xll.qlSimpleQuoteSetValue(O3,M3)</f>
        <v>0</v>
      </c>
    </row>
    <row r="4" spans="1:16" x14ac:dyDescent="0.2">
      <c r="A4" s="244" t="str">
        <f>RateHelpersFra!F3</f>
        <v>obj_0038a#0000</v>
      </c>
      <c r="B4" s="245">
        <f ca="1">_xll.qlRateHelperRate($A4,InterestRatesTrigger)</f>
        <v>6.7700000000000008E-3</v>
      </c>
      <c r="C4" s="246">
        <f>_xll.qlRateHelperEarliestDate($A4)</f>
        <v>42102</v>
      </c>
      <c r="D4" s="241">
        <f>_xll.qlRateHelperLatestDate($A4)</f>
        <v>42468</v>
      </c>
      <c r="E4" s="242">
        <f ca="1"/>
        <v>0.98716198344548434</v>
      </c>
      <c r="F4" s="205">
        <v>24</v>
      </c>
      <c r="G4" s="243">
        <f>_xll.qlInterestRateIndexFixingDate(IborIndex,I4)</f>
        <v>42466</v>
      </c>
      <c r="H4" s="205" t="str">
        <f>_xll.qlMakeDatedOIS(,I4,J4,OvernightIndex,0,"Act/360",0)</f>
        <v>obj_003dd#0000</v>
      </c>
      <c r="I4" s="243">
        <f>_xll.qlCalendarAdvance(Calendar,$D$2,F4&amp;"M","mf")</f>
        <v>42468</v>
      </c>
      <c r="J4" s="243">
        <f>_xll.qlInterestRateIndexMaturity(IborIndex,I4)</f>
        <v>42835</v>
      </c>
      <c r="K4" s="242">
        <f ca="1">_xll.qlIndexFixing(IborIndex,G4,TRUE,InterestRatesTrigger)</f>
        <v>1.0417582344436583E-2</v>
      </c>
      <c r="L4" s="242">
        <f ca="1">_xll.qlOvernightIndexedSwapFairRate(H4,Contribution!$P$25)</f>
        <v>5.5464920070457157E-3</v>
      </c>
      <c r="M4" s="219">
        <f ca="1">ROUND(K4-L4,6)</f>
        <v>4.8710000000000003E-3</v>
      </c>
      <c r="N4" s="242"/>
      <c r="O4" s="205" t="str">
        <f>_xll.qlSimpleQuote(,,,,EvaluationDate)</f>
        <v>obj_00368#0000</v>
      </c>
      <c r="P4" s="242">
        <f ca="1">_xll.qlSimpleQuoteSetValue(O4,M4)</f>
        <v>0</v>
      </c>
    </row>
    <row r="5" spans="1:16" x14ac:dyDescent="0.2">
      <c r="A5" s="244" t="str">
        <f>RateHelpersFra!F4</f>
        <v>obj_0039b#0000</v>
      </c>
      <c r="B5" s="245">
        <f ca="1">_xll.qlRateHelperRate($A5,InterestRatesTrigger)</f>
        <v>7.8399999999999997E-3</v>
      </c>
      <c r="C5" s="246">
        <f>_xll.qlRateHelperEarliestDate($A5)</f>
        <v>41737</v>
      </c>
      <c r="D5" s="241">
        <f>_xll.qlRateHelperLatestDate($A5)</f>
        <v>42835</v>
      </c>
      <c r="E5" s="242">
        <f ca="1"/>
        <v>0.97678834814188298</v>
      </c>
      <c r="F5" s="205">
        <v>36</v>
      </c>
      <c r="G5" s="243">
        <f>_xll.qlInterestRateIndexFixingDate(IborIndex,I5)</f>
        <v>42831</v>
      </c>
      <c r="H5" s="205" t="str">
        <f>_xll.qlMakeDatedOIS(,I5,J5,OvernightIndex,0,"Act/360",0)</f>
        <v>obj_003b9#0000</v>
      </c>
      <c r="I5" s="243">
        <f>_xll.qlCalendarAdvance(Calendar,$D$2,F5&amp;"M","mf")</f>
        <v>42835</v>
      </c>
      <c r="J5" s="243">
        <f>_xll.qlInterestRateIndexMaturity(IborIndex,I5)</f>
        <v>43200</v>
      </c>
      <c r="K5" s="242">
        <f ca="1">_xll.qlIndexFixing(IborIndex,G5,TRUE,InterestRatesTrigger)</f>
        <v>1.4942378170646146E-2</v>
      </c>
      <c r="L5" s="242">
        <f ca="1">_xll.qlOvernightIndexedSwapFairRate(H5,Contribution!$P$25)</f>
        <v>9.7019268879584893E-3</v>
      </c>
      <c r="M5" s="219">
        <f ca="1">ROUND(K5-L5,6)</f>
        <v>5.2399999999999999E-3</v>
      </c>
      <c r="N5" s="242"/>
      <c r="O5" s="205" t="str">
        <f>_xll.qlSimpleQuote(,,,,EvaluationDate)</f>
        <v>obj_0037f#0000</v>
      </c>
      <c r="P5" s="242">
        <f ca="1">_xll.qlSimpleQuoteSetValue(O5,M5)</f>
        <v>0</v>
      </c>
    </row>
    <row r="6" spans="1:16" x14ac:dyDescent="0.2">
      <c r="A6" s="244" t="str">
        <f>RateHelpersFra!F5</f>
        <v>obj_00397#0000</v>
      </c>
      <c r="B6" s="245">
        <f ca="1">_xll.qlRateHelperRate($A6,InterestRatesTrigger)</f>
        <v>9.6399999999999993E-3</v>
      </c>
      <c r="C6" s="246">
        <f>_xll.qlRateHelperEarliestDate($A6)</f>
        <v>41737</v>
      </c>
      <c r="D6" s="241">
        <f>_xll.qlRateHelperLatestDate($A6)</f>
        <v>43199</v>
      </c>
      <c r="E6" s="242">
        <f ca="1"/>
        <v>0.96225700398028813</v>
      </c>
      <c r="F6" s="205">
        <v>48</v>
      </c>
      <c r="G6" s="243">
        <f>_xll.qlInterestRateIndexFixingDate(IborIndex,I6)</f>
        <v>43195</v>
      </c>
      <c r="H6" s="205" t="str">
        <f>_xll.qlMakeDatedOIS(,I6,J6,OvernightIndex,0,"Act/360",0)</f>
        <v>obj_003ba#0000</v>
      </c>
      <c r="I6" s="243">
        <f>_xll.qlCalendarAdvance(Calendar,$D$2,F6&amp;"M","mf")</f>
        <v>43199</v>
      </c>
      <c r="J6" s="243">
        <f>_xll.qlInterestRateIndexMaturity(IborIndex,I6)</f>
        <v>43564</v>
      </c>
      <c r="K6" s="242">
        <f ca="1">_xll.qlIndexFixing(IborIndex,G6,TRUE,InterestRatesTrigger)</f>
        <v>1.909448609238542E-2</v>
      </c>
      <c r="L6" s="242">
        <f ca="1">_xll.qlOvernightIndexedSwapFairRate(H6,Contribution!$P$25)</f>
        <v>1.3914634708465637E-2</v>
      </c>
      <c r="M6" s="219">
        <f ca="1">ROUND(K6-L6,6)</f>
        <v>5.1799999999999997E-3</v>
      </c>
      <c r="N6" s="242"/>
      <c r="O6" s="205" t="str">
        <f>_xll.qlSimpleQuote(,,,,EvaluationDate)</f>
        <v>obj_0035f#0000</v>
      </c>
      <c r="P6" s="242">
        <f ca="1">_xll.qlSimpleQuoteSetValue(O6,M6)</f>
        <v>0</v>
      </c>
    </row>
    <row r="7" spans="1:16" x14ac:dyDescent="0.2">
      <c r="A7" s="244" t="str">
        <f>RateHelpersFra!F6</f>
        <v>obj_00392#0000</v>
      </c>
      <c r="B7" s="245">
        <f ca="1">_xll.qlRateHelperRate($A7,InterestRatesTrigger)</f>
        <v>1.1539999999999998E-2</v>
      </c>
      <c r="C7" s="246">
        <f>_xll.qlRateHelperEarliestDate($A7)</f>
        <v>41737</v>
      </c>
      <c r="D7" s="241">
        <f>_xll.qlRateHelperLatestDate($A7)</f>
        <v>43563</v>
      </c>
      <c r="E7" s="242">
        <f ca="1"/>
        <v>0.94403360238596556</v>
      </c>
      <c r="G7" s="243"/>
      <c r="I7" s="243"/>
      <c r="J7" s="243"/>
      <c r="K7" s="242"/>
      <c r="L7" s="242"/>
      <c r="M7" s="219"/>
    </row>
    <row r="8" spans="1:16" x14ac:dyDescent="0.2">
      <c r="A8" s="244"/>
      <c r="B8" s="245"/>
      <c r="C8" s="246"/>
      <c r="D8" s="241"/>
      <c r="E8" s="242" t="e">
        <f ca="1"/>
        <v>#N/A</v>
      </c>
      <c r="F8" s="205">
        <v>1</v>
      </c>
      <c r="G8" s="243">
        <f>_xll.qlInterestRateIndexFixingDate(IborIndex,I8)</f>
        <v>41765</v>
      </c>
      <c r="H8" s="205" t="str">
        <f>_xll.qlMakeDatedOIS(,I8,J8,OvernightIndex,0,"Act/360",0)</f>
        <v>obj_003d7#0000</v>
      </c>
      <c r="I8" s="243">
        <f>_xll.qlCalendarAdvance(Calendar,$D$2,F8&amp;"M","mf")</f>
        <v>41767</v>
      </c>
      <c r="J8" s="243">
        <f>_xll.qlInterestRateIndexMaturity(IborIndex,I8)</f>
        <v>42132</v>
      </c>
      <c r="L8" s="242">
        <f ca="1">_xll.qlOvernightIndexedSwapFairRate(H8,_xll.ohTrigger($P$2:$P$6))</f>
        <v>1.5925180412750656E-3</v>
      </c>
      <c r="M8" s="219">
        <f ca="1">_xll.qlInterpolationInterpolate(BasisInterpolator,I8,,L8)</f>
        <v>4.3552817460419469E-3</v>
      </c>
      <c r="N8" s="242">
        <f ca="1">L8+M8</f>
        <v>5.9477997873170121E-3</v>
      </c>
    </row>
    <row r="9" spans="1:16" x14ac:dyDescent="0.2">
      <c r="A9" s="244"/>
      <c r="B9" s="245"/>
      <c r="C9" s="246"/>
      <c r="D9" s="241"/>
      <c r="E9" s="242" t="e">
        <f ca="1"/>
        <v>#N/A</v>
      </c>
      <c r="F9" s="205">
        <v>2</v>
      </c>
      <c r="G9" s="243">
        <f>_xll.qlInterestRateIndexFixingDate(IborIndex,I9)</f>
        <v>41795</v>
      </c>
      <c r="H9" s="205" t="str">
        <f>_xll.qlMakeDatedOIS(,I9,J9,OvernightIndex,0,"Act/360",0)</f>
        <v>obj_003b6#0000</v>
      </c>
      <c r="I9" s="243">
        <f>_xll.qlCalendarAdvance(Calendar,$D$2,F9&amp;"M","mf")</f>
        <v>41799</v>
      </c>
      <c r="J9" s="243">
        <f>_xll.qlInterestRateIndexMaturity(IborIndex,I9)</f>
        <v>42164</v>
      </c>
      <c r="L9" s="242">
        <f ca="1">_xll.qlOvernightIndexedSwapFairRate(H9,_xll.ohTrigger($P$2:$P$6))</f>
        <v>1.5861301935334543E-3</v>
      </c>
      <c r="M9" s="219">
        <f ca="1">_xll.qlInterpolationInterpolate(BasisInterpolator,I9,,L9)</f>
        <v>4.3535014925723042E-3</v>
      </c>
      <c r="N9" s="242">
        <f t="shared" ref="N9:N51" ca="1" si="0">L9+M9</f>
        <v>5.939631686105758E-3</v>
      </c>
    </row>
    <row r="10" spans="1:16" x14ac:dyDescent="0.2">
      <c r="A10" s="244"/>
      <c r="B10" s="245"/>
      <c r="C10" s="246"/>
      <c r="D10" s="241"/>
      <c r="E10" s="242" t="e">
        <f ca="1"/>
        <v>#N/A</v>
      </c>
      <c r="F10" s="205">
        <v>3</v>
      </c>
      <c r="G10" s="243">
        <f>_xll.qlInterestRateIndexFixingDate(IborIndex,I10)</f>
        <v>41824</v>
      </c>
      <c r="H10" s="205" t="str">
        <f>_xll.qlMakeDatedOIS(,I10,J10,OvernightIndex,0,"Act/360",0)</f>
        <v>obj_003b8#0000</v>
      </c>
      <c r="I10" s="243">
        <f>_xll.qlCalendarAdvance(Calendar,$D$2,F10&amp;"M","mf")</f>
        <v>41828</v>
      </c>
      <c r="J10" s="243">
        <f>_xll.qlInterestRateIndexMaturity(IborIndex,I10)</f>
        <v>42193</v>
      </c>
      <c r="L10" s="242">
        <f ca="1">_xll.qlOvernightIndexedSwapFairRate(H10,_xll.ohTrigger($P$2:$P$6))</f>
        <v>1.5951341407861145E-3</v>
      </c>
      <c r="M10" s="219">
        <f ca="1">_xll.qlInterpolationInterpolate(BasisInterpolator,I10,,L10)</f>
        <v>4.3519813405378171E-3</v>
      </c>
      <c r="N10" s="242">
        <f t="shared" ca="1" si="0"/>
        <v>5.9471154813239314E-3</v>
      </c>
    </row>
    <row r="11" spans="1:16" x14ac:dyDescent="0.2">
      <c r="A11" s="244"/>
      <c r="B11" s="245"/>
      <c r="C11" s="246"/>
      <c r="D11" s="241"/>
      <c r="E11" s="242" t="e">
        <f ca="1"/>
        <v>#N/A</v>
      </c>
      <c r="F11" s="205">
        <v>4</v>
      </c>
      <c r="G11" s="243">
        <f>_xll.qlInterestRateIndexFixingDate(IborIndex,I11)</f>
        <v>41857</v>
      </c>
      <c r="H11" s="205" t="str">
        <f>_xll.qlMakeDatedOIS(,I11,J11,OvernightIndex,0,"Act/360",0)</f>
        <v>obj_003d1#0000</v>
      </c>
      <c r="I11" s="243">
        <f>_xll.qlCalendarAdvance(Calendar,$D$2,F11&amp;"M","mf")</f>
        <v>41859</v>
      </c>
      <c r="J11" s="243">
        <f>_xll.qlInterestRateIndexMaturity(IborIndex,I11)</f>
        <v>42226</v>
      </c>
      <c r="L11" s="242">
        <f ca="1">_xll.qlOvernightIndexedSwapFairRate(H11,_xll.ohTrigger($P$2:$P$6))</f>
        <v>1.6310448597623905E-3</v>
      </c>
      <c r="M11" s="219">
        <f ca="1">_xll.qlInterpolationInterpolate(BasisInterpolator,I11,,L11)</f>
        <v>4.3505036139191858E-3</v>
      </c>
      <c r="N11" s="242">
        <f t="shared" ca="1" si="0"/>
        <v>5.9815484736815763E-3</v>
      </c>
    </row>
    <row r="12" spans="1:16" x14ac:dyDescent="0.2">
      <c r="A12" s="244"/>
      <c r="B12" s="245"/>
      <c r="C12" s="246"/>
      <c r="D12" s="241"/>
      <c r="E12" s="242" t="e">
        <f ca="1"/>
        <v>#N/A</v>
      </c>
      <c r="F12" s="205">
        <v>5</v>
      </c>
      <c r="G12" s="243">
        <f>_xll.qlInterestRateIndexFixingDate(IborIndex,I12)</f>
        <v>41886</v>
      </c>
      <c r="H12" s="205" t="str">
        <f>_xll.qlMakeDatedOIS(,I12,J12,OvernightIndex,0,"Act/360",0)</f>
        <v>obj_003dc#0000</v>
      </c>
      <c r="I12" s="243">
        <f>_xll.qlCalendarAdvance(Calendar,$D$2,F12&amp;"M","mf")</f>
        <v>41890</v>
      </c>
      <c r="J12" s="243">
        <f>_xll.qlInterestRateIndexMaturity(IborIndex,I12)</f>
        <v>42255</v>
      </c>
      <c r="L12" s="242">
        <f ca="1">_xll.qlOvernightIndexedSwapFairRate(H12,_xll.ohTrigger($P$2:$P$6))</f>
        <v>1.6758959436511552E-3</v>
      </c>
      <c r="M12" s="219">
        <f ca="1">_xll.qlInterpolationInterpolate(BasisInterpolator,I12,,L12)</f>
        <v>4.3492284147582235E-3</v>
      </c>
      <c r="N12" s="242">
        <f t="shared" ca="1" si="0"/>
        <v>6.0251243584093783E-3</v>
      </c>
    </row>
    <row r="13" spans="1:16" x14ac:dyDescent="0.2">
      <c r="A13" s="244"/>
      <c r="B13" s="245"/>
      <c r="C13" s="246"/>
      <c r="D13" s="241"/>
      <c r="E13" s="242" t="e">
        <f ca="1"/>
        <v>#N/A</v>
      </c>
      <c r="F13" s="205">
        <v>6</v>
      </c>
      <c r="G13" s="243">
        <f>_xll.qlInterestRateIndexFixingDate(IborIndex,I13)</f>
        <v>41918</v>
      </c>
      <c r="H13" s="205" t="str">
        <f>_xll.qlMakeDatedOIS(,I13,J13,OvernightIndex,0,"Act/360",0)</f>
        <v>obj_003b5#0000</v>
      </c>
      <c r="I13" s="243">
        <f>_xll.qlCalendarAdvance(Calendar,$D$2,F13&amp;"M","mf")</f>
        <v>41920</v>
      </c>
      <c r="J13" s="243">
        <f>_xll.qlInterestRateIndexMaturity(IborIndex,I13)</f>
        <v>42285</v>
      </c>
      <c r="L13" s="242">
        <f ca="1">_xll.qlOvernightIndexedSwapFairRate(H13,_xll.ohTrigger($P$2:$P$6))</f>
        <v>1.7401590345079846E-3</v>
      </c>
      <c r="M13" s="219">
        <f ca="1">_xll.qlInterpolationInterpolate(BasisInterpolator,I13,,L13)</f>
        <v>4.348235655881362E-3</v>
      </c>
      <c r="N13" s="242">
        <f t="shared" ca="1" si="0"/>
        <v>6.0883946903893468E-3</v>
      </c>
    </row>
    <row r="14" spans="1:16" x14ac:dyDescent="0.2">
      <c r="A14" s="244"/>
      <c r="B14" s="245"/>
      <c r="C14" s="246"/>
      <c r="D14" s="241"/>
      <c r="E14" s="242" t="e">
        <f ca="1"/>
        <v>#N/A</v>
      </c>
      <c r="F14" s="205">
        <v>7</v>
      </c>
      <c r="G14" s="243">
        <f>_xll.qlInterestRateIndexFixingDate(IborIndex,I14)</f>
        <v>41949</v>
      </c>
      <c r="H14" s="205" t="str">
        <f>_xll.qlMakeDatedOIS(,I14,J14,OvernightIndex,0,"Act/360",0)</f>
        <v>obj_003d0#0000</v>
      </c>
      <c r="I14" s="243">
        <f>_xll.qlCalendarAdvance(Calendar,$D$2,F14&amp;"M","mf")</f>
        <v>41953</v>
      </c>
      <c r="J14" s="243">
        <f>_xll.qlInterestRateIndexMaturity(IborIndex,I14)</f>
        <v>42318</v>
      </c>
      <c r="L14" s="242">
        <f ca="1">_xll.qlOvernightIndexedSwapFairRate(H14,_xll.ohTrigger($P$2:$P$6))</f>
        <v>1.831837637175139E-3</v>
      </c>
      <c r="M14" s="219">
        <f ca="1">_xll.qlInterpolationInterpolate(BasisInterpolator,I14,,L14)</f>
        <v>4.3474740233768704E-3</v>
      </c>
      <c r="N14" s="242">
        <f t="shared" ca="1" si="0"/>
        <v>6.1793116605520096E-3</v>
      </c>
    </row>
    <row r="15" spans="1:16" x14ac:dyDescent="0.2">
      <c r="A15" s="244"/>
      <c r="B15" s="245"/>
      <c r="C15" s="246"/>
      <c r="D15" s="241"/>
      <c r="E15" s="242" t="e">
        <f ca="1"/>
        <v>#N/A</v>
      </c>
      <c r="F15" s="205">
        <v>8</v>
      </c>
      <c r="G15" s="243">
        <f>_xll.qlInterestRateIndexFixingDate(IborIndex,I15)</f>
        <v>41977</v>
      </c>
      <c r="H15" s="205" t="str">
        <f>_xll.qlMakeDatedOIS(,I15,J15,OvernightIndex,0,"Act/360",0)</f>
        <v>obj_003ae#0000</v>
      </c>
      <c r="I15" s="243">
        <f>_xll.qlCalendarAdvance(Calendar,$D$2,F15&amp;"M","mf")</f>
        <v>41981</v>
      </c>
      <c r="J15" s="243">
        <f>_xll.qlInterestRateIndexMaturity(IborIndex,I15)</f>
        <v>42346</v>
      </c>
      <c r="L15" s="242">
        <f ca="1">_xll.qlOvernightIndexedSwapFairRate(H15,_xll.ohTrigger($P$2:$P$6))</f>
        <v>1.9179019229654678E-3</v>
      </c>
      <c r="M15" s="219">
        <f ca="1">_xll.qlInterpolationInterpolate(BasisInterpolator,I15,,L15)</f>
        <v>4.3471439798466391E-3</v>
      </c>
      <c r="N15" s="242">
        <f t="shared" ca="1" si="0"/>
        <v>6.2650459028121067E-3</v>
      </c>
    </row>
    <row r="16" spans="1:16" x14ac:dyDescent="0.2">
      <c r="A16" s="244"/>
      <c r="B16" s="245"/>
      <c r="C16" s="246"/>
      <c r="D16" s="241"/>
      <c r="E16" s="242" t="e">
        <f ca="1"/>
        <v>#N/A</v>
      </c>
      <c r="F16" s="205">
        <v>9</v>
      </c>
      <c r="G16" s="243">
        <f>_xll.qlInterestRateIndexFixingDate(IborIndex,I16)</f>
        <v>42010</v>
      </c>
      <c r="H16" s="205" t="str">
        <f>_xll.qlMakeDatedOIS(,I16,J16,OvernightIndex,0,"Act/360",0)</f>
        <v>obj_003da#0000</v>
      </c>
      <c r="I16" s="243">
        <f>_xll.qlCalendarAdvance(Calendar,$D$2,F16&amp;"M","mf")</f>
        <v>42012</v>
      </c>
      <c r="J16" s="243">
        <f>_xll.qlInterestRateIndexMaturity(IborIndex,I16)</f>
        <v>42377</v>
      </c>
      <c r="L16" s="242">
        <f ca="1">_xll.qlOvernightIndexedSwapFairRate(H16,_xll.ohTrigger($P$2:$P$6))</f>
        <v>2.0136745107539448E-3</v>
      </c>
      <c r="M16" s="219">
        <f ca="1">_xll.qlInterpolationInterpolate(BasisInterpolator,I16,,L16)</f>
        <v>4.3471656097291379E-3</v>
      </c>
      <c r="N16" s="242">
        <f t="shared" ca="1" si="0"/>
        <v>6.3608401204830831E-3</v>
      </c>
    </row>
    <row r="17" spans="1:14" x14ac:dyDescent="0.2">
      <c r="A17" s="244"/>
      <c r="B17" s="245"/>
      <c r="C17" s="246"/>
      <c r="D17" s="241"/>
      <c r="E17" s="242" t="e">
        <f ca="1"/>
        <v>#N/A</v>
      </c>
      <c r="F17" s="205">
        <v>10</v>
      </c>
      <c r="G17" s="243">
        <f>_xll.qlInterestRateIndexFixingDate(IborIndex,I17)</f>
        <v>42040</v>
      </c>
      <c r="H17" s="205" t="str">
        <f>_xll.qlMakeDatedOIS(,I17,J17,OvernightIndex,0,"Act/360",0)</f>
        <v>obj_003bb#0000</v>
      </c>
      <c r="I17" s="243">
        <f>_xll.qlCalendarAdvance(Calendar,$D$2,F17&amp;"M","mf")</f>
        <v>42044</v>
      </c>
      <c r="J17" s="243">
        <f>_xll.qlInterestRateIndexMaturity(IborIndex,I17)</f>
        <v>42409</v>
      </c>
      <c r="L17" s="242">
        <f ca="1">_xll.qlOvernightIndexedSwapFairRate(H17,_xll.ohTrigger($P$2:$P$6))</f>
        <v>2.1393020667165624E-3</v>
      </c>
      <c r="M17" s="219">
        <f ca="1">_xll.qlInterpolationInterpolate(BasisInterpolator,I17,,L17)</f>
        <v>4.3476673616217286E-3</v>
      </c>
      <c r="N17" s="242">
        <f t="shared" ca="1" si="0"/>
        <v>6.4869694283382906E-3</v>
      </c>
    </row>
    <row r="18" spans="1:14" x14ac:dyDescent="0.2">
      <c r="A18" s="244"/>
      <c r="B18" s="245"/>
      <c r="C18" s="246"/>
      <c r="D18" s="241"/>
      <c r="E18" s="242" t="e">
        <f ca="1"/>
        <v>#N/A</v>
      </c>
      <c r="F18" s="205">
        <v>11</v>
      </c>
      <c r="G18" s="243">
        <f>_xll.qlInterestRateIndexFixingDate(IborIndex,I18)</f>
        <v>42068</v>
      </c>
      <c r="H18" s="205" t="str">
        <f>_xll.qlMakeDatedOIS(,I18,J18,OvernightIndex,0,"Act/360",0)</f>
        <v>obj_003de#0000</v>
      </c>
      <c r="I18" s="243">
        <f>_xll.qlCalendarAdvance(Calendar,$D$2,F18&amp;"M","mf")</f>
        <v>42072</v>
      </c>
      <c r="J18" s="243">
        <f>_xll.qlInterestRateIndexMaturity(IborIndex,I18)</f>
        <v>42438</v>
      </c>
      <c r="L18" s="242">
        <f ca="1">_xll.qlOvernightIndexedSwapFairRate(H18,_xll.ohTrigger($P$2:$P$6))</f>
        <v>2.2743743954137209E-3</v>
      </c>
      <c r="M18" s="219">
        <f ca="1">_xll.qlInterpolationInterpolate(BasisInterpolator,I18,,L18)</f>
        <v>4.3485499296945888E-3</v>
      </c>
      <c r="N18" s="242">
        <f t="shared" ca="1" si="0"/>
        <v>6.6229243251083097E-3</v>
      </c>
    </row>
    <row r="19" spans="1:14" x14ac:dyDescent="0.2">
      <c r="A19" s="244"/>
      <c r="B19" s="245"/>
      <c r="C19" s="246"/>
      <c r="D19" s="241"/>
      <c r="E19" s="242" t="e">
        <f ca="1"/>
        <v>#N/A</v>
      </c>
      <c r="F19" s="205">
        <v>13</v>
      </c>
      <c r="G19" s="243">
        <f>_xll.qlInterestRateIndexFixingDate(IborIndex,I19)</f>
        <v>42130</v>
      </c>
      <c r="H19" s="205" t="str">
        <f>_xll.qlMakeDatedOIS(,I19,J19,OvernightIndex,0,"Act/360",0)</f>
        <v>obj_003b7#0000</v>
      </c>
      <c r="I19" s="243">
        <f>_xll.qlCalendarAdvance(Calendar,$D$2,F19&amp;"M","mf")</f>
        <v>42132</v>
      </c>
      <c r="J19" s="243">
        <f>_xll.qlInterestRateIndexMaturity(IborIndex,I19)</f>
        <v>42499</v>
      </c>
      <c r="L19" s="242">
        <f ca="1">_xll.qlOvernightIndexedSwapFairRate(H19,_xll.ohTrigger($P$2:$P$6))</f>
        <v>2.5911210962909952E-3</v>
      </c>
      <c r="M19" s="219">
        <f ca="1">_xll.qlInterpolationInterpolate(BasisInterpolator,I19,,L19)</f>
        <v>4.3579005356095364E-3</v>
      </c>
      <c r="N19" s="242">
        <f t="shared" ca="1" si="0"/>
        <v>6.9490216319005316E-3</v>
      </c>
    </row>
    <row r="20" spans="1:14" x14ac:dyDescent="0.2">
      <c r="A20" s="244"/>
      <c r="B20" s="245"/>
      <c r="C20" s="246"/>
      <c r="D20" s="241"/>
      <c r="E20" s="242" t="e">
        <f ca="1"/>
        <v>#N/A</v>
      </c>
      <c r="F20" s="205">
        <v>14</v>
      </c>
      <c r="G20" s="243">
        <f>_xll.qlInterestRateIndexFixingDate(IborIndex,I20)</f>
        <v>42159</v>
      </c>
      <c r="H20" s="205" t="str">
        <f>_xll.qlMakeDatedOIS(,I20,J20,OvernightIndex,0,"Act/360",0)</f>
        <v>obj_003d5#0000</v>
      </c>
      <c r="I20" s="243">
        <f>_xll.qlCalendarAdvance(Calendar,$D$2,F20&amp;"M","mf")</f>
        <v>42163</v>
      </c>
      <c r="J20" s="243">
        <f>_xll.qlInterestRateIndexMaturity(IborIndex,I20)</f>
        <v>42529</v>
      </c>
      <c r="L20" s="242">
        <f ca="1">_xll.qlOvernightIndexedSwapFairRate(H20,_xll.ohTrigger($P$2:$P$6))</f>
        <v>2.7849173486404486E-3</v>
      </c>
      <c r="M20" s="219">
        <f ca="1">_xll.qlInterpolationInterpolate(BasisInterpolator,I20,,L20)</f>
        <v>4.3779637413347882E-3</v>
      </c>
      <c r="N20" s="242">
        <f t="shared" ca="1" si="0"/>
        <v>7.1628810899752367E-3</v>
      </c>
    </row>
    <row r="21" spans="1:14" x14ac:dyDescent="0.2">
      <c r="A21" s="244"/>
      <c r="B21" s="245"/>
      <c r="C21" s="246"/>
      <c r="D21" s="241"/>
      <c r="E21" s="242" t="e">
        <f ca="1"/>
        <v>#N/A</v>
      </c>
      <c r="F21" s="205">
        <v>15</v>
      </c>
      <c r="G21" s="243">
        <f>_xll.qlInterestRateIndexFixingDate(IborIndex,I21)</f>
        <v>42191</v>
      </c>
      <c r="H21" s="205" t="str">
        <f>_xll.qlMakeDatedOIS(,I21,J21,OvernightIndex,0,"Act/360",0)</f>
        <v>obj_003c6#0000</v>
      </c>
      <c r="I21" s="243">
        <f>_xll.qlCalendarAdvance(Calendar,$D$2,F21&amp;"M","mf")</f>
        <v>42193</v>
      </c>
      <c r="J21" s="243">
        <f>_xll.qlInterestRateIndexMaturity(IborIndex,I21)</f>
        <v>42559</v>
      </c>
      <c r="L21" s="242">
        <f ca="1">_xll.qlOvernightIndexedSwapFairRate(H21,_xll.ohTrigger($P$2:$P$6))</f>
        <v>2.9919871347875568E-3</v>
      </c>
      <c r="M21" s="219">
        <f ca="1">_xll.qlInterpolationInterpolate(BasisInterpolator,I21,,L21)</f>
        <v>4.4073446910278934E-3</v>
      </c>
      <c r="N21" s="242">
        <f t="shared" ca="1" si="0"/>
        <v>7.3993318258154502E-3</v>
      </c>
    </row>
    <row r="22" spans="1:14" x14ac:dyDescent="0.2">
      <c r="A22" s="244"/>
      <c r="B22" s="245"/>
      <c r="C22" s="246"/>
      <c r="D22" s="241"/>
      <c r="E22" s="242" t="e">
        <f ca="1"/>
        <v>#N/A</v>
      </c>
      <c r="F22" s="205">
        <v>16</v>
      </c>
      <c r="G22" s="243">
        <f>_xll.qlInterestRateIndexFixingDate(IborIndex,I22)</f>
        <v>42222</v>
      </c>
      <c r="H22" s="205" t="str">
        <f>_xll.qlMakeDatedOIS(,I22,J22,OvernightIndex,0,"Act/360",0)</f>
        <v>obj_003b4#0000</v>
      </c>
      <c r="I22" s="243">
        <f>_xll.qlCalendarAdvance(Calendar,$D$2,F22&amp;"M","mf")</f>
        <v>42226</v>
      </c>
      <c r="J22" s="243">
        <f>_xll.qlInterestRateIndexMaturity(IborIndex,I22)</f>
        <v>42592</v>
      </c>
      <c r="L22" s="242">
        <f ca="1">_xll.qlOvernightIndexedSwapFairRate(H22,_xll.ohTrigger($P$2:$P$6))</f>
        <v>3.2319565440664744E-3</v>
      </c>
      <c r="M22" s="219">
        <f ca="1">_xll.qlInterpolationInterpolate(BasisInterpolator,I22,,L22)</f>
        <v>4.4491649953341417E-3</v>
      </c>
      <c r="N22" s="242">
        <f t="shared" ca="1" si="0"/>
        <v>7.6811215394006161E-3</v>
      </c>
    </row>
    <row r="23" spans="1:14" x14ac:dyDescent="0.2">
      <c r="A23" s="244"/>
      <c r="B23" s="245"/>
      <c r="C23" s="246"/>
      <c r="D23" s="241"/>
      <c r="E23" s="242" t="e">
        <f ca="1"/>
        <v>#N/A</v>
      </c>
      <c r="F23" s="205">
        <v>17</v>
      </c>
      <c r="G23" s="243">
        <f>_xll.qlInterestRateIndexFixingDate(IborIndex,I23)</f>
        <v>42251</v>
      </c>
      <c r="H23" s="205" t="str">
        <f>_xll.qlMakeDatedOIS(,I23,J23,OvernightIndex,0,"Act/360",0)</f>
        <v>obj_003bc#0000</v>
      </c>
      <c r="I23" s="243">
        <f>_xll.qlCalendarAdvance(Calendar,$D$2,F23&amp;"M","mf")</f>
        <v>42255</v>
      </c>
      <c r="J23" s="243">
        <f>_xll.qlInterestRateIndexMaturity(IborIndex,I23)</f>
        <v>42621</v>
      </c>
      <c r="L23" s="242">
        <f ca="1">_xll.qlOvernightIndexedSwapFairRate(H23,_xll.ohTrigger($P$2:$P$6))</f>
        <v>3.4552987594008659E-3</v>
      </c>
      <c r="M23" s="219">
        <f ca="1">_xll.qlInterpolationInterpolate(BasisInterpolator,I23,,L23)</f>
        <v>4.4925930768916385E-3</v>
      </c>
      <c r="N23" s="242">
        <f t="shared" ca="1" si="0"/>
        <v>7.9478918362925043E-3</v>
      </c>
    </row>
    <row r="24" spans="1:14" x14ac:dyDescent="0.2">
      <c r="A24" s="244"/>
      <c r="B24" s="245"/>
      <c r="C24" s="246"/>
      <c r="D24" s="241"/>
      <c r="E24" s="242" t="e">
        <f ca="1"/>
        <v>#N/A</v>
      </c>
      <c r="F24" s="205">
        <v>18</v>
      </c>
      <c r="G24" s="243">
        <f>_xll.qlInterestRateIndexFixingDate(IborIndex,I24)</f>
        <v>42283</v>
      </c>
      <c r="H24" s="205" t="str">
        <f>_xll.qlMakeDatedOIS(,I24,J24,OvernightIndex,0,"Act/360",0)</f>
        <v>obj_003c9#0000</v>
      </c>
      <c r="I24" s="243">
        <f>_xll.qlCalendarAdvance(Calendar,$D$2,F24&amp;"M","mf")</f>
        <v>42285</v>
      </c>
      <c r="J24" s="243">
        <f>_xll.qlInterestRateIndexMaturity(IborIndex,I24)</f>
        <v>42653</v>
      </c>
      <c r="L24" s="242">
        <f ca="1">_xll.qlOvernightIndexedSwapFairRate(H24,_xll.ohTrigger($P$2:$P$6))</f>
        <v>3.7121286768733983E-3</v>
      </c>
      <c r="M24" s="219">
        <f ca="1">_xll.qlInterpolationInterpolate(BasisInterpolator,I24,,L24)</f>
        <v>4.5425754360845713E-3</v>
      </c>
      <c r="N24" s="242">
        <f t="shared" ca="1" si="0"/>
        <v>8.2547041129579692E-3</v>
      </c>
    </row>
    <row r="25" spans="1:14" x14ac:dyDescent="0.2">
      <c r="A25" s="244"/>
      <c r="B25" s="245"/>
      <c r="C25" s="246"/>
      <c r="D25" s="241"/>
      <c r="E25" s="242" t="e">
        <f ca="1"/>
        <v>#N/A</v>
      </c>
      <c r="F25" s="205">
        <v>19</v>
      </c>
      <c r="G25" s="243">
        <f>_xll.qlInterestRateIndexFixingDate(IborIndex,I25)</f>
        <v>42313</v>
      </c>
      <c r="H25" s="205" t="str">
        <f>_xll.qlMakeDatedOIS(,I25,J25,OvernightIndex,0,"Act/360",0)</f>
        <v>obj_003be#0000</v>
      </c>
      <c r="I25" s="243">
        <f>_xll.qlCalendarAdvance(Calendar,$D$2,F25&amp;"M","mf")</f>
        <v>42317</v>
      </c>
      <c r="J25" s="243">
        <f>_xll.qlInterestRateIndexMaturity(IborIndex,I25)</f>
        <v>42683</v>
      </c>
      <c r="L25" s="242">
        <f ca="1">_xll.qlOvernightIndexedSwapFairRate(H25,_xll.ohTrigger($P$2:$P$6))</f>
        <v>3.9859012874895339E-3</v>
      </c>
      <c r="M25" s="219">
        <f ca="1">_xll.qlInterpolationInterpolate(BasisInterpolator,I25,,L25)</f>
        <v>4.5998770849460698E-3</v>
      </c>
      <c r="N25" s="242">
        <f t="shared" ca="1" si="0"/>
        <v>8.5857783724356037E-3</v>
      </c>
    </row>
    <row r="26" spans="1:14" x14ac:dyDescent="0.2">
      <c r="A26" s="244"/>
      <c r="B26" s="245"/>
      <c r="C26" s="246"/>
      <c r="D26" s="241"/>
      <c r="E26" s="242" t="e">
        <f ca="1"/>
        <v>#N/A</v>
      </c>
      <c r="F26" s="205">
        <v>20</v>
      </c>
      <c r="G26" s="243">
        <f>_xll.qlInterestRateIndexFixingDate(IborIndex,I26)</f>
        <v>42342</v>
      </c>
      <c r="H26" s="205" t="str">
        <f>_xll.qlMakeDatedOIS(,I26,J26,OvernightIndex,0,"Act/360",0)</f>
        <v>obj_003cc#0000</v>
      </c>
      <c r="I26" s="243">
        <f>_xll.qlCalendarAdvance(Calendar,$D$2,F26&amp;"M","mf")</f>
        <v>42346</v>
      </c>
      <c r="J26" s="243">
        <f>_xll.qlInterestRateIndexMaturity(IborIndex,I26)</f>
        <v>42712</v>
      </c>
      <c r="L26" s="242">
        <f ca="1">_xll.qlOvernightIndexedSwapFairRate(H26,_xll.ohTrigger($P$2:$P$6))</f>
        <v>4.2601003640526719E-3</v>
      </c>
      <c r="M26" s="219">
        <f ca="1">_xll.qlInterpolationInterpolate(BasisInterpolator,I26,,L26)</f>
        <v>4.6538629217115976E-3</v>
      </c>
      <c r="N26" s="242">
        <f t="shared" ca="1" si="0"/>
        <v>8.9139632857642703E-3</v>
      </c>
    </row>
    <row r="27" spans="1:14" x14ac:dyDescent="0.2">
      <c r="A27" s="244"/>
      <c r="B27" s="245"/>
      <c r="C27" s="246"/>
      <c r="D27" s="241"/>
      <c r="E27" s="242" t="e">
        <f ca="1"/>
        <v>#N/A</v>
      </c>
      <c r="F27" s="205">
        <v>21</v>
      </c>
      <c r="G27" s="243">
        <f>_xll.qlInterestRateIndexFixingDate(IborIndex,I27)</f>
        <v>42375</v>
      </c>
      <c r="H27" s="205" t="str">
        <f>_xll.qlMakeDatedOIS(,I27,J27,OvernightIndex,0,"Act/360",0)</f>
        <v>obj_003db#0000</v>
      </c>
      <c r="I27" s="243">
        <f>_xll.qlCalendarAdvance(Calendar,$D$2,F27&amp;"M","mf")</f>
        <v>42377</v>
      </c>
      <c r="J27" s="243">
        <f>_xll.qlInterestRateIndexMaturity(IborIndex,I27)</f>
        <v>42744</v>
      </c>
      <c r="L27" s="242">
        <f ca="1">_xll.qlOvernightIndexedSwapFairRate(H27,_xll.ohTrigger($P$2:$P$6))</f>
        <v>4.5743062852416604E-3</v>
      </c>
      <c r="M27" s="219">
        <f ca="1">_xll.qlInterpolationInterpolate(BasisInterpolator,I27,,L27)</f>
        <v>4.7121406497118356E-3</v>
      </c>
      <c r="N27" s="242">
        <f t="shared" ca="1" si="0"/>
        <v>9.2864469349534969E-3</v>
      </c>
    </row>
    <row r="28" spans="1:14" x14ac:dyDescent="0.2">
      <c r="A28" s="244"/>
      <c r="B28" s="245"/>
      <c r="C28" s="246"/>
      <c r="D28" s="241"/>
      <c r="E28" s="242" t="e">
        <f ca="1"/>
        <v>#N/A</v>
      </c>
      <c r="F28" s="205">
        <v>22</v>
      </c>
      <c r="G28" s="243">
        <f>_xll.qlInterestRateIndexFixingDate(IborIndex,I28)</f>
        <v>42404</v>
      </c>
      <c r="H28" s="205" t="str">
        <f>_xll.qlMakeDatedOIS(,I28,J28,OvernightIndex,0,"Act/360",0)</f>
        <v>obj_003c2#0000</v>
      </c>
      <c r="I28" s="243">
        <f>_xll.qlCalendarAdvance(Calendar,$D$2,F28&amp;"M","mf")</f>
        <v>42408</v>
      </c>
      <c r="J28" s="243">
        <f>_xll.qlInterestRateIndexMaturity(IborIndex,I28)</f>
        <v>42774</v>
      </c>
      <c r="L28" s="242">
        <f ca="1">_xll.qlOvernightIndexedSwapFairRate(H28,_xll.ohTrigger($P$2:$P$6))</f>
        <v>4.8912986093511083E-3</v>
      </c>
      <c r="M28" s="219">
        <f ca="1">_xll.qlInterpolationInterpolate(BasisInterpolator,I28,,L28)</f>
        <v>4.7693775897514846E-3</v>
      </c>
      <c r="N28" s="242">
        <f t="shared" ca="1" si="0"/>
        <v>9.660676199102592E-3</v>
      </c>
    </row>
    <row r="29" spans="1:14" x14ac:dyDescent="0.2">
      <c r="A29" s="244"/>
      <c r="B29" s="245"/>
      <c r="C29" s="246"/>
      <c r="D29" s="241"/>
      <c r="E29" s="242" t="e">
        <f ca="1"/>
        <v>#N/A</v>
      </c>
      <c r="F29" s="205">
        <v>23</v>
      </c>
      <c r="G29" s="243">
        <f>_xll.qlInterestRateIndexFixingDate(IborIndex,I29)</f>
        <v>42433</v>
      </c>
      <c r="H29" s="205" t="str">
        <f>_xll.qlMakeDatedOIS(,I29,J29,OvernightIndex,0,"Act/360",0)</f>
        <v>obj_003c1#0000</v>
      </c>
      <c r="I29" s="243">
        <f>_xll.qlCalendarAdvance(Calendar,$D$2,F29&amp;"M","mf")</f>
        <v>42437</v>
      </c>
      <c r="J29" s="243">
        <f>_xll.qlInterestRateIndexMaturity(IborIndex,I29)</f>
        <v>42802</v>
      </c>
      <c r="L29" s="242">
        <f ca="1">_xll.qlOvernightIndexedSwapFairRate(H29,_xll.ohTrigger($P$2:$P$6))</f>
        <v>5.1966099849654057E-3</v>
      </c>
      <c r="M29" s="219">
        <f ca="1">_xll.qlInterpolationInterpolate(BasisInterpolator,I29,,L29)</f>
        <v>4.8205053209727945E-3</v>
      </c>
      <c r="N29" s="242">
        <f t="shared" ca="1" si="0"/>
        <v>1.00171153059382E-2</v>
      </c>
    </row>
    <row r="30" spans="1:14" x14ac:dyDescent="0.2">
      <c r="A30" s="244"/>
      <c r="B30" s="245"/>
      <c r="C30" s="246"/>
      <c r="D30" s="241"/>
      <c r="E30" s="242" t="e">
        <f ca="1"/>
        <v>#N/A</v>
      </c>
      <c r="F30" s="205">
        <v>25</v>
      </c>
      <c r="G30" s="243">
        <f>_xll.qlInterestRateIndexFixingDate(IborIndex,I30)</f>
        <v>42495</v>
      </c>
      <c r="H30" s="205" t="str">
        <f>_xll.qlMakeDatedOIS(,I30,J30,OvernightIndex,0,"Act/360",0)</f>
        <v>obj_003cb#0000</v>
      </c>
      <c r="I30" s="243">
        <f>_xll.qlCalendarAdvance(Calendar,$D$2,F30&amp;"M","mf")</f>
        <v>42499</v>
      </c>
      <c r="J30" s="243">
        <f>_xll.qlInterestRateIndexMaturity(IborIndex,I30)</f>
        <v>42864</v>
      </c>
      <c r="L30" s="242">
        <f ca="1">_xll.qlOvernightIndexedSwapFairRate(H30,_xll.ohTrigger($P$2:$P$6))</f>
        <v>5.8773606698627389E-3</v>
      </c>
      <c r="M30" s="219">
        <f ca="1">_xll.qlInterpolationInterpolate(BasisInterpolator,I30,,L30)</f>
        <v>4.9176909611593636E-3</v>
      </c>
      <c r="N30" s="242">
        <f t="shared" ca="1" si="0"/>
        <v>1.0795051631022103E-2</v>
      </c>
    </row>
    <row r="31" spans="1:14" x14ac:dyDescent="0.2">
      <c r="A31" s="244"/>
      <c r="B31" s="245"/>
      <c r="C31" s="246"/>
      <c r="D31" s="241"/>
      <c r="E31" s="242" t="e">
        <f ca="1"/>
        <v>#N/A</v>
      </c>
      <c r="F31" s="205">
        <v>26</v>
      </c>
      <c r="G31" s="243">
        <f>_xll.qlInterestRateIndexFixingDate(IborIndex,I31)</f>
        <v>42527</v>
      </c>
      <c r="H31" s="205" t="str">
        <f>_xll.qlMakeDatedOIS(,I31,J31,OvernightIndex,0,"Act/360",0)</f>
        <v>obj_003d6#0000</v>
      </c>
      <c r="I31" s="243">
        <f>_xll.qlCalendarAdvance(Calendar,$D$2,F31&amp;"M","mf")</f>
        <v>42529</v>
      </c>
      <c r="J31" s="243">
        <f>_xll.qlInterestRateIndexMaturity(IborIndex,I31)</f>
        <v>42894</v>
      </c>
      <c r="L31" s="242">
        <f ca="1">_xll.qlOvernightIndexedSwapFairRate(H31,_xll.ohTrigger($P$2:$P$6))</f>
        <v>6.2109856181069142E-3</v>
      </c>
      <c r="M31" s="219">
        <f ca="1">_xll.qlInterpolationInterpolate(BasisInterpolator,I31,,L31)</f>
        <v>4.9606473974032478E-3</v>
      </c>
      <c r="N31" s="242">
        <f t="shared" ca="1" si="0"/>
        <v>1.1171633015510163E-2</v>
      </c>
    </row>
    <row r="32" spans="1:14" x14ac:dyDescent="0.2">
      <c r="A32" s="244"/>
      <c r="B32" s="245"/>
      <c r="C32" s="246"/>
      <c r="D32" s="241"/>
      <c r="E32" s="242" t="e">
        <f ca="1"/>
        <v>#N/A</v>
      </c>
      <c r="F32" s="205">
        <v>27</v>
      </c>
      <c r="G32" s="243">
        <f>_xll.qlInterestRateIndexFixingDate(IborIndex,I32)</f>
        <v>42557</v>
      </c>
      <c r="H32" s="205" t="str">
        <f>_xll.qlMakeDatedOIS(,I32,J32,OvernightIndex,0,"Act/360",0)</f>
        <v>obj_003c7#0000</v>
      </c>
      <c r="I32" s="243">
        <f>_xll.qlCalendarAdvance(Calendar,$D$2,F32&amp;"M","mf")</f>
        <v>42559</v>
      </c>
      <c r="J32" s="243">
        <f>_xll.qlInterestRateIndexMaturity(IborIndex,I32)</f>
        <v>42926</v>
      </c>
      <c r="L32" s="242">
        <f ca="1">_xll.qlOvernightIndexedSwapFairRate(H32,_xll.ohTrigger($P$2:$P$6))</f>
        <v>6.5583695745729635E-3</v>
      </c>
      <c r="M32" s="219">
        <f ca="1">_xll.qlInterpolationInterpolate(BasisInterpolator,I32,,L32)</f>
        <v>5.0012661188813179E-3</v>
      </c>
      <c r="N32" s="242">
        <f t="shared" ca="1" si="0"/>
        <v>1.1559635693454282E-2</v>
      </c>
    </row>
    <row r="33" spans="1:14" x14ac:dyDescent="0.2">
      <c r="A33" s="244"/>
      <c r="B33" s="245"/>
      <c r="C33" s="246"/>
      <c r="D33" s="241"/>
      <c r="E33" s="242" t="e">
        <f ca="1"/>
        <v>#N/A</v>
      </c>
      <c r="F33" s="205">
        <v>28</v>
      </c>
      <c r="G33" s="243">
        <f>_xll.qlInterestRateIndexFixingDate(IborIndex,I33)</f>
        <v>42586</v>
      </c>
      <c r="H33" s="205" t="str">
        <f>_xll.qlMakeDatedOIS(,I33,J33,OvernightIndex,0,"Act/360",0)</f>
        <v>obj_003d8#0000</v>
      </c>
      <c r="I33" s="243">
        <f>_xll.qlCalendarAdvance(Calendar,$D$2,F33&amp;"M","mf")</f>
        <v>42590</v>
      </c>
      <c r="J33" s="243">
        <f>_xll.qlInterestRateIndexMaturity(IborIndex,I33)</f>
        <v>42955</v>
      </c>
      <c r="L33" s="242">
        <f ca="1">_xll.qlOvernightIndexedSwapFairRate(H33,_xll.ohTrigger($P$2:$P$6))</f>
        <v>6.8960777698487937E-3</v>
      </c>
      <c r="M33" s="219">
        <f ca="1">_xll.qlInterpolationInterpolate(BasisInterpolator,I33,,L33)</f>
        <v>5.0406296429802797E-3</v>
      </c>
      <c r="N33" s="242">
        <f t="shared" ca="1" si="0"/>
        <v>1.1936707412829074E-2</v>
      </c>
    </row>
    <row r="34" spans="1:14" x14ac:dyDescent="0.2">
      <c r="A34" s="244"/>
      <c r="B34" s="245"/>
      <c r="C34" s="246"/>
      <c r="D34" s="241"/>
      <c r="E34" s="242" t="e">
        <f ca="1"/>
        <v>#N/A</v>
      </c>
      <c r="F34" s="205">
        <v>29</v>
      </c>
      <c r="G34" s="243">
        <f>_xll.qlInterestRateIndexFixingDate(IborIndex,I34)</f>
        <v>42619</v>
      </c>
      <c r="H34" s="205" t="str">
        <f>_xll.qlMakeDatedOIS(,I34,J34,OvernightIndex,0,"Act/360",0)</f>
        <v>obj_003b1#0000</v>
      </c>
      <c r="I34" s="243">
        <f>_xll.qlCalendarAdvance(Calendar,$D$2,F34&amp;"M","mf")</f>
        <v>42621</v>
      </c>
      <c r="J34" s="243">
        <f>_xll.qlInterestRateIndexMaturity(IborIndex,I34)</f>
        <v>42986</v>
      </c>
      <c r="L34" s="242">
        <f ca="1">_xll.qlOvernightIndexedSwapFairRate(H34,_xll.ohTrigger($P$2:$P$6))</f>
        <v>7.2471893529671054E-3</v>
      </c>
      <c r="M34" s="219">
        <f ca="1">_xll.qlInterpolationInterpolate(BasisInterpolator,I34,,L34)</f>
        <v>5.0771837596404745E-3</v>
      </c>
      <c r="N34" s="242">
        <f t="shared" ca="1" si="0"/>
        <v>1.2324373112607579E-2</v>
      </c>
    </row>
    <row r="35" spans="1:14" x14ac:dyDescent="0.2">
      <c r="A35" s="244"/>
      <c r="B35" s="245"/>
      <c r="C35" s="246"/>
      <c r="D35" s="241"/>
      <c r="E35" s="242" t="e">
        <f ca="1"/>
        <v>#N/A</v>
      </c>
      <c r="F35" s="205">
        <v>30</v>
      </c>
      <c r="G35" s="243">
        <f>_xll.qlInterestRateIndexFixingDate(IborIndex,I35)</f>
        <v>42649</v>
      </c>
      <c r="H35" s="205" t="str">
        <f>_xll.qlMakeDatedOIS(,I35,J35,OvernightIndex,0,"Act/360",0)</f>
        <v>obj_003d4#0000</v>
      </c>
      <c r="I35" s="243">
        <f>_xll.qlCalendarAdvance(Calendar,$D$2,F35&amp;"M","mf")</f>
        <v>42653</v>
      </c>
      <c r="J35" s="243">
        <f>_xll.qlInterestRateIndexMaturity(IborIndex,I35)</f>
        <v>43018</v>
      </c>
      <c r="L35" s="242">
        <f ca="1">_xll.qlOvernightIndexedSwapFairRate(H35,_xll.ohTrigger($P$2:$P$6))</f>
        <v>7.6113501390099939E-3</v>
      </c>
      <c r="M35" s="219">
        <f ca="1">_xll.qlInterpolationInterpolate(BasisInterpolator,I35,,L35)</f>
        <v>5.1118014606653384E-3</v>
      </c>
      <c r="N35" s="242">
        <f t="shared" ca="1" si="0"/>
        <v>1.2723151599675332E-2</v>
      </c>
    </row>
    <row r="36" spans="1:14" x14ac:dyDescent="0.2">
      <c r="A36" s="244"/>
      <c r="B36" s="245"/>
      <c r="C36" s="246"/>
      <c r="D36" s="241"/>
      <c r="E36" s="242" t="e">
        <f ca="1"/>
        <v>#N/A</v>
      </c>
      <c r="F36" s="205">
        <v>31</v>
      </c>
      <c r="G36" s="243">
        <f>_xll.qlInterestRateIndexFixingDate(IborIndex,I36)</f>
        <v>42678</v>
      </c>
      <c r="H36" s="205" t="str">
        <f>_xll.qlMakeDatedOIS(,I36,J36,OvernightIndex,0,"Act/360",0)</f>
        <v>obj_003c5#0000</v>
      </c>
      <c r="I36" s="243">
        <f>_xll.qlCalendarAdvance(Calendar,$D$2,F36&amp;"M","mf")</f>
        <v>42682</v>
      </c>
      <c r="J36" s="243">
        <f>_xll.qlInterestRateIndexMaturity(IborIndex,I36)</f>
        <v>43047</v>
      </c>
      <c r="L36" s="242">
        <f ca="1">_xll.qlOvernightIndexedSwapFairRate(H36,_xll.ohTrigger($P$2:$P$6))</f>
        <v>7.9426465282036052E-3</v>
      </c>
      <c r="M36" s="219">
        <f ca="1">_xll.qlInterpolationInterpolate(BasisInterpolator,I36,,L36)</f>
        <v>5.1402949484345506E-3</v>
      </c>
      <c r="N36" s="242">
        <f t="shared" ca="1" si="0"/>
        <v>1.3082941476638157E-2</v>
      </c>
    </row>
    <row r="37" spans="1:14" x14ac:dyDescent="0.2">
      <c r="A37" s="244"/>
      <c r="B37" s="245"/>
      <c r="C37" s="246"/>
      <c r="D37" s="241"/>
      <c r="E37" s="242" t="e">
        <f ca="1"/>
        <v>#N/A</v>
      </c>
      <c r="F37" s="205">
        <v>32</v>
      </c>
      <c r="G37" s="243">
        <f>_xll.qlInterestRateIndexFixingDate(IborIndex,I37)</f>
        <v>42710</v>
      </c>
      <c r="H37" s="205" t="str">
        <f>_xll.qlMakeDatedOIS(,I37,J37,OvernightIndex,0,"Act/360",0)</f>
        <v>obj_003cd#0000</v>
      </c>
      <c r="I37" s="243">
        <f>_xll.qlCalendarAdvance(Calendar,$D$2,F37&amp;"M","mf")</f>
        <v>42712</v>
      </c>
      <c r="J37" s="243">
        <f>_xll.qlInterestRateIndexMaturity(IborIndex,I37)</f>
        <v>43077</v>
      </c>
      <c r="L37" s="242">
        <f ca="1">_xll.qlOvernightIndexedSwapFairRate(H37,_xll.ohTrigger($P$2:$P$6))</f>
        <v>8.2864091990488969E-3</v>
      </c>
      <c r="M37" s="219">
        <f ca="1">_xll.qlInterpolationInterpolate(BasisInterpolator,I37,,L37)</f>
        <v>5.1667470899994551E-3</v>
      </c>
      <c r="N37" s="242">
        <f t="shared" ca="1" si="0"/>
        <v>1.3453156289048352E-2</v>
      </c>
    </row>
    <row r="38" spans="1:14" x14ac:dyDescent="0.2">
      <c r="A38" s="244"/>
      <c r="B38" s="245"/>
      <c r="C38" s="246"/>
      <c r="D38" s="241"/>
      <c r="E38" s="242" t="e">
        <f ca="1"/>
        <v>#N/A</v>
      </c>
      <c r="F38" s="205">
        <v>33</v>
      </c>
      <c r="G38" s="243">
        <f>_xll.qlInterestRateIndexFixingDate(IborIndex,I38)</f>
        <v>42740</v>
      </c>
      <c r="H38" s="205" t="str">
        <f>_xll.qlMakeDatedOIS(,I38,J38,OvernightIndex,0,"Act/360",0)</f>
        <v>obj_003cf#0000</v>
      </c>
      <c r="I38" s="243">
        <f>_xll.qlCalendarAdvance(Calendar,$D$2,F38&amp;"M","mf")</f>
        <v>42744</v>
      </c>
      <c r="J38" s="243">
        <f>_xll.qlInterestRateIndexMaturity(IborIndex,I38)</f>
        <v>43109</v>
      </c>
      <c r="L38" s="242">
        <f ca="1">_xll.qlOvernightIndexedSwapFairRate(H38,_xll.ohTrigger($P$2:$P$6))</f>
        <v>8.6539948574903963E-3</v>
      </c>
      <c r="M38" s="219">
        <f ca="1">_xll.qlInterpolationInterpolate(BasisInterpolator,I38,,L38)</f>
        <v>5.1914124356361932E-3</v>
      </c>
      <c r="N38" s="242">
        <f t="shared" ca="1" si="0"/>
        <v>1.384540729312659E-2</v>
      </c>
    </row>
    <row r="39" spans="1:14" x14ac:dyDescent="0.2">
      <c r="A39" s="244"/>
      <c r="B39" s="245"/>
      <c r="C39" s="246"/>
      <c r="D39" s="241"/>
      <c r="E39" s="242" t="e">
        <f ca="1"/>
        <v>#N/A</v>
      </c>
      <c r="F39" s="205">
        <v>34</v>
      </c>
      <c r="G39" s="243">
        <f>_xll.qlInterestRateIndexFixingDate(IborIndex,I39)</f>
        <v>42772</v>
      </c>
      <c r="H39" s="205" t="str">
        <f>_xll.qlMakeDatedOIS(,I39,J39,OvernightIndex,0,"Act/360",0)</f>
        <v>obj_003bf#0000</v>
      </c>
      <c r="I39" s="243">
        <f>_xll.qlCalendarAdvance(Calendar,$D$2,F39&amp;"M","mf")</f>
        <v>42774</v>
      </c>
      <c r="J39" s="243">
        <f>_xll.qlInterestRateIndexMaturity(IborIndex,I39)</f>
        <v>43139</v>
      </c>
      <c r="L39" s="242">
        <f ca="1">_xll.qlOvernightIndexedSwapFairRate(H39,_xll.ohTrigger($P$2:$P$6))</f>
        <v>8.9992058608894133E-3</v>
      </c>
      <c r="M39" s="219">
        <f ca="1">_xll.qlInterpolationInterpolate(BasisInterpolator,I39,,L39)</f>
        <v>5.2110554174806447E-3</v>
      </c>
      <c r="N39" s="242">
        <f t="shared" ca="1" si="0"/>
        <v>1.4210261278370058E-2</v>
      </c>
    </row>
    <row r="40" spans="1:14" x14ac:dyDescent="0.2">
      <c r="A40" s="244"/>
      <c r="B40" s="245"/>
      <c r="C40" s="246"/>
      <c r="D40" s="241"/>
      <c r="E40" s="242" t="e">
        <f ca="1"/>
        <v>#N/A</v>
      </c>
      <c r="F40" s="205">
        <v>35</v>
      </c>
      <c r="G40" s="243">
        <f>_xll.qlInterestRateIndexFixingDate(IborIndex,I40)</f>
        <v>42800</v>
      </c>
      <c r="H40" s="205" t="str">
        <f>_xll.qlMakeDatedOIS(,I40,J40,OvernightIndex,0,"Act/360",0)</f>
        <v>obj_003c8#0000</v>
      </c>
      <c r="I40" s="243">
        <f>_xll.qlCalendarAdvance(Calendar,$D$2,F40&amp;"M","mf")</f>
        <v>42802</v>
      </c>
      <c r="J40" s="243">
        <f>_xll.qlInterestRateIndexMaturity(IborIndex,I40)</f>
        <v>43167</v>
      </c>
      <c r="L40" s="242">
        <f ca="1">_xll.qlOvernightIndexedSwapFairRate(H40,_xll.ohTrigger($P$2:$P$6))</f>
        <v>9.3217128395499307E-3</v>
      </c>
      <c r="M40" s="219">
        <f ca="1">_xll.qlInterpolationInterpolate(BasisInterpolator,I40,,L40)</f>
        <v>5.2262195645714753E-3</v>
      </c>
      <c r="N40" s="242">
        <f t="shared" ca="1" si="0"/>
        <v>1.4547932404121406E-2</v>
      </c>
    </row>
    <row r="41" spans="1:14" x14ac:dyDescent="0.2">
      <c r="A41" s="244"/>
      <c r="B41" s="245"/>
      <c r="C41" s="246"/>
      <c r="D41" s="241"/>
      <c r="E41" s="242" t="e">
        <f ca="1"/>
        <v>#N/A</v>
      </c>
      <c r="F41" s="205">
        <v>37</v>
      </c>
      <c r="G41" s="243">
        <f>_xll.qlInterestRateIndexFixingDate(IborIndex,I41)</f>
        <v>42859</v>
      </c>
      <c r="H41" s="205" t="str">
        <f>_xll.qlMakeDatedOIS(,I41,J41,OvernightIndex,0,"Act/360",0)</f>
        <v>obj_003d9#0000</v>
      </c>
      <c r="I41" s="243">
        <f>_xll.qlCalendarAdvance(Calendar,$D$2,F41&amp;"M","mf")</f>
        <v>42863</v>
      </c>
      <c r="J41" s="243">
        <f>_xll.qlInterestRateIndexMaturity(IborIndex,I41)</f>
        <v>43228</v>
      </c>
      <c r="L41" s="242">
        <f ca="1">_xll.qlOvernightIndexedSwapFairRate(H41,_xll.ohTrigger($P$2:$P$6))</f>
        <v>1.0024456157474415E-2</v>
      </c>
      <c r="M41" s="219">
        <f ca="1">_xll.qlInterpolationInterpolate(BasisInterpolator,I41,,L41)</f>
        <v>5.248147545765163E-3</v>
      </c>
      <c r="N41" s="242">
        <f t="shared" ca="1" si="0"/>
        <v>1.5272603703239577E-2</v>
      </c>
    </row>
    <row r="42" spans="1:14" x14ac:dyDescent="0.2">
      <c r="A42" s="244"/>
      <c r="B42" s="245"/>
      <c r="C42" s="246"/>
      <c r="D42" s="241"/>
      <c r="E42" s="242" t="e">
        <f ca="1"/>
        <v>#N/A</v>
      </c>
      <c r="F42" s="205">
        <v>38</v>
      </c>
      <c r="G42" s="243">
        <f>_xll.qlInterestRateIndexFixingDate(IborIndex,I42)</f>
        <v>42892</v>
      </c>
      <c r="H42" s="205" t="str">
        <f>_xll.qlMakeDatedOIS(,I42,J42,OvernightIndex,0,"Act/360",0)</f>
        <v>obj_003ce#0000</v>
      </c>
      <c r="I42" s="243">
        <f>_xll.qlCalendarAdvance(Calendar,$D$2,F42&amp;"M","mf")</f>
        <v>42894</v>
      </c>
      <c r="J42" s="243">
        <f>_xll.qlInterestRateIndexMaturity(IborIndex,I42)</f>
        <v>43259</v>
      </c>
      <c r="L42" s="242">
        <f ca="1">_xll.qlOvernightIndexedSwapFairRate(H42,_xll.ohTrigger($P$2:$P$6))</f>
        <v>1.0381496806242131E-2</v>
      </c>
      <c r="M42" s="219">
        <f ca="1">_xll.qlInterpolationInterpolate(BasisInterpolator,I42,,L42)</f>
        <v>5.2536057073629839E-3</v>
      </c>
      <c r="N42" s="242">
        <f t="shared" ca="1" si="0"/>
        <v>1.5635102513605115E-2</v>
      </c>
    </row>
    <row r="43" spans="1:14" x14ac:dyDescent="0.2">
      <c r="A43" s="244"/>
      <c r="B43" s="245"/>
      <c r="C43" s="246"/>
      <c r="D43" s="241"/>
      <c r="E43" s="242" t="e">
        <f ca="1"/>
        <v>#N/A</v>
      </c>
      <c r="F43" s="205">
        <v>39</v>
      </c>
      <c r="G43" s="243">
        <f>_xll.qlInterestRateIndexFixingDate(IborIndex,I43)</f>
        <v>42922</v>
      </c>
      <c r="H43" s="205" t="str">
        <f>_xll.qlMakeDatedOIS(,I43,J43,OvernightIndex,0,"Act/360",0)</f>
        <v>obj_003c0#0000</v>
      </c>
      <c r="I43" s="243">
        <f>_xll.qlCalendarAdvance(Calendar,$D$2,F43&amp;"M","mf")</f>
        <v>42926</v>
      </c>
      <c r="J43" s="243">
        <f>_xll.qlInterestRateIndexMaturity(IborIndex,I43)</f>
        <v>43291</v>
      </c>
      <c r="L43" s="242">
        <f ca="1">_xll.qlOvernightIndexedSwapFairRate(H43,_xll.ohTrigger($P$2:$P$6))</f>
        <v>1.0750116996159352E-2</v>
      </c>
      <c r="M43" s="219">
        <f ca="1">_xll.qlInterpolationInterpolate(BasisInterpolator,I43,,L43)</f>
        <v>5.2556689228628823E-3</v>
      </c>
      <c r="N43" s="242">
        <f t="shared" ca="1" si="0"/>
        <v>1.6005785919022235E-2</v>
      </c>
    </row>
    <row r="44" spans="1:14" x14ac:dyDescent="0.2">
      <c r="A44" s="244"/>
      <c r="B44" s="245"/>
      <c r="C44" s="246"/>
      <c r="D44" s="241"/>
      <c r="E44" s="242" t="e">
        <f ca="1"/>
        <v>#N/A</v>
      </c>
      <c r="F44" s="205">
        <v>40</v>
      </c>
      <c r="G44" s="243">
        <f>_xll.qlInterestRateIndexFixingDate(IborIndex,I44)</f>
        <v>42951</v>
      </c>
      <c r="H44" s="205" t="str">
        <f>_xll.qlMakeDatedOIS(,I44,J44,OvernightIndex,0,"Act/360",0)</f>
        <v>obj_003b2#0000</v>
      </c>
      <c r="I44" s="243">
        <f>_xll.qlCalendarAdvance(Calendar,$D$2,F44&amp;"M","mf")</f>
        <v>42955</v>
      </c>
      <c r="J44" s="243">
        <f>_xll.qlInterestRateIndexMaturity(IborIndex,I44)</f>
        <v>43320</v>
      </c>
      <c r="L44" s="242">
        <f ca="1">_xll.qlOvernightIndexedSwapFairRate(H44,_xll.ohTrigger($P$2:$P$6))</f>
        <v>1.1084333087617908E-2</v>
      </c>
      <c r="M44" s="219">
        <f ca="1">_xll.qlInterpolationInterpolate(BasisInterpolator,I44,,L44)</f>
        <v>5.2547206229277797E-3</v>
      </c>
      <c r="N44" s="242">
        <f t="shared" ca="1" si="0"/>
        <v>1.6339053710545687E-2</v>
      </c>
    </row>
    <row r="45" spans="1:14" x14ac:dyDescent="0.2">
      <c r="A45" s="244"/>
      <c r="B45" s="245"/>
      <c r="C45" s="246"/>
      <c r="D45" s="241"/>
      <c r="E45" s="219" t="e">
        <f ca="1"/>
        <v>#N/A</v>
      </c>
      <c r="F45" s="205">
        <v>41</v>
      </c>
      <c r="G45" s="243">
        <f>_xll.qlInterestRateIndexFixingDate(IborIndex,I45)</f>
        <v>42984</v>
      </c>
      <c r="H45" s="205" t="str">
        <f>_xll.qlMakeDatedOIS(,I45,J45,OvernightIndex,0,"Act/360",0)</f>
        <v>obj_003b3#0000</v>
      </c>
      <c r="I45" s="243">
        <f>_xll.qlCalendarAdvance(Calendar,$D$2,F45&amp;"M","mf")</f>
        <v>42986</v>
      </c>
      <c r="J45" s="243">
        <f>_xll.qlInterestRateIndexMaturity(IborIndex,I45)</f>
        <v>43353</v>
      </c>
      <c r="L45" s="242">
        <f ca="1">_xll.qlOvernightIndexedSwapFairRate(H45,_xll.ohTrigger($P$2:$P$6))</f>
        <v>1.1453780638621488E-2</v>
      </c>
      <c r="M45" s="219">
        <f ca="1">_xll.qlInterpolationInterpolate(BasisInterpolator,I45,,L45)</f>
        <v>5.2510754988489049E-3</v>
      </c>
      <c r="N45" s="242">
        <f t="shared" ca="1" si="0"/>
        <v>1.6704856137470393E-2</v>
      </c>
    </row>
    <row r="46" spans="1:14" x14ac:dyDescent="0.2">
      <c r="A46" s="244"/>
      <c r="B46" s="245"/>
      <c r="C46" s="246"/>
      <c r="D46" s="241"/>
      <c r="E46" s="219" t="e">
        <f ca="1"/>
        <v>#N/A</v>
      </c>
      <c r="F46" s="205">
        <v>42</v>
      </c>
      <c r="G46" s="243">
        <f>_xll.qlInterestRateIndexFixingDate(IborIndex,I46)</f>
        <v>43013</v>
      </c>
      <c r="H46" s="205" t="str">
        <f>_xll.qlMakeDatedOIS(,I46,J46,OvernightIndex,0,"Act/360",0)</f>
        <v>obj_003b0#0000</v>
      </c>
      <c r="I46" s="243">
        <f>_xll.qlCalendarAdvance(Calendar,$D$2,F46&amp;"M","mf")</f>
        <v>43017</v>
      </c>
      <c r="J46" s="243">
        <f>_xll.qlInterestRateIndexMaturity(IborIndex,I46)</f>
        <v>43382</v>
      </c>
      <c r="L46" s="242">
        <f ca="1">_xll.qlOvernightIndexedSwapFairRate(H46,_xll.ohTrigger($P$2:$P$6))</f>
        <v>1.1799780597728743E-2</v>
      </c>
      <c r="M46" s="219">
        <f ca="1">_xll.qlInterpolationInterpolate(BasisInterpolator,I46,,L46)</f>
        <v>5.245050197557579E-3</v>
      </c>
      <c r="N46" s="242">
        <f t="shared" ca="1" si="0"/>
        <v>1.704483079528632E-2</v>
      </c>
    </row>
    <row r="47" spans="1:14" x14ac:dyDescent="0.2">
      <c r="A47" s="244"/>
      <c r="B47" s="245"/>
      <c r="C47" s="246"/>
      <c r="D47" s="241"/>
      <c r="E47" s="219" t="e">
        <f ca="1"/>
        <v>#N/A</v>
      </c>
      <c r="F47" s="205">
        <v>43</v>
      </c>
      <c r="G47" s="243">
        <f>_xll.qlInterestRateIndexFixingDate(IborIndex,I47)</f>
        <v>43045</v>
      </c>
      <c r="H47" s="205" t="str">
        <f>_xll.qlMakeDatedOIS(,I47,J47,OvernightIndex,0,"Act/360",0)</f>
        <v>obj_003c4#0000</v>
      </c>
      <c r="I47" s="243">
        <f>_xll.qlCalendarAdvance(Calendar,$D$2,F47&amp;"M","mf")</f>
        <v>43047</v>
      </c>
      <c r="J47" s="243">
        <f>_xll.qlInterestRateIndexMaturity(IborIndex,I47)</f>
        <v>43412</v>
      </c>
      <c r="L47" s="242">
        <f ca="1">_xll.qlOvernightIndexedSwapFairRate(H47,_xll.ohTrigger($P$2:$P$6))</f>
        <v>1.2146618252678968E-2</v>
      </c>
      <c r="M47" s="219">
        <f ca="1">_xll.qlInterpolationInterpolate(BasisInterpolator,I47,,L47)</f>
        <v>5.237279297731802E-3</v>
      </c>
      <c r="N47" s="242">
        <f t="shared" ca="1" si="0"/>
        <v>1.7383897550410768E-2</v>
      </c>
    </row>
    <row r="48" spans="1:14" x14ac:dyDescent="0.2">
      <c r="A48" s="244"/>
      <c r="B48" s="245"/>
      <c r="C48" s="246"/>
      <c r="D48" s="241"/>
      <c r="E48" s="219" t="e">
        <f ca="1"/>
        <v>#N/A</v>
      </c>
      <c r="F48" s="205">
        <v>44</v>
      </c>
      <c r="G48" s="243">
        <f>_xll.qlInterestRateIndexFixingDate(IborIndex,I48)</f>
        <v>43075</v>
      </c>
      <c r="H48" s="205" t="str">
        <f>_xll.qlMakeDatedOIS(,I48,J48,OvernightIndex,0,"Act/360",0)</f>
        <v>obj_003c3#0000</v>
      </c>
      <c r="I48" s="243">
        <f>_xll.qlCalendarAdvance(Calendar,$D$2,F48&amp;"M","mf")</f>
        <v>43077</v>
      </c>
      <c r="J48" s="243">
        <f>_xll.qlInterestRateIndexMaturity(IborIndex,I48)</f>
        <v>43444</v>
      </c>
      <c r="L48" s="242">
        <f ca="1">_xll.qlOvernightIndexedSwapFairRate(H48,_xll.ohTrigger($P$2:$P$6))</f>
        <v>1.2506083338534053E-2</v>
      </c>
      <c r="M48" s="219">
        <f ca="1">_xll.qlInterpolationInterpolate(BasisInterpolator,I48,,L48)</f>
        <v>5.2279176828221516E-3</v>
      </c>
      <c r="N48" s="242">
        <f t="shared" ca="1" si="0"/>
        <v>1.7734001021356204E-2</v>
      </c>
    </row>
    <row r="49" spans="1:14" x14ac:dyDescent="0.2">
      <c r="A49" s="244"/>
      <c r="B49" s="245"/>
      <c r="C49" s="246"/>
      <c r="D49" s="241"/>
      <c r="E49" s="219" t="e">
        <f ca="1"/>
        <v>#N/A</v>
      </c>
      <c r="F49" s="205">
        <v>45</v>
      </c>
      <c r="G49" s="243">
        <f>_xll.qlInterestRateIndexFixingDate(IborIndex,I49)</f>
        <v>43104</v>
      </c>
      <c r="H49" s="205" t="str">
        <f>_xll.qlMakeDatedOIS(,I49,J49,OvernightIndex,0,"Act/360",0)</f>
        <v>obj_003ca#0000</v>
      </c>
      <c r="I49" s="243">
        <f>_xll.qlCalendarAdvance(Calendar,$D$2,F49&amp;"M","mf")</f>
        <v>43108</v>
      </c>
      <c r="J49" s="243">
        <f>_xll.qlInterestRateIndexMaturity(IborIndex,I49)</f>
        <v>43473</v>
      </c>
      <c r="L49" s="242">
        <f ca="1">_xll.qlOvernightIndexedSwapFairRate(H49,_xll.ohTrigger($P$2:$P$6))</f>
        <v>1.2853691368257232E-2</v>
      </c>
      <c r="M49" s="219">
        <f ca="1">_xll.qlInterpolationInterpolate(BasisInterpolator,I49,,L49)</f>
        <v>5.2169063734734868E-3</v>
      </c>
      <c r="N49" s="242">
        <f t="shared" ca="1" si="0"/>
        <v>1.8070597741730719E-2</v>
      </c>
    </row>
    <row r="50" spans="1:14" x14ac:dyDescent="0.2">
      <c r="A50" s="244"/>
      <c r="B50" s="245"/>
      <c r="C50" s="246"/>
      <c r="D50" s="241"/>
      <c r="E50" s="219" t="e">
        <f ca="1"/>
        <v>#N/A</v>
      </c>
      <c r="F50" s="205">
        <v>46</v>
      </c>
      <c r="G50" s="243">
        <f>_xll.qlInterestRateIndexFixingDate(IborIndex,I50)</f>
        <v>43137</v>
      </c>
      <c r="H50" s="205" t="str">
        <f>_xll.qlMakeDatedOIS(,I50,J50,OvernightIndex,0,"Act/360",0)</f>
        <v>obj_003d2#0000</v>
      </c>
      <c r="I50" s="243">
        <f>_xll.qlCalendarAdvance(Calendar,$D$2,F50&amp;"M","mf")</f>
        <v>43139</v>
      </c>
      <c r="J50" s="243">
        <f>_xll.qlInterestRateIndexMaturity(IborIndex,I50)</f>
        <v>43504</v>
      </c>
      <c r="L50" s="242">
        <f ca="1">_xll.qlOvernightIndexedSwapFairRate(H50,_xll.ohTrigger($P$2:$P$6))</f>
        <v>1.3214181693000182E-2</v>
      </c>
      <c r="M50" s="219">
        <f ca="1">_xll.qlInterpolationInterpolate(BasisInterpolator,I50,,L50)</f>
        <v>5.2048781809026015E-3</v>
      </c>
      <c r="N50" s="242">
        <f t="shared" ca="1" si="0"/>
        <v>1.8419059873902785E-2</v>
      </c>
    </row>
    <row r="51" spans="1:14" x14ac:dyDescent="0.2">
      <c r="A51" s="244"/>
      <c r="B51" s="245"/>
      <c r="C51" s="246"/>
      <c r="D51" s="241"/>
      <c r="E51" s="219" t="e">
        <f ca="1"/>
        <v>#N/A</v>
      </c>
      <c r="F51" s="205">
        <v>47</v>
      </c>
      <c r="G51" s="243">
        <f>_xll.qlInterestRateIndexFixingDate(IborIndex,I51)</f>
        <v>43165</v>
      </c>
      <c r="H51" s="205" t="str">
        <f>_xll.qlMakeDatedOIS(,I51,J51,OvernightIndex,0,"Act/360",0)</f>
        <v>obj_003af#0000</v>
      </c>
      <c r="I51" s="243">
        <f>_xll.qlCalendarAdvance(Calendar,$D$2,F51&amp;"M","mf")</f>
        <v>43167</v>
      </c>
      <c r="J51" s="243">
        <f>_xll.qlInterestRateIndexMaturity(IborIndex,I51)</f>
        <v>43532</v>
      </c>
      <c r="L51" s="242">
        <f ca="1">_xll.qlOvernightIndexedSwapFairRate(H51,_xll.ohTrigger($P$2:$P$6))</f>
        <v>1.3540579094885258E-2</v>
      </c>
      <c r="M51" s="219">
        <f ca="1">_xll.qlInterpolationInterpolate(BasisInterpolator,I51,,L51)</f>
        <v>5.19342811683445E-3</v>
      </c>
      <c r="N51" s="242">
        <f t="shared" ca="1" si="0"/>
        <v>1.8734007211719708E-2</v>
      </c>
    </row>
    <row r="52" spans="1:14" x14ac:dyDescent="0.2">
      <c r="A52" s="244"/>
      <c r="B52" s="245"/>
      <c r="C52" s="246"/>
      <c r="D52" s="241"/>
      <c r="E52" s="219" t="e">
        <f ca="1"/>
        <v>#N/A</v>
      </c>
    </row>
    <row r="53" spans="1:14" x14ac:dyDescent="0.2">
      <c r="A53" s="244"/>
      <c r="B53" s="245"/>
      <c r="C53" s="246"/>
      <c r="D53" s="241"/>
      <c r="E53" s="219" t="e">
        <f ca="1"/>
        <v>#N/A</v>
      </c>
    </row>
    <row r="54" spans="1:14" x14ac:dyDescent="0.2">
      <c r="A54" s="244"/>
      <c r="B54" s="245"/>
      <c r="C54" s="246"/>
      <c r="D54" s="241"/>
      <c r="E54" s="219" t="e">
        <f ca="1"/>
        <v>#N/A</v>
      </c>
    </row>
    <row r="55" spans="1:14" x14ac:dyDescent="0.2">
      <c r="A55" s="244"/>
      <c r="B55" s="245"/>
      <c r="C55" s="246"/>
      <c r="D55" s="241"/>
      <c r="E55" s="219" t="e">
        <f ca="1"/>
        <v>#N/A</v>
      </c>
    </row>
    <row r="56" spans="1:14" x14ac:dyDescent="0.2">
      <c r="A56" s="244"/>
      <c r="B56" s="245"/>
      <c r="C56" s="246"/>
      <c r="D56" s="241"/>
      <c r="E56" s="219" t="e">
        <f ca="1"/>
        <v>#N/A</v>
      </c>
    </row>
    <row r="57" spans="1:14" x14ac:dyDescent="0.2">
      <c r="A57" s="244"/>
      <c r="B57" s="245"/>
      <c r="C57" s="246"/>
      <c r="D57" s="241"/>
      <c r="E57" s="219" t="e">
        <f ca="1"/>
        <v>#N/A</v>
      </c>
    </row>
    <row r="58" spans="1:14" x14ac:dyDescent="0.2">
      <c r="A58" s="244"/>
      <c r="B58" s="245"/>
      <c r="C58" s="246"/>
      <c r="D58" s="241"/>
      <c r="E58" s="219" t="e">
        <f ca="1"/>
        <v>#N/A</v>
      </c>
    </row>
    <row r="59" spans="1:14" x14ac:dyDescent="0.2">
      <c r="A59" s="244"/>
      <c r="B59" s="245"/>
      <c r="C59" s="246"/>
      <c r="D59" s="241"/>
      <c r="E59" s="219" t="e">
        <f ca="1"/>
        <v>#N/A</v>
      </c>
    </row>
    <row r="60" spans="1:14" x14ac:dyDescent="0.2">
      <c r="A60" s="244"/>
      <c r="B60" s="245"/>
      <c r="C60" s="246"/>
      <c r="D60" s="241"/>
      <c r="E60" s="219" t="e">
        <f ca="1"/>
        <v>#N/A</v>
      </c>
    </row>
    <row r="61" spans="1:14" x14ac:dyDescent="0.2">
      <c r="A61" s="244"/>
      <c r="B61" s="245"/>
      <c r="C61" s="246"/>
      <c r="D61" s="241"/>
      <c r="E61" s="219" t="e">
        <f ca="1"/>
        <v>#N/A</v>
      </c>
    </row>
    <row r="62" spans="1:14" x14ac:dyDescent="0.2">
      <c r="A62" s="244"/>
      <c r="B62" s="245"/>
      <c r="C62" s="246"/>
      <c r="D62" s="241"/>
      <c r="E62" s="219" t="e">
        <f ca="1"/>
        <v>#N/A</v>
      </c>
    </row>
    <row r="63" spans="1:14" x14ac:dyDescent="0.2">
      <c r="A63" s="244"/>
      <c r="B63" s="245"/>
      <c r="C63" s="246"/>
      <c r="D63" s="241"/>
      <c r="E63" s="219" t="e">
        <f ca="1"/>
        <v>#N/A</v>
      </c>
    </row>
    <row r="64" spans="1:14" x14ac:dyDescent="0.2">
      <c r="A64" s="244"/>
      <c r="B64" s="245"/>
      <c r="C64" s="246"/>
      <c r="D64" s="241"/>
      <c r="E64" s="219" t="e">
        <f ca="1"/>
        <v>#N/A</v>
      </c>
    </row>
    <row r="65" spans="1:5" x14ac:dyDescent="0.2">
      <c r="A65" s="244"/>
      <c r="B65" s="245"/>
      <c r="C65" s="246"/>
      <c r="D65" s="241"/>
      <c r="E65" s="219" t="e">
        <f ca="1"/>
        <v>#N/A</v>
      </c>
    </row>
    <row r="66" spans="1:5" x14ac:dyDescent="0.2">
      <c r="A66" s="244"/>
      <c r="B66" s="245"/>
      <c r="C66" s="246"/>
      <c r="D66" s="241"/>
      <c r="E66" s="219" t="e">
        <f ca="1"/>
        <v>#N/A</v>
      </c>
    </row>
    <row r="67" spans="1:5" x14ac:dyDescent="0.2">
      <c r="A67" s="244"/>
      <c r="B67" s="245"/>
      <c r="C67" s="246"/>
      <c r="D67" s="241"/>
      <c r="E67" s="219" t="e">
        <f ca="1"/>
        <v>#N/A</v>
      </c>
    </row>
    <row r="68" spans="1:5" x14ac:dyDescent="0.2">
      <c r="A68" s="244"/>
      <c r="B68" s="245"/>
      <c r="C68" s="246"/>
      <c r="D68" s="241"/>
      <c r="E68" s="219" t="e">
        <f ca="1"/>
        <v>#N/A</v>
      </c>
    </row>
    <row r="69" spans="1:5" x14ac:dyDescent="0.2">
      <c r="A69" s="244"/>
      <c r="B69" s="245"/>
      <c r="C69" s="246"/>
      <c r="D69" s="241"/>
      <c r="E69" s="219" t="e">
        <f ca="1"/>
        <v>#N/A</v>
      </c>
    </row>
    <row r="70" spans="1:5" x14ac:dyDescent="0.2">
      <c r="A70" s="244"/>
      <c r="B70" s="245"/>
      <c r="C70" s="246"/>
      <c r="D70" s="241"/>
      <c r="E70" s="219" t="e">
        <f ca="1"/>
        <v>#N/A</v>
      </c>
    </row>
    <row r="71" spans="1:5" x14ac:dyDescent="0.2">
      <c r="A71" s="244"/>
      <c r="B71" s="245"/>
      <c r="C71" s="246"/>
      <c r="D71" s="241"/>
      <c r="E71" s="219" t="e">
        <f ca="1"/>
        <v>#N/A</v>
      </c>
    </row>
    <row r="72" spans="1:5" x14ac:dyDescent="0.2">
      <c r="A72" s="244"/>
      <c r="B72" s="245"/>
      <c r="C72" s="246"/>
      <c r="D72" s="241"/>
      <c r="E72" s="219" t="e">
        <f ca="1"/>
        <v>#N/A</v>
      </c>
    </row>
    <row r="73" spans="1:5" x14ac:dyDescent="0.2">
      <c r="A73" s="244"/>
      <c r="B73" s="245"/>
      <c r="C73" s="246"/>
      <c r="D73" s="241"/>
      <c r="E73" s="219" t="e">
        <f ca="1"/>
        <v>#N/A</v>
      </c>
    </row>
    <row r="74" spans="1:5" x14ac:dyDescent="0.2">
      <c r="A74" s="244"/>
      <c r="B74" s="245"/>
      <c r="C74" s="246"/>
      <c r="D74" s="241"/>
      <c r="E74" s="219" t="e">
        <f ca="1"/>
        <v>#N/A</v>
      </c>
    </row>
    <row r="75" spans="1:5" x14ac:dyDescent="0.2">
      <c r="A75" s="244"/>
      <c r="B75" s="245"/>
      <c r="C75" s="246"/>
      <c r="D75" s="241"/>
      <c r="E75" s="219" t="e">
        <f ca="1"/>
        <v>#N/A</v>
      </c>
    </row>
    <row r="76" spans="1:5" x14ac:dyDescent="0.2">
      <c r="A76" s="244"/>
      <c r="B76" s="245"/>
      <c r="C76" s="246"/>
      <c r="D76" s="241"/>
      <c r="E76" s="219" t="e">
        <f ca="1"/>
        <v>#N/A</v>
      </c>
    </row>
    <row r="77" spans="1:5" x14ac:dyDescent="0.2">
      <c r="A77" s="244"/>
      <c r="B77" s="245"/>
      <c r="C77" s="246"/>
      <c r="D77" s="241"/>
      <c r="E77" s="219" t="e">
        <f ca="1"/>
        <v>#N/A</v>
      </c>
    </row>
    <row r="78" spans="1:5" x14ac:dyDescent="0.2">
      <c r="A78" s="244"/>
      <c r="B78" s="245"/>
      <c r="C78" s="246"/>
      <c r="D78" s="241"/>
      <c r="E78" s="219" t="e">
        <f ca="1"/>
        <v>#N/A</v>
      </c>
    </row>
    <row r="79" spans="1:5" x14ac:dyDescent="0.2">
      <c r="A79" s="244"/>
      <c r="B79" s="245"/>
      <c r="C79" s="246"/>
      <c r="D79" s="241"/>
      <c r="E79" s="219" t="e">
        <f ca="1"/>
        <v>#N/A</v>
      </c>
    </row>
    <row r="80" spans="1:5" x14ac:dyDescent="0.2">
      <c r="A80" s="244"/>
      <c r="B80" s="245"/>
      <c r="C80" s="246"/>
      <c r="D80" s="241"/>
      <c r="E80" s="219" t="e">
        <f ca="1"/>
        <v>#N/A</v>
      </c>
    </row>
    <row r="81" spans="1:5" x14ac:dyDescent="0.2">
      <c r="A81" s="244"/>
      <c r="B81" s="245"/>
      <c r="C81" s="246"/>
      <c r="D81" s="241"/>
      <c r="E81" s="219" t="e">
        <f ca="1"/>
        <v>#N/A</v>
      </c>
    </row>
    <row r="82" spans="1:5" x14ac:dyDescent="0.2">
      <c r="A82" s="244"/>
      <c r="B82" s="245"/>
      <c r="C82" s="246"/>
      <c r="D82" s="241"/>
      <c r="E82" s="219" t="e">
        <f ca="1"/>
        <v>#N/A</v>
      </c>
    </row>
    <row r="83" spans="1:5" x14ac:dyDescent="0.2">
      <c r="A83" s="244"/>
      <c r="B83" s="245"/>
      <c r="C83" s="246"/>
      <c r="D83" s="241"/>
      <c r="E83" s="219" t="e">
        <f ca="1"/>
        <v>#N/A</v>
      </c>
    </row>
    <row r="84" spans="1:5" x14ac:dyDescent="0.2">
      <c r="A84" s="244"/>
      <c r="B84" s="245"/>
      <c r="C84" s="246"/>
      <c r="D84" s="241"/>
      <c r="E84" s="219" t="e">
        <f ca="1"/>
        <v>#N/A</v>
      </c>
    </row>
    <row r="85" spans="1:5" x14ac:dyDescent="0.2">
      <c r="A85" s="244"/>
      <c r="B85" s="245"/>
      <c r="C85" s="246"/>
      <c r="D85" s="241"/>
      <c r="E85" s="219" t="e">
        <f ca="1"/>
        <v>#N/A</v>
      </c>
    </row>
    <row r="86" spans="1:5" x14ac:dyDescent="0.2">
      <c r="A86" s="244"/>
      <c r="B86" s="245"/>
      <c r="C86" s="246"/>
      <c r="D86" s="241"/>
      <c r="E86" s="219" t="e">
        <f ca="1"/>
        <v>#N/A</v>
      </c>
    </row>
    <row r="87" spans="1:5" x14ac:dyDescent="0.2">
      <c r="A87" s="244"/>
      <c r="B87" s="245"/>
      <c r="C87" s="246"/>
      <c r="D87" s="241"/>
      <c r="E87" s="219" t="e">
        <f ca="1"/>
        <v>#N/A</v>
      </c>
    </row>
    <row r="88" spans="1:5" x14ac:dyDescent="0.2">
      <c r="A88" s="244"/>
      <c r="B88" s="245"/>
      <c r="C88" s="246"/>
      <c r="D88" s="241"/>
      <c r="E88" s="219" t="e">
        <f ca="1"/>
        <v>#N/A</v>
      </c>
    </row>
    <row r="89" spans="1:5" x14ac:dyDescent="0.2">
      <c r="A89" s="244"/>
      <c r="B89" s="245"/>
      <c r="C89" s="246"/>
      <c r="D89" s="241"/>
      <c r="E89" s="219" t="e">
        <f ca="1"/>
        <v>#N/A</v>
      </c>
    </row>
    <row r="90" spans="1:5" x14ac:dyDescent="0.2">
      <c r="A90" s="244"/>
      <c r="B90" s="245"/>
      <c r="C90" s="246"/>
      <c r="D90" s="241"/>
      <c r="E90" s="219" t="e">
        <f ca="1"/>
        <v>#N/A</v>
      </c>
    </row>
    <row r="91" spans="1:5" x14ac:dyDescent="0.2">
      <c r="A91" s="244"/>
      <c r="B91" s="245"/>
      <c r="C91" s="246"/>
      <c r="D91" s="241"/>
      <c r="E91" s="219" t="e">
        <f ca="1"/>
        <v>#N/A</v>
      </c>
    </row>
    <row r="92" spans="1:5" x14ac:dyDescent="0.2">
      <c r="A92" s="244"/>
      <c r="B92" s="245"/>
      <c r="C92" s="246"/>
      <c r="D92" s="241"/>
      <c r="E92" s="219" t="e">
        <f ca="1"/>
        <v>#N/A</v>
      </c>
    </row>
    <row r="93" spans="1:5" x14ac:dyDescent="0.2">
      <c r="A93" s="244"/>
      <c r="B93" s="245"/>
      <c r="C93" s="246"/>
      <c r="D93" s="241"/>
      <c r="E93" s="219" t="e">
        <f ca="1"/>
        <v>#N/A</v>
      </c>
    </row>
    <row r="94" spans="1:5" x14ac:dyDescent="0.2">
      <c r="A94" s="244"/>
      <c r="B94" s="245"/>
      <c r="C94" s="246"/>
      <c r="D94" s="241"/>
      <c r="E94" s="219" t="e">
        <f ca="1"/>
        <v>#N/A</v>
      </c>
    </row>
    <row r="95" spans="1:5" x14ac:dyDescent="0.2">
      <c r="A95" s="244"/>
      <c r="B95" s="245"/>
      <c r="C95" s="246"/>
      <c r="D95" s="241"/>
      <c r="E95" s="219" t="e">
        <f ca="1"/>
        <v>#N/A</v>
      </c>
    </row>
    <row r="96" spans="1:5" x14ac:dyDescent="0.2">
      <c r="A96" s="244"/>
      <c r="B96" s="245"/>
      <c r="C96" s="246"/>
      <c r="D96" s="241"/>
      <c r="E96" s="219" t="e">
        <f ca="1"/>
        <v>#N/A</v>
      </c>
    </row>
    <row r="97" spans="1:5" x14ac:dyDescent="0.2">
      <c r="A97" s="244"/>
      <c r="B97" s="245"/>
      <c r="C97" s="246"/>
      <c r="D97" s="241"/>
      <c r="E97" s="219" t="e">
        <f ca="1"/>
        <v>#N/A</v>
      </c>
    </row>
    <row r="98" spans="1:5" x14ac:dyDescent="0.2">
      <c r="A98" s="244"/>
      <c r="B98" s="245"/>
      <c r="C98" s="246"/>
      <c r="D98" s="241"/>
      <c r="E98" s="219" t="e">
        <f ca="1"/>
        <v>#N/A</v>
      </c>
    </row>
    <row r="99" spans="1:5" x14ac:dyDescent="0.2">
      <c r="A99" s="244"/>
      <c r="B99" s="245"/>
      <c r="C99" s="246"/>
      <c r="D99" s="241"/>
      <c r="E99" s="219" t="e">
        <f ca="1"/>
        <v>#N/A</v>
      </c>
    </row>
    <row r="100" spans="1:5" x14ac:dyDescent="0.2">
      <c r="A100" s="244"/>
      <c r="B100" s="245"/>
      <c r="C100" s="246"/>
      <c r="D100" s="241"/>
      <c r="E100" s="219" t="e">
        <f ca="1"/>
        <v>#N/A</v>
      </c>
    </row>
    <row r="101" spans="1:5" x14ac:dyDescent="0.2">
      <c r="A101" s="244"/>
      <c r="B101" s="245"/>
      <c r="C101" s="246"/>
      <c r="D101" s="241"/>
      <c r="E101" s="219" t="e">
        <f ca="1"/>
        <v>#N/A</v>
      </c>
    </row>
    <row r="102" spans="1:5" x14ac:dyDescent="0.2">
      <c r="A102" s="244"/>
      <c r="B102" s="245"/>
      <c r="C102" s="246"/>
      <c r="D102" s="241"/>
      <c r="E102" s="219" t="e">
        <f ca="1"/>
        <v>#N/A</v>
      </c>
    </row>
    <row r="103" spans="1:5" x14ac:dyDescent="0.2">
      <c r="A103" s="244"/>
      <c r="B103" s="245"/>
      <c r="C103" s="246"/>
      <c r="D103" s="241"/>
      <c r="E103" s="219" t="e">
        <f ca="1"/>
        <v>#N/A</v>
      </c>
    </row>
    <row r="104" spans="1:5" x14ac:dyDescent="0.2">
      <c r="A104" s="244"/>
      <c r="B104" s="245"/>
      <c r="C104" s="246"/>
      <c r="D104" s="241"/>
      <c r="E104" s="219" t="e">
        <f ca="1"/>
        <v>#N/A</v>
      </c>
    </row>
    <row r="105" spans="1:5" x14ac:dyDescent="0.2">
      <c r="A105" s="244"/>
      <c r="B105" s="245"/>
      <c r="C105" s="246"/>
      <c r="D105" s="241"/>
      <c r="E105" s="219" t="e">
        <f ca="1"/>
        <v>#N/A</v>
      </c>
    </row>
    <row r="106" spans="1:5" x14ac:dyDescent="0.2">
      <c r="A106" s="244"/>
      <c r="B106" s="245"/>
      <c r="C106" s="246"/>
      <c r="D106" s="241"/>
      <c r="E106" s="219" t="e">
        <f ca="1"/>
        <v>#N/A</v>
      </c>
    </row>
    <row r="107" spans="1:5" x14ac:dyDescent="0.2">
      <c r="A107" s="244"/>
      <c r="B107" s="245"/>
      <c r="C107" s="246"/>
      <c r="D107" s="241"/>
      <c r="E107" s="219" t="e">
        <f ca="1"/>
        <v>#N/A</v>
      </c>
    </row>
    <row r="108" spans="1:5" x14ac:dyDescent="0.2">
      <c r="A108" s="244"/>
      <c r="B108" s="245"/>
      <c r="C108" s="246"/>
      <c r="D108" s="241"/>
      <c r="E108" s="219" t="e">
        <f ca="1"/>
        <v>#N/A</v>
      </c>
    </row>
    <row r="109" spans="1:5" x14ac:dyDescent="0.2">
      <c r="A109" s="244"/>
      <c r="B109" s="245"/>
      <c r="C109" s="246"/>
      <c r="D109" s="241"/>
      <c r="E109" s="219" t="e">
        <f ca="1"/>
        <v>#N/A</v>
      </c>
    </row>
    <row r="110" spans="1:5" x14ac:dyDescent="0.2">
      <c r="A110" s="244"/>
      <c r="B110" s="245"/>
      <c r="C110" s="246"/>
      <c r="D110" s="241"/>
      <c r="E110" s="219" t="e">
        <f ca="1"/>
        <v>#N/A</v>
      </c>
    </row>
    <row r="111" spans="1:5" x14ac:dyDescent="0.2">
      <c r="A111" s="244"/>
      <c r="B111" s="245"/>
      <c r="C111" s="246"/>
      <c r="D111" s="241"/>
      <c r="E111" s="219" t="e">
        <f ca="1"/>
        <v>#N/A</v>
      </c>
    </row>
    <row r="112" spans="1:5" x14ac:dyDescent="0.2">
      <c r="A112" s="244"/>
      <c r="B112" s="245"/>
      <c r="C112" s="246"/>
      <c r="D112" s="241"/>
      <c r="E112" s="219" t="e">
        <f ca="1"/>
        <v>#N/A</v>
      </c>
    </row>
    <row r="113" spans="1:5" x14ac:dyDescent="0.2">
      <c r="A113" s="244"/>
      <c r="B113" s="245"/>
      <c r="C113" s="246"/>
      <c r="D113" s="241"/>
      <c r="E113" s="219" t="e">
        <f ca="1"/>
        <v>#N/A</v>
      </c>
    </row>
    <row r="114" spans="1:5" x14ac:dyDescent="0.2">
      <c r="A114" s="244"/>
      <c r="B114" s="245"/>
      <c r="C114" s="246"/>
      <c r="D114" s="241"/>
      <c r="E114" s="219" t="e">
        <f ca="1"/>
        <v>#N/A</v>
      </c>
    </row>
    <row r="115" spans="1:5" x14ac:dyDescent="0.2">
      <c r="A115" s="244"/>
      <c r="B115" s="245"/>
      <c r="C115" s="246"/>
      <c r="D115" s="241"/>
      <c r="E115" s="219" t="e">
        <f ca="1"/>
        <v>#N/A</v>
      </c>
    </row>
    <row r="116" spans="1:5" x14ac:dyDescent="0.2">
      <c r="A116" s="244"/>
      <c r="B116" s="245"/>
      <c r="C116" s="246"/>
      <c r="D116" s="241"/>
      <c r="E116" s="219" t="e">
        <f ca="1"/>
        <v>#N/A</v>
      </c>
    </row>
    <row r="117" spans="1:5" x14ac:dyDescent="0.2">
      <c r="A117" s="244"/>
      <c r="B117" s="245"/>
      <c r="C117" s="246"/>
      <c r="D117" s="241"/>
      <c r="E117" s="219" t="e">
        <f ca="1"/>
        <v>#N/A</v>
      </c>
    </row>
    <row r="118" spans="1:5" x14ac:dyDescent="0.2">
      <c r="A118" s="244"/>
      <c r="B118" s="245"/>
      <c r="C118" s="246"/>
      <c r="D118" s="241"/>
      <c r="E118" s="219" t="e">
        <f ca="1"/>
        <v>#N/A</v>
      </c>
    </row>
    <row r="119" spans="1:5" x14ac:dyDescent="0.2">
      <c r="A119" s="244"/>
      <c r="B119" s="245"/>
      <c r="C119" s="246"/>
      <c r="D119" s="241"/>
      <c r="E119" s="219" t="e">
        <f ca="1"/>
        <v>#N/A</v>
      </c>
    </row>
    <row r="120" spans="1:5" x14ac:dyDescent="0.2">
      <c r="A120" s="244"/>
      <c r="B120" s="245"/>
      <c r="C120" s="246"/>
      <c r="D120" s="241"/>
      <c r="E120" s="219" t="e">
        <f ca="1"/>
        <v>#N/A</v>
      </c>
    </row>
    <row r="121" spans="1:5" x14ac:dyDescent="0.2">
      <c r="A121" s="244"/>
      <c r="B121" s="245"/>
      <c r="C121" s="246"/>
      <c r="D121" s="241"/>
      <c r="E121" s="219" t="e">
        <f ca="1"/>
        <v>#N/A</v>
      </c>
    </row>
    <row r="122" spans="1:5" x14ac:dyDescent="0.2">
      <c r="A122" s="244"/>
      <c r="B122" s="245"/>
      <c r="C122" s="246"/>
      <c r="D122" s="241"/>
      <c r="E122" s="219" t="e">
        <f ca="1"/>
        <v>#N/A</v>
      </c>
    </row>
    <row r="123" spans="1:5" x14ac:dyDescent="0.2">
      <c r="A123" s="244"/>
      <c r="B123" s="245"/>
      <c r="C123" s="246"/>
      <c r="D123" s="241"/>
      <c r="E123" s="219" t="e">
        <f ca="1"/>
        <v>#N/A</v>
      </c>
    </row>
    <row r="124" spans="1:5" x14ac:dyDescent="0.2">
      <c r="A124" s="244"/>
      <c r="B124" s="245"/>
      <c r="C124" s="246"/>
      <c r="D124" s="241"/>
      <c r="E124" s="219" t="e">
        <f ca="1"/>
        <v>#N/A</v>
      </c>
    </row>
    <row r="125" spans="1:5" x14ac:dyDescent="0.2">
      <c r="A125" s="244"/>
      <c r="B125" s="245"/>
      <c r="C125" s="246"/>
      <c r="D125" s="241"/>
      <c r="E125" s="219" t="e">
        <f ca="1"/>
        <v>#N/A</v>
      </c>
    </row>
    <row r="126" spans="1:5" x14ac:dyDescent="0.2">
      <c r="A126" s="244"/>
      <c r="B126" s="245"/>
      <c r="C126" s="246"/>
      <c r="D126" s="241"/>
      <c r="E126" s="219" t="e">
        <f ca="1"/>
        <v>#N/A</v>
      </c>
    </row>
    <row r="127" spans="1:5" x14ac:dyDescent="0.2">
      <c r="A127" s="247"/>
      <c r="B127" s="248"/>
      <c r="C127" s="249"/>
      <c r="D127" s="250"/>
      <c r="E127" s="219" t="e">
        <f ca="1"/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P2" sqref="P2"/>
    </sheetView>
  </sheetViews>
  <sheetFormatPr defaultRowHeight="11.25" x14ac:dyDescent="0.2"/>
  <cols>
    <col min="1" max="1" width="4.33203125" style="177" customWidth="1"/>
    <col min="2" max="2" width="7.83203125" style="177" customWidth="1"/>
    <col min="3" max="3" width="36.6640625" style="177" bestFit="1" customWidth="1"/>
    <col min="4" max="4" width="35.83203125" style="177" customWidth="1"/>
    <col min="5" max="5" width="25.6640625" style="177" customWidth="1"/>
    <col min="6" max="7" width="3.1640625" style="177" customWidth="1"/>
    <col min="8" max="8" width="4.33203125" style="177" customWidth="1"/>
    <col min="9" max="9" width="7.83203125" style="177" customWidth="1"/>
    <col min="10" max="10" width="9.33203125" style="177" bestFit="1" customWidth="1"/>
    <col min="11" max="11" width="3.1640625" style="177" customWidth="1"/>
    <col min="12" max="12" width="9.33203125" style="177" bestFit="1" customWidth="1"/>
    <col min="13" max="13" width="3.1640625" style="177" customWidth="1"/>
    <col min="14" max="14" width="11.6640625" style="177" bestFit="1" customWidth="1"/>
    <col min="15" max="15" width="10.5" style="177" bestFit="1" customWidth="1"/>
    <col min="16" max="16" width="5.83203125" style="177" customWidth="1"/>
    <col min="17" max="16384" width="9.33203125" style="182"/>
  </cols>
  <sheetData>
    <row r="1" spans="1:16" ht="12" thickBot="1" x14ac:dyDescent="0.25">
      <c r="A1" s="174"/>
      <c r="D1" s="175"/>
      <c r="E1" s="175"/>
      <c r="F1" s="176"/>
      <c r="H1" s="178"/>
      <c r="I1" s="179"/>
      <c r="J1" s="179"/>
      <c r="K1" s="180"/>
      <c r="L1" s="180"/>
      <c r="M1" s="180"/>
      <c r="N1" s="179"/>
      <c r="P1" s="181"/>
    </row>
    <row r="2" spans="1:16" ht="12.75" thickBot="1" x14ac:dyDescent="0.3">
      <c r="A2" s="326"/>
      <c r="B2" s="325"/>
      <c r="C2" s="342" t="str">
        <f>Currency&amp;"_015_SyntheticQuotes"&amp;".xml"</f>
        <v>EUR_015_SyntheticQuotes.xml</v>
      </c>
      <c r="D2" s="343">
        <f>IF(Serialize,_xll.ohObjectSave(D3:D84,SerializationPath&amp;C2,FileOverwrite,Serialize),"---")</f>
        <v>82</v>
      </c>
      <c r="E2" s="283" t="str">
        <f>_xll.ohRangeRetrieveError(D2)</f>
        <v/>
      </c>
      <c r="F2" s="183"/>
      <c r="H2" s="184"/>
      <c r="I2" s="285"/>
      <c r="J2" s="286" t="s">
        <v>83</v>
      </c>
      <c r="K2" s="185"/>
      <c r="L2" s="293" t="s">
        <v>84</v>
      </c>
      <c r="M2" s="185"/>
      <c r="N2" s="285" t="s">
        <v>85</v>
      </c>
      <c r="O2" s="297" t="s">
        <v>86</v>
      </c>
      <c r="P2" s="363">
        <f ca="1">_xll.ohTrigger(O3:O7)</f>
        <v>75</v>
      </c>
    </row>
    <row r="3" spans="1:16" x14ac:dyDescent="0.2">
      <c r="A3" s="345">
        <v>1</v>
      </c>
      <c r="B3" s="333" t="s">
        <v>87</v>
      </c>
      <c r="C3" s="334" t="str">
        <f t="shared" ref="C3" si="0">Currency&amp;$B3&amp;"_SYNTH"&amp;Tenor1M&amp;QuoteSuffix</f>
        <v>EURSND_SYNTH1M_Quote</v>
      </c>
      <c r="D3" s="335" t="str">
        <f>_xll.qlSimpleQuote(C3,,RateTickValue,Permanent,EvaluationDate,ObjectOverwrite)</f>
        <v>EURSND_SYNTH1M_Quote#0000</v>
      </c>
      <c r="E3" s="329" t="str">
        <f>_xll.ohRangeRetrieveError(D3)</f>
        <v/>
      </c>
      <c r="F3" s="183"/>
      <c r="H3" s="184"/>
      <c r="I3" s="287" t="s">
        <v>87</v>
      </c>
      <c r="J3" s="288">
        <f ca="1">SynthDepo!G34</f>
        <v>2.5372129656339639E-3</v>
      </c>
      <c r="K3" s="188" t="s">
        <v>88</v>
      </c>
      <c r="L3" s="294">
        <v>2.9146290747174021E-3</v>
      </c>
      <c r="M3" s="185"/>
      <c r="N3" s="298">
        <f t="array" ref="N3:N84" ca="1">QuoteLive</f>
        <v>2.5372129656339639E-3</v>
      </c>
      <c r="O3" s="299">
        <f ca="1">_xll.qlSimpleQuoteSetValue(D3,ROUND($N3,6),EvaluationDate)</f>
        <v>0</v>
      </c>
      <c r="P3" s="186"/>
    </row>
    <row r="4" spans="1:16" x14ac:dyDescent="0.2">
      <c r="A4" s="346" t="str">
        <f>_xll.qlPeriodEquivalent(Months1M&amp;"M")</f>
        <v>1M</v>
      </c>
      <c r="B4" s="336" t="s">
        <v>89</v>
      </c>
      <c r="C4" s="189" t="str">
        <f t="shared" ref="C4:C7" si="1">Currency&amp;$B4&amp;"_SYNTH"&amp;Tenor1M&amp;QuoteSuffix</f>
        <v>EURSWD_SYNTH1M_Quote</v>
      </c>
      <c r="D4" s="337" t="str">
        <f>_xll.qlSimpleQuote(C4,,RateTickValue,Permanent,EvaluationDate,ObjectOverwrite)</f>
        <v>EURSWD_SYNTH1M_Quote#0000</v>
      </c>
      <c r="E4" s="330" t="str">
        <f>_xll.ohRangeRetrieveError(D4)</f>
        <v/>
      </c>
      <c r="F4" s="183"/>
      <c r="H4" s="184"/>
      <c r="I4" s="287" t="s">
        <v>89</v>
      </c>
      <c r="J4" s="288">
        <f ca="1">SynthDepo!G35</f>
        <v>2.2406893703087699E-3</v>
      </c>
      <c r="K4" s="188" t="s">
        <v>88</v>
      </c>
      <c r="L4" s="294">
        <v>2.4233611268037218E-3</v>
      </c>
      <c r="M4" s="185"/>
      <c r="N4" s="298">
        <f ca="1"/>
        <v>2.2406893703087699E-3</v>
      </c>
      <c r="O4" s="299">
        <f ca="1">_xll.qlSimpleQuoteSetValue(D4,ROUND($N4,6),EvaluationDate)</f>
        <v>0</v>
      </c>
      <c r="P4" s="186"/>
    </row>
    <row r="5" spans="1:16" x14ac:dyDescent="0.2">
      <c r="A5" s="347"/>
      <c r="B5" s="336" t="s">
        <v>90</v>
      </c>
      <c r="C5" s="189" t="str">
        <f t="shared" si="1"/>
        <v>EUR2WD_SYNTH1M_Quote</v>
      </c>
      <c r="D5" s="337" t="str">
        <f>_xll.qlSimpleQuote(C5,,RateTickValue,Permanent,EvaluationDate,ObjectOverwrite)</f>
        <v>EUR2WD_SYNTH1M_Quote#0000</v>
      </c>
      <c r="E5" s="330" t="str">
        <f>_xll.ohRangeRetrieveError(D5)</f>
        <v/>
      </c>
      <c r="F5" s="183"/>
      <c r="H5" s="184"/>
      <c r="I5" s="287" t="s">
        <v>90</v>
      </c>
      <c r="J5" s="288">
        <f ca="1">SynthDepo!G36</f>
        <v>2.4314118550131168E-3</v>
      </c>
      <c r="K5" s="188" t="s">
        <v>88</v>
      </c>
      <c r="L5" s="294">
        <v>2.4516705317628863E-3</v>
      </c>
      <c r="M5" s="185"/>
      <c r="N5" s="298">
        <f ca="1"/>
        <v>2.4314118550131168E-3</v>
      </c>
      <c r="O5" s="299">
        <f ca="1">_xll.qlSimpleQuoteSetValue(D5,ROUND($N5,6),EvaluationDate)</f>
        <v>0</v>
      </c>
      <c r="P5" s="186"/>
    </row>
    <row r="6" spans="1:16" x14ac:dyDescent="0.2">
      <c r="A6" s="347"/>
      <c r="B6" s="336" t="s">
        <v>91</v>
      </c>
      <c r="C6" s="189" t="str">
        <f t="shared" si="1"/>
        <v>EUR3WD_SYNTH1M_Quote</v>
      </c>
      <c r="D6" s="337" t="str">
        <f>_xll.qlSimpleQuote(C6,,RateTickValue,Permanent,EvaluationDate,ObjectOverwrite)</f>
        <v>EUR3WD_SYNTH1M_Quote#0000</v>
      </c>
      <c r="E6" s="330" t="str">
        <f>_xll.ohRangeRetrieveError(D6)</f>
        <v/>
      </c>
      <c r="F6" s="183"/>
      <c r="H6" s="184"/>
      <c r="I6" s="289" t="s">
        <v>91</v>
      </c>
      <c r="J6" s="290">
        <f ca="1">SynthDepo!G37</f>
        <v>2.392134332456811E-3</v>
      </c>
      <c r="K6" s="188" t="s">
        <v>88</v>
      </c>
      <c r="L6" s="295">
        <v>2.3804025875864944E-3</v>
      </c>
      <c r="M6" s="185"/>
      <c r="N6" s="300">
        <f ca="1"/>
        <v>2.392134332456811E-3</v>
      </c>
      <c r="O6" s="301">
        <f ca="1">_xll.qlSimpleQuoteSetValue(D6,ROUND($N6,6),EvaluationDate)</f>
        <v>0</v>
      </c>
      <c r="P6" s="186"/>
    </row>
    <row r="7" spans="1:16" ht="12" thickBot="1" x14ac:dyDescent="0.25">
      <c r="A7" s="348"/>
      <c r="B7" s="344" t="s">
        <v>92</v>
      </c>
      <c r="C7" s="284" t="str">
        <f t="shared" si="1"/>
        <v>EUR1MD_SYNTH1M_Quote</v>
      </c>
      <c r="D7" s="340" t="str">
        <f>_xll.qlSimpleQuote(C7,,RateTickValue,Permanent,EvaluationDate,ObjectOverwrite)</f>
        <v>EUR1MD_SYNTH1M_Quote#0000</v>
      </c>
      <c r="E7" s="341" t="str">
        <f>_xll.ohRangeRetrieveError(D7)</f>
        <v/>
      </c>
      <c r="F7" s="183"/>
      <c r="H7" s="307"/>
      <c r="I7" s="291" t="s">
        <v>92</v>
      </c>
      <c r="J7" s="292">
        <f ca="1">SynthDepo!G38</f>
        <v>2.3973489463127821E-3</v>
      </c>
      <c r="K7" s="308" t="s">
        <v>88</v>
      </c>
      <c r="L7" s="296">
        <v>2.3385006679953737E-3</v>
      </c>
      <c r="M7" s="307"/>
      <c r="N7" s="302">
        <f ca="1"/>
        <v>2.3973489463127821E-3</v>
      </c>
      <c r="O7" s="303">
        <f ca="1">_xll.qlSimpleQuoteSetValue(D7,ROUND($N7,6),EvaluationDate)</f>
        <v>0</v>
      </c>
      <c r="P7" s="307"/>
    </row>
    <row r="8" spans="1:16" x14ac:dyDescent="0.2">
      <c r="A8" s="327">
        <v>3</v>
      </c>
      <c r="B8" s="333" t="s">
        <v>87</v>
      </c>
      <c r="C8" s="334" t="str">
        <f t="shared" ref="C8:C14" si="2">Currency&amp;$B8&amp;"_SYNTH"&amp;Tenor3M&amp;QuoteSuffix</f>
        <v>EURSND_SYNTH3M_Quote</v>
      </c>
      <c r="D8" s="335" t="str">
        <f>_xll.qlSimpleQuote(C8,,RateTickValue,Permanent,EvaluationDate,ObjectOverwrite)</f>
        <v>EURSND_SYNTH3M_Quote#0000</v>
      </c>
      <c r="E8" s="329"/>
      <c r="F8" s="191"/>
      <c r="H8" s="194"/>
      <c r="I8" s="309" t="s">
        <v>87</v>
      </c>
      <c r="J8" s="310">
        <f ca="1">SynthDepo!H34</f>
        <v>3.3620456171168395E-3</v>
      </c>
      <c r="K8" s="195"/>
      <c r="L8" s="311">
        <v>3.9603179046449229E-3</v>
      </c>
      <c r="M8" s="193"/>
      <c r="N8" s="312">
        <f ca="1"/>
        <v>3.3620456171168395E-3</v>
      </c>
      <c r="O8" s="313">
        <f ca="1">_xll.qlSimpleQuoteSetValue(D8,ROUND($N8,6),EvaluationDate)</f>
        <v>0</v>
      </c>
      <c r="P8" s="364">
        <f ca="1">_xll.ohTrigger(O8:O14)</f>
        <v>75</v>
      </c>
    </row>
    <row r="9" spans="1:16" x14ac:dyDescent="0.2">
      <c r="A9" s="328" t="str">
        <f>_xll.qlPeriodEquivalent(Months3M&amp;"M")</f>
        <v>3M</v>
      </c>
      <c r="B9" s="336" t="s">
        <v>89</v>
      </c>
      <c r="C9" s="189" t="str">
        <f t="shared" si="2"/>
        <v>EURSWD_SYNTH3M_Quote</v>
      </c>
      <c r="D9" s="337" t="str">
        <f>_xll.qlSimpleQuote(C9,,RateTickValue,Permanent,EvaluationDate,ObjectOverwrite)</f>
        <v>EURSWD_SYNTH3M_Quote#0000</v>
      </c>
      <c r="E9" s="330"/>
      <c r="F9" s="191"/>
      <c r="H9" s="194"/>
      <c r="I9" s="304" t="s">
        <v>89</v>
      </c>
      <c r="J9" s="288">
        <f ca="1">SynthDepo!H35</f>
        <v>3.0560035051119664E-3</v>
      </c>
      <c r="K9" s="195"/>
      <c r="L9" s="294">
        <v>3.4690708187643986E-3</v>
      </c>
      <c r="M9" s="193"/>
      <c r="N9" s="298">
        <f ca="1"/>
        <v>3.0560035051119664E-3</v>
      </c>
      <c r="O9" s="299">
        <f ca="1">_xll.qlSimpleQuoteSetValue(D9,ROUND($N9,6),EvaluationDate)</f>
        <v>0</v>
      </c>
      <c r="P9" s="186"/>
    </row>
    <row r="10" spans="1:16" x14ac:dyDescent="0.2">
      <c r="A10" s="190"/>
      <c r="B10" s="336" t="s">
        <v>90</v>
      </c>
      <c r="C10" s="189" t="str">
        <f t="shared" si="2"/>
        <v>EUR2WD_SYNTH3M_Quote</v>
      </c>
      <c r="D10" s="337" t="str">
        <f>_xll.qlSimpleQuote(C10,,RateTickValue,Permanent,EvaluationDate,ObjectOverwrite)</f>
        <v>EUR2WD_SYNTH3M_Quote#0000</v>
      </c>
      <c r="E10" s="330"/>
      <c r="F10" s="191"/>
      <c r="H10" s="194"/>
      <c r="I10" s="304" t="s">
        <v>90</v>
      </c>
      <c r="J10" s="288">
        <f ca="1">SynthDepo!H36</f>
        <v>3.2356210536900213E-3</v>
      </c>
      <c r="K10" s="195"/>
      <c r="L10" s="294">
        <v>3.4974080397677703E-3</v>
      </c>
      <c r="M10" s="193"/>
      <c r="N10" s="298">
        <f ca="1"/>
        <v>3.2356210536900213E-3</v>
      </c>
      <c r="O10" s="299">
        <f ca="1">_xll.qlSimpleQuoteSetValue(D10,ROUND($N10,6),EvaluationDate)</f>
        <v>0</v>
      </c>
      <c r="P10" s="186"/>
    </row>
    <row r="11" spans="1:16" x14ac:dyDescent="0.2">
      <c r="A11" s="190"/>
      <c r="B11" s="336" t="s">
        <v>91</v>
      </c>
      <c r="C11" s="189" t="str">
        <f t="shared" si="2"/>
        <v>EUR3WD_SYNTH3M_Quote</v>
      </c>
      <c r="D11" s="337" t="str">
        <f>_xll.qlSimpleQuote(C11,,RateTickValue,Permanent,EvaluationDate,ObjectOverwrite)</f>
        <v>EUR3WD_SYNTH3M_Quote#0000</v>
      </c>
      <c r="E11" s="330"/>
      <c r="F11" s="191"/>
      <c r="H11" s="194"/>
      <c r="I11" s="305" t="s">
        <v>91</v>
      </c>
      <c r="J11" s="290">
        <f ca="1">SynthDepo!H37</f>
        <v>3.1852385950074235E-3</v>
      </c>
      <c r="K11" s="195"/>
      <c r="L11" s="295">
        <v>3.4261609576245341E-3</v>
      </c>
      <c r="M11" s="193"/>
      <c r="N11" s="300">
        <f ca="1"/>
        <v>3.1852385950074235E-3</v>
      </c>
      <c r="O11" s="301">
        <f ca="1">_xll.qlSimpleQuoteSetValue(D11,ROUND($N11,6),EvaluationDate)</f>
        <v>0</v>
      </c>
      <c r="P11" s="186"/>
    </row>
    <row r="12" spans="1:16" x14ac:dyDescent="0.2">
      <c r="A12" s="190"/>
      <c r="B12" s="336" t="s">
        <v>92</v>
      </c>
      <c r="C12" s="189" t="str">
        <f t="shared" si="2"/>
        <v>EUR1MD_SYNTH3M_Quote</v>
      </c>
      <c r="D12" s="338" t="str">
        <f>_xll.qlSimpleQuote(C12,,RateTickValue,Permanent,EvaluationDate,ObjectOverwrite)</f>
        <v>EUR1MD_SYNTH3M_Quote#0000</v>
      </c>
      <c r="E12" s="331"/>
      <c r="F12" s="191"/>
      <c r="H12" s="194"/>
      <c r="I12" s="304" t="s">
        <v>92</v>
      </c>
      <c r="J12" s="288">
        <f ca="1">SynthDepo!H38</f>
        <v>3.1761754338438765E-3</v>
      </c>
      <c r="K12" s="195"/>
      <c r="L12" s="294">
        <v>3.384290331083146E-3</v>
      </c>
      <c r="M12" s="193"/>
      <c r="N12" s="298">
        <f ca="1"/>
        <v>3.1761754338438765E-3</v>
      </c>
      <c r="O12" s="299">
        <f ca="1">_xll.qlSimpleQuoteSetValue(D12,ROUND($N12,6),EvaluationDate)</f>
        <v>0</v>
      </c>
      <c r="P12" s="186"/>
    </row>
    <row r="13" spans="1:16" x14ac:dyDescent="0.2">
      <c r="A13" s="190"/>
      <c r="B13" s="336" t="s">
        <v>93</v>
      </c>
      <c r="C13" s="189" t="str">
        <f t="shared" si="2"/>
        <v>EUR2MD_SYNTH3M_Quote</v>
      </c>
      <c r="D13" s="338" t="str">
        <f>_xll.qlSimpleQuote(C13,,RateTickValue,Permanent,EvaluationDate,ObjectOverwrite)</f>
        <v>EUR2MD_SYNTH3M_Quote#0000</v>
      </c>
      <c r="E13" s="331"/>
      <c r="F13" s="191"/>
      <c r="H13" s="194"/>
      <c r="I13" s="304" t="s">
        <v>93</v>
      </c>
      <c r="J13" s="288">
        <f ca="1">SynthDepo!H39</f>
        <v>3.1172841941458276E-3</v>
      </c>
      <c r="K13" s="195"/>
      <c r="L13" s="294">
        <v>3.2074313692756567E-3</v>
      </c>
      <c r="M13" s="193"/>
      <c r="N13" s="298">
        <f ca="1"/>
        <v>3.1172841941458276E-3</v>
      </c>
      <c r="O13" s="299">
        <f ca="1">_xll.qlSimpleQuoteSetValue(D13,ROUND($N13,6),EvaluationDate)</f>
        <v>0</v>
      </c>
      <c r="P13" s="186"/>
    </row>
    <row r="14" spans="1:16" ht="12" thickBot="1" x14ac:dyDescent="0.25">
      <c r="A14" s="190"/>
      <c r="B14" s="339" t="s">
        <v>94</v>
      </c>
      <c r="C14" s="284" t="str">
        <f t="shared" si="2"/>
        <v>EUR3MD_SYNTH3M_Quote</v>
      </c>
      <c r="D14" s="340" t="str">
        <f>_xll.qlSimpleQuote(C14,,RateTickValue,Permanent,EvaluationDate,ObjectOverwrite)</f>
        <v>EUR3MD_SYNTH3M_Quote#0000</v>
      </c>
      <c r="E14" s="332"/>
      <c r="F14" s="191"/>
      <c r="H14" s="194"/>
      <c r="I14" s="306" t="s">
        <v>94</v>
      </c>
      <c r="J14" s="292">
        <f ca="1">SynthDepo!H40</f>
        <v>3.191414008170741E-3</v>
      </c>
      <c r="K14" s="195"/>
      <c r="L14" s="296">
        <v>3.151611641206269E-3</v>
      </c>
      <c r="M14" s="193"/>
      <c r="N14" s="302">
        <f ca="1"/>
        <v>3.191414008170741E-3</v>
      </c>
      <c r="O14" s="303">
        <f ca="1">_xll.qlSimpleQuoteSetValue(D14,ROUND($N14,6),EvaluationDate)</f>
        <v>0</v>
      </c>
      <c r="P14" s="186"/>
    </row>
    <row r="15" spans="1:16" x14ac:dyDescent="0.2">
      <c r="A15" s="345">
        <v>6</v>
      </c>
      <c r="B15" s="349" t="s">
        <v>87</v>
      </c>
      <c r="C15" s="334" t="str">
        <f t="shared" ref="C15:C24" si="3">Currency&amp;$B15&amp;"_SYNTH"&amp;Tenor6M&amp;QuoteSuffix</f>
        <v>EURSND_SYNTH6M_Quote</v>
      </c>
      <c r="D15" s="335" t="str">
        <f>_xll.qlSimpleQuote(C15,,RateTickValue,Permanent,EvaluationDate,ObjectOverwrite)</f>
        <v>EURSND_SYNTH6M_Quote#0000</v>
      </c>
      <c r="E15" s="329" t="str">
        <f>_xll.ohRangeRetrieveError(D15)</f>
        <v/>
      </c>
      <c r="F15" s="191"/>
      <c r="H15" s="194"/>
      <c r="I15" s="309" t="s">
        <v>87</v>
      </c>
      <c r="J15" s="310">
        <f ca="1">SynthDepo!I34</f>
        <v>4.7698401833291869E-3</v>
      </c>
      <c r="K15" s="195"/>
      <c r="L15" s="311">
        <v>5.1066450341498183E-3</v>
      </c>
      <c r="M15" s="193"/>
      <c r="N15" s="312">
        <f ca="1"/>
        <v>4.7698401833291869E-3</v>
      </c>
      <c r="O15" s="313">
        <f ca="1">_xll.qlSimpleQuoteSetValue(D15,ROUND($N15,6),EvaluationDate)</f>
        <v>0</v>
      </c>
      <c r="P15" s="365">
        <f ca="1">_xll.ohTrigger(O15:O24)</f>
        <v>75</v>
      </c>
    </row>
    <row r="16" spans="1:16" x14ac:dyDescent="0.2">
      <c r="A16" s="346" t="str">
        <f>_xll.qlPeriodEquivalent(Months6M&amp;"M")</f>
        <v>6M</v>
      </c>
      <c r="B16" s="350" t="s">
        <v>89</v>
      </c>
      <c r="C16" s="189" t="str">
        <f t="shared" si="3"/>
        <v>EURSWD_SYNTH6M_Quote</v>
      </c>
      <c r="D16" s="337" t="str">
        <f>_xll.qlSimpleQuote(C16,,RateTickValue,Permanent,EvaluationDate,ObjectOverwrite)</f>
        <v>EURSWD_SYNTH6M_Quote#0000</v>
      </c>
      <c r="E16" s="330" t="str">
        <f>_xll.ohRangeRetrieveError(D16)</f>
        <v/>
      </c>
      <c r="F16" s="191"/>
      <c r="H16" s="194"/>
      <c r="I16" s="304" t="s">
        <v>89</v>
      </c>
      <c r="J16" s="288">
        <f ca="1">SynthDepo!I35</f>
        <v>4.439311321589084E-3</v>
      </c>
      <c r="K16" s="195"/>
      <c r="L16" s="294">
        <v>4.6161360774966322E-3</v>
      </c>
      <c r="M16" s="193"/>
      <c r="N16" s="298">
        <f ca="1"/>
        <v>4.439311321589084E-3</v>
      </c>
      <c r="O16" s="299">
        <f ca="1">_xll.qlSimpleQuoteSetValue(D16,ROUND($N16,6),EvaluationDate)</f>
        <v>0</v>
      </c>
      <c r="P16" s="196"/>
    </row>
    <row r="17" spans="1:16" x14ac:dyDescent="0.2">
      <c r="A17" s="352"/>
      <c r="B17" s="350" t="s">
        <v>90</v>
      </c>
      <c r="C17" s="189" t="str">
        <f t="shared" si="3"/>
        <v>EUR2WD_SYNTH6M_Quote</v>
      </c>
      <c r="D17" s="337" t="str">
        <f>_xll.qlSimpleQuote(C17,,RateTickValue,Permanent,EvaluationDate,ObjectOverwrite)</f>
        <v>EUR2WD_SYNTH6M_Quote#0000</v>
      </c>
      <c r="E17" s="330" t="str">
        <f>_xll.ohRangeRetrieveError(D17)</f>
        <v/>
      </c>
      <c r="F17" s="191"/>
      <c r="H17" s="192"/>
      <c r="I17" s="304" t="s">
        <v>90</v>
      </c>
      <c r="J17" s="288">
        <f ca="1">SynthDepo!I36</f>
        <v>4.5903609954760366E-3</v>
      </c>
      <c r="K17" s="195"/>
      <c r="L17" s="294">
        <v>4.6454574708031226E-3</v>
      </c>
      <c r="M17" s="193"/>
      <c r="N17" s="298">
        <f ca="1"/>
        <v>4.5903609954760366E-3</v>
      </c>
      <c r="O17" s="299">
        <f ca="1">_xll.qlSimpleQuoteSetValue(D17,ROUND($N17,6),EvaluationDate)</f>
        <v>0</v>
      </c>
      <c r="P17" s="196"/>
    </row>
    <row r="18" spans="1:16" x14ac:dyDescent="0.2">
      <c r="A18" s="353"/>
      <c r="B18" s="350" t="s">
        <v>91</v>
      </c>
      <c r="C18" s="189" t="str">
        <f t="shared" si="3"/>
        <v>EUR3WD_SYNTH6M_Quote</v>
      </c>
      <c r="D18" s="337" t="str">
        <f>_xll.qlSimpleQuote(C18,,RateTickValue,Permanent,EvaluationDate,ObjectOverwrite)</f>
        <v>EUR3WD_SYNTH6M_Quote#0000</v>
      </c>
      <c r="E18" s="330" t="str">
        <f>_xll.ohRangeRetrieveError(D18)</f>
        <v/>
      </c>
      <c r="F18" s="191"/>
      <c r="H18" s="192"/>
      <c r="I18" s="304" t="s">
        <v>91</v>
      </c>
      <c r="J18" s="288">
        <f ca="1">SynthDepo!I37</f>
        <v>4.5114106621023369E-3</v>
      </c>
      <c r="K18" s="195"/>
      <c r="L18" s="294">
        <v>4.574948517887225E-3</v>
      </c>
      <c r="M18" s="193"/>
      <c r="N18" s="298">
        <f ca="1"/>
        <v>4.5114106621023369E-3</v>
      </c>
      <c r="O18" s="299">
        <f ca="1">_xll.qlSimpleQuoteSetValue(D18,ROUND($N18,6),EvaluationDate)</f>
        <v>0</v>
      </c>
      <c r="P18" s="196"/>
    </row>
    <row r="19" spans="1:16" x14ac:dyDescent="0.2">
      <c r="A19" s="353"/>
      <c r="B19" s="350" t="s">
        <v>92</v>
      </c>
      <c r="C19" s="189" t="str">
        <f t="shared" si="3"/>
        <v>EUR1MD_SYNTH6M_Quote</v>
      </c>
      <c r="D19" s="337" t="str">
        <f>_xll.qlSimpleQuote(C19,,RateTickValue,Permanent,EvaluationDate,ObjectOverwrite)</f>
        <v>EUR1MD_SYNTH6M_Quote#0000</v>
      </c>
      <c r="E19" s="330" t="str">
        <f>_xll.ohRangeRetrieveError(D19)</f>
        <v/>
      </c>
      <c r="F19" s="191"/>
      <c r="H19" s="192"/>
      <c r="I19" s="304" t="s">
        <v>92</v>
      </c>
      <c r="J19" s="288">
        <f ca="1">SynthDepo!I38</f>
        <v>4.4656173763359449E-3</v>
      </c>
      <c r="K19" s="195"/>
      <c r="L19" s="294">
        <v>4.5341850851868459E-3</v>
      </c>
      <c r="M19" s="193"/>
      <c r="N19" s="298">
        <f ca="1"/>
        <v>4.4656173763359449E-3</v>
      </c>
      <c r="O19" s="299">
        <f ca="1">_xll.qlSimpleQuoteSetValue(D19,ROUND($N19,6),EvaluationDate)</f>
        <v>0</v>
      </c>
      <c r="P19" s="196"/>
    </row>
    <row r="20" spans="1:16" x14ac:dyDescent="0.2">
      <c r="A20" s="353"/>
      <c r="B20" s="350" t="s">
        <v>93</v>
      </c>
      <c r="C20" s="189" t="str">
        <f t="shared" si="3"/>
        <v>EUR2MD_SYNTH6M_Quote</v>
      </c>
      <c r="D20" s="337" t="str">
        <f>_xll.qlSimpleQuote(C20,,RateTickValue,Permanent,EvaluationDate,ObjectOverwrite)</f>
        <v>EUR2MD_SYNTH6M_Quote#0000</v>
      </c>
      <c r="E20" s="330" t="str">
        <f>_xll.ohRangeRetrieveError(D20)</f>
        <v/>
      </c>
      <c r="F20" s="191"/>
      <c r="H20" s="192"/>
      <c r="I20" s="304" t="s">
        <v>93</v>
      </c>
      <c r="J20" s="288">
        <f ca="1">SynthDepo!I39</f>
        <v>4.2761301380500024E-3</v>
      </c>
      <c r="K20" s="195"/>
      <c r="L20" s="294">
        <v>4.361385834129719E-3</v>
      </c>
      <c r="M20" s="193"/>
      <c r="N20" s="298">
        <f ca="1"/>
        <v>4.2761301380500024E-3</v>
      </c>
      <c r="O20" s="299">
        <f ca="1">_xll.qlSimpleQuoteSetValue(D20,ROUND($N20,6),EvaluationDate)</f>
        <v>0</v>
      </c>
      <c r="P20" s="196"/>
    </row>
    <row r="21" spans="1:16" x14ac:dyDescent="0.2">
      <c r="A21" s="353"/>
      <c r="B21" s="350" t="s">
        <v>94</v>
      </c>
      <c r="C21" s="189" t="str">
        <f t="shared" si="3"/>
        <v>EUR3MD_SYNTH6M_Quote</v>
      </c>
      <c r="D21" s="337" t="str">
        <f>_xll.qlSimpleQuote(C21,,RateTickValue,Permanent,EvaluationDate,ObjectOverwrite)</f>
        <v>EUR3MD_SYNTH6M_Quote#0000</v>
      </c>
      <c r="E21" s="330" t="str">
        <f>_xll.ohRangeRetrieveError(D21)</f>
        <v/>
      </c>
      <c r="F21" s="191"/>
      <c r="H21" s="192"/>
      <c r="I21" s="304" t="s">
        <v>94</v>
      </c>
      <c r="J21" s="288">
        <f ca="1">SynthDepo!I40</f>
        <v>4.2319073283546369E-3</v>
      </c>
      <c r="K21" s="195"/>
      <c r="L21" s="294">
        <v>4.3090107091212446E-3</v>
      </c>
      <c r="M21" s="193"/>
      <c r="N21" s="298">
        <f ca="1"/>
        <v>4.2319073283546369E-3</v>
      </c>
      <c r="O21" s="299">
        <f ca="1">_xll.qlSimpleQuoteSetValue(D21,ROUND($N21,6),EvaluationDate)</f>
        <v>0</v>
      </c>
      <c r="P21" s="196"/>
    </row>
    <row r="22" spans="1:16" x14ac:dyDescent="0.2">
      <c r="A22" s="353"/>
      <c r="B22" s="350" t="s">
        <v>95</v>
      </c>
      <c r="C22" s="189" t="str">
        <f t="shared" si="3"/>
        <v>EUR4MD_SYNTH6M_Quote</v>
      </c>
      <c r="D22" s="337" t="str">
        <f>_xll.qlSimpleQuote(C22,,RateTickValue,Permanent,EvaluationDate,ObjectOverwrite)</f>
        <v>EUR4MD_SYNTH6M_Quote#0000</v>
      </c>
      <c r="E22" s="330" t="str">
        <f>_xll.ohRangeRetrieveError(D22)</f>
        <v/>
      </c>
      <c r="F22" s="191"/>
      <c r="H22" s="192"/>
      <c r="I22" s="304" t="s">
        <v>95</v>
      </c>
      <c r="J22" s="288">
        <f ca="1">SynthDepo!I41</f>
        <v>4.2108415662658561E-3</v>
      </c>
      <c r="K22" s="195"/>
      <c r="L22" s="294">
        <v>4.2563811103915484E-3</v>
      </c>
      <c r="M22" s="193"/>
      <c r="N22" s="298">
        <f ca="1"/>
        <v>4.2108415662658561E-3</v>
      </c>
      <c r="O22" s="299">
        <f ca="1">_xll.qlSimpleQuoteSetValue(D22,ROUND($N22,6),EvaluationDate)</f>
        <v>0</v>
      </c>
      <c r="P22" s="196"/>
    </row>
    <row r="23" spans="1:16" x14ac:dyDescent="0.2">
      <c r="A23" s="353"/>
      <c r="B23" s="350" t="s">
        <v>96</v>
      </c>
      <c r="C23" s="189" t="str">
        <f t="shared" si="3"/>
        <v>EUR5MD_SYNTH6M_Quote</v>
      </c>
      <c r="D23" s="337" t="str">
        <f>_xll.qlSimpleQuote(C23,,RateTickValue,Permanent,EvaluationDate,ObjectOverwrite)</f>
        <v>EUR5MD_SYNTH6M_Quote#0000</v>
      </c>
      <c r="E23" s="330" t="str">
        <f>_xll.ohRangeRetrieveError(D23)</f>
        <v/>
      </c>
      <c r="F23" s="191"/>
      <c r="H23" s="192"/>
      <c r="I23" s="304" t="s">
        <v>96</v>
      </c>
      <c r="J23" s="288">
        <f ca="1">SynthDepo!I42</f>
        <v>4.2197758041782728E-3</v>
      </c>
      <c r="K23" s="195"/>
      <c r="L23" s="294">
        <v>4.2336666842460839E-3</v>
      </c>
      <c r="M23" s="193"/>
      <c r="N23" s="298">
        <f ca="1"/>
        <v>4.2197758041782728E-3</v>
      </c>
      <c r="O23" s="299">
        <f ca="1">_xll.qlSimpleQuoteSetValue(D23,ROUND($N23,6),EvaluationDate)</f>
        <v>0</v>
      </c>
      <c r="P23" s="196"/>
    </row>
    <row r="24" spans="1:16" ht="12" thickBot="1" x14ac:dyDescent="0.25">
      <c r="A24" s="354"/>
      <c r="B24" s="344" t="s">
        <v>97</v>
      </c>
      <c r="C24" s="284" t="str">
        <f t="shared" si="3"/>
        <v>EUR6MD_SYNTH6M_Quote</v>
      </c>
      <c r="D24" s="351" t="str">
        <f>_xll.qlSimpleQuote(C24,,RateTickValue,Permanent,EvaluationDate,ObjectOverwrite)</f>
        <v>EUR6MD_SYNTH6M_Quote#0000</v>
      </c>
      <c r="E24" s="330" t="str">
        <f>_xll.ohRangeRetrieveError(D24)</f>
        <v/>
      </c>
      <c r="F24" s="191"/>
      <c r="H24" s="192"/>
      <c r="I24" s="306" t="s">
        <v>97</v>
      </c>
      <c r="J24" s="292">
        <f ca="1">SynthDepo!I43</f>
        <v>4.2271315182885252E-3</v>
      </c>
      <c r="K24" s="195"/>
      <c r="L24" s="296">
        <v>4.2112067355525029E-3</v>
      </c>
      <c r="M24" s="193"/>
      <c r="N24" s="302">
        <f ca="1"/>
        <v>4.2271315182885252E-3</v>
      </c>
      <c r="O24" s="303">
        <f ca="1">_xll.qlSimpleQuoteSetValue(D24,ROUND($N24,6),EvaluationDate)</f>
        <v>0</v>
      </c>
      <c r="P24" s="196"/>
    </row>
    <row r="25" spans="1:16" x14ac:dyDescent="0.2">
      <c r="A25" s="345">
        <v>12</v>
      </c>
      <c r="B25" s="333" t="s">
        <v>87</v>
      </c>
      <c r="C25" s="334" t="str">
        <f t="shared" ref="C25:C40" si="4">Currency&amp;$B25&amp;"_SYNTH"&amp;Tenor12M&amp;QuoteSuffix</f>
        <v>EURSND_SYNTH1Y_Quote</v>
      </c>
      <c r="D25" s="335" t="str">
        <f>_xll.qlSimpleQuote(C25,,RateTickValue,Permanent,EvaluationDate,ObjectOverwrite)</f>
        <v>EURSND_SYNTH1Y_Quote#0000</v>
      </c>
      <c r="E25" s="329" t="str">
        <f>_xll.ohRangeRetrieveError(D25)</f>
        <v/>
      </c>
      <c r="F25" s="200"/>
      <c r="H25" s="194"/>
      <c r="I25" s="314" t="s">
        <v>87</v>
      </c>
      <c r="J25" s="310">
        <f ca="1">SynthDepo!J34</f>
        <v>6.9611349604151744E-3</v>
      </c>
      <c r="K25" s="195"/>
      <c r="L25" s="311">
        <v>6.9159356212349183E-3</v>
      </c>
      <c r="M25" s="193"/>
      <c r="N25" s="312">
        <f ca="1"/>
        <v>6.9611349604151744E-3</v>
      </c>
      <c r="O25" s="313">
        <f ca="1">_xll.qlSimpleQuoteSetValue(D25,ROUND($N25,6),EvaluationDate)</f>
        <v>0</v>
      </c>
      <c r="P25" s="365">
        <f ca="1">_xll.ohTrigger(O25:O40)</f>
        <v>75</v>
      </c>
    </row>
    <row r="26" spans="1:16" x14ac:dyDescent="0.2">
      <c r="A26" s="346" t="str">
        <f>_xll.qlPeriodEquivalent(Months12M&amp;"M")</f>
        <v>1Y</v>
      </c>
      <c r="B26" s="336" t="s">
        <v>89</v>
      </c>
      <c r="C26" s="189" t="str">
        <f t="shared" si="4"/>
        <v>EURSWD_SYNTH1Y_Quote</v>
      </c>
      <c r="D26" s="337" t="str">
        <f>_xll.qlSimpleQuote(C26,,RateTickValue,Permanent,EvaluationDate,ObjectOverwrite)</f>
        <v>EURSWD_SYNTH1Y_Quote#0000</v>
      </c>
      <c r="E26" s="330" t="str">
        <f>_xll.ohRangeRetrieveError(D26)</f>
        <v/>
      </c>
      <c r="F26" s="200"/>
      <c r="H26" s="194"/>
      <c r="I26" s="315" t="s">
        <v>89</v>
      </c>
      <c r="J26" s="288">
        <f ca="1">SynthDepo!J35</f>
        <v>6.621074538019224E-3</v>
      </c>
      <c r="K26" s="195"/>
      <c r="L26" s="294">
        <v>6.4255197743139196E-3</v>
      </c>
      <c r="M26" s="193"/>
      <c r="N26" s="298">
        <f ca="1"/>
        <v>6.621074538019224E-3</v>
      </c>
      <c r="O26" s="299">
        <f ca="1">_xll.qlSimpleQuoteSetValue(D26,ROUND($N26,6),EvaluationDate)</f>
        <v>0</v>
      </c>
      <c r="P26" s="196"/>
    </row>
    <row r="27" spans="1:16" x14ac:dyDescent="0.2">
      <c r="A27" s="353"/>
      <c r="B27" s="336" t="s">
        <v>90</v>
      </c>
      <c r="C27" s="189" t="str">
        <f t="shared" si="4"/>
        <v>EUR2WD_SYNTH1Y_Quote</v>
      </c>
      <c r="D27" s="337" t="str">
        <f>_xll.qlSimpleQuote(C27,,RateTickValue,Permanent,EvaluationDate,ObjectOverwrite)</f>
        <v>EUR2WD_SYNTH1Y_Quote#0000</v>
      </c>
      <c r="E27" s="330" t="str">
        <f>_xll.ohRangeRetrieveError(D27)</f>
        <v/>
      </c>
      <c r="F27" s="200"/>
      <c r="H27" s="192"/>
      <c r="I27" s="315" t="s">
        <v>90</v>
      </c>
      <c r="J27" s="288">
        <f ca="1">SynthDepo!J36</f>
        <v>6.7610040578076867E-3</v>
      </c>
      <c r="K27" s="195"/>
      <c r="L27" s="294">
        <v>6.4549653139299914E-3</v>
      </c>
      <c r="M27" s="193"/>
      <c r="N27" s="298">
        <f ca="1"/>
        <v>6.7610040578076867E-3</v>
      </c>
      <c r="O27" s="299">
        <f ca="1">_xll.qlSimpleQuoteSetValue(D27,ROUND($N27,6),EvaluationDate)</f>
        <v>0</v>
      </c>
      <c r="P27" s="196"/>
    </row>
    <row r="28" spans="1:16" x14ac:dyDescent="0.2">
      <c r="A28" s="353"/>
      <c r="B28" s="336" t="s">
        <v>91</v>
      </c>
      <c r="C28" s="189" t="str">
        <f t="shared" si="4"/>
        <v>EUR3WD_SYNTH1Y_Quote</v>
      </c>
      <c r="D28" s="337" t="str">
        <f>_xll.qlSimpleQuote(C28,,RateTickValue,Permanent,EvaluationDate,ObjectOverwrite)</f>
        <v>EUR3WD_SYNTH1Y_Quote#0000</v>
      </c>
      <c r="E28" s="330" t="str">
        <f>_xll.ohRangeRetrieveError(D28)</f>
        <v/>
      </c>
      <c r="F28" s="200"/>
      <c r="H28" s="192"/>
      <c r="I28" s="315" t="s">
        <v>91</v>
      </c>
      <c r="J28" s="288">
        <f ca="1">SynthDepo!J37</f>
        <v>6.670933570335498E-3</v>
      </c>
      <c r="K28" s="195"/>
      <c r="L28" s="294">
        <v>6.3845494707462803E-3</v>
      </c>
      <c r="M28" s="193"/>
      <c r="N28" s="298">
        <f ca="1"/>
        <v>6.670933570335498E-3</v>
      </c>
      <c r="O28" s="299">
        <f ca="1">_xll.qlSimpleQuoteSetValue(D28,ROUND($N28,6),EvaluationDate)</f>
        <v>0</v>
      </c>
      <c r="P28" s="196"/>
    </row>
    <row r="29" spans="1:16" x14ac:dyDescent="0.2">
      <c r="A29" s="353"/>
      <c r="B29" s="336" t="s">
        <v>92</v>
      </c>
      <c r="C29" s="189" t="str">
        <f t="shared" si="4"/>
        <v>EUR1MD_SYNTH1Y_Quote</v>
      </c>
      <c r="D29" s="337" t="str">
        <f>_xll.qlSimpleQuote(C29,,RateTickValue,Permanent,EvaluationDate,ObjectOverwrite)</f>
        <v>EUR1MD_SYNTH1Y_Quote#0000</v>
      </c>
      <c r="E29" s="330" t="str">
        <f>_xll.ohRangeRetrieveError(D29)</f>
        <v/>
      </c>
      <c r="F29" s="200"/>
      <c r="H29" s="192"/>
      <c r="I29" s="316" t="s">
        <v>92</v>
      </c>
      <c r="J29" s="290">
        <f ca="1">SynthDepo!J38</f>
        <v>6.6108429435853327E-3</v>
      </c>
      <c r="K29" s="195"/>
      <c r="L29" s="295">
        <v>6.3439257026441818E-3</v>
      </c>
      <c r="M29" s="193"/>
      <c r="N29" s="300">
        <f ca="1"/>
        <v>6.6108429435853327E-3</v>
      </c>
      <c r="O29" s="301">
        <f ca="1">_xll.qlSimpleQuoteSetValue(D29,ROUND($N29,6),EvaluationDate)</f>
        <v>0</v>
      </c>
      <c r="P29" s="196"/>
    </row>
    <row r="30" spans="1:16" x14ac:dyDescent="0.2">
      <c r="A30" s="353"/>
      <c r="B30" s="336" t="s">
        <v>93</v>
      </c>
      <c r="C30" s="189" t="str">
        <f t="shared" si="4"/>
        <v>EUR2MD_SYNTH1Y_Quote</v>
      </c>
      <c r="D30" s="337" t="str">
        <f>_xll.qlSimpleQuote(C30,,RateTickValue,Permanent,EvaluationDate,ObjectOverwrite)</f>
        <v>EUR2MD_SYNTH1Y_Quote#0000</v>
      </c>
      <c r="E30" s="330" t="str">
        <f>_xll.ohRangeRetrieveError(D30)</f>
        <v/>
      </c>
      <c r="F30" s="200"/>
      <c r="H30" s="192"/>
      <c r="I30" s="315" t="s">
        <v>93</v>
      </c>
      <c r="J30" s="288">
        <f ca="1">SynthDepo!J39</f>
        <v>6.3705207151348656E-3</v>
      </c>
      <c r="K30" s="195"/>
      <c r="L30" s="294">
        <v>6.1716385551140833E-3</v>
      </c>
      <c r="M30" s="193"/>
      <c r="N30" s="298">
        <f ca="1"/>
        <v>6.3705207151348656E-3</v>
      </c>
      <c r="O30" s="299">
        <f ca="1">_xll.qlSimpleQuoteSetValue(D30,ROUND($N30,6),EvaluationDate)</f>
        <v>0</v>
      </c>
      <c r="P30" s="365"/>
    </row>
    <row r="31" spans="1:16" x14ac:dyDescent="0.2">
      <c r="A31" s="353"/>
      <c r="B31" s="336" t="s">
        <v>94</v>
      </c>
      <c r="C31" s="189" t="str">
        <f t="shared" si="4"/>
        <v>EUR3MD_SYNTH1Y_Quote</v>
      </c>
      <c r="D31" s="337" t="str">
        <f>_xll.qlSimpleQuote(C31,,RateTickValue,Permanent,EvaluationDate,ObjectOverwrite)</f>
        <v>EUR3MD_SYNTH1Y_Quote#0000</v>
      </c>
      <c r="E31" s="330" t="str">
        <f>_xll.ohRangeRetrieveError(D31)</f>
        <v/>
      </c>
      <c r="F31" s="200"/>
      <c r="H31" s="192"/>
      <c r="I31" s="315" t="s">
        <v>94</v>
      </c>
      <c r="J31" s="288">
        <f ca="1">SynthDepo!J40</f>
        <v>6.2802286956029005E-3</v>
      </c>
      <c r="K31" s="195"/>
      <c r="L31" s="294">
        <v>6.1196979421891482E-3</v>
      </c>
      <c r="M31" s="193"/>
      <c r="N31" s="298">
        <f ca="1"/>
        <v>6.2802286956029005E-3</v>
      </c>
      <c r="O31" s="299">
        <f ca="1">_xll.qlSimpleQuoteSetValue(D31,ROUND($N31,6),EvaluationDate)</f>
        <v>0</v>
      </c>
      <c r="P31" s="196"/>
    </row>
    <row r="32" spans="1:16" x14ac:dyDescent="0.2">
      <c r="A32" s="353"/>
      <c r="B32" s="336" t="s">
        <v>95</v>
      </c>
      <c r="C32" s="189" t="str">
        <f t="shared" si="4"/>
        <v>EUR4MD_SYNTH1Y_Quote</v>
      </c>
      <c r="D32" s="337" t="str">
        <f>_xll.qlSimpleQuote(C32,,RateTickValue,Permanent,EvaluationDate,ObjectOverwrite)</f>
        <v>EUR4MD_SYNTH1Y_Quote#0000</v>
      </c>
      <c r="E32" s="330" t="str">
        <f>_xll.ohRangeRetrieveError(D32)</f>
        <v/>
      </c>
      <c r="F32" s="200"/>
      <c r="H32" s="192"/>
      <c r="I32" s="315" t="s">
        <v>95</v>
      </c>
      <c r="J32" s="288">
        <f ca="1">SynthDepo!J41</f>
        <v>6.2099165367922376E-3</v>
      </c>
      <c r="K32" s="195"/>
      <c r="L32" s="294">
        <v>6.0675494104090837E-3</v>
      </c>
      <c r="M32" s="193"/>
      <c r="N32" s="298">
        <f ca="1"/>
        <v>6.2099165367922376E-3</v>
      </c>
      <c r="O32" s="299">
        <f ca="1">_xll.qlSimpleQuoteSetValue(D32,ROUND($N32,6),EvaluationDate)</f>
        <v>0</v>
      </c>
      <c r="P32" s="196"/>
    </row>
    <row r="33" spans="1:16" x14ac:dyDescent="0.2">
      <c r="A33" s="353"/>
      <c r="B33" s="336" t="s">
        <v>96</v>
      </c>
      <c r="C33" s="189" t="str">
        <f t="shared" si="4"/>
        <v>EUR5MD_SYNTH1Y_Quote</v>
      </c>
      <c r="D33" s="337" t="str">
        <f>_xll.qlSimpleQuote(C33,,RateTickValue,Permanent,EvaluationDate,ObjectOverwrite)</f>
        <v>EUR5MD_SYNTH1Y_Quote#0000</v>
      </c>
      <c r="E33" s="330" t="str">
        <f>_xll.ohRangeRetrieveError(D33)</f>
        <v/>
      </c>
      <c r="F33" s="200"/>
      <c r="H33" s="194"/>
      <c r="I33" s="315" t="s">
        <v>96</v>
      </c>
      <c r="J33" s="288">
        <f ca="1">SynthDepo!J42</f>
        <v>6.1696043779827731E-3</v>
      </c>
      <c r="K33" s="195"/>
      <c r="L33" s="294">
        <v>6.0453315695019483E-3</v>
      </c>
      <c r="M33" s="193"/>
      <c r="N33" s="298">
        <f ca="1"/>
        <v>6.1696043779827731E-3</v>
      </c>
      <c r="O33" s="299">
        <f ca="1">_xll.qlSimpleQuoteSetValue(D33,ROUND($N33,6),EvaluationDate)</f>
        <v>0</v>
      </c>
      <c r="P33" s="196"/>
    </row>
    <row r="34" spans="1:16" x14ac:dyDescent="0.2">
      <c r="A34" s="353"/>
      <c r="B34" s="336" t="s">
        <v>97</v>
      </c>
      <c r="C34" s="189" t="str">
        <f t="shared" si="4"/>
        <v>EUR6MD_SYNTH1Y_Quote</v>
      </c>
      <c r="D34" s="337" t="str">
        <f>_xll.qlSimpleQuote(C34,,RateTickValue,Permanent,EvaluationDate,ObjectOverwrite)</f>
        <v>EUR6MD_SYNTH1Y_Quote#0000</v>
      </c>
      <c r="E34" s="330" t="str">
        <f>_xll.ohRangeRetrieveError(D34)</f>
        <v/>
      </c>
      <c r="F34" s="200"/>
      <c r="H34" s="194"/>
      <c r="I34" s="315" t="s">
        <v>97</v>
      </c>
      <c r="J34" s="288">
        <f ca="1">SynthDepo!J43</f>
        <v>6.1293022888137833E-3</v>
      </c>
      <c r="K34" s="195"/>
      <c r="L34" s="294">
        <v>6.023321651180605E-3</v>
      </c>
      <c r="M34" s="193"/>
      <c r="N34" s="298">
        <f ca="1"/>
        <v>6.1293022888137833E-3</v>
      </c>
      <c r="O34" s="299">
        <f ca="1">_xll.qlSimpleQuoteSetValue(D34,ROUND($N34,6),EvaluationDate)</f>
        <v>0</v>
      </c>
      <c r="P34" s="196"/>
    </row>
    <row r="35" spans="1:16" x14ac:dyDescent="0.2">
      <c r="A35" s="353"/>
      <c r="B35" s="336" t="s">
        <v>98</v>
      </c>
      <c r="C35" s="189" t="str">
        <f t="shared" si="4"/>
        <v>EUR7MD_SYNTH1Y_Quote</v>
      </c>
      <c r="D35" s="337" t="str">
        <f>_xll.qlSimpleQuote(C35,,RateTickValue,Permanent,EvaluationDate,ObjectOverwrite)</f>
        <v>EUR7MD_SYNTH1Y_Quote#0000</v>
      </c>
      <c r="E35" s="330" t="str">
        <f>_xll.ohRangeRetrieveError(D35)</f>
        <v/>
      </c>
      <c r="F35" s="200"/>
      <c r="H35" s="194"/>
      <c r="I35" s="315" t="s">
        <v>98</v>
      </c>
      <c r="J35" s="288">
        <f ca="1">SynthDepo!J44</f>
        <v>6.0789699907332836E-3</v>
      </c>
      <c r="K35" s="195"/>
      <c r="L35" s="294">
        <v>5.9911731178022374E-3</v>
      </c>
      <c r="M35" s="193"/>
      <c r="N35" s="298">
        <f ca="1"/>
        <v>6.0789699907332836E-3</v>
      </c>
      <c r="O35" s="299">
        <f ca="1">_xll.qlSimpleQuoteSetValue(D35,ROUND($N35,6),EvaluationDate)</f>
        <v>0</v>
      </c>
      <c r="P35" s="196"/>
    </row>
    <row r="36" spans="1:16" x14ac:dyDescent="0.2">
      <c r="A36" s="353"/>
      <c r="B36" s="336" t="s">
        <v>99</v>
      </c>
      <c r="C36" s="189" t="str">
        <f t="shared" si="4"/>
        <v>EUR8MD_SYNTH1Y_Quote</v>
      </c>
      <c r="D36" s="337" t="str">
        <f>_xll.qlSimpleQuote(C36,,RateTickValue,Permanent,EvaluationDate,ObjectOverwrite)</f>
        <v>EUR8MD_SYNTH1Y_Quote#0000</v>
      </c>
      <c r="E36" s="330" t="str">
        <f>_xll.ohRangeRetrieveError(D36)</f>
        <v/>
      </c>
      <c r="F36" s="200"/>
      <c r="H36" s="194"/>
      <c r="I36" s="315" t="s">
        <v>99</v>
      </c>
      <c r="J36" s="288">
        <f ca="1">SynthDepo!J45</f>
        <v>6.048688040837513E-3</v>
      </c>
      <c r="K36" s="195"/>
      <c r="L36" s="294">
        <v>5.9790245844233807E-3</v>
      </c>
      <c r="M36" s="193"/>
      <c r="N36" s="298">
        <f ca="1"/>
        <v>6.048688040837513E-3</v>
      </c>
      <c r="O36" s="299">
        <f ca="1">_xll.qlSimpleQuoteSetValue(D36,ROUND($N36,6),EvaluationDate)</f>
        <v>0</v>
      </c>
      <c r="P36" s="196"/>
    </row>
    <row r="37" spans="1:16" x14ac:dyDescent="0.2">
      <c r="A37" s="357"/>
      <c r="B37" s="336" t="s">
        <v>100</v>
      </c>
      <c r="C37" s="189" t="str">
        <f t="shared" si="4"/>
        <v>EUR9MD_SYNTH1Y_Quote</v>
      </c>
      <c r="D37" s="337" t="str">
        <f>_xll.qlSimpleQuote(C37,,RateTickValue,Permanent,EvaluationDate,ObjectOverwrite)</f>
        <v>EUR9MD_SYNTH1Y_Quote#0000</v>
      </c>
      <c r="E37" s="330" t="str">
        <f>_xll.ohRangeRetrieveError(D37)</f>
        <v/>
      </c>
      <c r="F37" s="200"/>
      <c r="H37" s="194"/>
      <c r="I37" s="315" t="s">
        <v>100</v>
      </c>
      <c r="J37" s="288">
        <f ca="1">SynthDepo!J46</f>
        <v>6.0383758820325749E-3</v>
      </c>
      <c r="K37" s="195"/>
      <c r="L37" s="294">
        <v>5.9869453585732549E-3</v>
      </c>
      <c r="M37" s="193"/>
      <c r="N37" s="298">
        <f ca="1"/>
        <v>6.0383758820325749E-3</v>
      </c>
      <c r="O37" s="299">
        <f ca="1">_xll.qlSimpleQuoteSetValue(D37,ROUND($N37,6),EvaluationDate)</f>
        <v>0</v>
      </c>
      <c r="P37" s="196"/>
    </row>
    <row r="38" spans="1:16" x14ac:dyDescent="0.2">
      <c r="A38" s="358"/>
      <c r="B38" s="336" t="s">
        <v>101</v>
      </c>
      <c r="C38" s="189" t="str">
        <f t="shared" si="4"/>
        <v>EUR10MD_SYNTH1Y_Quote</v>
      </c>
      <c r="D38" s="337" t="str">
        <f>_xll.qlSimpleQuote(C38,,RateTickValue,Permanent,EvaluationDate,ObjectOverwrite)</f>
        <v>EUR10MD_SYNTH1Y_Quote#0000</v>
      </c>
      <c r="E38" s="330" t="str">
        <f>_xll.ohRangeRetrieveError(D38)</f>
        <v/>
      </c>
      <c r="F38" s="200"/>
      <c r="H38" s="194"/>
      <c r="I38" s="315" t="s">
        <v>101</v>
      </c>
      <c r="J38" s="288">
        <f ca="1">SynthDepo!J47</f>
        <v>6.0180536535821812E-3</v>
      </c>
      <c r="K38" s="195"/>
      <c r="L38" s="294">
        <v>5.9746582101379148E-3</v>
      </c>
      <c r="M38" s="193"/>
      <c r="N38" s="298">
        <f ca="1"/>
        <v>6.0180536535821812E-3</v>
      </c>
      <c r="O38" s="299">
        <f ca="1">_xll.qlSimpleQuoteSetValue(D38,ROUND($N38,6),EvaluationDate)</f>
        <v>0</v>
      </c>
      <c r="P38" s="196"/>
    </row>
    <row r="39" spans="1:16" x14ac:dyDescent="0.2">
      <c r="A39" s="353"/>
      <c r="B39" s="336" t="s">
        <v>102</v>
      </c>
      <c r="C39" s="189" t="str">
        <f t="shared" si="4"/>
        <v>EUR11MD_SYNTH1Y_Quote</v>
      </c>
      <c r="D39" s="337" t="str">
        <f>_xll.qlSimpleQuote(C39,,RateTickValue,Permanent,EvaluationDate,ObjectOverwrite)</f>
        <v>EUR11MD_SYNTH1Y_Quote#0000</v>
      </c>
      <c r="E39" s="330" t="str">
        <f>_xll.ohRangeRetrieveError(D39)</f>
        <v/>
      </c>
      <c r="F39" s="200"/>
      <c r="H39" s="194"/>
      <c r="I39" s="315" t="s">
        <v>102</v>
      </c>
      <c r="J39" s="288">
        <f ca="1">SynthDepo!J48</f>
        <v>5.9977717036931999E-3</v>
      </c>
      <c r="K39" s="195"/>
      <c r="L39" s="294">
        <v>5.9727175993441366E-3</v>
      </c>
      <c r="M39" s="193"/>
      <c r="N39" s="298">
        <f ca="1"/>
        <v>5.9977717036931999E-3</v>
      </c>
      <c r="O39" s="299">
        <f ca="1">_xll.qlSimpleQuoteSetValue(D39,ROUND($N39,6),EvaluationDate)</f>
        <v>0</v>
      </c>
      <c r="P39" s="196"/>
    </row>
    <row r="40" spans="1:16" ht="12" thickBot="1" x14ac:dyDescent="0.25">
      <c r="A40" s="359"/>
      <c r="B40" s="356" t="s">
        <v>103</v>
      </c>
      <c r="C40" s="189" t="str">
        <f t="shared" si="4"/>
        <v>EUR1YD_SYNTH1Y_Quote</v>
      </c>
      <c r="D40" s="337" t="str">
        <f>_xll.qlSimpleQuote(C40,,RateTickValue,Permanent,EvaluationDate,ObjectOverwrite)</f>
        <v>EUR1YD_SYNTH1Y_Quote#0000</v>
      </c>
      <c r="E40" s="330" t="str">
        <f>_xll.ohRangeRetrieveError(D40)</f>
        <v/>
      </c>
      <c r="F40" s="200"/>
      <c r="H40" s="194"/>
      <c r="I40" s="360" t="s">
        <v>103</v>
      </c>
      <c r="J40" s="292">
        <f ca="1">SynthDepo!J49</f>
        <v>5.9974696145228398E-3</v>
      </c>
      <c r="K40" s="195"/>
      <c r="L40" s="296">
        <v>5.9807076810162469E-3</v>
      </c>
      <c r="M40" s="193"/>
      <c r="N40" s="302">
        <f ca="1"/>
        <v>5.9974696145228398E-3</v>
      </c>
      <c r="O40" s="303">
        <f ca="1">_xll.qlSimpleQuoteSetValue(D40,ROUND($N40,6),EvaluationDate)</f>
        <v>0</v>
      </c>
      <c r="P40" s="365"/>
    </row>
    <row r="41" spans="1:16" x14ac:dyDescent="0.2">
      <c r="A41" s="353">
        <v>1</v>
      </c>
      <c r="B41" s="336" t="str">
        <f t="shared" ref="B41:B84" si="5">A41&amp;"x"&amp;A41+Months12M&amp;"F"</f>
        <v>1x13F</v>
      </c>
      <c r="C41" s="187" t="str">
        <f t="shared" ref="C41:C84" si="6">Currency&amp;$B41&amp;"_SYNTH"&amp;"1Y"&amp;"_Quote"</f>
        <v>EUR1x13F_SYNTH1Y_Quote</v>
      </c>
      <c r="D41" s="355" t="str">
        <f>_xll.qlSimpleQuote(C41,,RateTickValue,Permanent,Trigger,ObjectOverwrite)</f>
        <v>EUR1x13F_SYNTH1Y_Quote#0000</v>
      </c>
      <c r="E41" s="329" t="str">
        <f>_xll.ohRangeRetrieveError(D41)</f>
        <v/>
      </c>
      <c r="F41" s="200"/>
      <c r="H41" s="192">
        <v>1</v>
      </c>
      <c r="I41" s="317" t="str">
        <f t="shared" ref="I41:I84" si="7">H41&amp;"x"&amp;(H41+Months12M)&amp;"F"</f>
        <v>1x13F</v>
      </c>
      <c r="J41" s="318">
        <f ca="1">SynthFra!N8</f>
        <v>5.9477997873170121E-3</v>
      </c>
      <c r="K41" s="251"/>
      <c r="L41" s="321">
        <v>5.9565868668008982E-3</v>
      </c>
      <c r="M41" s="252"/>
      <c r="N41" s="323">
        <f ca="1"/>
        <v>5.9477997873170121E-3</v>
      </c>
      <c r="O41" s="324">
        <f ca="1">_xll.qlSimpleQuoteSetValue(D41,ROUND(N41,6),EvaluationDate)</f>
        <v>0</v>
      </c>
      <c r="P41" s="365">
        <f ca="1">_xll.ohTrigger(O41:O84)</f>
        <v>75</v>
      </c>
    </row>
    <row r="42" spans="1:16" x14ac:dyDescent="0.2">
      <c r="A42" s="353">
        <v>2</v>
      </c>
      <c r="B42" s="336" t="str">
        <f t="shared" si="5"/>
        <v>2x14F</v>
      </c>
      <c r="C42" s="189" t="str">
        <f t="shared" si="6"/>
        <v>EUR2x14F_SYNTH1Y_Quote</v>
      </c>
      <c r="D42" s="337" t="str">
        <f>_xll.qlSimpleQuote(C42,,RateTickValue,Permanent,Trigger,ObjectOverwrite)</f>
        <v>EUR2x14F_SYNTH1Y_Quote#0000</v>
      </c>
      <c r="E42" s="330" t="str">
        <f>_xll.ohRangeRetrieveError(D42)</f>
        <v/>
      </c>
      <c r="F42" s="200"/>
      <c r="H42" s="192">
        <v>2</v>
      </c>
      <c r="I42" s="317" t="str">
        <f t="shared" si="7"/>
        <v>2x14F</v>
      </c>
      <c r="J42" s="318">
        <f ca="1">SynthFra!N9</f>
        <v>5.939631686105758E-3</v>
      </c>
      <c r="K42" s="252"/>
      <c r="L42" s="321">
        <v>5.9686001856930583E-3</v>
      </c>
      <c r="M42" s="252"/>
      <c r="N42" s="323">
        <f ca="1"/>
        <v>5.939631686105758E-3</v>
      </c>
      <c r="O42" s="324">
        <f ca="1">_xll.qlSimpleQuoteSetValue(D42,ROUND(N42,6),EvaluationDate)</f>
        <v>0</v>
      </c>
      <c r="P42" s="196"/>
    </row>
    <row r="43" spans="1:16" x14ac:dyDescent="0.2">
      <c r="A43" s="353">
        <v>3</v>
      </c>
      <c r="B43" s="336" t="str">
        <f t="shared" si="5"/>
        <v>3x15F</v>
      </c>
      <c r="C43" s="189" t="str">
        <f t="shared" si="6"/>
        <v>EUR3x15F_SYNTH1Y_Quote</v>
      </c>
      <c r="D43" s="337" t="str">
        <f>_xll.qlSimpleQuote(C43,,RateTickValue,Permanent,Trigger,ObjectOverwrite)</f>
        <v>EUR3x15F_SYNTH1Y_Quote#0000</v>
      </c>
      <c r="E43" s="330" t="str">
        <f>_xll.ohRangeRetrieveError(D43)</f>
        <v/>
      </c>
      <c r="F43" s="200"/>
      <c r="H43" s="192">
        <v>3</v>
      </c>
      <c r="I43" s="317" t="str">
        <f t="shared" si="7"/>
        <v>3x15F</v>
      </c>
      <c r="J43" s="318">
        <f ca="1">SynthFra!N10</f>
        <v>5.9471154813239314E-3</v>
      </c>
      <c r="K43" s="252"/>
      <c r="L43" s="321">
        <v>5.9895584059402891E-3</v>
      </c>
      <c r="M43" s="252"/>
      <c r="N43" s="323">
        <f ca="1"/>
        <v>5.9471154813239314E-3</v>
      </c>
      <c r="O43" s="324">
        <f ca="1">_xll.qlSimpleQuoteSetValue(D43,ROUND(N43,6),EvaluationDate)</f>
        <v>0</v>
      </c>
      <c r="P43" s="196"/>
    </row>
    <row r="44" spans="1:16" x14ac:dyDescent="0.2">
      <c r="A44" s="353">
        <v>4</v>
      </c>
      <c r="B44" s="336" t="str">
        <f t="shared" si="5"/>
        <v>4x16F</v>
      </c>
      <c r="C44" s="189" t="str">
        <f t="shared" si="6"/>
        <v>EUR4x16F_SYNTH1Y_Quote</v>
      </c>
      <c r="D44" s="337" t="str">
        <f>_xll.qlSimpleQuote(C44,,RateTickValue,Permanent,Trigger,ObjectOverwrite)</f>
        <v>EUR4x16F_SYNTH1Y_Quote#0000</v>
      </c>
      <c r="E44" s="330" t="str">
        <f>_xll.ohRangeRetrieveError(D44)</f>
        <v/>
      </c>
      <c r="F44" s="200"/>
      <c r="H44" s="192">
        <v>4</v>
      </c>
      <c r="I44" s="317" t="str">
        <f t="shared" si="7"/>
        <v>4x16F</v>
      </c>
      <c r="J44" s="318">
        <f ca="1">SynthFra!N11</f>
        <v>5.9815484736815763E-3</v>
      </c>
      <c r="K44" s="252"/>
      <c r="L44" s="321">
        <v>6.0330251952583902E-3</v>
      </c>
      <c r="M44" s="252"/>
      <c r="N44" s="323">
        <f ca="1"/>
        <v>5.9815484736815763E-3</v>
      </c>
      <c r="O44" s="324">
        <f ca="1">_xll.qlSimpleQuoteSetValue(D44,ROUND(N44,6),EvaluationDate)</f>
        <v>0</v>
      </c>
      <c r="P44" s="196"/>
    </row>
    <row r="45" spans="1:16" x14ac:dyDescent="0.2">
      <c r="A45" s="353">
        <v>5</v>
      </c>
      <c r="B45" s="336" t="str">
        <f t="shared" si="5"/>
        <v>5x17F</v>
      </c>
      <c r="C45" s="189" t="str">
        <f t="shared" si="6"/>
        <v>EUR5x17F_SYNTH1Y_Quote</v>
      </c>
      <c r="D45" s="337" t="str">
        <f>_xll.qlSimpleQuote(C45,,RateTickValue,Permanent,Trigger,ObjectOverwrite)</f>
        <v>EUR5x17F_SYNTH1Y_Quote#0000</v>
      </c>
      <c r="E45" s="330" t="str">
        <f>_xll.ohRangeRetrieveError(D45)</f>
        <v/>
      </c>
      <c r="F45" s="200"/>
      <c r="H45" s="192">
        <v>5</v>
      </c>
      <c r="I45" s="317" t="str">
        <f t="shared" si="7"/>
        <v>5x17F</v>
      </c>
      <c r="J45" s="318">
        <f ca="1">SynthFra!N12</f>
        <v>6.0251243584093783E-3</v>
      </c>
      <c r="K45" s="252"/>
      <c r="L45" s="321">
        <v>6.0889075430691202E-3</v>
      </c>
      <c r="M45" s="252"/>
      <c r="N45" s="323">
        <f ca="1"/>
        <v>6.0251243584093783E-3</v>
      </c>
      <c r="O45" s="324">
        <f ca="1">_xll.qlSimpleQuoteSetValue(D45,ROUND(N45,6),EvaluationDate)</f>
        <v>0</v>
      </c>
      <c r="P45" s="196"/>
    </row>
    <row r="46" spans="1:16" x14ac:dyDescent="0.2">
      <c r="A46" s="353">
        <v>6</v>
      </c>
      <c r="B46" s="336" t="str">
        <f t="shared" si="5"/>
        <v>6x18F</v>
      </c>
      <c r="C46" s="189" t="str">
        <f t="shared" si="6"/>
        <v>EUR6x18F_SYNTH1Y_Quote</v>
      </c>
      <c r="D46" s="337" t="str">
        <f>_xll.qlSimpleQuote(C46,,RateTickValue,Permanent,Trigger,ObjectOverwrite)</f>
        <v>EUR6x18F_SYNTH1Y_Quote#0000</v>
      </c>
      <c r="E46" s="330" t="str">
        <f>_xll.ohRangeRetrieveError(D46)</f>
        <v/>
      </c>
      <c r="F46" s="200"/>
      <c r="H46" s="192">
        <v>6</v>
      </c>
      <c r="I46" s="317" t="str">
        <f t="shared" si="7"/>
        <v>6x18F</v>
      </c>
      <c r="J46" s="318">
        <f ca="1">SynthFra!N13</f>
        <v>6.0883946903893468E-3</v>
      </c>
      <c r="K46" s="252"/>
      <c r="L46" s="321">
        <v>6.1577080979998994E-3</v>
      </c>
      <c r="M46" s="252"/>
      <c r="N46" s="323">
        <f ca="1"/>
        <v>6.0883946903893468E-3</v>
      </c>
      <c r="O46" s="324">
        <f ca="1">_xll.qlSimpleQuoteSetValue(D46,ROUND(N46,6),EvaluationDate)</f>
        <v>0</v>
      </c>
      <c r="P46" s="196"/>
    </row>
    <row r="47" spans="1:16" x14ac:dyDescent="0.2">
      <c r="A47" s="353">
        <v>7</v>
      </c>
      <c r="B47" s="336" t="str">
        <f t="shared" si="5"/>
        <v>7x19F</v>
      </c>
      <c r="C47" s="189" t="str">
        <f t="shared" si="6"/>
        <v>EUR7x19F_SYNTH1Y_Quote</v>
      </c>
      <c r="D47" s="337" t="str">
        <f>_xll.qlSimpleQuote(C47,,RateTickValue,Permanent,Trigger,ObjectOverwrite)</f>
        <v>EUR7x19F_SYNTH1Y_Quote#0000</v>
      </c>
      <c r="E47" s="330" t="str">
        <f>_xll.ohRangeRetrieveError(D47)</f>
        <v/>
      </c>
      <c r="F47" s="200"/>
      <c r="H47" s="192">
        <v>7</v>
      </c>
      <c r="I47" s="317" t="str">
        <f t="shared" si="7"/>
        <v>7x19F</v>
      </c>
      <c r="J47" s="318">
        <f ca="1">SynthFra!N14</f>
        <v>6.1793116605520096E-3</v>
      </c>
      <c r="K47" s="252"/>
      <c r="L47" s="321">
        <v>6.2598302385621744E-3</v>
      </c>
      <c r="M47" s="252"/>
      <c r="N47" s="323">
        <f ca="1"/>
        <v>6.1793116605520096E-3</v>
      </c>
      <c r="O47" s="324">
        <f ca="1">_xll.qlSimpleQuoteSetValue(D47,ROUND(N47,6),EvaluationDate)</f>
        <v>0</v>
      </c>
      <c r="P47" s="196"/>
    </row>
    <row r="48" spans="1:16" x14ac:dyDescent="0.2">
      <c r="A48" s="353">
        <v>8</v>
      </c>
      <c r="B48" s="336" t="str">
        <f t="shared" si="5"/>
        <v>8x20F</v>
      </c>
      <c r="C48" s="189" t="str">
        <f t="shared" si="6"/>
        <v>EUR8x20F_SYNTH1Y_Quote</v>
      </c>
      <c r="D48" s="337" t="str">
        <f>_xll.qlSimpleQuote(C48,,RateTickValue,Permanent,Trigger,ObjectOverwrite)</f>
        <v>EUR8x20F_SYNTH1Y_Quote#0000</v>
      </c>
      <c r="E48" s="330" t="str">
        <f>_xll.ohRangeRetrieveError(D48)</f>
        <v/>
      </c>
      <c r="F48" s="200"/>
      <c r="H48" s="192">
        <v>8</v>
      </c>
      <c r="I48" s="317" t="str">
        <f t="shared" si="7"/>
        <v>8x20F</v>
      </c>
      <c r="J48" s="318">
        <f ca="1">SynthFra!N15</f>
        <v>6.2650459028121067E-3</v>
      </c>
      <c r="K48" s="252"/>
      <c r="L48" s="321">
        <v>6.3626367288411121E-3</v>
      </c>
      <c r="M48" s="252"/>
      <c r="N48" s="323">
        <f ca="1"/>
        <v>6.2650459028121067E-3</v>
      </c>
      <c r="O48" s="324">
        <f ca="1">_xll.qlSimpleQuoteSetValue(D48,ROUND(N48,6),EvaluationDate)</f>
        <v>0</v>
      </c>
      <c r="P48" s="196"/>
    </row>
    <row r="49" spans="1:16" x14ac:dyDescent="0.2">
      <c r="A49" s="353">
        <v>9</v>
      </c>
      <c r="B49" s="336" t="str">
        <f t="shared" si="5"/>
        <v>9x21F</v>
      </c>
      <c r="C49" s="189" t="str">
        <f t="shared" si="6"/>
        <v>EUR9x21F_SYNTH1Y_Quote</v>
      </c>
      <c r="D49" s="337" t="str">
        <f>_xll.qlSimpleQuote(C49,,RateTickValue,Permanent,Trigger,ObjectOverwrite)</f>
        <v>EUR9x21F_SYNTH1Y_Quote#0000</v>
      </c>
      <c r="E49" s="330" t="str">
        <f>_xll.ohRangeRetrieveError(D49)</f>
        <v/>
      </c>
      <c r="F49" s="200"/>
      <c r="H49" s="192">
        <v>9</v>
      </c>
      <c r="I49" s="317" t="str">
        <f t="shared" si="7"/>
        <v>9x21F</v>
      </c>
      <c r="J49" s="318">
        <f ca="1">SynthFra!N16</f>
        <v>6.3608401204830831E-3</v>
      </c>
      <c r="K49" s="252"/>
      <c r="L49" s="321">
        <v>6.4712392207642751E-3</v>
      </c>
      <c r="M49" s="252"/>
      <c r="N49" s="323">
        <f ca="1"/>
        <v>6.3608401204830831E-3</v>
      </c>
      <c r="O49" s="324">
        <f ca="1">_xll.qlSimpleQuoteSetValue(D49,ROUND(N49,6),EvaluationDate)</f>
        <v>0</v>
      </c>
      <c r="P49" s="196"/>
    </row>
    <row r="50" spans="1:16" x14ac:dyDescent="0.2">
      <c r="A50" s="353">
        <v>10</v>
      </c>
      <c r="B50" s="336" t="str">
        <f t="shared" si="5"/>
        <v>10x22F</v>
      </c>
      <c r="C50" s="189" t="str">
        <f t="shared" si="6"/>
        <v>EUR10x22F_SYNTH1Y_Quote</v>
      </c>
      <c r="D50" s="337" t="str">
        <f>_xll.qlSimpleQuote(C50,,RateTickValue,Permanent,Trigger,ObjectOverwrite)</f>
        <v>EUR10x22F_SYNTH1Y_Quote#0000</v>
      </c>
      <c r="E50" s="330" t="str">
        <f>_xll.ohRangeRetrieveError(D50)</f>
        <v/>
      </c>
      <c r="F50" s="200"/>
      <c r="H50" s="192">
        <v>10</v>
      </c>
      <c r="I50" s="317" t="str">
        <f t="shared" si="7"/>
        <v>10x22F</v>
      </c>
      <c r="J50" s="318">
        <f ca="1">SynthFra!N17</f>
        <v>6.4869694283382906E-3</v>
      </c>
      <c r="K50" s="252"/>
      <c r="L50" s="321">
        <v>6.6292634273040331E-3</v>
      </c>
      <c r="M50" s="252"/>
      <c r="N50" s="323">
        <f ca="1"/>
        <v>6.4869694283382906E-3</v>
      </c>
      <c r="O50" s="324">
        <f ca="1">_xll.qlSimpleQuoteSetValue(D50,ROUND(N50,6),EvaluationDate)</f>
        <v>0</v>
      </c>
      <c r="P50" s="196"/>
    </row>
    <row r="51" spans="1:16" x14ac:dyDescent="0.2">
      <c r="A51" s="353">
        <v>11</v>
      </c>
      <c r="B51" s="336" t="str">
        <f t="shared" si="5"/>
        <v>11x23F</v>
      </c>
      <c r="C51" s="189" t="str">
        <f t="shared" si="6"/>
        <v>EUR11x23F_SYNTH1Y_Quote</v>
      </c>
      <c r="D51" s="337" t="str">
        <f>_xll.qlSimpleQuote(C51,,RateTickValue,Permanent,Trigger,ObjectOverwrite)</f>
        <v>EUR11x23F_SYNTH1Y_Quote#0000</v>
      </c>
      <c r="E51" s="330" t="str">
        <f>_xll.ohRangeRetrieveError(D51)</f>
        <v/>
      </c>
      <c r="F51" s="200"/>
      <c r="H51" s="192">
        <v>11</v>
      </c>
      <c r="I51" s="317" t="str">
        <f t="shared" si="7"/>
        <v>11x23F</v>
      </c>
      <c r="J51" s="318">
        <f ca="1">SynthFra!N18</f>
        <v>6.6229243251083097E-3</v>
      </c>
      <c r="K51" s="252"/>
      <c r="L51" s="321">
        <v>6.7814591484449613E-3</v>
      </c>
      <c r="M51" s="252"/>
      <c r="N51" s="323">
        <f ca="1"/>
        <v>6.6229243251083097E-3</v>
      </c>
      <c r="O51" s="324">
        <f ca="1">_xll.qlSimpleQuoteSetValue(D51,ROUND(N51,6),EvaluationDate)</f>
        <v>0</v>
      </c>
      <c r="P51" s="196"/>
    </row>
    <row r="52" spans="1:16" x14ac:dyDescent="0.2">
      <c r="A52" s="353">
        <v>13</v>
      </c>
      <c r="B52" s="336" t="str">
        <f t="shared" si="5"/>
        <v>13x25F</v>
      </c>
      <c r="C52" s="189" t="str">
        <f t="shared" si="6"/>
        <v>EUR13x25F_SYNTH1Y_Quote</v>
      </c>
      <c r="D52" s="337" t="str">
        <f>_xll.qlSimpleQuote(C52,,RateTickValue,Permanent,Trigger,ObjectOverwrite)</f>
        <v>EUR13x25F_SYNTH1Y_Quote#0000</v>
      </c>
      <c r="E52" s="330" t="str">
        <f>_xll.ohRangeRetrieveError(D52)</f>
        <v/>
      </c>
      <c r="F52" s="200"/>
      <c r="H52" s="192">
        <v>13</v>
      </c>
      <c r="I52" s="317" t="str">
        <f t="shared" si="7"/>
        <v>13x25F</v>
      </c>
      <c r="J52" s="318">
        <f ca="1">SynthFra!N19</f>
        <v>6.9490216319005316E-3</v>
      </c>
      <c r="K52" s="252"/>
      <c r="L52" s="321">
        <v>7.1553804862933522E-3</v>
      </c>
      <c r="M52" s="252"/>
      <c r="N52" s="323">
        <f ca="1"/>
        <v>6.9490216319005316E-3</v>
      </c>
      <c r="O52" s="324">
        <f ca="1">_xll.qlSimpleQuoteSetValue(D52,ROUND(N52,6),EvaluationDate)</f>
        <v>0</v>
      </c>
      <c r="P52" s="196"/>
    </row>
    <row r="53" spans="1:16" x14ac:dyDescent="0.2">
      <c r="A53" s="353">
        <v>14</v>
      </c>
      <c r="B53" s="336" t="str">
        <f t="shared" si="5"/>
        <v>14x26F</v>
      </c>
      <c r="C53" s="189" t="str">
        <f t="shared" si="6"/>
        <v>EUR14x26F_SYNTH1Y_Quote</v>
      </c>
      <c r="D53" s="337" t="str">
        <f>_xll.qlSimpleQuote(C53,,RateTickValue,Permanent,Trigger,ObjectOverwrite)</f>
        <v>EUR14x26F_SYNTH1Y_Quote#0000</v>
      </c>
      <c r="E53" s="330" t="str">
        <f>_xll.ohRangeRetrieveError(D53)</f>
        <v/>
      </c>
      <c r="F53" s="200"/>
      <c r="H53" s="192">
        <v>14</v>
      </c>
      <c r="I53" s="317" t="str">
        <f t="shared" si="7"/>
        <v>14x26F</v>
      </c>
      <c r="J53" s="318">
        <f ca="1">SynthFra!N20</f>
        <v>7.1628810899752367E-3</v>
      </c>
      <c r="K53" s="252"/>
      <c r="L53" s="321">
        <v>7.3873674783813646E-3</v>
      </c>
      <c r="M53" s="252"/>
      <c r="N53" s="323">
        <f ca="1"/>
        <v>7.1628810899752367E-3</v>
      </c>
      <c r="O53" s="324">
        <f ca="1">_xll.qlSimpleQuoteSetValue(D53,ROUND(N53,6),EvaluationDate)</f>
        <v>0</v>
      </c>
      <c r="P53" s="196"/>
    </row>
    <row r="54" spans="1:16" x14ac:dyDescent="0.2">
      <c r="A54" s="353">
        <v>15</v>
      </c>
      <c r="B54" s="336" t="str">
        <f t="shared" si="5"/>
        <v>15x27F</v>
      </c>
      <c r="C54" s="189" t="str">
        <f t="shared" si="6"/>
        <v>EUR15x27F_SYNTH1Y_Quote</v>
      </c>
      <c r="D54" s="337" t="str">
        <f>_xll.qlSimpleQuote(C54,,RateTickValue,Permanent,Trigger,ObjectOverwrite)</f>
        <v>EUR15x27F_SYNTH1Y_Quote#0000</v>
      </c>
      <c r="E54" s="330" t="str">
        <f>_xll.ohRangeRetrieveError(D54)</f>
        <v/>
      </c>
      <c r="F54" s="200"/>
      <c r="H54" s="192">
        <v>15</v>
      </c>
      <c r="I54" s="317" t="str">
        <f t="shared" si="7"/>
        <v>15x27F</v>
      </c>
      <c r="J54" s="318">
        <f ca="1">SynthFra!N21</f>
        <v>7.3993318258154502E-3</v>
      </c>
      <c r="K54" s="252"/>
      <c r="L54" s="321">
        <v>7.6267068063948645E-3</v>
      </c>
      <c r="M54" s="252"/>
      <c r="N54" s="323">
        <f ca="1"/>
        <v>7.3993318258154502E-3</v>
      </c>
      <c r="O54" s="324">
        <f ca="1">_xll.qlSimpleQuoteSetValue(D54,ROUND(N54,6),EvaluationDate)</f>
        <v>0</v>
      </c>
      <c r="P54" s="196"/>
    </row>
    <row r="55" spans="1:16" x14ac:dyDescent="0.2">
      <c r="A55" s="353">
        <v>16</v>
      </c>
      <c r="B55" s="336" t="str">
        <f t="shared" si="5"/>
        <v>16x28F</v>
      </c>
      <c r="C55" s="189" t="str">
        <f t="shared" si="6"/>
        <v>EUR16x28F_SYNTH1Y_Quote</v>
      </c>
      <c r="D55" s="337" t="str">
        <f>_xll.qlSimpleQuote(C55,,RateTickValue,Permanent,Trigger,ObjectOverwrite)</f>
        <v>EUR16x28F_SYNTH1Y_Quote#0000</v>
      </c>
      <c r="E55" s="330" t="str">
        <f>_xll.ohRangeRetrieveError(D55)</f>
        <v/>
      </c>
      <c r="F55" s="200"/>
      <c r="H55" s="192">
        <v>16</v>
      </c>
      <c r="I55" s="317" t="str">
        <f t="shared" si="7"/>
        <v>16x28F</v>
      </c>
      <c r="J55" s="318">
        <f ca="1">SynthFra!N22</f>
        <v>7.6811215394006161E-3</v>
      </c>
      <c r="K55" s="252"/>
      <c r="L55" s="321">
        <v>7.9079420464480306E-3</v>
      </c>
      <c r="M55" s="252"/>
      <c r="N55" s="323">
        <f ca="1"/>
        <v>7.6811215394006161E-3</v>
      </c>
      <c r="O55" s="324">
        <f ca="1">_xll.qlSimpleQuoteSetValue(D55,ROUND(N55,6),EvaluationDate)</f>
        <v>0</v>
      </c>
      <c r="P55" s="196"/>
    </row>
    <row r="56" spans="1:16" x14ac:dyDescent="0.2">
      <c r="A56" s="353">
        <v>17</v>
      </c>
      <c r="B56" s="336" t="str">
        <f t="shared" si="5"/>
        <v>17x29F</v>
      </c>
      <c r="C56" s="189" t="str">
        <f t="shared" si="6"/>
        <v>EUR17x29F_SYNTH1Y_Quote</v>
      </c>
      <c r="D56" s="337" t="str">
        <f>_xll.qlSimpleQuote(C56,,RateTickValue,Permanent,Trigger,ObjectOverwrite)</f>
        <v>EUR17x29F_SYNTH1Y_Quote#0000</v>
      </c>
      <c r="E56" s="330" t="str">
        <f>_xll.ohRangeRetrieveError(D56)</f>
        <v/>
      </c>
      <c r="F56" s="200"/>
      <c r="H56" s="192">
        <v>17</v>
      </c>
      <c r="I56" s="317" t="str">
        <f t="shared" si="7"/>
        <v>17x29F</v>
      </c>
      <c r="J56" s="318">
        <f ca="1">SynthFra!N23</f>
        <v>7.9478918362925043E-3</v>
      </c>
      <c r="K56" s="252"/>
      <c r="L56" s="321">
        <v>8.2002350170241392E-3</v>
      </c>
      <c r="M56" s="252"/>
      <c r="N56" s="323">
        <f ca="1"/>
        <v>7.9478918362925043E-3</v>
      </c>
      <c r="O56" s="324">
        <f ca="1">_xll.qlSimpleQuoteSetValue(D56,ROUND(N56,6),EvaluationDate)</f>
        <v>0</v>
      </c>
      <c r="P56" s="196"/>
    </row>
    <row r="57" spans="1:16" x14ac:dyDescent="0.2">
      <c r="A57" s="353">
        <v>18</v>
      </c>
      <c r="B57" s="336" t="str">
        <f t="shared" si="5"/>
        <v>18x30F</v>
      </c>
      <c r="C57" s="189" t="str">
        <f t="shared" si="6"/>
        <v>EUR18x30F_SYNTH1Y_Quote</v>
      </c>
      <c r="D57" s="337" t="str">
        <f>_xll.qlSimpleQuote(C57,,RateTickValue,Permanent,Trigger,ObjectOverwrite)</f>
        <v>EUR18x30F_SYNTH1Y_Quote#0000</v>
      </c>
      <c r="E57" s="330" t="str">
        <f>_xll.ohRangeRetrieveError(D57)</f>
        <v/>
      </c>
      <c r="F57" s="200"/>
      <c r="H57" s="192">
        <v>18</v>
      </c>
      <c r="I57" s="317" t="str">
        <f t="shared" si="7"/>
        <v>18x30F</v>
      </c>
      <c r="J57" s="318">
        <f ca="1">SynthFra!N24</f>
        <v>8.2547041129579692E-3</v>
      </c>
      <c r="K57" s="252"/>
      <c r="L57" s="321">
        <v>8.5056430069826057E-3</v>
      </c>
      <c r="M57" s="252"/>
      <c r="N57" s="323">
        <f ca="1"/>
        <v>8.2547041129579692E-3</v>
      </c>
      <c r="O57" s="324">
        <f ca="1">_xll.qlSimpleQuoteSetValue(D57,ROUND(N57,6),EvaluationDate)</f>
        <v>0</v>
      </c>
      <c r="P57" s="196"/>
    </row>
    <row r="58" spans="1:16" x14ac:dyDescent="0.2">
      <c r="A58" s="353">
        <v>19</v>
      </c>
      <c r="B58" s="336" t="str">
        <f t="shared" si="5"/>
        <v>19x31F</v>
      </c>
      <c r="C58" s="189" t="str">
        <f t="shared" si="6"/>
        <v>EUR19x31F_SYNTH1Y_Quote</v>
      </c>
      <c r="D58" s="337" t="str">
        <f>_xll.qlSimpleQuote(C58,,RateTickValue,Permanent,Trigger,ObjectOverwrite)</f>
        <v>EUR19x31F_SYNTH1Y_Quote#0000</v>
      </c>
      <c r="E58" s="330" t="str">
        <f>_xll.ohRangeRetrieveError(D58)</f>
        <v/>
      </c>
      <c r="F58" s="200"/>
      <c r="H58" s="192">
        <v>19</v>
      </c>
      <c r="I58" s="317" t="str">
        <f t="shared" si="7"/>
        <v>19x31F</v>
      </c>
      <c r="J58" s="318">
        <f ca="1">SynthFra!N25</f>
        <v>8.5857783724356037E-3</v>
      </c>
      <c r="K58" s="252"/>
      <c r="L58" s="321">
        <v>8.8608312583602945E-3</v>
      </c>
      <c r="M58" s="252"/>
      <c r="N58" s="323">
        <f ca="1"/>
        <v>8.5857783724356037E-3</v>
      </c>
      <c r="O58" s="324">
        <f ca="1">_xll.qlSimpleQuoteSetValue(D58,ROUND(N58,6),EvaluationDate)</f>
        <v>0</v>
      </c>
      <c r="P58" s="196"/>
    </row>
    <row r="59" spans="1:16" x14ac:dyDescent="0.2">
      <c r="A59" s="353">
        <v>20</v>
      </c>
      <c r="B59" s="336" t="str">
        <f t="shared" si="5"/>
        <v>20x32F</v>
      </c>
      <c r="C59" s="189" t="str">
        <f t="shared" si="6"/>
        <v>EUR20x32F_SYNTH1Y_Quote</v>
      </c>
      <c r="D59" s="337" t="str">
        <f>_xll.qlSimpleQuote(C59,,RateTickValue,Permanent,Trigger,ObjectOverwrite)</f>
        <v>EUR20x32F_SYNTH1Y_Quote#0000</v>
      </c>
      <c r="E59" s="330" t="str">
        <f>_xll.ohRangeRetrieveError(D59)</f>
        <v/>
      </c>
      <c r="F59" s="200"/>
      <c r="H59" s="192">
        <v>20</v>
      </c>
      <c r="I59" s="317" t="str">
        <f t="shared" si="7"/>
        <v>20x32F</v>
      </c>
      <c r="J59" s="318">
        <f ca="1">SynthFra!N26</f>
        <v>8.9139632857642703E-3</v>
      </c>
      <c r="K59" s="252"/>
      <c r="L59" s="321">
        <v>9.1764439357024108E-3</v>
      </c>
      <c r="M59" s="252"/>
      <c r="N59" s="323">
        <f ca="1"/>
        <v>8.9139632857642703E-3</v>
      </c>
      <c r="O59" s="324">
        <f ca="1">_xll.qlSimpleQuoteSetValue(D59,ROUND(N59,6),EvaluationDate)</f>
        <v>0</v>
      </c>
      <c r="P59" s="196"/>
    </row>
    <row r="60" spans="1:16" x14ac:dyDescent="0.2">
      <c r="A60" s="353">
        <v>21</v>
      </c>
      <c r="B60" s="336" t="str">
        <f t="shared" si="5"/>
        <v>21x33F</v>
      </c>
      <c r="C60" s="189" t="str">
        <f t="shared" si="6"/>
        <v>EUR21x33F_SYNTH1Y_Quote</v>
      </c>
      <c r="D60" s="337" t="str">
        <f>_xll.qlSimpleQuote(C60,,RateTickValue,Permanent,Trigger,ObjectOverwrite)</f>
        <v>EUR21x33F_SYNTH1Y_Quote#0000</v>
      </c>
      <c r="E60" s="330" t="str">
        <f>_xll.ohRangeRetrieveError(D60)</f>
        <v/>
      </c>
      <c r="F60" s="200"/>
      <c r="H60" s="192">
        <v>21</v>
      </c>
      <c r="I60" s="317" t="str">
        <f t="shared" si="7"/>
        <v>21x33F</v>
      </c>
      <c r="J60" s="318">
        <f ca="1">SynthFra!N27</f>
        <v>9.2864469349534969E-3</v>
      </c>
      <c r="K60" s="252"/>
      <c r="L60" s="321">
        <v>9.5500714090299144E-3</v>
      </c>
      <c r="M60" s="252"/>
      <c r="N60" s="323">
        <f ca="1"/>
        <v>9.2864469349534969E-3</v>
      </c>
      <c r="O60" s="324">
        <f ca="1">_xll.qlSimpleQuoteSetValue(D60,ROUND(N60,6),EvaluationDate)</f>
        <v>0</v>
      </c>
      <c r="P60" s="196"/>
    </row>
    <row r="61" spans="1:16" x14ac:dyDescent="0.2">
      <c r="A61" s="353">
        <v>22</v>
      </c>
      <c r="B61" s="336" t="str">
        <f t="shared" si="5"/>
        <v>22x34F</v>
      </c>
      <c r="C61" s="189" t="str">
        <f t="shared" si="6"/>
        <v>EUR22x34F_SYNTH1Y_Quote</v>
      </c>
      <c r="D61" s="337" t="str">
        <f>_xll.qlSimpleQuote(C61,,RateTickValue,Permanent,Trigger,ObjectOverwrite)</f>
        <v>EUR22x34F_SYNTH1Y_Quote#0000</v>
      </c>
      <c r="E61" s="330" t="str">
        <f>_xll.ohRangeRetrieveError(D61)</f>
        <v/>
      </c>
      <c r="F61" s="200"/>
      <c r="H61" s="192">
        <v>22</v>
      </c>
      <c r="I61" s="317" t="str">
        <f t="shared" si="7"/>
        <v>22x34F</v>
      </c>
      <c r="J61" s="318">
        <f ca="1">SynthFra!N28</f>
        <v>9.660676199102592E-3</v>
      </c>
      <c r="K61" s="252"/>
      <c r="L61" s="321">
        <v>9.9263282511635412E-3</v>
      </c>
      <c r="M61" s="252"/>
      <c r="N61" s="323">
        <f ca="1"/>
        <v>9.660676199102592E-3</v>
      </c>
      <c r="O61" s="324">
        <f ca="1">_xll.qlSimpleQuoteSetValue(D61,ROUND(N61,6),EvaluationDate)</f>
        <v>0</v>
      </c>
      <c r="P61" s="196"/>
    </row>
    <row r="62" spans="1:16" x14ac:dyDescent="0.2">
      <c r="A62" s="353">
        <v>23</v>
      </c>
      <c r="B62" s="336" t="str">
        <f t="shared" si="5"/>
        <v>23x35F</v>
      </c>
      <c r="C62" s="189" t="str">
        <f t="shared" si="6"/>
        <v>EUR23x35F_SYNTH1Y_Quote</v>
      </c>
      <c r="D62" s="337" t="str">
        <f>_xll.qlSimpleQuote(C62,,RateTickValue,Permanent,Trigger,ObjectOverwrite)</f>
        <v>EUR23x35F_SYNTH1Y_Quote#0000</v>
      </c>
      <c r="E62" s="330" t="str">
        <f>_xll.ohRangeRetrieveError(D62)</f>
        <v/>
      </c>
      <c r="F62" s="200"/>
      <c r="H62" s="192">
        <v>23</v>
      </c>
      <c r="I62" s="317" t="str">
        <f t="shared" si="7"/>
        <v>23x35F</v>
      </c>
      <c r="J62" s="318">
        <f ca="1">SynthFra!N29</f>
        <v>1.00171153059382E-2</v>
      </c>
      <c r="K62" s="252"/>
      <c r="L62" s="321">
        <v>1.0266714167690667E-2</v>
      </c>
      <c r="M62" s="252"/>
      <c r="N62" s="323">
        <f ca="1"/>
        <v>1.00171153059382E-2</v>
      </c>
      <c r="O62" s="324">
        <f ca="1">_xll.qlSimpleQuoteSetValue(D62,ROUND(N62,6),EvaluationDate)</f>
        <v>0</v>
      </c>
      <c r="P62" s="196"/>
    </row>
    <row r="63" spans="1:16" x14ac:dyDescent="0.2">
      <c r="A63" s="353">
        <v>25</v>
      </c>
      <c r="B63" s="336" t="str">
        <f t="shared" si="5"/>
        <v>25x37F</v>
      </c>
      <c r="C63" s="189" t="str">
        <f t="shared" si="6"/>
        <v>EUR25x37F_SYNTH1Y_Quote</v>
      </c>
      <c r="D63" s="337" t="str">
        <f>_xll.qlSimpleQuote(C63,,RateTickValue,Permanent,Trigger,ObjectOverwrite)</f>
        <v>EUR25x37F_SYNTH1Y_Quote#0000</v>
      </c>
      <c r="E63" s="330" t="str">
        <f>_xll.ohRangeRetrieveError(D63)</f>
        <v/>
      </c>
      <c r="F63" s="200"/>
      <c r="H63" s="192">
        <v>25</v>
      </c>
      <c r="I63" s="317" t="str">
        <f t="shared" si="7"/>
        <v>25x37F</v>
      </c>
      <c r="J63" s="318">
        <f ca="1">SynthFra!N30</f>
        <v>1.0795051631022103E-2</v>
      </c>
      <c r="K63" s="252"/>
      <c r="L63" s="321">
        <v>1.1056703122508262E-2</v>
      </c>
      <c r="M63" s="252"/>
      <c r="N63" s="323">
        <f ca="1"/>
        <v>1.0795051631022103E-2</v>
      </c>
      <c r="O63" s="324">
        <f ca="1">_xll.qlSimpleQuoteSetValue(D63,ROUND(N63,6),EvaluationDate)</f>
        <v>0</v>
      </c>
      <c r="P63" s="196"/>
    </row>
    <row r="64" spans="1:16" x14ac:dyDescent="0.2">
      <c r="A64" s="353">
        <v>26</v>
      </c>
      <c r="B64" s="336" t="str">
        <f t="shared" si="5"/>
        <v>26x38F</v>
      </c>
      <c r="C64" s="189" t="str">
        <f t="shared" si="6"/>
        <v>EUR26x38F_SYNTH1Y_Quote</v>
      </c>
      <c r="D64" s="337" t="str">
        <f>_xll.qlSimpleQuote(C64,,RateTickValue,Permanent,Trigger,ObjectOverwrite)</f>
        <v>EUR26x38F_SYNTH1Y_Quote#0000</v>
      </c>
      <c r="E64" s="330" t="str">
        <f>_xll.ohRangeRetrieveError(D64)</f>
        <v/>
      </c>
      <c r="F64" s="200"/>
      <c r="H64" s="192">
        <v>26</v>
      </c>
      <c r="I64" s="317" t="str">
        <f t="shared" si="7"/>
        <v>26x38F</v>
      </c>
      <c r="J64" s="318">
        <f ca="1">SynthFra!N31</f>
        <v>1.1171633015510163E-2</v>
      </c>
      <c r="K64" s="252"/>
      <c r="L64" s="321">
        <v>1.1424670161029733E-2</v>
      </c>
      <c r="M64" s="252"/>
      <c r="N64" s="323">
        <f ca="1"/>
        <v>1.1171633015510163E-2</v>
      </c>
      <c r="O64" s="324">
        <f ca="1">_xll.qlSimpleQuoteSetValue(D64,ROUND(N64,6),EvaluationDate)</f>
        <v>0</v>
      </c>
      <c r="P64" s="196"/>
    </row>
    <row r="65" spans="1:16" x14ac:dyDescent="0.2">
      <c r="A65" s="353">
        <v>27</v>
      </c>
      <c r="B65" s="336" t="str">
        <f t="shared" si="5"/>
        <v>27x39F</v>
      </c>
      <c r="C65" s="189" t="str">
        <f t="shared" si="6"/>
        <v>EUR27x39F_SYNTH1Y_Quote</v>
      </c>
      <c r="D65" s="337" t="str">
        <f>_xll.qlSimpleQuote(C65,,RateTickValue,Permanent,Trigger,ObjectOverwrite)</f>
        <v>EUR27x39F_SYNTH1Y_Quote#0000</v>
      </c>
      <c r="E65" s="330" t="str">
        <f>_xll.ohRangeRetrieveError(D65)</f>
        <v/>
      </c>
      <c r="F65" s="200"/>
      <c r="H65" s="192">
        <v>27</v>
      </c>
      <c r="I65" s="317" t="str">
        <f t="shared" si="7"/>
        <v>27x39F</v>
      </c>
      <c r="J65" s="318">
        <f ca="1">SynthFra!N32</f>
        <v>1.1559635693454282E-2</v>
      </c>
      <c r="K65" s="252"/>
      <c r="L65" s="321">
        <v>1.180735343680916E-2</v>
      </c>
      <c r="M65" s="252"/>
      <c r="N65" s="323">
        <f ca="1"/>
        <v>1.1559635693454282E-2</v>
      </c>
      <c r="O65" s="324">
        <f ca="1">_xll.qlSimpleQuoteSetValue(D65,ROUND(N65,6),EvaluationDate)</f>
        <v>0</v>
      </c>
      <c r="P65" s="196"/>
    </row>
    <row r="66" spans="1:16" x14ac:dyDescent="0.2">
      <c r="A66" s="353">
        <v>28</v>
      </c>
      <c r="B66" s="336" t="str">
        <f t="shared" si="5"/>
        <v>28x40F</v>
      </c>
      <c r="C66" s="189" t="str">
        <f t="shared" si="6"/>
        <v>EUR28x40F_SYNTH1Y_Quote</v>
      </c>
      <c r="D66" s="337" t="str">
        <f>_xll.qlSimpleQuote(C66,,RateTickValue,Permanent,Trigger,ObjectOverwrite)</f>
        <v>EUR28x40F_SYNTH1Y_Quote#0000</v>
      </c>
      <c r="E66" s="330" t="str">
        <f>_xll.ohRangeRetrieveError(D66)</f>
        <v/>
      </c>
      <c r="F66" s="200"/>
      <c r="H66" s="192">
        <v>28</v>
      </c>
      <c r="I66" s="317" t="str">
        <f t="shared" si="7"/>
        <v>28x40F</v>
      </c>
      <c r="J66" s="318">
        <f ca="1">SynthFra!N33</f>
        <v>1.1936707412829074E-2</v>
      </c>
      <c r="K66" s="252"/>
      <c r="L66" s="321">
        <v>1.2216791834948481E-2</v>
      </c>
      <c r="M66" s="252"/>
      <c r="N66" s="323">
        <f ca="1"/>
        <v>1.1936707412829074E-2</v>
      </c>
      <c r="O66" s="324">
        <f ca="1">_xll.qlSimpleQuoteSetValue(D66,ROUND(N66,6),EvaluationDate)</f>
        <v>0</v>
      </c>
      <c r="P66" s="196"/>
    </row>
    <row r="67" spans="1:16" x14ac:dyDescent="0.2">
      <c r="A67" s="353">
        <v>29</v>
      </c>
      <c r="B67" s="336" t="str">
        <f t="shared" si="5"/>
        <v>29x41F</v>
      </c>
      <c r="C67" s="189" t="str">
        <f t="shared" si="6"/>
        <v>EUR29x41F_SYNTH1Y_Quote</v>
      </c>
      <c r="D67" s="337" t="str">
        <f>_xll.qlSimpleQuote(C67,,RateTickValue,Permanent,Trigger,ObjectOverwrite)</f>
        <v>EUR29x41F_SYNTH1Y_Quote#0000</v>
      </c>
      <c r="E67" s="330" t="str">
        <f>_xll.ohRangeRetrieveError(D67)</f>
        <v/>
      </c>
      <c r="F67" s="200"/>
      <c r="H67" s="192">
        <v>29</v>
      </c>
      <c r="I67" s="317" t="str">
        <f t="shared" si="7"/>
        <v>29x41F</v>
      </c>
      <c r="J67" s="318">
        <f ca="1">SynthFra!N34</f>
        <v>1.2324373112607579E-2</v>
      </c>
      <c r="K67" s="252"/>
      <c r="L67" s="321">
        <v>1.260082884876749E-2</v>
      </c>
      <c r="M67" s="252"/>
      <c r="N67" s="323">
        <f ca="1"/>
        <v>1.2324373112607579E-2</v>
      </c>
      <c r="O67" s="324">
        <f ca="1">_xll.qlSimpleQuoteSetValue(D67,ROUND(N67,6),EvaluationDate)</f>
        <v>0</v>
      </c>
      <c r="P67" s="196"/>
    </row>
    <row r="68" spans="1:16" x14ac:dyDescent="0.2">
      <c r="A68" s="353">
        <v>30</v>
      </c>
      <c r="B68" s="336" t="str">
        <f t="shared" si="5"/>
        <v>30x42F</v>
      </c>
      <c r="C68" s="189" t="str">
        <f t="shared" si="6"/>
        <v>EUR30x42F_SYNTH1Y_Quote</v>
      </c>
      <c r="D68" s="337" t="str">
        <f>_xll.qlSimpleQuote(C68,,RateTickValue,Permanent,Trigger,ObjectOverwrite)</f>
        <v>EUR30x42F_SYNTH1Y_Quote#0000</v>
      </c>
      <c r="E68" s="330" t="str">
        <f>_xll.ohRangeRetrieveError(D68)</f>
        <v/>
      </c>
      <c r="F68" s="200"/>
      <c r="H68" s="192">
        <v>30</v>
      </c>
      <c r="I68" s="317" t="str">
        <f t="shared" si="7"/>
        <v>30x42F</v>
      </c>
      <c r="J68" s="318">
        <f ca="1">SynthFra!N35</f>
        <v>1.2723151599675332E-2</v>
      </c>
      <c r="K68" s="252"/>
      <c r="L68" s="321">
        <v>1.2995920406925501E-2</v>
      </c>
      <c r="M68" s="252"/>
      <c r="N68" s="323">
        <f ca="1"/>
        <v>1.2723151599675332E-2</v>
      </c>
      <c r="O68" s="324">
        <f ca="1">_xll.qlSimpleQuoteSetValue(D68,ROUND(N68,6),EvaluationDate)</f>
        <v>0</v>
      </c>
      <c r="P68" s="196"/>
    </row>
    <row r="69" spans="1:16" x14ac:dyDescent="0.2">
      <c r="A69" s="353">
        <v>31</v>
      </c>
      <c r="B69" s="336" t="str">
        <f t="shared" si="5"/>
        <v>31x43F</v>
      </c>
      <c r="C69" s="189" t="str">
        <f t="shared" si="6"/>
        <v>EUR31x43F_SYNTH1Y_Quote</v>
      </c>
      <c r="D69" s="337" t="str">
        <f>_xll.qlSimpleQuote(C69,,RateTickValue,Permanent,Trigger,ObjectOverwrite)</f>
        <v>EUR31x43F_SYNTH1Y_Quote#0000</v>
      </c>
      <c r="E69" s="330" t="str">
        <f>_xll.ohRangeRetrieveError(D69)</f>
        <v/>
      </c>
      <c r="F69" s="200"/>
      <c r="H69" s="192">
        <v>31</v>
      </c>
      <c r="I69" s="317" t="str">
        <f t="shared" si="7"/>
        <v>31x43F</v>
      </c>
      <c r="J69" s="318">
        <f ca="1">SynthFra!N36</f>
        <v>1.3082941476638157E-2</v>
      </c>
      <c r="K69" s="252"/>
      <c r="L69" s="321">
        <v>1.3378367067677546E-2</v>
      </c>
      <c r="M69" s="252"/>
      <c r="N69" s="323">
        <f ca="1"/>
        <v>1.3082941476638157E-2</v>
      </c>
      <c r="O69" s="324">
        <f ca="1">_xll.qlSimpleQuoteSetValue(D69,ROUND(N69,6),EvaluationDate)</f>
        <v>0</v>
      </c>
      <c r="P69" s="196"/>
    </row>
    <row r="70" spans="1:16" x14ac:dyDescent="0.2">
      <c r="A70" s="353">
        <v>32</v>
      </c>
      <c r="B70" s="336" t="str">
        <f t="shared" si="5"/>
        <v>32x44F</v>
      </c>
      <c r="C70" s="189" t="str">
        <f t="shared" si="6"/>
        <v>EUR32x44F_SYNTH1Y_Quote</v>
      </c>
      <c r="D70" s="337" t="str">
        <f>_xll.qlSimpleQuote(C70,,RateTickValue,Permanent,Trigger,ObjectOverwrite)</f>
        <v>EUR32x44F_SYNTH1Y_Quote#0000</v>
      </c>
      <c r="E70" s="330" t="str">
        <f>_xll.ohRangeRetrieveError(D70)</f>
        <v/>
      </c>
      <c r="F70" s="200"/>
      <c r="H70" s="192">
        <v>32</v>
      </c>
      <c r="I70" s="317" t="str">
        <f t="shared" si="7"/>
        <v>32x44F</v>
      </c>
      <c r="J70" s="318">
        <f ca="1">SynthFra!N37</f>
        <v>1.3453156289048352E-2</v>
      </c>
      <c r="K70" s="252"/>
      <c r="L70" s="321">
        <v>1.3757233800146968E-2</v>
      </c>
      <c r="M70" s="252"/>
      <c r="N70" s="323">
        <f ca="1"/>
        <v>1.3453156289048352E-2</v>
      </c>
      <c r="O70" s="324">
        <f ca="1">_xll.qlSimpleQuoteSetValue(D70,ROUND(N70,6),EvaluationDate)</f>
        <v>0</v>
      </c>
      <c r="P70" s="196"/>
    </row>
    <row r="71" spans="1:16" x14ac:dyDescent="0.2">
      <c r="A71" s="353">
        <v>33</v>
      </c>
      <c r="B71" s="336" t="str">
        <f t="shared" si="5"/>
        <v>33x45F</v>
      </c>
      <c r="C71" s="189" t="str">
        <f t="shared" si="6"/>
        <v>EUR33x45F_SYNTH1Y_Quote</v>
      </c>
      <c r="D71" s="337" t="str">
        <f>_xll.qlSimpleQuote(C71,,RateTickValue,Permanent,Trigger,ObjectOverwrite)</f>
        <v>EUR33x45F_SYNTH1Y_Quote#0000</v>
      </c>
      <c r="E71" s="330" t="str">
        <f>_xll.ohRangeRetrieveError(D71)</f>
        <v/>
      </c>
      <c r="F71" s="200"/>
      <c r="H71" s="192">
        <v>33</v>
      </c>
      <c r="I71" s="317" t="str">
        <f t="shared" si="7"/>
        <v>33x45F</v>
      </c>
      <c r="J71" s="318">
        <f ca="1">SynthFra!N38</f>
        <v>1.384540729312659E-2</v>
      </c>
      <c r="K71" s="252"/>
      <c r="L71" s="321">
        <v>1.4169825247542437E-2</v>
      </c>
      <c r="M71" s="252"/>
      <c r="N71" s="323">
        <f ca="1"/>
        <v>1.384540729312659E-2</v>
      </c>
      <c r="O71" s="324">
        <f ca="1">_xll.qlSimpleQuoteSetValue(D71,ROUND(N71,6),EvaluationDate)</f>
        <v>0</v>
      </c>
      <c r="P71" s="196"/>
    </row>
    <row r="72" spans="1:16" x14ac:dyDescent="0.2">
      <c r="A72" s="353">
        <v>34</v>
      </c>
      <c r="B72" s="336" t="str">
        <f t="shared" si="5"/>
        <v>34x46F</v>
      </c>
      <c r="C72" s="189" t="str">
        <f t="shared" si="6"/>
        <v>EUR34x46F_SYNTH1Y_Quote</v>
      </c>
      <c r="D72" s="337" t="str">
        <f>_xll.qlSimpleQuote(C72,,RateTickValue,Permanent,Trigger,ObjectOverwrite)</f>
        <v>EUR34x46F_SYNTH1Y_Quote#0000</v>
      </c>
      <c r="E72" s="330" t="str">
        <f>_xll.ohRangeRetrieveError(D72)</f>
        <v/>
      </c>
      <c r="F72" s="200"/>
      <c r="H72" s="192">
        <v>34</v>
      </c>
      <c r="I72" s="317" t="str">
        <f t="shared" si="7"/>
        <v>34x46F</v>
      </c>
      <c r="J72" s="318">
        <f ca="1">SynthFra!N39</f>
        <v>1.4210261278370058E-2</v>
      </c>
      <c r="K72" s="252"/>
      <c r="L72" s="321">
        <v>1.4527859474165896E-2</v>
      </c>
      <c r="M72" s="252"/>
      <c r="N72" s="323">
        <f ca="1"/>
        <v>1.4210261278370058E-2</v>
      </c>
      <c r="O72" s="324">
        <f ca="1">_xll.qlSimpleQuoteSetValue(D72,ROUND(N72,6),EvaluationDate)</f>
        <v>0</v>
      </c>
      <c r="P72" s="196"/>
    </row>
    <row r="73" spans="1:16" x14ac:dyDescent="0.2">
      <c r="A73" s="353">
        <v>35</v>
      </c>
      <c r="B73" s="336" t="str">
        <f t="shared" si="5"/>
        <v>35x47F</v>
      </c>
      <c r="C73" s="189" t="str">
        <f t="shared" si="6"/>
        <v>EUR35x47F_SYNTH1Y_Quote</v>
      </c>
      <c r="D73" s="337" t="str">
        <f>_xll.qlSimpleQuote(C73,,RateTickValue,Permanent,Trigger,ObjectOverwrite)</f>
        <v>EUR35x47F_SYNTH1Y_Quote#0000</v>
      </c>
      <c r="E73" s="330" t="str">
        <f>_xll.ohRangeRetrieveError(D73)</f>
        <v/>
      </c>
      <c r="F73" s="200"/>
      <c r="H73" s="192">
        <v>35</v>
      </c>
      <c r="I73" s="317" t="str">
        <f t="shared" si="7"/>
        <v>35x47F</v>
      </c>
      <c r="J73" s="318">
        <f ca="1">SynthFra!N40</f>
        <v>1.4547932404121406E-2</v>
      </c>
      <c r="K73" s="252"/>
      <c r="L73" s="321">
        <v>1.4868689767208683E-2</v>
      </c>
      <c r="M73" s="252"/>
      <c r="N73" s="323">
        <f ca="1"/>
        <v>1.4547932404121406E-2</v>
      </c>
      <c r="O73" s="324">
        <f ca="1">_xll.qlSimpleQuoteSetValue(D73,ROUND(N73,6),EvaluationDate)</f>
        <v>0</v>
      </c>
      <c r="P73" s="196"/>
    </row>
    <row r="74" spans="1:16" x14ac:dyDescent="0.2">
      <c r="A74" s="353">
        <v>37</v>
      </c>
      <c r="B74" s="336" t="str">
        <f t="shared" si="5"/>
        <v>37x49F</v>
      </c>
      <c r="C74" s="189" t="str">
        <f t="shared" si="6"/>
        <v>EUR37x49F_SYNTH1Y_Quote</v>
      </c>
      <c r="D74" s="337" t="str">
        <f>_xll.qlSimpleQuote(C74,,RateTickValue,Permanent,Trigger,ObjectOverwrite)</f>
        <v>EUR37x49F_SYNTH1Y_Quote#0000</v>
      </c>
      <c r="E74" s="330" t="str">
        <f>_xll.ohRangeRetrieveError(D74)</f>
        <v/>
      </c>
      <c r="F74" s="200"/>
      <c r="H74" s="192">
        <v>37</v>
      </c>
      <c r="I74" s="317" t="str">
        <f t="shared" si="7"/>
        <v>37x49F</v>
      </c>
      <c r="J74" s="318">
        <f ca="1">SynthFra!N41</f>
        <v>1.5272603703239577E-2</v>
      </c>
      <c r="K74" s="252"/>
      <c r="L74" s="321">
        <v>1.5606146599293269E-2</v>
      </c>
      <c r="M74" s="252"/>
      <c r="N74" s="323">
        <f ca="1"/>
        <v>1.5272603703239577E-2</v>
      </c>
      <c r="O74" s="324">
        <f ca="1">_xll.qlSimpleQuoteSetValue(D74,ROUND(N74,6),EvaluationDate)</f>
        <v>0</v>
      </c>
      <c r="P74" s="196"/>
    </row>
    <row r="75" spans="1:16" x14ac:dyDescent="0.2">
      <c r="A75" s="353">
        <v>38</v>
      </c>
      <c r="B75" s="336" t="str">
        <f t="shared" si="5"/>
        <v>38x50F</v>
      </c>
      <c r="C75" s="189" t="str">
        <f t="shared" si="6"/>
        <v>EUR38x50F_SYNTH1Y_Quote</v>
      </c>
      <c r="D75" s="337" t="str">
        <f>_xll.qlSimpleQuote(C75,,RateTickValue,Permanent,Trigger,ObjectOverwrite)</f>
        <v>EUR38x50F_SYNTH1Y_Quote#0000</v>
      </c>
      <c r="E75" s="330" t="str">
        <f>_xll.ohRangeRetrieveError(D75)</f>
        <v/>
      </c>
      <c r="F75" s="200"/>
      <c r="H75" s="192">
        <v>38</v>
      </c>
      <c r="I75" s="317" t="str">
        <f t="shared" si="7"/>
        <v>38x50F</v>
      </c>
      <c r="J75" s="318">
        <f ca="1">SynthFra!N42</f>
        <v>1.5635102513605115E-2</v>
      </c>
      <c r="K75" s="252"/>
      <c r="L75" s="321">
        <v>1.5959876303251883E-2</v>
      </c>
      <c r="M75" s="252"/>
      <c r="N75" s="323">
        <f ca="1"/>
        <v>1.5635102513605115E-2</v>
      </c>
      <c r="O75" s="324">
        <f ca="1">_xll.qlSimpleQuoteSetValue(D75,ROUND(N75,6),EvaluationDate)</f>
        <v>0</v>
      </c>
      <c r="P75" s="196"/>
    </row>
    <row r="76" spans="1:16" x14ac:dyDescent="0.2">
      <c r="A76" s="353">
        <v>39</v>
      </c>
      <c r="B76" s="336" t="str">
        <f t="shared" si="5"/>
        <v>39x51F</v>
      </c>
      <c r="C76" s="189" t="str">
        <f t="shared" si="6"/>
        <v>EUR39x51F_SYNTH1Y_Quote</v>
      </c>
      <c r="D76" s="337" t="str">
        <f>_xll.qlSimpleQuote(C76,,RateTickValue,Permanent,Trigger,ObjectOverwrite)</f>
        <v>EUR39x51F_SYNTH1Y_Quote#0000</v>
      </c>
      <c r="E76" s="330" t="str">
        <f>_xll.ohRangeRetrieveError(D76)</f>
        <v/>
      </c>
      <c r="F76" s="200"/>
      <c r="H76" s="192">
        <v>39</v>
      </c>
      <c r="I76" s="317" t="str">
        <f t="shared" si="7"/>
        <v>39x51F</v>
      </c>
      <c r="J76" s="318">
        <f ca="1">SynthFra!N43</f>
        <v>1.6005785919022235E-2</v>
      </c>
      <c r="K76" s="252"/>
      <c r="L76" s="321">
        <v>1.6324466404933364E-2</v>
      </c>
      <c r="M76" s="252"/>
      <c r="N76" s="323">
        <f ca="1"/>
        <v>1.6005785919022235E-2</v>
      </c>
      <c r="O76" s="324">
        <f ca="1">_xll.qlSimpleQuoteSetValue(D76,ROUND(N76,6),EvaluationDate)</f>
        <v>0</v>
      </c>
      <c r="P76" s="196"/>
    </row>
    <row r="77" spans="1:16" x14ac:dyDescent="0.2">
      <c r="A77" s="353">
        <v>40</v>
      </c>
      <c r="B77" s="336" t="str">
        <f t="shared" si="5"/>
        <v>40x52F</v>
      </c>
      <c r="C77" s="189" t="str">
        <f t="shared" si="6"/>
        <v>EUR40x52F_SYNTH1Y_Quote</v>
      </c>
      <c r="D77" s="337" t="str">
        <f>_xll.qlSimpleQuote(C77,,RateTickValue,Permanent,Trigger,ObjectOverwrite)</f>
        <v>EUR40x52F_SYNTH1Y_Quote#0000</v>
      </c>
      <c r="E77" s="330" t="str">
        <f>_xll.ohRangeRetrieveError(D77)</f>
        <v/>
      </c>
      <c r="F77" s="200"/>
      <c r="H77" s="192">
        <v>40</v>
      </c>
      <c r="I77" s="317" t="str">
        <f t="shared" si="7"/>
        <v>40x52F</v>
      </c>
      <c r="J77" s="318">
        <f ca="1">SynthFra!N44</f>
        <v>1.6339053710545687E-2</v>
      </c>
      <c r="K77" s="252"/>
      <c r="L77" s="321">
        <v>1.6675704344747674E-2</v>
      </c>
      <c r="M77" s="252"/>
      <c r="N77" s="323">
        <f ca="1"/>
        <v>1.6339053710545687E-2</v>
      </c>
      <c r="O77" s="324">
        <f ca="1">_xll.qlSimpleQuoteSetValue(D77,ROUND(N77,6),EvaluationDate)</f>
        <v>0</v>
      </c>
      <c r="P77" s="196"/>
    </row>
    <row r="78" spans="1:16" x14ac:dyDescent="0.2">
      <c r="A78" s="353">
        <v>41</v>
      </c>
      <c r="B78" s="336" t="str">
        <f t="shared" si="5"/>
        <v>41x53F</v>
      </c>
      <c r="C78" s="189" t="str">
        <f t="shared" si="6"/>
        <v>EUR41x53F_SYNTH1Y_Quote</v>
      </c>
      <c r="D78" s="337" t="str">
        <f>_xll.qlSimpleQuote(C78,,RateTickValue,Permanent,Trigger,ObjectOverwrite)</f>
        <v>EUR41x53F_SYNTH1Y_Quote#0000</v>
      </c>
      <c r="E78" s="330" t="str">
        <f>_xll.ohRangeRetrieveError(D78)</f>
        <v/>
      </c>
      <c r="F78" s="200"/>
      <c r="H78" s="192">
        <v>41</v>
      </c>
      <c r="I78" s="317" t="str">
        <f t="shared" si="7"/>
        <v>41x53F</v>
      </c>
      <c r="J78" s="318">
        <f ca="1">SynthFra!N45</f>
        <v>1.6704856137470393E-2</v>
      </c>
      <c r="K78" s="252"/>
      <c r="L78" s="321">
        <v>1.7037593929294166E-2</v>
      </c>
      <c r="M78" s="252"/>
      <c r="N78" s="323">
        <f ca="1"/>
        <v>1.6704856137470393E-2</v>
      </c>
      <c r="O78" s="324">
        <f ca="1">_xll.qlSimpleQuoteSetValue(D78,ROUND(N78,6),EvaluationDate)</f>
        <v>0</v>
      </c>
      <c r="P78" s="196"/>
    </row>
    <row r="79" spans="1:16" x14ac:dyDescent="0.2">
      <c r="A79" s="353">
        <v>42</v>
      </c>
      <c r="B79" s="336" t="str">
        <f t="shared" si="5"/>
        <v>42x54F</v>
      </c>
      <c r="C79" s="189" t="str">
        <f t="shared" si="6"/>
        <v>EUR42x54F_SYNTH1Y_Quote</v>
      </c>
      <c r="D79" s="337" t="str">
        <f>_xll.qlSimpleQuote(C79,,RateTickValue,Permanent,Trigger,ObjectOverwrite)</f>
        <v>EUR42x54F_SYNTH1Y_Quote#0000</v>
      </c>
      <c r="E79" s="330" t="str">
        <f>_xll.ohRangeRetrieveError(D79)</f>
        <v/>
      </c>
      <c r="F79" s="200"/>
      <c r="H79" s="192">
        <v>42</v>
      </c>
      <c r="I79" s="317" t="str">
        <f t="shared" si="7"/>
        <v>42x54F</v>
      </c>
      <c r="J79" s="318">
        <f ca="1">SynthFra!N46</f>
        <v>1.704483079528632E-2</v>
      </c>
      <c r="K79" s="252"/>
      <c r="L79" s="321">
        <v>1.7409723782537273E-2</v>
      </c>
      <c r="M79" s="252"/>
      <c r="N79" s="323">
        <f ca="1"/>
        <v>1.704483079528632E-2</v>
      </c>
      <c r="O79" s="324">
        <f ca="1">_xll.qlSimpleQuoteSetValue(D79,ROUND(N79,6),EvaluationDate)</f>
        <v>0</v>
      </c>
      <c r="P79" s="196"/>
    </row>
    <row r="80" spans="1:16" x14ac:dyDescent="0.2">
      <c r="A80" s="353">
        <v>43</v>
      </c>
      <c r="B80" s="336" t="str">
        <f t="shared" si="5"/>
        <v>43x55F</v>
      </c>
      <c r="C80" s="189" t="str">
        <f t="shared" si="6"/>
        <v>EUR43x55F_SYNTH1Y_Quote</v>
      </c>
      <c r="D80" s="337" t="str">
        <f>_xll.qlSimpleQuote(C80,,RateTickValue,Permanent,Trigger,ObjectOverwrite)</f>
        <v>EUR43x55F_SYNTH1Y_Quote#0000</v>
      </c>
      <c r="E80" s="330" t="str">
        <f>_xll.ohRangeRetrieveError(D80)</f>
        <v/>
      </c>
      <c r="F80" s="200"/>
      <c r="H80" s="192">
        <v>43</v>
      </c>
      <c r="I80" s="317" t="str">
        <f t="shared" si="7"/>
        <v>43x55F</v>
      </c>
      <c r="J80" s="318">
        <f ca="1">SynthFra!N47</f>
        <v>1.7383897550410768E-2</v>
      </c>
      <c r="K80" s="252"/>
      <c r="L80" s="321">
        <v>1.7745645627325779E-2</v>
      </c>
      <c r="M80" s="252"/>
      <c r="N80" s="323">
        <f ca="1"/>
        <v>1.7383897550410768E-2</v>
      </c>
      <c r="O80" s="324">
        <f ca="1">_xll.qlSimpleQuoteSetValue(D80,ROUND(N80,6),EvaluationDate)</f>
        <v>0</v>
      </c>
      <c r="P80" s="196"/>
    </row>
    <row r="81" spans="1:16" x14ac:dyDescent="0.2">
      <c r="A81" s="353">
        <v>44</v>
      </c>
      <c r="B81" s="336" t="str">
        <f t="shared" si="5"/>
        <v>44x56F</v>
      </c>
      <c r="C81" s="189" t="str">
        <f t="shared" si="6"/>
        <v>EUR44x56F_SYNTH1Y_Quote</v>
      </c>
      <c r="D81" s="337" t="str">
        <f>_xll.qlSimpleQuote(C81,,RateTickValue,Permanent,Trigger,ObjectOverwrite)</f>
        <v>EUR44x56F_SYNTH1Y_Quote#0000</v>
      </c>
      <c r="E81" s="330" t="str">
        <f>_xll.ohRangeRetrieveError(D81)</f>
        <v/>
      </c>
      <c r="F81" s="200"/>
      <c r="H81" s="192">
        <v>44</v>
      </c>
      <c r="I81" s="317" t="str">
        <f t="shared" si="7"/>
        <v>44x56F</v>
      </c>
      <c r="J81" s="318">
        <f ca="1">SynthFra!N48</f>
        <v>1.7734001021356204E-2</v>
      </c>
      <c r="K81" s="252"/>
      <c r="L81" s="321">
        <v>1.8091766995558506E-2</v>
      </c>
      <c r="M81" s="252"/>
      <c r="N81" s="323">
        <f ca="1"/>
        <v>1.7734001021356204E-2</v>
      </c>
      <c r="O81" s="324">
        <f ca="1">_xll.qlSimpleQuoteSetValue(D81,ROUND(N81,6),EvaluationDate)</f>
        <v>0</v>
      </c>
      <c r="P81" s="196"/>
    </row>
    <row r="82" spans="1:16" x14ac:dyDescent="0.2">
      <c r="A82" s="353">
        <v>45</v>
      </c>
      <c r="B82" s="336" t="str">
        <f t="shared" si="5"/>
        <v>45x57F</v>
      </c>
      <c r="C82" s="189" t="str">
        <f t="shared" si="6"/>
        <v>EUR45x57F_SYNTH1Y_Quote</v>
      </c>
      <c r="D82" s="337" t="str">
        <f>_xll.qlSimpleQuote(C82,,RateTickValue,Permanent,Trigger,ObjectOverwrite)</f>
        <v>EUR45x57F_SYNTH1Y_Quote#0000</v>
      </c>
      <c r="E82" s="330" t="str">
        <f>_xll.ohRangeRetrieveError(D82)</f>
        <v/>
      </c>
      <c r="F82" s="200"/>
      <c r="H82" s="192">
        <v>45</v>
      </c>
      <c r="I82" s="317" t="str">
        <f t="shared" si="7"/>
        <v>45x57F</v>
      </c>
      <c r="J82" s="318">
        <f ca="1">SynthFra!N49</f>
        <v>1.8070597741730719E-2</v>
      </c>
      <c r="K82" s="252"/>
      <c r="L82" s="321">
        <v>1.845934166447144E-2</v>
      </c>
      <c r="M82" s="252"/>
      <c r="N82" s="323">
        <f ca="1"/>
        <v>1.8070597741730719E-2</v>
      </c>
      <c r="O82" s="324">
        <f ca="1">_xll.qlSimpleQuoteSetValue(D82,ROUND(N82,6),EvaluationDate)</f>
        <v>0</v>
      </c>
      <c r="P82" s="196"/>
    </row>
    <row r="83" spans="1:16" x14ac:dyDescent="0.2">
      <c r="A83" s="353">
        <v>46</v>
      </c>
      <c r="B83" s="336" t="str">
        <f t="shared" si="5"/>
        <v>46x58F</v>
      </c>
      <c r="C83" s="189" t="str">
        <f t="shared" si="6"/>
        <v>EUR46x58F_SYNTH1Y_Quote</v>
      </c>
      <c r="D83" s="337" t="str">
        <f>_xll.qlSimpleQuote(C83,,RateTickValue,Permanent,Trigger,ObjectOverwrite)</f>
        <v>EUR46x58F_SYNTH1Y_Quote#0000</v>
      </c>
      <c r="E83" s="330" t="str">
        <f>_xll.ohRangeRetrieveError(D83)</f>
        <v/>
      </c>
      <c r="F83" s="200"/>
      <c r="H83" s="192">
        <v>46</v>
      </c>
      <c r="I83" s="317" t="str">
        <f t="shared" si="7"/>
        <v>46x58F</v>
      </c>
      <c r="J83" s="318">
        <f ca="1">SynthFra!N50</f>
        <v>1.8419059873902785E-2</v>
      </c>
      <c r="K83" s="252"/>
      <c r="L83" s="321">
        <v>1.8802356149900921E-2</v>
      </c>
      <c r="M83" s="252"/>
      <c r="N83" s="323">
        <f ca="1"/>
        <v>1.8419059873902785E-2</v>
      </c>
      <c r="O83" s="324">
        <f ca="1">_xll.qlSimpleQuoteSetValue(D83,ROUND(N83,6),EvaluationDate)</f>
        <v>0</v>
      </c>
      <c r="P83" s="196"/>
    </row>
    <row r="84" spans="1:16" ht="12" thickBot="1" x14ac:dyDescent="0.25">
      <c r="A84" s="354">
        <v>47</v>
      </c>
      <c r="B84" s="339" t="str">
        <f t="shared" si="5"/>
        <v>47x59F</v>
      </c>
      <c r="C84" s="284" t="str">
        <f t="shared" si="6"/>
        <v>EUR47x59F_SYNTH1Y_Quote</v>
      </c>
      <c r="D84" s="351" t="str">
        <f>_xll.qlSimpleQuote(C84,,RateTickValue,Permanent,Trigger,ObjectOverwrite)</f>
        <v>EUR47x59F_SYNTH1Y_Quote#0000</v>
      </c>
      <c r="E84" s="341" t="str">
        <f>_xll.ohRangeRetrieveError(D84)</f>
        <v/>
      </c>
      <c r="F84" s="200"/>
      <c r="H84" s="192">
        <v>47</v>
      </c>
      <c r="I84" s="319" t="str">
        <f t="shared" si="7"/>
        <v>47x59F</v>
      </c>
      <c r="J84" s="320">
        <f ca="1">SynthFra!N51</f>
        <v>1.8734007211719708E-2</v>
      </c>
      <c r="K84" s="252"/>
      <c r="L84" s="322">
        <v>1.912106049447132E-2</v>
      </c>
      <c r="M84" s="252"/>
      <c r="N84" s="361">
        <f ca="1"/>
        <v>1.8734007211719708E-2</v>
      </c>
      <c r="O84" s="362">
        <f ca="1">_xll.qlSimpleQuoteSetValue(D84,ROUND(N84,6),EvaluationDate)</f>
        <v>0</v>
      </c>
      <c r="P84" s="196"/>
    </row>
    <row r="85" spans="1:16" ht="12" thickBot="1" x14ac:dyDescent="0.25">
      <c r="A85" s="201"/>
      <c r="B85" s="273"/>
      <c r="C85" s="274"/>
      <c r="D85" s="274"/>
      <c r="E85" s="274"/>
      <c r="F85" s="202"/>
      <c r="H85" s="197"/>
      <c r="I85" s="198"/>
      <c r="J85" s="198"/>
      <c r="K85" s="198"/>
      <c r="L85" s="198"/>
      <c r="M85" s="198"/>
      <c r="N85" s="198"/>
      <c r="O85" s="198"/>
      <c r="P85" s="19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General Settings</vt:lpstr>
      <vt:lpstr>Triggers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2014-03-18T13:51:31Z</cp:lastPrinted>
  <dcterms:created xsi:type="dcterms:W3CDTF">2007-10-30T15:41:10Z</dcterms:created>
  <dcterms:modified xsi:type="dcterms:W3CDTF">2014-04-04T08:47:34Z</dcterms:modified>
</cp:coreProperties>
</file>