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H40" i="25" l="1"/>
  <c r="E40" i="25"/>
  <c r="J40" i="25" s="1"/>
  <c r="H39" i="25"/>
  <c r="E39" i="25"/>
  <c r="J39" i="25" s="1"/>
  <c r="H38" i="25"/>
  <c r="E38" i="25"/>
  <c r="J38" i="25" l="1"/>
  <c r="J5" i="6" l="1"/>
  <c r="J14" i="6" l="1"/>
  <c r="J15" i="6"/>
  <c r="K2" i="25" l="1"/>
  <c r="L2" i="25"/>
  <c r="K3" i="25" l="1"/>
  <c r="K40" i="25"/>
  <c r="K38" i="25"/>
  <c r="K39" i="25"/>
  <c r="K4" i="25"/>
  <c r="H6" i="25"/>
  <c r="J6" i="25"/>
  <c r="K6" i="25"/>
  <c r="E7" i="25"/>
  <c r="J7" i="25" s="1"/>
  <c r="H7" i="25"/>
  <c r="P6" i="25"/>
  <c r="L4" i="25"/>
  <c r="L39" i="25"/>
  <c r="L6" i="25"/>
  <c r="L40" i="25"/>
  <c r="L38"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L7" i="25"/>
  <c r="M4" i="25"/>
  <c r="M39" i="25"/>
  <c r="M40"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L15" i="25"/>
  <c r="L18" i="25"/>
  <c r="L11" i="25"/>
  <c r="L20" i="25"/>
  <c r="L21" i="25"/>
  <c r="L9" i="25"/>
  <c r="L16" i="25"/>
  <c r="L17" i="25"/>
  <c r="L19" i="25"/>
  <c r="L10" i="25"/>
  <c r="L12" i="25"/>
  <c r="L8" i="25"/>
  <c r="L22" i="25"/>
  <c r="L14" i="25"/>
  <c r="L13" i="25"/>
  <c r="M12" i="25"/>
  <c r="M6" i="25"/>
  <c r="M38" i="25"/>
  <c r="M7" i="25"/>
  <c r="J36" i="25" l="1"/>
  <c r="J34" i="25"/>
  <c r="J24" i="25"/>
  <c r="J26" i="25"/>
  <c r="J41" i="25"/>
  <c r="J28" i="25"/>
  <c r="J30" i="25"/>
  <c r="J32" i="25"/>
  <c r="K37" i="25"/>
  <c r="K35" i="25"/>
  <c r="K33" i="25"/>
  <c r="K31" i="25"/>
  <c r="K29" i="25"/>
  <c r="K27" i="25"/>
  <c r="K25" i="25"/>
  <c r="K23" i="25"/>
  <c r="L28" i="25"/>
  <c r="L34" i="25"/>
  <c r="L26" i="25"/>
  <c r="L32" i="25"/>
  <c r="L37" i="25"/>
  <c r="L35" i="25"/>
  <c r="L33" i="25"/>
  <c r="L31" i="25"/>
  <c r="L29" i="25"/>
  <c r="L27" i="25"/>
  <c r="L25" i="25"/>
  <c r="L23" i="25"/>
  <c r="L36" i="25"/>
  <c r="L24" i="25"/>
  <c r="L41" i="25"/>
  <c r="L30" i="25"/>
  <c r="M20" i="25"/>
  <c r="M16" i="25"/>
  <c r="M10" i="25"/>
  <c r="M15" i="25"/>
  <c r="M18" i="25"/>
  <c r="M17" i="25"/>
  <c r="M32" i="25"/>
  <c r="M22" i="25"/>
  <c r="M9" i="25"/>
  <c r="M13" i="25"/>
  <c r="M14" i="25"/>
  <c r="M19" i="25"/>
  <c r="M21" i="25"/>
  <c r="M11" i="25"/>
  <c r="M8" i="25"/>
  <c r="L3" i="25"/>
  <c r="G1" i="17" l="1"/>
  <c r="G3" i="17" s="1"/>
  <c r="F3" i="17"/>
  <c r="L3" i="17"/>
  <c r="M36" i="25"/>
  <c r="M28" i="25"/>
  <c r="M31" i="25"/>
  <c r="M23" i="25"/>
  <c r="M26" i="25"/>
  <c r="M35" i="25"/>
  <c r="M27" i="25"/>
  <c r="M24" i="25"/>
  <c r="M34" i="25"/>
  <c r="M37" i="25"/>
  <c r="M30" i="25"/>
  <c r="M41" i="25"/>
  <c r="M25" i="25"/>
  <c r="M29" i="25"/>
  <c r="H3" i="17"/>
  <c r="M33" i="25"/>
  <c r="M3" i="25"/>
  <c r="G2" i="17" l="1"/>
  <c r="F4" i="17"/>
  <c r="G4" i="17"/>
  <c r="I3" i="17"/>
  <c r="H4" i="17"/>
  <c r="H2" i="17"/>
  <c r="I2" i="17"/>
  <c r="E1" i="9" l="1"/>
  <c r="E2" i="9" s="1"/>
  <c r="D3" i="9"/>
  <c r="J3" i="9"/>
  <c r="I4" i="17"/>
  <c r="E3" i="9" l="1"/>
  <c r="B1" i="6"/>
  <c r="F3" i="9"/>
  <c r="F2" i="9"/>
  <c r="D9" i="6" l="1"/>
  <c r="E2" i="5" s="1"/>
  <c r="D16" i="6"/>
  <c r="D20" i="6"/>
  <c r="E20" i="6"/>
  <c r="D23" i="6"/>
  <c r="B35" i="5"/>
  <c r="C35" i="5"/>
  <c r="L2" i="5"/>
  <c r="D21" i="6"/>
  <c r="K2" i="5"/>
  <c r="G3" i="9"/>
  <c r="F2" i="5"/>
  <c r="A16" i="5"/>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K7" i="5"/>
  <c r="K30" i="5"/>
  <c r="K31" i="5"/>
  <c r="L40" i="5"/>
  <c r="K14" i="5"/>
  <c r="K10" i="5"/>
  <c r="L38" i="5"/>
  <c r="G32" i="5"/>
  <c r="K37" i="5"/>
  <c r="F37" i="5"/>
  <c r="G40" i="5"/>
  <c r="F4" i="5"/>
  <c r="L10" i="5"/>
  <c r="F3" i="5"/>
  <c r="F48" i="5"/>
  <c r="F45" i="5"/>
  <c r="F6" i="5"/>
  <c r="G28" i="5"/>
  <c r="L12" i="5"/>
  <c r="L31" i="5"/>
  <c r="F49" i="5"/>
  <c r="L49" i="5"/>
  <c r="F15" i="5"/>
  <c r="K38" i="5"/>
  <c r="K9" i="5"/>
  <c r="L30" i="5"/>
  <c r="F8" i="5"/>
  <c r="F13" i="5"/>
  <c r="F46" i="5"/>
  <c r="F43" i="5"/>
  <c r="K43" i="5"/>
  <c r="F42" i="5"/>
  <c r="L43" i="5"/>
  <c r="G48" i="5"/>
  <c r="L42" i="5"/>
  <c r="K32" i="5"/>
  <c r="K39" i="5"/>
  <c r="G43" i="5"/>
  <c r="L15" i="5"/>
  <c r="G46" i="5"/>
  <c r="F11" i="5"/>
  <c r="K35" i="5"/>
  <c r="K45" i="5"/>
  <c r="G41" i="5"/>
  <c r="L39" i="5"/>
  <c r="L33" i="5"/>
  <c r="K41" i="5"/>
  <c r="F5" i="5"/>
  <c r="L36" i="5"/>
  <c r="K29" i="5"/>
  <c r="A17" i="5"/>
  <c r="L46" i="5"/>
  <c r="L35" i="5"/>
  <c r="F14" i="5"/>
  <c r="F10" i="5"/>
  <c r="L7" i="5"/>
  <c r="K33" i="5"/>
  <c r="G45" i="5"/>
  <c r="L48" i="5"/>
  <c r="K34" i="5"/>
  <c r="F30" i="5"/>
  <c r="L4" i="5"/>
  <c r="K28" i="5"/>
  <c r="F33" i="5"/>
  <c r="F47" i="5"/>
  <c r="L44" i="5"/>
  <c r="F31" i="5"/>
  <c r="L41" i="5"/>
  <c r="G31" i="5"/>
  <c r="K11" i="5"/>
  <c r="K13" i="5"/>
  <c r="L3" i="5"/>
  <c r="G39" i="5"/>
  <c r="L14" i="5"/>
  <c r="F38" i="5"/>
  <c r="F40" i="5"/>
  <c r="G38" i="5"/>
  <c r="K40" i="5"/>
  <c r="L11" i="5"/>
  <c r="G35" i="5"/>
  <c r="F39" i="5"/>
  <c r="K6" i="5"/>
  <c r="F28" i="5"/>
  <c r="L29" i="5"/>
  <c r="L34" i="5"/>
  <c r="L5" i="5"/>
  <c r="K36" i="5"/>
  <c r="L32" i="5"/>
  <c r="F9" i="5"/>
  <c r="F7" i="5"/>
  <c r="F12" i="5"/>
  <c r="L13" i="5"/>
  <c r="L9" i="5"/>
  <c r="K42" i="5"/>
  <c r="K5" i="5"/>
  <c r="L37" i="5"/>
  <c r="L28" i="5"/>
  <c r="K12" i="5"/>
  <c r="K3" i="5"/>
  <c r="F29" i="5"/>
  <c r="L8" i="5"/>
  <c r="K44" i="5"/>
  <c r="F34" i="5"/>
  <c r="F36" i="5"/>
  <c r="G34" i="5"/>
  <c r="K8" i="5"/>
  <c r="G44" i="5"/>
  <c r="F41" i="5"/>
  <c r="K46" i="5"/>
  <c r="G30" i="5"/>
  <c r="K48" i="5"/>
  <c r="G47" i="5"/>
  <c r="G42" i="5"/>
  <c r="G33" i="5"/>
  <c r="L6" i="5"/>
  <c r="L45" i="5"/>
  <c r="F44" i="5"/>
  <c r="K47" i="5"/>
  <c r="G36" i="5"/>
  <c r="G49" i="5"/>
  <c r="L47" i="5"/>
  <c r="G37" i="5"/>
  <c r="F35" i="5"/>
  <c r="K15" i="5"/>
  <c r="K49" i="5"/>
  <c r="G29" i="5"/>
  <c r="F32" i="5"/>
  <c r="K4" i="5"/>
  <c r="D16" i="5"/>
  <c r="E16" i="5" l="1"/>
  <c r="E50" i="5"/>
  <c r="B51" i="5"/>
  <c r="C51" i="5"/>
  <c r="L50" i="5"/>
  <c r="K50" i="5"/>
  <c r="L16" i="5"/>
  <c r="G50" i="5"/>
  <c r="A18" i="5"/>
  <c r="G16" i="5"/>
  <c r="K16" i="5"/>
  <c r="F16" i="5"/>
  <c r="D17" i="5"/>
  <c r="F50" i="5"/>
  <c r="E17" i="5" l="1"/>
  <c r="E51" i="5"/>
  <c r="B52" i="5"/>
  <c r="C52" i="5"/>
  <c r="A19" i="5"/>
  <c r="K17" i="5"/>
  <c r="K51" i="5"/>
  <c r="F51" i="5"/>
  <c r="A20" i="5"/>
  <c r="D20" i="5"/>
  <c r="D18" i="5"/>
  <c r="G51" i="5"/>
  <c r="D19" i="5"/>
  <c r="L51" i="5"/>
  <c r="F17" i="5"/>
  <c r="L17" i="5"/>
  <c r="G17" i="5"/>
  <c r="E19" i="5" l="1"/>
  <c r="E20" i="5"/>
  <c r="E18" i="5"/>
  <c r="E52" i="5"/>
  <c r="B53" i="5"/>
  <c r="C53" i="5"/>
  <c r="F19" i="5"/>
  <c r="L20" i="5"/>
  <c r="F20" i="5"/>
  <c r="F18" i="5"/>
  <c r="L18" i="5"/>
  <c r="K19" i="5"/>
  <c r="G18" i="5"/>
  <c r="K20" i="5"/>
  <c r="L19" i="5"/>
  <c r="K52" i="5"/>
  <c r="A21" i="5"/>
  <c r="G20" i="5"/>
  <c r="F52" i="5"/>
  <c r="G52" i="5"/>
  <c r="L52" i="5"/>
  <c r="K18" i="5"/>
  <c r="G19" i="5"/>
  <c r="D21" i="5"/>
  <c r="A22" i="5"/>
  <c r="E21" i="5" l="1"/>
  <c r="E53" i="5"/>
  <c r="B54" i="5"/>
  <c r="C54" i="5"/>
  <c r="G21" i="5"/>
  <c r="K21" i="5"/>
  <c r="L21" i="5"/>
  <c r="F21" i="5"/>
  <c r="D22" i="5"/>
  <c r="A23" i="5"/>
  <c r="F53" i="5"/>
  <c r="D23" i="5"/>
  <c r="A24" i="5"/>
  <c r="G53" i="5"/>
  <c r="L53" i="5"/>
  <c r="K53" i="5"/>
  <c r="E22" i="5" l="1"/>
  <c r="E23" i="5"/>
  <c r="E54" i="5"/>
  <c r="B55" i="5"/>
  <c r="C55" i="5"/>
  <c r="L54" i="5"/>
  <c r="D24" i="5"/>
  <c r="L23" i="5"/>
  <c r="K54" i="5"/>
  <c r="G54" i="5"/>
  <c r="F22" i="5"/>
  <c r="K22" i="5"/>
  <c r="F54" i="5"/>
  <c r="A25" i="5"/>
  <c r="A26" i="5" s="1"/>
  <c r="G22" i="5"/>
  <c r="F23" i="5"/>
  <c r="K23" i="5"/>
  <c r="L22" i="5"/>
  <c r="D25" i="5"/>
  <c r="G23" i="5"/>
  <c r="A27" i="5"/>
  <c r="D27" i="5" s="1"/>
  <c r="D26" i="5"/>
  <c r="E26" i="5" l="1"/>
  <c r="E24" i="5"/>
  <c r="E25" i="5"/>
  <c r="E27" i="5"/>
  <c r="E55" i="5"/>
  <c r="B56" i="5"/>
  <c r="C56" i="5"/>
  <c r="K26" i="5"/>
  <c r="L26" i="5"/>
  <c r="G26" i="5"/>
  <c r="F26" i="5"/>
  <c r="K27" i="5"/>
  <c r="K24" i="5"/>
  <c r="K25" i="5"/>
  <c r="F55" i="5"/>
  <c r="F24" i="5"/>
  <c r="G25" i="5"/>
  <c r="F25" i="5"/>
  <c r="K55" i="5"/>
  <c r="L55" i="5"/>
  <c r="G27" i="5"/>
  <c r="F27" i="5"/>
  <c r="L24" i="5"/>
  <c r="G24" i="5"/>
  <c r="G55" i="5"/>
  <c r="L27" i="5"/>
  <c r="L25" i="5"/>
  <c r="E56" i="5" l="1"/>
  <c r="B57" i="5"/>
  <c r="C57" i="5"/>
  <c r="N17" i="5"/>
  <c r="G56" i="5"/>
  <c r="K56" i="5"/>
  <c r="L56" i="5"/>
  <c r="N16" i="5"/>
  <c r="F56" i="5"/>
  <c r="E57" i="5" l="1"/>
  <c r="B58" i="5"/>
  <c r="C58" i="5"/>
  <c r="K57" i="5"/>
  <c r="G57" i="5"/>
  <c r="F57" i="5"/>
  <c r="L57" i="5"/>
  <c r="E58" i="5" l="1"/>
  <c r="B59" i="5"/>
  <c r="C59" i="5"/>
  <c r="K58" i="5"/>
  <c r="F58" i="5"/>
  <c r="G58" i="5"/>
  <c r="L58" i="5"/>
  <c r="E59" i="5" l="1"/>
  <c r="B60" i="5"/>
  <c r="C60" i="5"/>
  <c r="G59" i="5"/>
  <c r="L59" i="5"/>
  <c r="K59" i="5"/>
  <c r="F59" i="5"/>
  <c r="E60" i="5" l="1"/>
  <c r="B61" i="5"/>
  <c r="C61" i="5"/>
  <c r="G60" i="5"/>
  <c r="K60" i="5"/>
  <c r="F60" i="5"/>
  <c r="L60" i="5"/>
  <c r="E61" i="5" l="1"/>
  <c r="B62" i="5"/>
  <c r="C62" i="5"/>
  <c r="G61" i="5"/>
  <c r="F61" i="5"/>
  <c r="K61" i="5"/>
  <c r="L61" i="5"/>
  <c r="E62" i="5" l="1"/>
  <c r="K62" i="5"/>
  <c r="G62" i="5"/>
  <c r="L62" i="5"/>
  <c r="F62" i="5"/>
  <c r="H62" i="5" l="1"/>
  <c r="B63" i="5"/>
  <c r="C63" i="5"/>
  <c r="E63" i="5" l="1"/>
  <c r="G63" i="5"/>
  <c r="F63" i="5"/>
  <c r="K63" i="5"/>
  <c r="L63" i="5"/>
  <c r="H63" i="5" l="1"/>
  <c r="B64" i="5"/>
  <c r="C64" i="5"/>
  <c r="E64" i="5" l="1"/>
  <c r="L64" i="5"/>
  <c r="F64" i="5"/>
  <c r="K64" i="5"/>
  <c r="G64" i="5"/>
  <c r="H64" i="5" l="1"/>
  <c r="B65" i="5"/>
  <c r="C65" i="5"/>
  <c r="E65" i="5" l="1"/>
  <c r="F65" i="5"/>
  <c r="L65" i="5"/>
  <c r="K65" i="5"/>
  <c r="G65" i="5"/>
  <c r="H65" i="5" l="1"/>
  <c r="B66" i="5"/>
  <c r="C66" i="5"/>
  <c r="E66" i="5" l="1"/>
  <c r="L66" i="5"/>
  <c r="F66" i="5"/>
  <c r="G66" i="5"/>
  <c r="K66" i="5"/>
  <c r="H66" i="5" l="1"/>
  <c r="B67" i="5"/>
  <c r="C67" i="5"/>
  <c r="E67" i="5" l="1"/>
  <c r="L67" i="5"/>
  <c r="G67" i="5"/>
  <c r="F67" i="5"/>
  <c r="K67" i="5"/>
  <c r="H67" i="5" l="1"/>
  <c r="B68" i="5"/>
  <c r="C68" i="5"/>
  <c r="E68" i="5" l="1"/>
  <c r="F68" i="5"/>
  <c r="K68" i="5"/>
  <c r="L68" i="5"/>
  <c r="G68" i="5"/>
  <c r="H68" i="5" l="1"/>
  <c r="B69" i="5"/>
  <c r="C69" i="5"/>
  <c r="E69" i="5" l="1"/>
  <c r="G69" i="5"/>
  <c r="F69" i="5"/>
  <c r="K69" i="5"/>
  <c r="L69" i="5"/>
  <c r="H69" i="5" l="1"/>
  <c r="B70" i="5"/>
  <c r="C70" i="5"/>
  <c r="E70" i="5" l="1"/>
  <c r="K70" i="5"/>
  <c r="G70" i="5"/>
  <c r="F70" i="5"/>
  <c r="L70" i="5"/>
  <c r="H70" i="5" l="1"/>
  <c r="B71" i="5"/>
  <c r="C71" i="5"/>
  <c r="E71" i="5" l="1"/>
  <c r="L71" i="5"/>
  <c r="G71" i="5"/>
  <c r="F71" i="5"/>
  <c r="K71" i="5"/>
  <c r="H71" i="5" l="1"/>
  <c r="B72" i="5"/>
  <c r="C72" i="5"/>
  <c r="E72" i="5" l="1"/>
  <c r="L72" i="5"/>
  <c r="K72" i="5"/>
  <c r="F72" i="5"/>
  <c r="G72" i="5"/>
  <c r="H72" i="5" l="1"/>
  <c r="B73" i="5"/>
  <c r="C73" i="5"/>
  <c r="B74" i="5"/>
  <c r="C74" i="5"/>
  <c r="E73" i="5" l="1"/>
  <c r="E74" i="5"/>
  <c r="F73" i="5"/>
  <c r="L73" i="5"/>
  <c r="K73" i="5"/>
  <c r="G73" i="5"/>
  <c r="G74" i="5"/>
  <c r="F74" i="5"/>
  <c r="K74" i="5"/>
  <c r="L74" i="5"/>
  <c r="H73" i="5" l="1"/>
  <c r="H74" i="5"/>
  <c r="B75" i="5"/>
  <c r="C75" i="5"/>
  <c r="E75" i="5" l="1"/>
  <c r="G75" i="5"/>
  <c r="K75" i="5"/>
  <c r="L75" i="5"/>
  <c r="F75" i="5"/>
  <c r="H75" i="5" l="1"/>
  <c r="B76" i="5"/>
  <c r="C76" i="5"/>
  <c r="E76" i="5" l="1"/>
  <c r="F76" i="5"/>
  <c r="L76" i="5"/>
  <c r="G76" i="5"/>
  <c r="K76" i="5"/>
  <c r="H76" i="5" l="1"/>
  <c r="B77" i="5"/>
  <c r="C77" i="5"/>
  <c r="E77" i="5" l="1"/>
  <c r="L77" i="5"/>
  <c r="G77" i="5"/>
  <c r="F77" i="5"/>
  <c r="K77" i="5"/>
  <c r="H77" i="5" l="1"/>
  <c r="B78" i="5"/>
  <c r="C78" i="5"/>
  <c r="E78" i="5" l="1"/>
  <c r="F78" i="5"/>
  <c r="K78" i="5"/>
  <c r="L78" i="5"/>
  <c r="G78" i="5"/>
  <c r="H78" i="5" l="1"/>
  <c r="B79" i="5"/>
  <c r="C79" i="5"/>
  <c r="E79" i="5" l="1"/>
  <c r="K79" i="5"/>
  <c r="L79" i="5"/>
  <c r="F79" i="5"/>
  <c r="G79" i="5"/>
  <c r="H79" i="5" l="1"/>
  <c r="B80" i="5"/>
  <c r="C80" i="5"/>
  <c r="E80" i="5" l="1"/>
  <c r="L80" i="5"/>
  <c r="G80" i="5"/>
  <c r="K80" i="5"/>
  <c r="F80" i="5"/>
  <c r="H80" i="5" l="1"/>
  <c r="B81" i="5"/>
  <c r="C81" i="5"/>
  <c r="B82" i="5"/>
  <c r="C82" i="5"/>
  <c r="E81" i="5" l="1"/>
  <c r="E82" i="5"/>
  <c r="G81" i="5"/>
  <c r="L81" i="5"/>
  <c r="F82" i="5"/>
  <c r="K81" i="5"/>
  <c r="F81" i="5"/>
  <c r="K82" i="5"/>
  <c r="G82" i="5"/>
  <c r="L82" i="5"/>
  <c r="H81" i="5" l="1"/>
  <c r="H82" i="5"/>
  <c r="B83" i="5"/>
  <c r="C83" i="5"/>
  <c r="E83" i="5" l="1"/>
  <c r="L83" i="5"/>
  <c r="K83" i="5"/>
  <c r="G83" i="5"/>
  <c r="F83" i="5"/>
  <c r="H83" i="5" l="1"/>
  <c r="B84" i="5"/>
  <c r="C84" i="5"/>
  <c r="E84" i="5" l="1"/>
  <c r="L84" i="5"/>
  <c r="G84" i="5"/>
  <c r="K84" i="5"/>
  <c r="F84" i="5"/>
  <c r="H84" i="5" l="1"/>
  <c r="B85" i="5"/>
  <c r="C85" i="5"/>
  <c r="E85" i="5" l="1"/>
  <c r="G85" i="5"/>
  <c r="L85" i="5"/>
  <c r="F85" i="5"/>
  <c r="K85" i="5"/>
  <c r="H85" i="5" l="1"/>
  <c r="B86" i="5"/>
  <c r="C86" i="5"/>
  <c r="E86" i="5" l="1"/>
  <c r="F86" i="5"/>
  <c r="K86" i="5"/>
  <c r="L86" i="5"/>
  <c r="G86" i="5"/>
  <c r="H86" i="5" l="1"/>
  <c r="B87" i="5"/>
  <c r="C87" i="5"/>
  <c r="B88" i="5"/>
  <c r="C88" i="5"/>
  <c r="E87" i="5" l="1"/>
  <c r="E88" i="5"/>
  <c r="F88" i="5"/>
  <c r="G87" i="5"/>
  <c r="G88" i="5"/>
  <c r="L87" i="5"/>
  <c r="K88" i="5"/>
  <c r="F87" i="5"/>
  <c r="K87" i="5"/>
  <c r="L88" i="5"/>
  <c r="H87" i="5" l="1"/>
  <c r="H88" i="5"/>
  <c r="B89" i="5"/>
  <c r="C89" i="5"/>
  <c r="E89" i="5" l="1"/>
  <c r="K89" i="5"/>
  <c r="F89" i="5"/>
  <c r="G89" i="5"/>
  <c r="L89" i="5"/>
  <c r="H89" i="5" l="1"/>
  <c r="B90" i="5"/>
  <c r="C90" i="5"/>
  <c r="E90" i="5" l="1"/>
  <c r="F90" i="5"/>
  <c r="L90" i="5"/>
  <c r="G90" i="5"/>
  <c r="K90" i="5"/>
  <c r="H90" i="5" l="1"/>
  <c r="B91" i="5"/>
  <c r="C91" i="5"/>
  <c r="E91" i="5" l="1"/>
  <c r="G91" i="5"/>
  <c r="K91" i="5"/>
  <c r="F91" i="5"/>
  <c r="L91" i="5"/>
  <c r="H91" i="5" l="1"/>
  <c r="B92" i="5"/>
  <c r="C92" i="5"/>
  <c r="B93" i="5"/>
  <c r="C93" i="5"/>
  <c r="E92" i="5" l="1"/>
  <c r="E93" i="5"/>
  <c r="G92" i="5"/>
  <c r="L93" i="5"/>
  <c r="K92" i="5"/>
  <c r="F92" i="5"/>
  <c r="G93" i="5"/>
  <c r="L92" i="5"/>
  <c r="F93" i="5"/>
  <c r="K93" i="5"/>
  <c r="H92" i="5" l="1"/>
  <c r="H93" i="5"/>
  <c r="B94" i="5"/>
  <c r="C94" i="5"/>
  <c r="E94" i="5" l="1"/>
  <c r="G94" i="5"/>
  <c r="K94" i="5"/>
  <c r="L94" i="5"/>
  <c r="F94" i="5"/>
  <c r="H94" i="5" l="1"/>
  <c r="B95" i="5"/>
  <c r="C95" i="5"/>
  <c r="B96" i="5"/>
  <c r="C96" i="5"/>
  <c r="E95" i="5" l="1"/>
  <c r="E96" i="5"/>
  <c r="F96" i="5"/>
  <c r="G95" i="5"/>
  <c r="K95" i="5"/>
  <c r="G96" i="5"/>
  <c r="K96" i="5"/>
  <c r="L95" i="5"/>
  <c r="F95" i="5"/>
  <c r="L96" i="5"/>
  <c r="H95" i="5" l="1"/>
  <c r="H96" i="5"/>
  <c r="B97" i="5"/>
  <c r="C97" i="5"/>
  <c r="E97" i="5" l="1"/>
  <c r="K97" i="5"/>
  <c r="L97" i="5"/>
  <c r="F97" i="5"/>
  <c r="G97" i="5"/>
  <c r="H97" i="5" l="1"/>
  <c r="B98" i="5"/>
  <c r="C98" i="5"/>
  <c r="E98" i="5" l="1"/>
  <c r="L98" i="5"/>
  <c r="F98" i="5"/>
  <c r="K98" i="5"/>
  <c r="G98" i="5"/>
  <c r="H98" i="5" l="1"/>
  <c r="B99" i="5"/>
  <c r="C99" i="5"/>
  <c r="E99" i="5" l="1"/>
  <c r="F99" i="5"/>
  <c r="K99" i="5"/>
  <c r="G99" i="5"/>
  <c r="L99" i="5"/>
  <c r="H99" i="5" l="1"/>
  <c r="B100" i="5"/>
  <c r="C100" i="5"/>
  <c r="E100" i="5" l="1"/>
  <c r="G100" i="5"/>
  <c r="L100" i="5"/>
  <c r="F100" i="5"/>
  <c r="K100" i="5"/>
  <c r="H100" i="5" l="1"/>
  <c r="B101" i="5"/>
  <c r="C101" i="5"/>
  <c r="E101" i="5" l="1"/>
  <c r="L101" i="5"/>
  <c r="K101" i="5"/>
  <c r="F101" i="5"/>
  <c r="G101" i="5"/>
  <c r="H101" i="5" l="1"/>
  <c r="B102" i="5"/>
  <c r="C102" i="5"/>
  <c r="E102" i="5" l="1"/>
  <c r="L102" i="5"/>
  <c r="G102" i="5"/>
  <c r="K102" i="5"/>
  <c r="F102" i="5"/>
  <c r="H102" i="5" l="1"/>
  <c r="B103" i="5"/>
  <c r="C103" i="5"/>
  <c r="E103" i="5" l="1"/>
  <c r="L103" i="5"/>
  <c r="F103" i="5"/>
  <c r="K103" i="5"/>
  <c r="G103" i="5"/>
  <c r="H103" i="5" l="1"/>
  <c r="B104" i="5"/>
  <c r="C104" i="5"/>
  <c r="B105" i="5"/>
  <c r="C105" i="5"/>
  <c r="E104" i="5" l="1"/>
  <c r="E105" i="5"/>
  <c r="L105" i="5"/>
  <c r="F105" i="5"/>
  <c r="G104" i="5"/>
  <c r="F104" i="5"/>
  <c r="K104" i="5"/>
  <c r="L104" i="5"/>
  <c r="K105" i="5"/>
  <c r="G105" i="5"/>
  <c r="H104" i="5" l="1"/>
  <c r="H105" i="5"/>
  <c r="B106" i="5"/>
  <c r="C106" i="5"/>
  <c r="E106" i="5" l="1"/>
  <c r="L106" i="5"/>
  <c r="G106" i="5"/>
  <c r="K106" i="5"/>
  <c r="F106" i="5"/>
  <c r="H106" i="5" l="1"/>
  <c r="B107" i="5"/>
  <c r="C107" i="5"/>
  <c r="B108" i="5"/>
  <c r="C108" i="5"/>
  <c r="E107" i="5" l="1"/>
  <c r="E108" i="5"/>
  <c r="G107" i="5"/>
  <c r="L108" i="5"/>
  <c r="K108" i="5"/>
  <c r="F108" i="5"/>
  <c r="F107" i="5"/>
  <c r="L107" i="5"/>
  <c r="K107" i="5"/>
  <c r="G108" i="5"/>
  <c r="H107" i="5" l="1"/>
  <c r="H108" i="5"/>
  <c r="B109" i="5"/>
  <c r="C109" i="5"/>
  <c r="E109" i="5" l="1"/>
  <c r="L109" i="5"/>
  <c r="K109" i="5"/>
  <c r="F109" i="5"/>
  <c r="G109" i="5"/>
  <c r="H109" i="5" l="1"/>
  <c r="B110" i="5"/>
  <c r="C110" i="5"/>
  <c r="E110" i="5" l="1"/>
  <c r="K110" i="5"/>
  <c r="F110" i="5"/>
  <c r="L110" i="5"/>
  <c r="G110" i="5"/>
  <c r="H110" i="5" l="1"/>
  <c r="B111" i="5"/>
  <c r="C111" i="5"/>
  <c r="E111" i="5" l="1"/>
  <c r="G111" i="5"/>
  <c r="K111" i="5"/>
  <c r="F111" i="5"/>
  <c r="L111" i="5"/>
  <c r="H111" i="5" l="1"/>
  <c r="B112" i="5"/>
  <c r="C112" i="5"/>
  <c r="E112" i="5" l="1"/>
  <c r="F112" i="5"/>
  <c r="G112" i="5"/>
  <c r="L112" i="5"/>
  <c r="K112" i="5"/>
  <c r="H112" i="5" l="1"/>
  <c r="B113" i="5"/>
  <c r="C113" i="5"/>
  <c r="E113" i="5" l="1"/>
  <c r="L113" i="5"/>
  <c r="G113" i="5"/>
  <c r="F113" i="5"/>
  <c r="K113" i="5"/>
  <c r="H113" i="5" l="1"/>
  <c r="B114" i="5"/>
  <c r="C114" i="5"/>
  <c r="B115" i="5"/>
  <c r="C115" i="5"/>
  <c r="B116" i="5"/>
  <c r="C116" i="5"/>
  <c r="E114" i="5" l="1"/>
  <c r="E115" i="5"/>
  <c r="E116" i="5"/>
  <c r="F114" i="5"/>
  <c r="G116" i="5"/>
  <c r="K114" i="5"/>
  <c r="L116" i="5"/>
  <c r="L115" i="5"/>
  <c r="F115" i="5"/>
  <c r="K116" i="5"/>
  <c r="G115" i="5"/>
  <c r="G114" i="5"/>
  <c r="K115" i="5"/>
  <c r="F116" i="5"/>
  <c r="L114" i="5"/>
  <c r="H114" i="5" l="1"/>
  <c r="H115" i="5"/>
  <c r="H116" i="5"/>
  <c r="B117" i="5"/>
  <c r="C117" i="5"/>
  <c r="E117" i="5" l="1"/>
  <c r="L117" i="5"/>
  <c r="K117" i="5"/>
  <c r="F117" i="5"/>
  <c r="G117" i="5"/>
  <c r="H117" i="5" l="1"/>
  <c r="B118" i="5"/>
  <c r="C118" i="5"/>
  <c r="E118" i="5" l="1"/>
  <c r="K118" i="5"/>
  <c r="F118" i="5"/>
  <c r="G118" i="5"/>
  <c r="L118" i="5"/>
  <c r="H118" i="5" l="1"/>
  <c r="B119" i="5"/>
  <c r="C119" i="5"/>
  <c r="E119" i="5" l="1"/>
  <c r="F119" i="5"/>
  <c r="L119" i="5"/>
  <c r="G119" i="5"/>
  <c r="K119" i="5"/>
  <c r="H119" i="5" l="1"/>
  <c r="B120" i="5"/>
  <c r="C120" i="5"/>
  <c r="E120" i="5" l="1"/>
  <c r="G120" i="5"/>
  <c r="L120" i="5"/>
  <c r="K120" i="5"/>
  <c r="F120" i="5"/>
  <c r="H120" i="5" l="1"/>
  <c r="B121" i="5"/>
  <c r="C121" i="5"/>
  <c r="B122" i="5"/>
  <c r="C122" i="5"/>
  <c r="E121" i="5" l="1"/>
  <c r="E122" i="5"/>
  <c r="G122" i="5"/>
  <c r="F122" i="5"/>
  <c r="L122" i="5"/>
  <c r="F121" i="5"/>
  <c r="L121" i="5"/>
  <c r="K122" i="5"/>
  <c r="K121" i="5"/>
  <c r="G121"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77" i="4"/>
  <c r="H110" i="4"/>
  <c r="F106" i="4"/>
  <c r="F125" i="4"/>
  <c r="G59" i="4"/>
  <c r="E99" i="4"/>
  <c r="E76" i="4"/>
  <c r="H80" i="4"/>
  <c r="G103" i="4"/>
  <c r="E95" i="4"/>
  <c r="F22" i="4"/>
  <c r="F95" i="4"/>
  <c r="G74" i="4"/>
  <c r="E93" i="4"/>
  <c r="H53" i="4"/>
  <c r="F108" i="4"/>
  <c r="G37" i="4"/>
  <c r="E23" i="4"/>
  <c r="G109" i="4"/>
  <c r="F97" i="4"/>
  <c r="H77" i="4"/>
  <c r="G125" i="4"/>
  <c r="G81" i="4"/>
  <c r="G82" i="4"/>
  <c r="F82" i="4"/>
  <c r="E47" i="4"/>
  <c r="F93" i="4"/>
  <c r="F20" i="4"/>
  <c r="G115" i="4"/>
  <c r="H112" i="4"/>
  <c r="H45" i="4"/>
  <c r="E38" i="4"/>
  <c r="G22" i="4"/>
  <c r="H73" i="4"/>
  <c r="G15" i="4"/>
  <c r="G8" i="4"/>
  <c r="E73" i="4"/>
  <c r="E90" i="4"/>
  <c r="F29" i="4"/>
  <c r="E62" i="4"/>
  <c r="E64" i="4"/>
  <c r="G68" i="4"/>
  <c r="H67" i="4"/>
  <c r="G19" i="4"/>
  <c r="H95" i="4"/>
  <c r="G126" i="4"/>
  <c r="G43" i="4"/>
  <c r="E15" i="4"/>
  <c r="E103" i="4"/>
  <c r="H84" i="4"/>
  <c r="F35" i="4"/>
  <c r="E25" i="4"/>
  <c r="E105" i="4"/>
  <c r="H115" i="4"/>
  <c r="H58" i="4"/>
  <c r="F115" i="4"/>
  <c r="F103" i="4"/>
  <c r="G84" i="4"/>
  <c r="H76" i="4"/>
  <c r="E96" i="4"/>
  <c r="E126" i="4"/>
  <c r="E106" i="4"/>
  <c r="F37" i="4"/>
  <c r="H100" i="4"/>
  <c r="F124" i="4"/>
  <c r="E70" i="4"/>
  <c r="G94" i="4"/>
  <c r="E100" i="4"/>
  <c r="G104" i="4"/>
  <c r="E40" i="4"/>
  <c r="G31" i="4"/>
  <c r="G2" i="4"/>
  <c r="F39" i="4"/>
  <c r="G89" i="4"/>
  <c r="F80" i="4"/>
  <c r="H83" i="4"/>
  <c r="E22" i="4"/>
  <c r="E51" i="4"/>
  <c r="F122" i="4"/>
  <c r="F36" i="4"/>
  <c r="E94" i="4"/>
  <c r="E33" i="4"/>
  <c r="H35" i="4"/>
  <c r="F61" i="4"/>
  <c r="H107" i="4"/>
  <c r="E63" i="4"/>
  <c r="G70" i="4"/>
  <c r="G65" i="4"/>
  <c r="H12" i="4"/>
  <c r="E114" i="4"/>
  <c r="H50" i="4"/>
  <c r="F44" i="4"/>
  <c r="G57" i="4"/>
  <c r="F30" i="4"/>
  <c r="F41" i="4"/>
  <c r="F78" i="4"/>
  <c r="F79" i="4"/>
  <c r="E80" i="4"/>
  <c r="E53" i="4"/>
  <c r="F55" i="4"/>
  <c r="E18" i="4"/>
  <c r="H91" i="4"/>
  <c r="G46" i="4"/>
  <c r="F71" i="4"/>
  <c r="G106" i="4"/>
  <c r="G97" i="4"/>
  <c r="E5" i="4"/>
  <c r="G39" i="4"/>
  <c r="E9" i="4"/>
  <c r="G64" i="4"/>
  <c r="H9" i="4"/>
  <c r="H89" i="4"/>
  <c r="H47" i="4"/>
  <c r="F7" i="4"/>
  <c r="E39" i="4"/>
  <c r="G92" i="4"/>
  <c r="F68" i="4"/>
  <c r="F21" i="4"/>
  <c r="G38" i="4"/>
  <c r="H30" i="4"/>
  <c r="F27" i="4"/>
  <c r="G124" i="4"/>
  <c r="G56" i="4"/>
  <c r="G61" i="4"/>
  <c r="G93" i="4"/>
  <c r="G52" i="4"/>
  <c r="E97" i="4"/>
  <c r="F14" i="4"/>
  <c r="E66" i="4"/>
  <c r="G102" i="4"/>
  <c r="F23" i="4"/>
  <c r="H82" i="4"/>
  <c r="F50" i="4"/>
  <c r="F2" i="4"/>
  <c r="H54" i="4"/>
  <c r="F43" i="4"/>
  <c r="H125" i="4"/>
  <c r="E79" i="4"/>
  <c r="E84" i="4"/>
  <c r="G83" i="4"/>
  <c r="G58" i="4"/>
  <c r="H88" i="4"/>
  <c r="F96" i="4"/>
  <c r="E61" i="4"/>
  <c r="F62" i="4"/>
  <c r="G13" i="4"/>
  <c r="H104" i="4"/>
  <c r="H92" i="4"/>
  <c r="H70" i="4"/>
  <c r="H28" i="4"/>
  <c r="H48" i="4"/>
  <c r="G25" i="4"/>
  <c r="H87" i="4"/>
  <c r="F116" i="4"/>
  <c r="F88" i="4"/>
  <c r="E56" i="4"/>
  <c r="F3" i="4"/>
  <c r="E20" i="4"/>
  <c r="H11" i="4"/>
  <c r="H122" i="4"/>
  <c r="F26" i="4"/>
  <c r="F59" i="4"/>
  <c r="G10" i="4"/>
  <c r="H42" i="4"/>
  <c r="F31" i="4"/>
  <c r="G123" i="4"/>
  <c r="G87" i="4"/>
  <c r="G28" i="4"/>
  <c r="F90" i="4"/>
  <c r="G91" i="4"/>
  <c r="E78" i="4"/>
  <c r="F81" i="4"/>
  <c r="E11" i="4"/>
  <c r="F86" i="4"/>
  <c r="E104" i="4"/>
  <c r="G85" i="4"/>
  <c r="E55" i="4"/>
  <c r="H108" i="4"/>
  <c r="G35" i="4"/>
  <c r="H23" i="4"/>
  <c r="G17" i="4"/>
  <c r="F74" i="4"/>
  <c r="E52" i="4"/>
  <c r="E72" i="4"/>
  <c r="F16" i="4"/>
  <c r="E110" i="4"/>
  <c r="E117" i="4"/>
  <c r="H13" i="4"/>
  <c r="E69" i="4"/>
  <c r="H24" i="4"/>
  <c r="E123" i="4"/>
  <c r="H69" i="4"/>
  <c r="H97" i="4"/>
  <c r="E83" i="4"/>
  <c r="F52" i="4"/>
  <c r="G86" i="4"/>
  <c r="H41" i="4"/>
  <c r="G42" i="4"/>
  <c r="H36" i="4"/>
  <c r="H56" i="4"/>
  <c r="G119" i="4"/>
  <c r="H43" i="4"/>
  <c r="H8" i="4"/>
  <c r="E113" i="4"/>
  <c r="F58" i="4"/>
  <c r="G4" i="4"/>
  <c r="H114" i="4"/>
  <c r="F84" i="4"/>
  <c r="H15" i="4"/>
  <c r="H120" i="4"/>
  <c r="F17" i="4"/>
  <c r="H103" i="4"/>
  <c r="E82" i="4"/>
  <c r="E10" i="4"/>
  <c r="E74" i="4"/>
  <c r="E27" i="4"/>
  <c r="G78" i="4"/>
  <c r="G30" i="4"/>
  <c r="G20" i="4"/>
  <c r="G88" i="4"/>
  <c r="G108" i="4"/>
  <c r="G96" i="4"/>
  <c r="H3" i="4"/>
  <c r="H49" i="4"/>
  <c r="H124" i="4"/>
  <c r="G23" i="4"/>
  <c r="G114" i="4"/>
  <c r="F47" i="4"/>
  <c r="E34" i="4"/>
  <c r="H86" i="4"/>
  <c r="G100" i="4"/>
  <c r="F5" i="4"/>
  <c r="H19" i="4"/>
  <c r="F72" i="4"/>
  <c r="F113" i="4"/>
  <c r="H34" i="4"/>
  <c r="G11" i="4"/>
  <c r="F123" i="4"/>
  <c r="H123" i="4"/>
  <c r="F49" i="4"/>
  <c r="G6" i="4"/>
  <c r="F99" i="4"/>
  <c r="H5" i="4"/>
  <c r="E28" i="4"/>
  <c r="H22" i="4"/>
  <c r="G80" i="4"/>
  <c r="G62" i="4"/>
  <c r="F70" i="4"/>
  <c r="G112" i="4"/>
  <c r="F100" i="4"/>
  <c r="E32" i="4"/>
  <c r="E36" i="4"/>
  <c r="E111" i="4"/>
  <c r="H99" i="4"/>
  <c r="H26" i="4"/>
  <c r="E46" i="4"/>
  <c r="F65" i="4"/>
  <c r="E41" i="4"/>
  <c r="E102" i="4"/>
  <c r="H60" i="4"/>
  <c r="F110" i="4"/>
  <c r="G51" i="4"/>
  <c r="G121" i="4"/>
  <c r="G118" i="4"/>
  <c r="E8" i="4"/>
  <c r="H102" i="4"/>
  <c r="H68" i="4"/>
  <c r="G66" i="4"/>
  <c r="H101" i="4"/>
  <c r="F9" i="4"/>
  <c r="G34" i="4"/>
  <c r="G24" i="4"/>
  <c r="H79" i="4"/>
  <c r="F10" i="4"/>
  <c r="G27" i="4"/>
  <c r="F120" i="4"/>
  <c r="F6" i="4"/>
  <c r="H117" i="4"/>
  <c r="G122" i="4"/>
  <c r="H25" i="4"/>
  <c r="G77" i="4"/>
  <c r="F101" i="4"/>
  <c r="E122" i="4"/>
  <c r="G48" i="4"/>
  <c r="E91" i="4"/>
  <c r="B6" i="4"/>
  <c r="E67" i="4"/>
  <c r="G111" i="4"/>
  <c r="H6" i="4"/>
  <c r="G107" i="4"/>
  <c r="H21" i="4"/>
  <c r="H57" i="4"/>
  <c r="F85" i="4"/>
  <c r="G7" i="4"/>
  <c r="H111" i="4"/>
  <c r="F69" i="4"/>
  <c r="E71" i="4"/>
  <c r="G72" i="4"/>
  <c r="G99" i="4"/>
  <c r="G120" i="4"/>
  <c r="E75" i="4"/>
  <c r="F34" i="4"/>
  <c r="G63" i="4"/>
  <c r="G117" i="4"/>
  <c r="H126" i="4"/>
  <c r="E124" i="4"/>
  <c r="E4" i="4"/>
  <c r="E112" i="4"/>
  <c r="G21" i="4"/>
  <c r="E108" i="4"/>
  <c r="F75" i="4"/>
  <c r="H37" i="4"/>
  <c r="E19" i="4"/>
  <c r="G18" i="4"/>
  <c r="F98" i="4"/>
  <c r="E42" i="4"/>
  <c r="E16" i="4"/>
  <c r="E49" i="4"/>
  <c r="E45" i="4"/>
  <c r="E35" i="4"/>
  <c r="H62" i="4"/>
  <c r="E21" i="4"/>
  <c r="F114" i="4"/>
  <c r="H16" i="4"/>
  <c r="E29" i="4"/>
  <c r="H113" i="4"/>
  <c r="E58" i="4"/>
  <c r="G90" i="4"/>
  <c r="F118" i="4"/>
  <c r="H66" i="4"/>
  <c r="G110" i="4"/>
  <c r="F40" i="4"/>
  <c r="G95" i="4"/>
  <c r="H118" i="4"/>
  <c r="G47" i="4"/>
  <c r="H29" i="4"/>
  <c r="F76" i="4"/>
  <c r="F63" i="4"/>
  <c r="G41" i="4"/>
  <c r="H116" i="4"/>
  <c r="E43" i="4"/>
  <c r="F13" i="4"/>
  <c r="H72" i="4"/>
  <c r="H109" i="4"/>
  <c r="H65" i="4"/>
  <c r="H121" i="4"/>
  <c r="G16" i="4"/>
  <c r="E31" i="4"/>
  <c r="E44" i="4"/>
  <c r="F11" i="4"/>
  <c r="F105" i="4"/>
  <c r="E57" i="4"/>
  <c r="H39" i="4"/>
  <c r="G60" i="4"/>
  <c r="G32" i="4"/>
  <c r="H51" i="4"/>
  <c r="E109" i="4"/>
  <c r="G116" i="4"/>
  <c r="H59" i="4"/>
  <c r="F19" i="4"/>
  <c r="F51" i="4"/>
  <c r="E118" i="4"/>
  <c r="F87" i="4"/>
  <c r="G71" i="4"/>
  <c r="H71" i="4"/>
  <c r="E13" i="4"/>
  <c r="E2" i="4"/>
  <c r="G113" i="4"/>
  <c r="H98" i="4"/>
  <c r="G75" i="4"/>
  <c r="G12" i="4"/>
  <c r="E54" i="4"/>
  <c r="H63" i="4"/>
  <c r="E68" i="4"/>
  <c r="G29" i="4"/>
  <c r="E121" i="4"/>
  <c r="E125" i="4"/>
  <c r="F32" i="4"/>
  <c r="F117" i="4"/>
  <c r="E24" i="4"/>
  <c r="G33" i="4"/>
  <c r="F8" i="4"/>
  <c r="G3" i="4"/>
  <c r="H64" i="4"/>
  <c r="F112" i="4"/>
  <c r="E89" i="4"/>
  <c r="E12" i="4"/>
  <c r="H2" i="4"/>
  <c r="E107" i="4"/>
  <c r="F60" i="4"/>
  <c r="E50" i="4"/>
  <c r="F54" i="4"/>
  <c r="F89" i="4"/>
  <c r="H81" i="4"/>
  <c r="G76" i="4"/>
  <c r="G49" i="4"/>
  <c r="E92" i="4"/>
  <c r="G79" i="4"/>
  <c r="G14" i="4"/>
  <c r="F12" i="4"/>
  <c r="H20" i="4"/>
  <c r="E60" i="4"/>
  <c r="F56" i="4"/>
  <c r="H10" i="4"/>
  <c r="H31" i="4"/>
  <c r="H55" i="4"/>
  <c r="F92" i="4"/>
  <c r="G40" i="4"/>
  <c r="F28" i="4"/>
  <c r="E65" i="4"/>
  <c r="F18" i="4"/>
  <c r="F48" i="4"/>
  <c r="G50" i="4"/>
  <c r="E7" i="4"/>
  <c r="G5" i="4"/>
  <c r="H105" i="4"/>
  <c r="H90" i="4"/>
  <c r="E115" i="4"/>
  <c r="E48" i="4"/>
  <c r="E88" i="4"/>
  <c r="G36" i="4"/>
  <c r="H85" i="4"/>
  <c r="G26" i="4"/>
  <c r="G55" i="4"/>
  <c r="E3" i="4"/>
  <c r="F45" i="4"/>
  <c r="F25" i="4"/>
  <c r="E119" i="4"/>
  <c r="E6" i="4"/>
  <c r="F107" i="4"/>
  <c r="F64" i="4"/>
  <c r="H94" i="4"/>
  <c r="E98" i="4"/>
  <c r="G9" i="4"/>
  <c r="G101" i="4"/>
  <c r="G45" i="4"/>
  <c r="H18" i="4"/>
  <c r="H106" i="4"/>
  <c r="E86" i="4"/>
  <c r="G53" i="4"/>
  <c r="F15" i="4"/>
  <c r="E37" i="4"/>
  <c r="E116" i="4"/>
  <c r="E26" i="4"/>
  <c r="H38" i="4"/>
  <c r="E81" i="4"/>
  <c r="F104" i="4"/>
  <c r="F66" i="4"/>
  <c r="F67" i="4"/>
  <c r="H7" i="4"/>
  <c r="F77" i="4"/>
  <c r="G67" i="4"/>
  <c r="E14" i="4"/>
  <c r="G54" i="4"/>
  <c r="H14" i="4"/>
  <c r="F53" i="4"/>
  <c r="F73" i="4"/>
  <c r="F46" i="4"/>
  <c r="H32" i="4"/>
  <c r="F24" i="4"/>
  <c r="H96" i="4"/>
  <c r="F94" i="4"/>
  <c r="H40" i="4"/>
  <c r="E59" i="4"/>
  <c r="H44" i="4"/>
  <c r="F109" i="4"/>
  <c r="F4" i="4"/>
  <c r="G73" i="4"/>
  <c r="G69" i="4"/>
  <c r="E85" i="4"/>
  <c r="E30" i="4"/>
  <c r="F126" i="4"/>
  <c r="F57" i="4"/>
  <c r="E101" i="4"/>
  <c r="F119" i="4"/>
  <c r="H33" i="4"/>
  <c r="F91" i="4"/>
  <c r="F102" i="4"/>
  <c r="E87" i="4"/>
  <c r="F83" i="4"/>
  <c r="H78" i="4"/>
  <c r="H17" i="4"/>
  <c r="F38" i="4"/>
  <c r="G105" i="4"/>
  <c r="H75" i="4"/>
  <c r="H61" i="4"/>
  <c r="H93" i="4"/>
  <c r="F111" i="4"/>
  <c r="H52" i="4"/>
  <c r="H4" i="4"/>
  <c r="G44" i="4"/>
  <c r="E120" i="4"/>
  <c r="H119" i="4"/>
  <c r="F42" i="4"/>
  <c r="H46" i="4"/>
  <c r="E17" i="4"/>
  <c r="H27" i="4"/>
  <c r="F33" i="4"/>
  <c r="H74" i="4"/>
  <c r="F121" i="4"/>
  <c r="G98" i="4"/>
  <c r="A7" i="4"/>
  <c r="D14" i="6" l="1"/>
  <c r="B7" i="4"/>
  <c r="C28" i="6"/>
  <c r="D15" i="6"/>
  <c r="C27" i="6"/>
  <c r="D30" i="6"/>
  <c r="I1" i="4" a="1"/>
  <c r="I54" i="4" l="1"/>
  <c r="I78" i="4"/>
  <c r="I66" i="4"/>
  <c r="I65" i="4"/>
  <c r="I29" i="4"/>
  <c r="I57" i="4"/>
  <c r="I12" i="4"/>
  <c r="I85" i="4"/>
  <c r="I58" i="4"/>
  <c r="I89" i="4"/>
  <c r="I37" i="4"/>
  <c r="I88" i="4"/>
  <c r="I19" i="4"/>
  <c r="I45" i="4"/>
  <c r="I82" i="4"/>
  <c r="I33" i="4"/>
  <c r="I16" i="4"/>
  <c r="I25" i="4"/>
  <c r="I30" i="4"/>
  <c r="I75" i="4"/>
  <c r="I117" i="4"/>
  <c r="I126" i="4"/>
  <c r="I18" i="4"/>
  <c r="I114" i="4"/>
  <c r="I4" i="4"/>
  <c r="I79" i="4"/>
  <c r="I55" i="4"/>
  <c r="I111" i="4"/>
  <c r="I77" i="4"/>
  <c r="I41" i="4"/>
  <c r="I34" i="4"/>
  <c r="I102" i="4"/>
  <c r="I119" i="4"/>
  <c r="I98" i="4"/>
  <c r="I1" i="4"/>
  <c r="I42" i="4"/>
  <c r="I51" i="4"/>
  <c r="I44" i="4"/>
  <c r="I74" i="4"/>
  <c r="I123" i="4"/>
  <c r="I32" i="4"/>
  <c r="I62" i="4"/>
  <c r="I52" i="4"/>
  <c r="I6" i="4"/>
  <c r="I110" i="4"/>
  <c r="I11" i="4"/>
  <c r="I47" i="4"/>
  <c r="I104" i="4"/>
  <c r="I87" i="4"/>
  <c r="I46" i="4"/>
  <c r="I53" i="4"/>
  <c r="I97" i="4"/>
  <c r="I95" i="4"/>
  <c r="I103" i="4"/>
  <c r="I7" i="4"/>
  <c r="I5" i="4"/>
  <c r="I49" i="4"/>
  <c r="I3" i="4"/>
  <c r="I39" i="4"/>
  <c r="I2" i="4"/>
  <c r="I81" i="4"/>
  <c r="I61" i="4"/>
  <c r="I70" i="4"/>
  <c r="I99" i="4"/>
  <c r="I120" i="4"/>
  <c r="I26" i="4"/>
  <c r="I23" i="4"/>
  <c r="I36" i="4"/>
  <c r="I71" i="4"/>
  <c r="I64" i="4"/>
  <c r="I43" i="4"/>
  <c r="I124" i="4"/>
  <c r="I56" i="4"/>
  <c r="I22" i="4"/>
  <c r="I9" i="4"/>
  <c r="I17" i="4"/>
  <c r="I122" i="4"/>
  <c r="I92" i="4"/>
  <c r="I31" i="4"/>
  <c r="I21" i="4"/>
  <c r="I86" i="4"/>
  <c r="I109" i="4"/>
  <c r="I121" i="4"/>
  <c r="I24" i="4"/>
  <c r="I68" i="4"/>
  <c r="I20" i="4"/>
  <c r="I35" i="4"/>
  <c r="I40" i="4"/>
  <c r="I73" i="4"/>
  <c r="I50" i="4"/>
  <c r="I106" i="4"/>
  <c r="I107" i="4"/>
  <c r="I96" i="4"/>
  <c r="I48" i="4"/>
  <c r="I101" i="4"/>
  <c r="I116" i="4"/>
  <c r="I67" i="4"/>
  <c r="I80" i="4"/>
  <c r="I15" i="4"/>
  <c r="I113" i="4"/>
  <c r="I8" i="4"/>
  <c r="I27" i="4"/>
  <c r="I94" i="4"/>
  <c r="I115" i="4"/>
  <c r="I118" i="4"/>
  <c r="I69" i="4"/>
  <c r="I72" i="4"/>
  <c r="I105" i="4"/>
  <c r="I100" i="4"/>
  <c r="I59" i="4"/>
  <c r="I63" i="4"/>
  <c r="I91" i="4"/>
  <c r="I83" i="4"/>
  <c r="I13" i="4"/>
  <c r="I108" i="4"/>
  <c r="I112" i="4"/>
  <c r="I38" i="4"/>
  <c r="I125" i="4"/>
  <c r="I14" i="4"/>
  <c r="I93" i="4"/>
  <c r="I90" i="4"/>
  <c r="I84" i="4"/>
  <c r="I28" i="4"/>
  <c r="I76" i="4"/>
  <c r="I10" i="4"/>
  <c r="I60" i="4"/>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<sst xmlns="http://schemas.openxmlformats.org/spreadsheetml/2006/main" count="369" uniqueCount="152">
  <si>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</si>
  <si>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</si>
  <si>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</si>
  <si>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</si>
  <si>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</si>
  <si>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</si>
  <si>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</si>
  <si>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</si>
  <si>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</si>
  <si>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</si>
  <si>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</si>
  <si>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</si>
  <si>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</si>
  <si>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</si>
  <si>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</si>
  <si>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</si>
  <si>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</si>
  <si>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</si>
  <si>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</si>
  <si>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</si>
  <si>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</si>
  <si>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</si>
  <si>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</si>
  <si>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</si>
  <si>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</si>
  <si>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</si>
  <si>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</si>
  <si>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</si>
  <si>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</si>
  <si>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</si>
  <si>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</si>
  <si>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</si>
  <si>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</si>
  <si>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</si>
  <si>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</si>
  <si>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</si>
  <si>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</si>
  <si>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</si>
  <si>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</si>
  <si>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</si>
  <si>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</si>
  <si>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</si>
  <si>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</si>
  <si>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</si>
  <si>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</si>
  <si>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</si>
  <si>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</si>
  <si>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</si>
  <si>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</si>
  <si>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</si>
  <si>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</si>
  <si>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</si>
  <si>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</si>
  <si>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</si>
  <si>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</si>
  <si>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</si>
  <si>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</si>
  <si>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</si>
  <si>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</si>
  <si>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</si>
  <si>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</si>
  <si>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</si>
  <si>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</si>
  <si>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</si>
  <si>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</si>
  <si>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</si>
  <si>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</si>
  <si>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</si>
  <si>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</si>
  <si>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</si>
  <si>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</si>
  <si>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</si>
  <si>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</si>
  <si>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</si>
  <si>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</si>
  <si>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</si>
  <si>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</si>
  <si>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</si>
  <si>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</si>
  <si>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</si>
  <si>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</si>
  <si>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</si>
  <si>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</si>
  <si>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</si>
  <si>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</si>
  <si>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</si>
  <si>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</si>
  <si>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</si>
  <si>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</si>
  <si>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</si>
  <si>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</si>
  <si>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</si>
  <si>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</si>
  <si>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</si>
  <si>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</si>
  <si>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</si>
  <si>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</si>
  <si>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</si>
  <si>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</si>
  <si>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</si>
  <si>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</si>
  <si>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</si>
  <si>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</si>
  <si>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</si>
  <si>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</si>
  <si>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</si>
  <si>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</si>
  <si>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</si>
  <si>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</si>
  <si>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</si>
  <si>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</si>
  <si>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</si>
  <si>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</si>
  <si>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</si>
  <si>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</si>
  <si>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</si>
  <si>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</si>
  <si>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</si>
  <si>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</si>
  <si>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</si>
  <si>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</si>
  <si>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</si>
  <si>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</si>
  <si>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</si>
  <si>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</si>
  <si>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</si>
  <si>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</si>
  <si>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</si>
  <si>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</si>
  <si>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</si>
  <si>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</si>
  <si>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</si>
  <si>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</si>
  <si>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</si>
  <si>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</si>
  <si>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</si>
  <si>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</si>
  <si>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</si>
  <si>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</si>
  <si>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</si>
  <si>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</si>
  <si>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</si>
  <si>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</si>
  <si>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</si>
  <si>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</si>
  <si>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</si>
  <si>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</si>
  <si>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</si>
  <si>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</si>
  <si>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</si>
  <si>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EURON</t>
  </si>
  <si>
    <t>MonotonicLogCubicNaturalSpline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</si>
</sst>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4" xfId="4" applyFont="1" applyBorder="1"/>
    <xf numFmtId="0" fontId="8" fillId="0" borderId="34" xfId="4" applyFont="1" applyBorder="1" applyAlignment="1">
      <alignment horizontal="left"/>
    </xf>
    <xf numFmtId="0" fontId="8" fillId="0" borderId="34" xfId="4" applyFont="1" applyBorder="1" applyAlignment="1">
      <alignment horizontal="center"/>
    </xf>
    <xf numFmtId="0" fontId="8" fillId="2" borderId="34" xfId="4" applyFont="1" applyFill="1" applyBorder="1" applyAlignment="1">
      <alignment horizontal="center"/>
    </xf>
    <xf numFmtId="0" fontId="8" fillId="2" borderId="34"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3" fillId="2" borderId="32" xfId="4" applyFont="1" applyFill="1" applyBorder="1"/>
    <xf numFmtId="0" fontId="2" fillId="2" borderId="34" xfId="4" applyFont="1" applyFill="1" applyBorder="1"/>
    <xf numFmtId="0" fontId="2" fillId="2" borderId="34" xfId="4" applyFont="1" applyFill="1" applyBorder="1" applyAlignment="1">
      <alignment horizont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8" fillId="10" borderId="0" xfId="3" applyFont="1" applyFill="1"/>
    <xf numFmtId="0" fontId="8" fillId="10" borderId="0" xfId="5" applyFill="1"/>
    <xf numFmtId="15" fontId="8" fillId="2" borderId="2" xfId="3" applyNumberFormat="1" applyFont="1" applyFill="1" applyBorder="1" applyAlignment="1">
      <alignment horizontal="center" vertical="center"/>
    </xf>
    <xf numFmtId="0" fontId="8" fillId="2" borderId="2" xfId="3" applyFont="1" applyFill="1" applyBorder="1" applyAlignment="1">
      <alignment horizontal="center" vertical="center"/>
    </xf>
    <xf numFmtId="0" fontId="11" fillId="7" borderId="16" xfId="3" applyFont="1" applyFill="1" applyBorder="1" applyAlignment="1">
      <alignment horizontal="center"/>
    </xf>
    <xf numFmtId="0" fontId="11" fillId="7" borderId="35"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165" fontId="8" fillId="2" borderId="30" xfId="1" applyNumberFormat="1" applyFont="1" applyFill="1" applyBorder="1" applyAlignment="1">
      <alignment horizontal="right"/>
    </xf>
    <xf numFmtId="0" fontId="8" fillId="2" borderId="20" xfId="1" applyFont="1" applyFill="1" applyBorder="1" applyAlignment="1">
      <alignment horizontal="left"/>
    </xf>
    <xf numFmtId="0" fontId="8" fillId="2" borderId="17" xfId="3" applyFont="1" applyFill="1" applyBorder="1" applyAlignment="1">
      <alignment horizontal="center" vertical="center"/>
    </xf>
    <xf numFmtId="15" fontId="8" fillId="2" borderId="29" xfId="3" applyNumberFormat="1" applyFont="1" applyFill="1" applyBorder="1" applyAlignment="1">
      <alignment horizontal="right" vertical="center"/>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1"/>
  <sheetViews>
    <sheetView tabSelected="1" workbookViewId="0">
      <selection activeCell="D33" sqref="D33"/>
    </sheetView>
  </sheetViews>
  <sheetFormatPr defaultColWidth="8" defaultRowHeight="11.25" x14ac:dyDescent="0.2"/>
  <cols>
    <col min="1" max="2" width="2.7109375" style="180" customWidth="1"/>
    <col min="3" max="3" width="18" style="180" bestFit="1" customWidth="1"/>
    <col min="4" max="4" width="23.85546875" style="180" bestFit="1" customWidth="1"/>
    <col min="5" max="5" width="22" style="180" bestFit="1" customWidth="1"/>
    <col min="6" max="8" width="2.7109375" style="180" customWidth="1"/>
    <col min="9" max="9" width="18.5703125" style="180" bestFit="1" customWidth="1"/>
    <col min="10" max="10" width="53.7109375" style="180" bestFit="1" customWidth="1"/>
    <col min="11" max="11" width="2.7109375" style="180" customWidth="1"/>
    <col min="12" max="16384" width="8" style="180"/>
  </cols>
  <sheetData>
    <row r="1" spans="2:11" ht="12" thickBot="1" x14ac:dyDescent="0.25">
      <c r="B1" s="180" t="str">
        <f>_xll.qlxlVersion(TRUE,Trigger)</f>
        <v>QuantLibXL 1.4.0 - MS VC++ 9.0 - Multithreaded Dynamic Runtime library - Release Configuration - Mar  3 2014 10:58:57</v>
      </c>
    </row>
    <row r="2" spans="2:11" ht="18.75" thickBot="1" x14ac:dyDescent="0.3">
      <c r="B2" s="184" t="s">
        <v>115</v>
      </c>
      <c r="C2" s="185"/>
      <c r="D2" s="185"/>
      <c r="E2" s="185"/>
      <c r="F2" s="186"/>
      <c r="H2" s="184" t="s">
        <v>127</v>
      </c>
      <c r="I2" s="185"/>
      <c r="J2" s="185"/>
      <c r="K2" s="187"/>
    </row>
    <row r="3" spans="2:11" x14ac:dyDescent="0.2">
      <c r="B3" s="58"/>
      <c r="C3" s="88"/>
      <c r="D3" s="57"/>
      <c r="E3" s="57"/>
      <c r="F3" s="56"/>
      <c r="H3" s="135"/>
      <c r="I3" s="138"/>
      <c r="J3" s="138"/>
      <c r="K3" s="137"/>
    </row>
    <row r="4" spans="2:11" x14ac:dyDescent="0.2">
      <c r="B4" s="58"/>
      <c r="C4" s="87" t="s">
        <v>114</v>
      </c>
      <c r="D4" s="73" t="s">
        <v>112</v>
      </c>
      <c r="E4" s="57"/>
      <c r="F4" s="56"/>
      <c r="H4" s="135"/>
      <c r="I4" s="134" t="s">
        <v>126</v>
      </c>
      <c r="J4" s="128" t="b">
        <v>1</v>
      </c>
      <c r="K4" s="133"/>
    </row>
    <row r="5" spans="2:11" x14ac:dyDescent="0.2">
      <c r="B5" s="58"/>
      <c r="C5" s="85" t="s">
        <v>113</v>
      </c>
      <c r="D5" s="59"/>
      <c r="E5" s="57"/>
      <c r="F5" s="56"/>
      <c r="H5" s="135"/>
      <c r="I5" s="134" t="s">
        <v>125</v>
      </c>
      <c r="J5" s="136" t="str">
        <f ca="1">SUBSTITUTE(LEFT(CELL("filename",A1),FIND("[",CELL("filename",A1),1)-1),"\XLS\","\XML\")</f>
        <v>C:\Projects\quantlib\QuantLibXL\Data2\XML\</v>
      </c>
      <c r="K5" s="133"/>
    </row>
    <row r="6" spans="2:11" x14ac:dyDescent="0.2">
      <c r="B6" s="58"/>
      <c r="C6" s="85" t="s">
        <v>111</v>
      </c>
      <c r="D6" s="59" t="s">
        <v>110</v>
      </c>
      <c r="E6" s="57"/>
      <c r="F6" s="56"/>
      <c r="H6" s="135"/>
      <c r="I6" s="134" t="s">
        <v>124</v>
      </c>
      <c r="J6" s="125" t="b">
        <v>1</v>
      </c>
      <c r="K6" s="133"/>
    </row>
    <row r="7" spans="2:11" ht="12" thickBot="1" x14ac:dyDescent="0.25">
      <c r="B7" s="58"/>
      <c r="C7" s="85" t="s">
        <v>109</v>
      </c>
      <c r="D7" s="59" t="s">
        <v>108</v>
      </c>
      <c r="E7" s="57"/>
      <c r="F7" s="56"/>
      <c r="H7" s="132"/>
      <c r="I7" s="131"/>
      <c r="J7" s="131"/>
      <c r="K7" s="130"/>
    </row>
    <row r="8" spans="2:11" ht="12" thickBot="1" x14ac:dyDescent="0.25">
      <c r="B8" s="58"/>
      <c r="C8" s="85" t="s">
        <v>107</v>
      </c>
      <c r="D8" s="86" t="s">
        <v>106</v>
      </c>
      <c r="E8" s="57"/>
      <c r="F8" s="56"/>
      <c r="H8" s="181"/>
      <c r="I8" s="181"/>
      <c r="J8" s="181"/>
      <c r="K8" s="181"/>
    </row>
    <row r="9" spans="2:11" ht="18.75" thickBot="1" x14ac:dyDescent="0.3">
      <c r="B9" s="58"/>
      <c r="C9" s="85" t="s">
        <v>105</v>
      </c>
      <c r="D9" s="59" t="str">
        <f>Currency&amp;"_YC"&amp;IndexTenor&amp;"RH"</f>
        <v>EUR_YCONRH</v>
      </c>
      <c r="E9" s="57"/>
      <c r="F9" s="56"/>
      <c r="H9" s="184" t="s">
        <v>123</v>
      </c>
      <c r="I9" s="185"/>
      <c r="J9" s="185"/>
      <c r="K9" s="187"/>
    </row>
    <row r="10" spans="2:11" ht="12.75" x14ac:dyDescent="0.2">
      <c r="B10" s="58"/>
      <c r="C10" s="84" t="s">
        <v>104</v>
      </c>
      <c r="D10" s="59" t="b">
        <v>1</v>
      </c>
      <c r="E10" s="57"/>
      <c r="F10" s="56"/>
      <c r="H10" s="127"/>
      <c r="I10" s="129"/>
      <c r="J10" s="129"/>
      <c r="K10" s="124"/>
    </row>
    <row r="11" spans="2:11" ht="12.75" x14ac:dyDescent="0.2">
      <c r="B11" s="58"/>
      <c r="C11" s="84" t="s">
        <v>103</v>
      </c>
      <c r="D11" s="83">
        <v>41733.631736111114</v>
      </c>
      <c r="E11" s="57"/>
      <c r="F11" s="56"/>
      <c r="H11" s="127"/>
      <c r="I11" s="126" t="s">
        <v>122</v>
      </c>
      <c r="J11" s="128" t="s">
        <v>121</v>
      </c>
      <c r="K11" s="124"/>
    </row>
    <row r="12" spans="2:11" ht="12.75" x14ac:dyDescent="0.2">
      <c r="B12" s="58"/>
      <c r="C12" s="82" t="s">
        <v>102</v>
      </c>
      <c r="D12" s="81" t="b">
        <v>0</v>
      </c>
      <c r="E12" s="57"/>
      <c r="F12" s="56"/>
      <c r="H12" s="127"/>
      <c r="I12" s="126" t="s">
        <v>120</v>
      </c>
      <c r="J12" s="125" t="s">
        <v>119</v>
      </c>
      <c r="K12" s="124"/>
    </row>
    <row r="13" spans="2:11" ht="12.75" x14ac:dyDescent="0.2">
      <c r="B13" s="58"/>
      <c r="C13" s="63"/>
      <c r="D13" s="63"/>
      <c r="E13" s="57"/>
      <c r="F13" s="56"/>
      <c r="H13" s="127"/>
      <c r="I13" s="126" t="s">
        <v>148</v>
      </c>
      <c r="J13" s="128" t="s">
        <v>145</v>
      </c>
      <c r="K13" s="124"/>
    </row>
    <row r="14" spans="2:11" ht="12.75" x14ac:dyDescent="0.2">
      <c r="B14" s="58"/>
      <c r="C14" s="78" t="s">
        <v>101</v>
      </c>
      <c r="D14" s="80" t="str">
        <f>_xll.qlPiecewiseYieldCurve(D16,NDays,Calendar,RateHelpersSelected,DayCounter,,,Accuracy,TraitsID,InterpolatorID,Permanent,,ObjectOverwrite)</f>
        <v>_EURYCON#0002</v>
      </c>
      <c r="E14" s="57"/>
      <c r="F14" s="56"/>
      <c r="H14" s="127"/>
      <c r="I14" s="126" t="s">
        <v>147</v>
      </c>
      <c r="J14" s="128" t="str">
        <f>PROPER(Currency)&amp;"YC"</f>
        <v>EurYC</v>
      </c>
      <c r="K14" s="124"/>
    </row>
    <row r="15" spans="2:11" ht="12.75" x14ac:dyDescent="0.2">
      <c r="B15" s="58"/>
      <c r="C15" s="65" t="s">
        <v>0</v>
      </c>
      <c r="D15" s="79" t="str">
        <f>_xll.ohRangeRetrieveError(YieldCurve)</f>
        <v/>
      </c>
      <c r="E15" s="57"/>
      <c r="F15" s="56"/>
      <c r="H15" s="127"/>
      <c r="I15" s="126" t="s">
        <v>146</v>
      </c>
      <c r="J15" s="128" t="str">
        <f>PROPER(Currency)&amp;"YCSTD"</f>
        <v>EurYCSTD</v>
      </c>
      <c r="K15" s="124"/>
    </row>
    <row r="16" spans="2:11" ht="13.5" thickBot="1" x14ac:dyDescent="0.25">
      <c r="B16" s="58"/>
      <c r="C16" s="78" t="s">
        <v>100</v>
      </c>
      <c r="D16" s="77" t="str">
        <f>"_"&amp;Currency&amp;"YC"&amp;IndexTenor</f>
        <v>_EURYCON</v>
      </c>
      <c r="E16" s="57"/>
      <c r="F16" s="56"/>
      <c r="H16" s="123"/>
      <c r="I16" s="122"/>
      <c r="J16" s="122"/>
      <c r="K16" s="121"/>
    </row>
    <row r="17" spans="2:6" x14ac:dyDescent="0.2">
      <c r="B17" s="58"/>
      <c r="C17" s="67" t="s">
        <v>99</v>
      </c>
      <c r="D17" s="76">
        <v>0</v>
      </c>
      <c r="E17" s="57"/>
      <c r="F17" s="56"/>
    </row>
    <row r="18" spans="2:6" x14ac:dyDescent="0.2">
      <c r="B18" s="58"/>
      <c r="C18" s="67" t="s">
        <v>98</v>
      </c>
      <c r="D18" s="75" t="s">
        <v>97</v>
      </c>
      <c r="E18" s="57"/>
      <c r="F18" s="56"/>
    </row>
    <row r="19" spans="2:6" x14ac:dyDescent="0.2">
      <c r="B19" s="58"/>
      <c r="C19" s="67" t="s">
        <v>96</v>
      </c>
      <c r="D19" s="75"/>
      <c r="E19" s="57"/>
      <c r="F19" s="56"/>
    </row>
    <row r="20" spans="2:6" x14ac:dyDescent="0.2">
      <c r="B20" s="58"/>
      <c r="C20" s="67" t="s">
        <v>95</v>
      </c>
      <c r="D20" s="74" t="str">
        <f>Currency&amp;"TOY_SYNTH"&amp;IndexTenor&amp;"_Quote"</f>
        <v>EURTOY_SYNTHON_Quote</v>
      </c>
      <c r="E20" s="73" t="str">
        <f>Currency&amp;"TOY2_SYNTH"&amp;IndexTenor&amp;"_Quote"</f>
        <v>EURTOY2_SYNTHON_Quote</v>
      </c>
      <c r="F20" s="56"/>
    </row>
    <row r="21" spans="2:6" x14ac:dyDescent="0.2">
      <c r="B21" s="58"/>
      <c r="C21" s="67" t="s">
        <v>94</v>
      </c>
      <c r="D21" s="72">
        <f>DATE(YEAR(_xll.qlCalendarAdvance(Calendar,_xll.qlSettingsEvaluationDate(Trigger),NDays&amp;"D")),12,31)</f>
        <v>42004</v>
      </c>
      <c r="E21" s="71">
        <f>DATE(YEAR(D21+1),12,31)</f>
        <v>42369</v>
      </c>
      <c r="F21" s="56"/>
    </row>
    <row r="22" spans="2:6" x14ac:dyDescent="0.2">
      <c r="B22" s="58"/>
      <c r="C22" s="67" t="s">
        <v>93</v>
      </c>
      <c r="D22" s="70"/>
      <c r="E22" s="69"/>
      <c r="F22" s="56"/>
    </row>
    <row r="23" spans="2:6" x14ac:dyDescent="0.2">
      <c r="B23" s="58"/>
      <c r="C23" s="67" t="s">
        <v>92</v>
      </c>
      <c r="D23" s="68" t="e">
        <f>NA()</f>
        <v>#N/A</v>
      </c>
      <c r="E23" s="57"/>
      <c r="F23" s="56"/>
    </row>
    <row r="24" spans="2:6" x14ac:dyDescent="0.2">
      <c r="B24" s="58"/>
      <c r="C24" s="67" t="s">
        <v>91</v>
      </c>
      <c r="D24" s="66" t="s">
        <v>90</v>
      </c>
      <c r="E24" s="57"/>
      <c r="F24" s="56"/>
    </row>
    <row r="25" spans="2:6" x14ac:dyDescent="0.2">
      <c r="B25" s="58"/>
      <c r="C25" s="65" t="s">
        <v>89</v>
      </c>
      <c r="D25" s="64" t="s">
        <v>151</v>
      </c>
      <c r="E25" s="57"/>
      <c r="F25" s="56"/>
    </row>
    <row r="26" spans="2:6" x14ac:dyDescent="0.2">
      <c r="B26" s="58"/>
      <c r="C26" s="63"/>
      <c r="D26" s="63"/>
      <c r="E26" s="57"/>
      <c r="F26" s="56"/>
    </row>
    <row r="27" spans="2:6" x14ac:dyDescent="0.2">
      <c r="B27" s="58"/>
      <c r="C27" s="62">
        <f>_xll.qlTermStructureReferenceDate(YieldCurve)</f>
        <v>41733</v>
      </c>
      <c r="D27" s="61">
        <f>MAX(_xll.ohPack(Selected!I1:I126))</f>
        <v>1</v>
      </c>
      <c r="E27" s="57"/>
      <c r="F27" s="56"/>
    </row>
    <row r="28" spans="2:6" x14ac:dyDescent="0.2">
      <c r="B28" s="58"/>
      <c r="C28" s="60">
        <f>MAX(_xll.ohPack(Selected!H2:H126))</f>
        <v>63653</v>
      </c>
      <c r="D28" s="59">
        <f>MIN(_xll.ohPack(Selected!I1:I126))</f>
        <v>0.22253799442246405</v>
      </c>
      <c r="E28" s="57"/>
      <c r="F28" s="56"/>
    </row>
    <row r="29" spans="2:6" x14ac:dyDescent="0.2">
      <c r="B29" s="58"/>
      <c r="C29" s="193" t="s">
        <v>0</v>
      </c>
      <c r="D29" s="194" t="str">
        <f>_xll.ohRangeRetrieveError(Selected!I1)</f>
        <v/>
      </c>
      <c r="E29" s="57"/>
      <c r="F29" s="56"/>
    </row>
    <row r="30" spans="2:6" ht="11.25" customHeight="1" x14ac:dyDescent="0.2">
      <c r="B30" s="58"/>
      <c r="C30" s="196" t="s">
        <v>150</v>
      </c>
      <c r="D30" s="195" t="b">
        <f>_xll.qlRelinkableHandleLinkTo(C30,YieldCurve)</f>
        <v>1</v>
      </c>
      <c r="E30" s="57"/>
      <c r="F30" s="56"/>
    </row>
    <row r="31" spans="2:6" ht="12" thickBot="1" x14ac:dyDescent="0.25">
      <c r="B31" s="55"/>
      <c r="C31" s="182"/>
      <c r="D31" s="183"/>
      <c r="E31" s="54"/>
      <c r="F31"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2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8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4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70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6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2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8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4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50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6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2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8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4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30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6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1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7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3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9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5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1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7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3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9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5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1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7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3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9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5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6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2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8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4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700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6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2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8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4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80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6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2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8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4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60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1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7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3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9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5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1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7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3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9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5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1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7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3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9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5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5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1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7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3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9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5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1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7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3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9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5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1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7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3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9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88" t="s">
        <v>88</v>
      </c>
      <c r="C1" s="189"/>
      <c r="D1" s="190"/>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2.5999999999999999E-3</v>
      </c>
      <c r="G2" s="33"/>
      <c r="H2" s="26" t="b">
        <v>1</v>
      </c>
      <c r="I2" s="26">
        <v>70</v>
      </c>
      <c r="J2" s="26">
        <v>1</v>
      </c>
      <c r="K2" s="32">
        <f>_xll.qlRateHelperEarliestDate($E2,Trigger)</f>
        <v>41733</v>
      </c>
      <c r="L2" s="31">
        <f>_xll.qlRateHelperLatestDate($E2,Trigger)</f>
        <v>41736</v>
      </c>
    </row>
    <row r="3" spans="1:14" x14ac:dyDescent="0.2">
      <c r="B3" s="51"/>
      <c r="C3" s="35"/>
      <c r="D3" s="34" t="s">
        <v>80</v>
      </c>
      <c r="E3" s="34" t="str">
        <f t="shared" si="0"/>
        <v>EUR_YCONRH_TND</v>
      </c>
      <c r="F3" s="33">
        <f>_xll.qlRateHelperQuoteValue($E3,Trigger)</f>
        <v>2.5999999999999999E-3</v>
      </c>
      <c r="G3" s="33"/>
      <c r="H3" s="26" t="b">
        <v>1</v>
      </c>
      <c r="I3" s="26">
        <v>70</v>
      </c>
      <c r="J3" s="26">
        <v>1</v>
      </c>
      <c r="K3" s="32">
        <f>_xll.qlRateHelperEarliestDate($E3,Trigger)</f>
        <v>41736</v>
      </c>
      <c r="L3" s="31">
        <f>_xll.qlRateHelperLatestDate($E3,Trigger)</f>
        <v>41737</v>
      </c>
    </row>
    <row r="4" spans="1:14" x14ac:dyDescent="0.2">
      <c r="B4" s="50"/>
      <c r="C4" s="29"/>
      <c r="D4" s="28" t="s">
        <v>79</v>
      </c>
      <c r="E4" s="28" t="str">
        <f t="shared" si="0"/>
        <v>EUR_YCONRH_SND</v>
      </c>
      <c r="F4" s="27">
        <f>_xll.qlRateHelperQuoteValue($E4,Trigger)</f>
        <v>2.5999999999999999E-3</v>
      </c>
      <c r="G4" s="27"/>
      <c r="H4" s="25" t="b">
        <v>1</v>
      </c>
      <c r="I4" s="25">
        <v>70</v>
      </c>
      <c r="J4" s="25">
        <v>1</v>
      </c>
      <c r="K4" s="24">
        <f>_xll.qlRateHelperEarliestDate($E4,Trigger)</f>
        <v>41737</v>
      </c>
      <c r="L4" s="23">
        <f>_xll.qlRateHelperLatestDate($E4,Trigger)</f>
        <v>41738</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77" t="s">
        <v>61</v>
      </c>
      <c r="E35" s="41" t="str">
        <f t="shared" si="1"/>
        <v>EUR_YCONRH_EONSW</v>
      </c>
      <c r="F35" s="40">
        <f>_xll.qlRateHelperQuoteValue($E35,Trigger)</f>
        <v>2.3E-3</v>
      </c>
      <c r="G35" s="40" t="e">
        <f>_xll.qlSwapRateHelperSpread($E35,Trigger)</f>
        <v>#NUM!</v>
      </c>
      <c r="H35" s="39" t="b">
        <v>1</v>
      </c>
      <c r="I35" s="39">
        <v>50</v>
      </c>
      <c r="J35" s="39">
        <v>1</v>
      </c>
      <c r="K35" s="38">
        <f>_xll.qlRateHelperEarliestDate($E35,Trigger)</f>
        <v>41737</v>
      </c>
      <c r="L35" s="37">
        <f>_xll.qlRateHelperLatestDate($E35,Trigger)</f>
        <v>41744</v>
      </c>
    </row>
    <row r="36" spans="2:12" x14ac:dyDescent="0.2">
      <c r="B36" s="36"/>
      <c r="C36" s="35" t="str">
        <f t="shared" si="2"/>
        <v>EON</v>
      </c>
      <c r="D36" s="178" t="s">
        <v>60</v>
      </c>
      <c r="E36" s="34" t="str">
        <f t="shared" si="1"/>
        <v>EUR_YCONRH_EON2W</v>
      </c>
      <c r="F36" s="33">
        <f>_xll.qlRateHelperQuoteValue($E36,Trigger)</f>
        <v>2.4599999999999999E-3</v>
      </c>
      <c r="G36" s="33" t="e">
        <f>_xll.qlSwapRateHelperSpread($E36,Trigger)</f>
        <v>#NUM!</v>
      </c>
      <c r="H36" s="26" t="b">
        <v>1</v>
      </c>
      <c r="I36" s="26">
        <v>50</v>
      </c>
      <c r="J36" s="26">
        <v>1</v>
      </c>
      <c r="K36" s="32">
        <f>_xll.qlRateHelperEarliestDate($E36,Trigger)</f>
        <v>41737</v>
      </c>
      <c r="L36" s="31">
        <f>_xll.qlRateHelperLatestDate($E36,Trigger)</f>
        <v>41751</v>
      </c>
    </row>
    <row r="37" spans="2:12" x14ac:dyDescent="0.2">
      <c r="B37" s="36"/>
      <c r="C37" s="35" t="str">
        <f t="shared" si="2"/>
        <v>EON</v>
      </c>
      <c r="D37" s="178" t="s">
        <v>59</v>
      </c>
      <c r="E37" s="34" t="str">
        <f t="shared" si="1"/>
        <v>EUR_YCONRH_EON3W</v>
      </c>
      <c r="F37" s="33">
        <f>_xll.qlRateHelperQuoteValue($E37,Trigger)</f>
        <v>2.3699999999999997E-3</v>
      </c>
      <c r="G37" s="33" t="e">
        <f>_xll.qlSwapRateHelperSpread($E37,Trigger)</f>
        <v>#NUM!</v>
      </c>
      <c r="H37" s="26" t="b">
        <v>1</v>
      </c>
      <c r="I37" s="26">
        <v>50</v>
      </c>
      <c r="J37" s="26">
        <v>1</v>
      </c>
      <c r="K37" s="32">
        <f>_xll.qlRateHelperEarliestDate($E37,Trigger)</f>
        <v>41737</v>
      </c>
      <c r="L37" s="31">
        <f>_xll.qlRateHelperLatestDate($E37,Trigger)</f>
        <v>41758</v>
      </c>
    </row>
    <row r="38" spans="2:12" x14ac:dyDescent="0.2">
      <c r="B38" s="36"/>
      <c r="C38" s="35" t="str">
        <f t="shared" si="2"/>
        <v>EON</v>
      </c>
      <c r="D38" s="178" t="s">
        <v>58</v>
      </c>
      <c r="E38" s="34" t="str">
        <f t="shared" si="1"/>
        <v>EUR_YCONRH_EON1M</v>
      </c>
      <c r="F38" s="33">
        <f>_xll.qlRateHelperQuoteValue($E38,Trigger)</f>
        <v>2.31E-3</v>
      </c>
      <c r="G38" s="33" t="e">
        <f>_xll.qlSwapRateHelperSpread($E38,Trigger)</f>
        <v>#NUM!</v>
      </c>
      <c r="H38" s="26" t="b">
        <v>1</v>
      </c>
      <c r="I38" s="26">
        <v>50</v>
      </c>
      <c r="J38" s="26">
        <v>1</v>
      </c>
      <c r="K38" s="32">
        <f>_xll.qlRateHelperEarliestDate($E38,Trigger)</f>
        <v>41737</v>
      </c>
      <c r="L38" s="31">
        <f>_xll.qlRateHelperLatestDate($E38,Trigger)</f>
        <v>41767</v>
      </c>
    </row>
    <row r="39" spans="2:12" x14ac:dyDescent="0.2">
      <c r="B39" s="36"/>
      <c r="C39" s="35" t="str">
        <f t="shared" si="2"/>
        <v>EON</v>
      </c>
      <c r="D39" s="178" t="s">
        <v>57</v>
      </c>
      <c r="E39" s="34" t="str">
        <f t="shared" si="1"/>
        <v>EUR_YCONRH_EON2M</v>
      </c>
      <c r="F39" s="33">
        <f>_xll.qlRateHelperQuoteValue($E39,Trigger)</f>
        <v>2.0700000000000002E-3</v>
      </c>
      <c r="G39" s="33" t="e">
        <f>_xll.qlSwapRateHelperSpread($E39,Trigger)</f>
        <v>#NUM!</v>
      </c>
      <c r="H39" s="26" t="b">
        <v>1</v>
      </c>
      <c r="I39" s="26">
        <v>50</v>
      </c>
      <c r="J39" s="26">
        <v>1</v>
      </c>
      <c r="K39" s="32">
        <f>_xll.qlRateHelperEarliestDate($E39,Trigger)</f>
        <v>41737</v>
      </c>
      <c r="L39" s="31">
        <f>_xll.qlRateHelperLatestDate($E39,Trigger)</f>
        <v>41799</v>
      </c>
    </row>
    <row r="40" spans="2:12" x14ac:dyDescent="0.2">
      <c r="B40" s="36"/>
      <c r="C40" s="35" t="str">
        <f t="shared" si="2"/>
        <v>EON</v>
      </c>
      <c r="D40" s="178" t="s">
        <v>56</v>
      </c>
      <c r="E40" s="34" t="str">
        <f t="shared" si="1"/>
        <v>EUR_YCONRH_EON3M</v>
      </c>
      <c r="F40" s="33">
        <f>_xll.qlRateHelperQuoteValue($E40,Trigger)</f>
        <v>1.97E-3</v>
      </c>
      <c r="G40" s="33" t="e">
        <f>_xll.qlSwapRateHelperSpread($E40,Trigger)</f>
        <v>#NUM!</v>
      </c>
      <c r="H40" s="26" t="b">
        <v>1</v>
      </c>
      <c r="I40" s="26">
        <v>50</v>
      </c>
      <c r="J40" s="26">
        <v>1</v>
      </c>
      <c r="K40" s="32">
        <f>_xll.qlRateHelperEarliestDate($E40,Trigger)</f>
        <v>41737</v>
      </c>
      <c r="L40" s="31">
        <f>_xll.qlRateHelperLatestDate($E40,Trigger)</f>
        <v>41828</v>
      </c>
    </row>
    <row r="41" spans="2:12" x14ac:dyDescent="0.2">
      <c r="B41" s="36"/>
      <c r="C41" s="35" t="str">
        <f t="shared" si="2"/>
        <v>EON</v>
      </c>
      <c r="D41" s="178" t="s">
        <v>55</v>
      </c>
      <c r="E41" s="34" t="str">
        <f t="shared" si="1"/>
        <v>EUR_YCONRH_EON4M</v>
      </c>
      <c r="F41" s="33">
        <f>_xll.qlRateHelperQuoteValue($E41,Trigger)</f>
        <v>1.9E-3</v>
      </c>
      <c r="G41" s="33" t="e">
        <f>_xll.qlSwapRateHelperSpread($E41,Trigger)</f>
        <v>#NUM!</v>
      </c>
      <c r="H41" s="26" t="b">
        <v>1</v>
      </c>
      <c r="I41" s="26">
        <v>50</v>
      </c>
      <c r="J41" s="26">
        <v>1</v>
      </c>
      <c r="K41" s="32">
        <f>_xll.qlRateHelperEarliestDate($E41,Trigger)</f>
        <v>41737</v>
      </c>
      <c r="L41" s="31">
        <f>_xll.qlRateHelperLatestDate($E41,Trigger)</f>
        <v>41859</v>
      </c>
    </row>
    <row r="42" spans="2:12" x14ac:dyDescent="0.2">
      <c r="B42" s="36"/>
      <c r="C42" s="35" t="str">
        <f t="shared" si="2"/>
        <v>EON</v>
      </c>
      <c r="D42" s="178" t="s">
        <v>54</v>
      </c>
      <c r="E42" s="34" t="str">
        <f t="shared" si="1"/>
        <v>EUR_YCONRH_EON5M</v>
      </c>
      <c r="F42" s="33">
        <f>_xll.qlRateHelperQuoteValue($E42,Trigger)</f>
        <v>1.8400000000000001E-3</v>
      </c>
      <c r="G42" s="33" t="e">
        <f>_xll.qlSwapRateHelperSpread($E42,Trigger)</f>
        <v>#NUM!</v>
      </c>
      <c r="H42" s="26" t="b">
        <v>1</v>
      </c>
      <c r="I42" s="26">
        <v>50</v>
      </c>
      <c r="J42" s="26">
        <v>1</v>
      </c>
      <c r="K42" s="32">
        <f>_xll.qlRateHelperEarliestDate($E42,Trigger)</f>
        <v>41737</v>
      </c>
      <c r="L42" s="31">
        <f>_xll.qlRateHelperLatestDate($E42,Trigger)</f>
        <v>41890</v>
      </c>
    </row>
    <row r="43" spans="2:12" x14ac:dyDescent="0.2">
      <c r="B43" s="36"/>
      <c r="C43" s="35" t="str">
        <f t="shared" si="2"/>
        <v>EON</v>
      </c>
      <c r="D43" s="178" t="s">
        <v>53</v>
      </c>
      <c r="E43" s="34" t="str">
        <f t="shared" si="1"/>
        <v>EUR_YCONRH_EON6M</v>
      </c>
      <c r="F43" s="33">
        <f>_xll.qlRateHelperQuoteValue($E43,Trigger)</f>
        <v>1.7899999999999999E-3</v>
      </c>
      <c r="G43" s="33" t="e">
        <f>_xll.qlSwapRateHelperSpread($E43,Trigger)</f>
        <v>#NUM!</v>
      </c>
      <c r="H43" s="26" t="b">
        <v>1</v>
      </c>
      <c r="I43" s="26">
        <v>50</v>
      </c>
      <c r="J43" s="26">
        <v>1</v>
      </c>
      <c r="K43" s="32">
        <f>_xll.qlRateHelperEarliestDate($E43,Trigger)</f>
        <v>41737</v>
      </c>
      <c r="L43" s="31">
        <f>_xll.qlRateHelperLatestDate($E43,Trigger)</f>
        <v>41920</v>
      </c>
    </row>
    <row r="44" spans="2:12" x14ac:dyDescent="0.2">
      <c r="B44" s="36"/>
      <c r="C44" s="35" t="str">
        <f t="shared" si="2"/>
        <v>EON</v>
      </c>
      <c r="D44" s="178" t="s">
        <v>52</v>
      </c>
      <c r="E44" s="34" t="str">
        <f t="shared" si="1"/>
        <v>EUR_YCONRH_EON7M</v>
      </c>
      <c r="F44" s="33">
        <f>_xll.qlRateHelperQuoteValue($E44,Trigger)</f>
        <v>1.7399999999999998E-3</v>
      </c>
      <c r="G44" s="33" t="e">
        <f>_xll.qlSwapRateHelperSpread($E44,Trigger)</f>
        <v>#NUM!</v>
      </c>
      <c r="H44" s="26" t="b">
        <v>1</v>
      </c>
      <c r="I44" s="26">
        <v>50</v>
      </c>
      <c r="J44" s="26">
        <v>1</v>
      </c>
      <c r="K44" s="32">
        <f>_xll.qlRateHelperEarliestDate($E44,Trigger)</f>
        <v>41737</v>
      </c>
      <c r="L44" s="31">
        <f>_xll.qlRateHelperLatestDate($E44,Trigger)</f>
        <v>41953</v>
      </c>
    </row>
    <row r="45" spans="2:12" x14ac:dyDescent="0.2">
      <c r="B45" s="36"/>
      <c r="C45" s="35" t="str">
        <f t="shared" si="2"/>
        <v>EON</v>
      </c>
      <c r="D45" s="178" t="s">
        <v>51</v>
      </c>
      <c r="E45" s="34" t="str">
        <f t="shared" si="1"/>
        <v>EUR_YCONRH_EON8M</v>
      </c>
      <c r="F45" s="33">
        <f>_xll.qlRateHelperQuoteValue($E45,Trigger)</f>
        <v>1.6899999999999999E-3</v>
      </c>
      <c r="G45" s="33" t="e">
        <f>_xll.qlSwapRateHelperSpread($E45,Trigger)</f>
        <v>#NUM!</v>
      </c>
      <c r="H45" s="26" t="b">
        <v>1</v>
      </c>
      <c r="I45" s="26">
        <v>50</v>
      </c>
      <c r="J45" s="26">
        <v>1</v>
      </c>
      <c r="K45" s="32">
        <f>_xll.qlRateHelperEarliestDate($E45,Trigger)</f>
        <v>41737</v>
      </c>
      <c r="L45" s="31">
        <f>_xll.qlRateHelperLatestDate($E45,Trigger)</f>
        <v>41981</v>
      </c>
    </row>
    <row r="46" spans="2:12" x14ac:dyDescent="0.2">
      <c r="B46" s="36"/>
      <c r="C46" s="35" t="str">
        <f t="shared" si="2"/>
        <v>EON</v>
      </c>
      <c r="D46" s="178" t="s">
        <v>50</v>
      </c>
      <c r="E46" s="34" t="str">
        <f t="shared" si="1"/>
        <v>EUR_YCONRH_EON9M</v>
      </c>
      <c r="F46" s="33">
        <f>_xll.qlRateHelperQuoteValue($E46,Trigger)</f>
        <v>1.6799999999999999E-3</v>
      </c>
      <c r="G46" s="33" t="e">
        <f>_xll.qlSwapRateHelperSpread($E46,Trigger)</f>
        <v>#NUM!</v>
      </c>
      <c r="H46" s="26" t="b">
        <v>1</v>
      </c>
      <c r="I46" s="26">
        <v>50</v>
      </c>
      <c r="J46" s="26">
        <v>1</v>
      </c>
      <c r="K46" s="32">
        <f>_xll.qlRateHelperEarliestDate($E46,Trigger)</f>
        <v>41737</v>
      </c>
      <c r="L46" s="31">
        <f>_xll.qlRateHelperLatestDate($E46,Trigger)</f>
        <v>42012</v>
      </c>
    </row>
    <row r="47" spans="2:12" x14ac:dyDescent="0.2">
      <c r="B47" s="36"/>
      <c r="C47" s="35" t="str">
        <f t="shared" si="2"/>
        <v>EON</v>
      </c>
      <c r="D47" s="178" t="s">
        <v>49</v>
      </c>
      <c r="E47" s="34" t="str">
        <f t="shared" si="1"/>
        <v>EUR_YCONRH_EON10M</v>
      </c>
      <c r="F47" s="33">
        <f>_xll.qlRateHelperQuoteValue($E47,Trigger)</f>
        <v>1.65E-3</v>
      </c>
      <c r="G47" s="33" t="e">
        <f>_xll.qlSwapRateHelperSpread($E47,Trigger)</f>
        <v>#NUM!</v>
      </c>
      <c r="H47" s="26" t="b">
        <v>1</v>
      </c>
      <c r="I47" s="26">
        <v>50</v>
      </c>
      <c r="J47" s="26">
        <v>1</v>
      </c>
      <c r="K47" s="32">
        <f>_xll.qlRateHelperEarliestDate($E47,Trigger)</f>
        <v>41737</v>
      </c>
      <c r="L47" s="31">
        <f>_xll.qlRateHelperLatestDate($E47,Trigger)</f>
        <v>42044</v>
      </c>
    </row>
    <row r="48" spans="2:12" x14ac:dyDescent="0.2">
      <c r="B48" s="36"/>
      <c r="C48" s="35" t="str">
        <f t="shared" si="2"/>
        <v>EON</v>
      </c>
      <c r="D48" s="178" t="s">
        <v>48</v>
      </c>
      <c r="E48" s="34" t="str">
        <f t="shared" si="1"/>
        <v>EUR_YCONRH_EON11M</v>
      </c>
      <c r="F48" s="33">
        <f>_xll.qlRateHelperQuoteValue($E48,Trigger)</f>
        <v>1.6300000000000002E-3</v>
      </c>
      <c r="G48" s="33" t="e">
        <f>_xll.qlSwapRateHelperSpread($E48,Trigger)</f>
        <v>#NUM!</v>
      </c>
      <c r="H48" s="26" t="b">
        <v>1</v>
      </c>
      <c r="I48" s="26">
        <v>50</v>
      </c>
      <c r="J48" s="26">
        <v>1</v>
      </c>
      <c r="K48" s="32">
        <f>_xll.qlRateHelperEarliestDate($E48,Trigger)</f>
        <v>41737</v>
      </c>
      <c r="L48" s="31">
        <f>_xll.qlRateHelperLatestDate($E48,Trigger)</f>
        <v>42072</v>
      </c>
    </row>
    <row r="49" spans="2:12" x14ac:dyDescent="0.2">
      <c r="B49" s="36"/>
      <c r="C49" s="35" t="str">
        <f t="shared" si="2"/>
        <v>EON</v>
      </c>
      <c r="D49" s="178"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41737</v>
      </c>
      <c r="L49" s="31">
        <f>_xll.qlRateHelperLatestDate($E49,Trigger)</f>
        <v>42102</v>
      </c>
    </row>
    <row r="50" spans="2:12" x14ac:dyDescent="0.2">
      <c r="B50" s="36" t="str">
        <f t="shared" ref="B50:B81" si="3">SwapFixedFreq</f>
        <v/>
      </c>
      <c r="C50" s="35" t="str">
        <f t="shared" si="2"/>
        <v>EON</v>
      </c>
      <c r="D50" s="178" t="s">
        <v>46</v>
      </c>
      <c r="E50" s="34" t="str">
        <f t="shared" si="1"/>
        <v>EUR_YCONRH_EON15M</v>
      </c>
      <c r="F50" s="33">
        <f>_xll.qlRateHelperQuoteValue($E50,Trigger)</f>
        <v>1.6200000000000001E-3</v>
      </c>
      <c r="G50" s="33" t="e">
        <f>_xll.qlSwapRateHelperSpread($E50,Trigger)</f>
        <v>#NUM!</v>
      </c>
      <c r="H50" s="26" t="b">
        <v>1</v>
      </c>
      <c r="I50" s="26">
        <v>50</v>
      </c>
      <c r="J50" s="26">
        <v>1</v>
      </c>
      <c r="K50" s="32">
        <f>_xll.qlRateHelperEarliestDate($E50,Trigger)</f>
        <v>41737</v>
      </c>
      <c r="L50" s="31">
        <f>_xll.qlRateHelperLatestDate($E50,Trigger)</f>
        <v>42193</v>
      </c>
    </row>
    <row r="51" spans="2:12" x14ac:dyDescent="0.2">
      <c r="B51" s="36" t="str">
        <f t="shared" si="3"/>
        <v/>
      </c>
      <c r="C51" s="35" t="str">
        <f t="shared" si="2"/>
        <v>EON</v>
      </c>
      <c r="D51" s="178" t="s">
        <v>45</v>
      </c>
      <c r="E51" s="34" t="str">
        <f t="shared" si="1"/>
        <v>EUR_YCONRH_EON18M</v>
      </c>
      <c r="F51" s="33">
        <f>_xll.qlRateHelperQuoteValue($E51,Trigger)</f>
        <v>1.6799999999999999E-3</v>
      </c>
      <c r="G51" s="33" t="e">
        <f>_xll.qlSwapRateHelperSpread($E51,Trigger)</f>
        <v>#NUM!</v>
      </c>
      <c r="H51" s="26" t="b">
        <v>1</v>
      </c>
      <c r="I51" s="26">
        <v>50</v>
      </c>
      <c r="J51" s="26">
        <v>1</v>
      </c>
      <c r="K51" s="32">
        <f>_xll.qlRateHelperEarliestDate($E51,Trigger)</f>
        <v>41737</v>
      </c>
      <c r="L51" s="31">
        <f>_xll.qlRateHelperLatestDate($E51,Trigger)</f>
        <v>42285</v>
      </c>
    </row>
    <row r="52" spans="2:12" x14ac:dyDescent="0.2">
      <c r="B52" s="36" t="str">
        <f t="shared" si="3"/>
        <v/>
      </c>
      <c r="C52" s="35" t="str">
        <f t="shared" si="2"/>
        <v>EON</v>
      </c>
      <c r="D52" s="178" t="s">
        <v>44</v>
      </c>
      <c r="E52" s="34" t="str">
        <f t="shared" si="1"/>
        <v>EUR_YCONRH_EON21M</v>
      </c>
      <c r="F52" s="33">
        <f>_xll.qlRateHelperQuoteValue($E52,Trigger)</f>
        <v>1.7799999999999999E-3</v>
      </c>
      <c r="G52" s="33" t="e">
        <f>_xll.qlSwapRateHelperSpread($E52,Trigger)</f>
        <v>#NUM!</v>
      </c>
      <c r="H52" s="26" t="b">
        <v>1</v>
      </c>
      <c r="I52" s="26">
        <v>50</v>
      </c>
      <c r="J52" s="26">
        <v>1</v>
      </c>
      <c r="K52" s="32">
        <f>_xll.qlRateHelperEarliestDate($E52,Trigger)</f>
        <v>41737</v>
      </c>
      <c r="L52" s="31">
        <f>_xll.qlRateHelperLatestDate($E52,Trigger)</f>
        <v>42377</v>
      </c>
    </row>
    <row r="53" spans="2:12" x14ac:dyDescent="0.2">
      <c r="B53" s="36" t="str">
        <f t="shared" si="3"/>
        <v/>
      </c>
      <c r="C53" s="35" t="str">
        <f t="shared" si="2"/>
        <v>EON</v>
      </c>
      <c r="D53" s="178" t="s">
        <v>43</v>
      </c>
      <c r="E53" s="34" t="str">
        <f t="shared" si="1"/>
        <v>EUR_YCONRH_EON2Y</v>
      </c>
      <c r="F53" s="33">
        <f>_xll.qlRateHelperQuoteValue($E53,Trigger)</f>
        <v>1.92E-3</v>
      </c>
      <c r="G53" s="33" t="e">
        <f>_xll.qlSwapRateHelperSpread($E53,Trigger)</f>
        <v>#NUM!</v>
      </c>
      <c r="H53" s="26" t="b">
        <v>1</v>
      </c>
      <c r="I53" s="26">
        <v>50</v>
      </c>
      <c r="J53" s="26">
        <v>1</v>
      </c>
      <c r="K53" s="32">
        <f>_xll.qlRateHelperEarliestDate($E53,Trigger)</f>
        <v>41737</v>
      </c>
      <c r="L53" s="31">
        <f>_xll.qlRateHelperLatestDate($E53,Trigger)</f>
        <v>42468</v>
      </c>
    </row>
    <row r="54" spans="2:12" x14ac:dyDescent="0.2">
      <c r="B54" s="36" t="str">
        <f t="shared" si="3"/>
        <v/>
      </c>
      <c r="C54" s="35" t="str">
        <f t="shared" si="2"/>
        <v>EON</v>
      </c>
      <c r="D54" s="178" t="s">
        <v>42</v>
      </c>
      <c r="E54" s="34" t="str">
        <f t="shared" si="1"/>
        <v>EUR_YCONRH_EON3Y</v>
      </c>
      <c r="F54" s="33">
        <f>_xll.qlRateHelperQuoteValue($E54,Trigger)</f>
        <v>2.9600000000000004E-3</v>
      </c>
      <c r="G54" s="33" t="e">
        <f>_xll.qlSwapRateHelperSpread($E54,Trigger)</f>
        <v>#NUM!</v>
      </c>
      <c r="H54" s="26" t="b">
        <v>1</v>
      </c>
      <c r="I54" s="26">
        <v>50</v>
      </c>
      <c r="J54" s="26">
        <v>1</v>
      </c>
      <c r="K54" s="32">
        <f>_xll.qlRateHelperEarliestDate($E54,Trigger)</f>
        <v>41737</v>
      </c>
      <c r="L54" s="31">
        <f>_xll.qlRateHelperLatestDate($E54,Trigger)</f>
        <v>42835</v>
      </c>
    </row>
    <row r="55" spans="2:12" x14ac:dyDescent="0.2">
      <c r="B55" s="36" t="str">
        <f t="shared" si="3"/>
        <v/>
      </c>
      <c r="C55" s="35" t="str">
        <f t="shared" si="2"/>
        <v>EON</v>
      </c>
      <c r="D55" s="178" t="s">
        <v>41</v>
      </c>
      <c r="E55" s="34" t="str">
        <f t="shared" si="1"/>
        <v>EUR_YCONRH_EON4Y</v>
      </c>
      <c r="F55" s="33">
        <f>_xll.qlRateHelperQuoteValue($E55,Trigger)</f>
        <v>4.5399999999999998E-3</v>
      </c>
      <c r="G55" s="33" t="e">
        <f>_xll.qlSwapRateHelperSpread($E55,Trigger)</f>
        <v>#NUM!</v>
      </c>
      <c r="H55" s="26" t="b">
        <v>1</v>
      </c>
      <c r="I55" s="26">
        <v>50</v>
      </c>
      <c r="J55" s="26">
        <v>1</v>
      </c>
      <c r="K55" s="32">
        <f>_xll.qlRateHelperEarliestDate($E55,Trigger)</f>
        <v>41737</v>
      </c>
      <c r="L55" s="31">
        <f>_xll.qlRateHelperLatestDate($E55,Trigger)</f>
        <v>43199</v>
      </c>
    </row>
    <row r="56" spans="2:12" x14ac:dyDescent="0.2">
      <c r="B56" s="36" t="str">
        <f t="shared" si="3"/>
        <v/>
      </c>
      <c r="C56" s="35" t="str">
        <f t="shared" si="2"/>
        <v>EON</v>
      </c>
      <c r="D56" s="178" t="s">
        <v>40</v>
      </c>
      <c r="E56" s="34" t="str">
        <f t="shared" si="1"/>
        <v>EUR_YCONRH_EON5Y</v>
      </c>
      <c r="F56" s="33">
        <f>_xll.qlRateHelperQuoteValue($E56,Trigger)</f>
        <v>6.3200000000000001E-3</v>
      </c>
      <c r="G56" s="33" t="e">
        <f>_xll.qlSwapRateHelperSpread($E56,Trigger)</f>
        <v>#NUM!</v>
      </c>
      <c r="H56" s="26" t="b">
        <v>1</v>
      </c>
      <c r="I56" s="26">
        <v>50</v>
      </c>
      <c r="J56" s="26">
        <v>1</v>
      </c>
      <c r="K56" s="32">
        <f>_xll.qlRateHelperEarliestDate($E56,Trigger)</f>
        <v>41737</v>
      </c>
      <c r="L56" s="31">
        <f>_xll.qlRateHelperLatestDate($E56,Trigger)</f>
        <v>43563</v>
      </c>
    </row>
    <row r="57" spans="2:12" x14ac:dyDescent="0.2">
      <c r="B57" s="36" t="str">
        <f t="shared" si="3"/>
        <v/>
      </c>
      <c r="C57" s="35" t="str">
        <f t="shared" si="2"/>
        <v>EON</v>
      </c>
      <c r="D57" s="178" t="s">
        <v>39</v>
      </c>
      <c r="E57" s="34" t="str">
        <f t="shared" si="1"/>
        <v>EUR_YCONRH_EON6Y</v>
      </c>
      <c r="F57" s="33">
        <f>_xll.qlRateHelperQuoteValue($E57,Trigger)</f>
        <v>8.1499999999999993E-3</v>
      </c>
      <c r="G57" s="33" t="e">
        <f>_xll.qlSwapRateHelperSpread($E57,Trigger)</f>
        <v>#NUM!</v>
      </c>
      <c r="H57" s="26" t="b">
        <v>1</v>
      </c>
      <c r="I57" s="26">
        <v>50</v>
      </c>
      <c r="J57" s="26">
        <v>1</v>
      </c>
      <c r="K57" s="32">
        <f>_xll.qlRateHelperEarliestDate($E57,Trigger)</f>
        <v>41737</v>
      </c>
      <c r="L57" s="31">
        <f>_xll.qlRateHelperLatestDate($E57,Trigger)</f>
        <v>43929</v>
      </c>
    </row>
    <row r="58" spans="2:12" x14ac:dyDescent="0.2">
      <c r="B58" s="36" t="str">
        <f t="shared" si="3"/>
        <v/>
      </c>
      <c r="C58" s="35" t="str">
        <f t="shared" si="2"/>
        <v>EON</v>
      </c>
      <c r="D58" s="178" t="s">
        <v>38</v>
      </c>
      <c r="E58" s="34" t="str">
        <f t="shared" si="1"/>
        <v>EUR_YCONRH_EON7Y</v>
      </c>
      <c r="F58" s="33">
        <f>_xll.qlRateHelperQuoteValue($E58,Trigger)</f>
        <v>9.9699999999999997E-3</v>
      </c>
      <c r="G58" s="33" t="e">
        <f>_xll.qlSwapRateHelperSpread($E58,Trigger)</f>
        <v>#NUM!</v>
      </c>
      <c r="H58" s="26" t="b">
        <v>1</v>
      </c>
      <c r="I58" s="26">
        <v>50</v>
      </c>
      <c r="J58" s="26">
        <v>1</v>
      </c>
      <c r="K58" s="32">
        <f>_xll.qlRateHelperEarliestDate($E58,Trigger)</f>
        <v>41737</v>
      </c>
      <c r="L58" s="31">
        <f>_xll.qlRateHelperLatestDate($E58,Trigger)</f>
        <v>44294</v>
      </c>
    </row>
    <row r="59" spans="2:12" x14ac:dyDescent="0.2">
      <c r="B59" s="36" t="str">
        <f t="shared" si="3"/>
        <v/>
      </c>
      <c r="C59" s="35" t="str">
        <f t="shared" si="2"/>
        <v>EON</v>
      </c>
      <c r="D59" s="178" t="s">
        <v>37</v>
      </c>
      <c r="E59" s="34" t="str">
        <f t="shared" si="1"/>
        <v>EUR_YCONRH_EON8Y</v>
      </c>
      <c r="F59" s="33">
        <f>_xll.qlRateHelperQuoteValue($E59,Trigger)</f>
        <v>1.1690000000000001E-2</v>
      </c>
      <c r="G59" s="33" t="e">
        <f>_xll.qlSwapRateHelperSpread($E59,Trigger)</f>
        <v>#NUM!</v>
      </c>
      <c r="H59" s="26" t="b">
        <v>1</v>
      </c>
      <c r="I59" s="26">
        <v>50</v>
      </c>
      <c r="J59" s="26">
        <v>1</v>
      </c>
      <c r="K59" s="32">
        <f>_xll.qlRateHelperEarliestDate($E59,Trigger)</f>
        <v>41737</v>
      </c>
      <c r="L59" s="31">
        <f>_xll.qlRateHelperLatestDate($E59,Trigger)</f>
        <v>44659</v>
      </c>
    </row>
    <row r="60" spans="2:12" x14ac:dyDescent="0.2">
      <c r="B60" s="36" t="str">
        <f t="shared" si="3"/>
        <v/>
      </c>
      <c r="C60" s="35" t="str">
        <f t="shared" si="2"/>
        <v>EON</v>
      </c>
      <c r="D60" s="178" t="s">
        <v>36</v>
      </c>
      <c r="E60" s="34" t="str">
        <f t="shared" si="1"/>
        <v>EUR_YCONRH_EON9Y</v>
      </c>
      <c r="F60" s="33">
        <f>_xll.qlRateHelperQuoteValue($E60,Trigger)</f>
        <v>1.3269999999999999E-2</v>
      </c>
      <c r="G60" s="33" t="e">
        <f>_xll.qlSwapRateHelperSpread($E60,Trigger)</f>
        <v>#NUM!</v>
      </c>
      <c r="H60" s="26" t="b">
        <v>1</v>
      </c>
      <c r="I60" s="26">
        <v>50</v>
      </c>
      <c r="J60" s="26">
        <v>1</v>
      </c>
      <c r="K60" s="32">
        <f>_xll.qlRateHelperEarliestDate($E60,Trigger)</f>
        <v>41737</v>
      </c>
      <c r="L60" s="31">
        <f>_xll.qlRateHelperLatestDate($E60,Trigger)</f>
        <v>45027</v>
      </c>
    </row>
    <row r="61" spans="2:12" x14ac:dyDescent="0.2">
      <c r="B61" s="36" t="str">
        <f t="shared" si="3"/>
        <v/>
      </c>
      <c r="C61" s="35" t="str">
        <f t="shared" si="2"/>
        <v>EON</v>
      </c>
      <c r="D61" s="178" t="s">
        <v>35</v>
      </c>
      <c r="E61" s="34" t="str">
        <f t="shared" si="1"/>
        <v>EUR_YCONRH_EON10Y</v>
      </c>
      <c r="F61" s="33">
        <f>_xll.qlRateHelperQuoteValue($E61,Trigger)</f>
        <v>1.4689999999999998E-2</v>
      </c>
      <c r="G61" s="33" t="e">
        <f>_xll.qlSwapRateHelperSpread($E61,Trigger)</f>
        <v>#NUM!</v>
      </c>
      <c r="H61" s="26" t="b">
        <v>1</v>
      </c>
      <c r="I61" s="26">
        <v>50</v>
      </c>
      <c r="J61" s="26">
        <v>1</v>
      </c>
      <c r="K61" s="32">
        <f>_xll.qlRateHelperEarliestDate($E61,Trigger)</f>
        <v>41737</v>
      </c>
      <c r="L61" s="31">
        <f>_xll.qlRateHelperLatestDate($E61,Trigger)</f>
        <v>45390</v>
      </c>
    </row>
    <row r="62" spans="2:12" x14ac:dyDescent="0.2">
      <c r="B62" s="36" t="str">
        <f t="shared" si="3"/>
        <v/>
      </c>
      <c r="C62" s="35" t="str">
        <f t="shared" si="2"/>
        <v>EON</v>
      </c>
      <c r="D62" s="178" t="s">
        <v>34</v>
      </c>
      <c r="E62" s="34" t="str">
        <f t="shared" si="1"/>
        <v>EUR_YCONRH_EON11Y</v>
      </c>
      <c r="F62" s="33">
        <f>_xll.qlRateHelperQuoteValue($E62,Trigger)</f>
        <v>1.5979999999999998E-2</v>
      </c>
      <c r="G62" s="33" t="e">
        <f>_xll.qlSwapRateHelperSpread($E62,Trigger)</f>
        <v>#NUM!</v>
      </c>
      <c r="H62" s="26" t="b">
        <f t="shared" ref="H62:H93" si="4">IF(ISERROR(F62),FALSE,IF(L62&lt;=$N$16,TRUE,IF(L62&gt;$N$17,TRUE,IF(L61&lt;$N$16,TRUE,FALSE))))</f>
        <v>1</v>
      </c>
      <c r="I62" s="26">
        <v>50</v>
      </c>
      <c r="J62" s="26">
        <v>1</v>
      </c>
      <c r="K62" s="32">
        <f>_xll.qlRateHelperEarliestDate($E62,Trigger)</f>
        <v>41737</v>
      </c>
      <c r="L62" s="31">
        <f>_xll.qlRateHelperLatestDate($E62,Trigger)</f>
        <v>45755</v>
      </c>
    </row>
    <row r="63" spans="2:12" x14ac:dyDescent="0.2">
      <c r="B63" s="36" t="str">
        <f t="shared" si="3"/>
        <v/>
      </c>
      <c r="C63" s="35" t="str">
        <f t="shared" si="2"/>
        <v>EON</v>
      </c>
      <c r="D63" s="178" t="s">
        <v>33</v>
      </c>
      <c r="E63" s="34" t="str">
        <f t="shared" si="1"/>
        <v>EUR_YCONRH_EON12Y</v>
      </c>
      <c r="F63" s="33">
        <f>_xll.qlRateHelperQuoteValue($E63,Trigger)</f>
        <v>1.711E-2</v>
      </c>
      <c r="G63" s="33" t="e">
        <f>_xll.qlSwapRateHelperSpread($E63,Trigger)</f>
        <v>#NUM!</v>
      </c>
      <c r="H63" s="26" t="b">
        <f t="shared" si="4"/>
        <v>1</v>
      </c>
      <c r="I63" s="26">
        <v>50</v>
      </c>
      <c r="J63" s="26">
        <v>1</v>
      </c>
      <c r="K63" s="32">
        <f>_xll.qlRateHelperEarliestDate($E63,Trigger)</f>
        <v>41737</v>
      </c>
      <c r="L63" s="31">
        <f>_xll.qlRateHelperLatestDate($E63,Trigger)</f>
        <v>46120</v>
      </c>
    </row>
    <row r="64" spans="2:12" x14ac:dyDescent="0.2">
      <c r="B64" s="36" t="str">
        <f t="shared" si="3"/>
        <v/>
      </c>
      <c r="C64" s="35" t="str">
        <f t="shared" si="2"/>
        <v>EON</v>
      </c>
      <c r="D64" s="178"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78"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78" t="s">
        <v>30</v>
      </c>
      <c r="E66" s="34" t="str">
        <f t="shared" ref="E66:E97" si="5">RateHelperPrefix&amp;"_"&amp;$B66&amp;$C66&amp;$D66</f>
        <v>EUR_YCONRH_EON15Y</v>
      </c>
      <c r="F66" s="33">
        <f>_xll.qlRateHelperQuoteValue($E66,Trigger)</f>
        <v>1.9689999999999999E-2</v>
      </c>
      <c r="G66" s="33" t="e">
        <f>_xll.qlSwapRateHelperSpread($E66,Trigger)</f>
        <v>#NUM!</v>
      </c>
      <c r="H66" s="26" t="b">
        <f t="shared" si="4"/>
        <v>1</v>
      </c>
      <c r="I66" s="26">
        <v>50</v>
      </c>
      <c r="J66" s="26">
        <v>1</v>
      </c>
      <c r="K66" s="32">
        <f>_xll.qlRateHelperEarliestDate($E66,Trigger)</f>
        <v>41737</v>
      </c>
      <c r="L66" s="31">
        <f>_xll.qlRateHelperLatestDate($E66,Trigger)</f>
        <v>47217</v>
      </c>
    </row>
    <row r="67" spans="2:12" x14ac:dyDescent="0.2">
      <c r="B67" s="36" t="str">
        <f t="shared" si="3"/>
        <v/>
      </c>
      <c r="C67" s="35" t="str">
        <f t="shared" ref="C67:C85" si="6">IborType</f>
        <v>EON</v>
      </c>
      <c r="D67" s="178"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78"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78"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78"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78" t="s">
        <v>25</v>
      </c>
      <c r="E71" s="34" t="str">
        <f t="shared" si="5"/>
        <v>EUR_YCONRH_EON20Y</v>
      </c>
      <c r="F71" s="33">
        <f>_xll.qlRateHelperQuoteValue($E71,Trigger)</f>
        <v>2.1770000000000001E-2</v>
      </c>
      <c r="G71" s="33" t="e">
        <f>_xll.qlSwapRateHelperSpread($E71,Trigger)</f>
        <v>#NUM!</v>
      </c>
      <c r="H71" s="26" t="b">
        <f t="shared" si="4"/>
        <v>1</v>
      </c>
      <c r="I71" s="26">
        <v>50</v>
      </c>
      <c r="J71" s="26">
        <v>1</v>
      </c>
      <c r="K71" s="32">
        <f>_xll.qlRateHelperEarliestDate($E71,Trigger)</f>
        <v>41737</v>
      </c>
      <c r="L71" s="31">
        <f>_xll.qlRateHelperLatestDate($E71,Trigger)</f>
        <v>49045</v>
      </c>
    </row>
    <row r="72" spans="2:12" x14ac:dyDescent="0.2">
      <c r="B72" s="36" t="str">
        <f t="shared" si="3"/>
        <v/>
      </c>
      <c r="C72" s="35" t="str">
        <f t="shared" si="6"/>
        <v>EON</v>
      </c>
      <c r="D72" s="178"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78"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78"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78"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78" t="s">
        <v>20</v>
      </c>
      <c r="E76" s="34" t="str">
        <f t="shared" si="5"/>
        <v>EUR_YCONRH_EON25Y</v>
      </c>
      <c r="F76" s="33">
        <f>_xll.qlRateHelperQuoteValue($E76,Trigger)</f>
        <v>2.2540000000000001E-2</v>
      </c>
      <c r="G76" s="33" t="e">
        <f>_xll.qlSwapRateHelperSpread($E76,Trigger)</f>
        <v>#NUM!</v>
      </c>
      <c r="H76" s="26" t="b">
        <f t="shared" si="4"/>
        <v>1</v>
      </c>
      <c r="I76" s="26">
        <v>50</v>
      </c>
      <c r="J76" s="26">
        <v>1</v>
      </c>
      <c r="K76" s="32">
        <f>_xll.qlRateHelperEarliestDate($E76,Trigger)</f>
        <v>41737</v>
      </c>
      <c r="L76" s="31">
        <f>_xll.qlRateHelperLatestDate($E76,Trigger)</f>
        <v>50872</v>
      </c>
    </row>
    <row r="77" spans="2:12" x14ac:dyDescent="0.2">
      <c r="B77" s="36" t="str">
        <f t="shared" si="3"/>
        <v/>
      </c>
      <c r="C77" s="35" t="str">
        <f t="shared" si="6"/>
        <v>EON</v>
      </c>
      <c r="D77" s="178"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78"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78"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78"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78" t="s">
        <v>15</v>
      </c>
      <c r="E81" s="34" t="str">
        <f t="shared" si="5"/>
        <v>EUR_YCONRH_EON30Y</v>
      </c>
      <c r="F81" s="33">
        <f>_xll.qlRateHelperQuoteValue($E81,Trigger)</f>
        <v>2.282E-2</v>
      </c>
      <c r="G81" s="33" t="e">
        <f>_xll.qlSwapRateHelperSpread($E81,Trigger)</f>
        <v>#NUM!</v>
      </c>
      <c r="H81" s="26" t="b">
        <f t="shared" si="4"/>
        <v>1</v>
      </c>
      <c r="I81" s="26">
        <v>50</v>
      </c>
      <c r="J81" s="26">
        <v>1</v>
      </c>
      <c r="K81" s="32">
        <f>_xll.qlRateHelperEarliestDate($E81,Trigger)</f>
        <v>41737</v>
      </c>
      <c r="L81" s="31">
        <f>_xll.qlRateHelperLatestDate($E81,Trigger)</f>
        <v>52695</v>
      </c>
    </row>
    <row r="82" spans="2:12" x14ac:dyDescent="0.2">
      <c r="B82" s="36" t="str">
        <f t="shared" ref="B82:B113" si="7">SwapFixedFreq</f>
        <v/>
      </c>
      <c r="C82" s="35" t="str">
        <f t="shared" si="6"/>
        <v>EON</v>
      </c>
      <c r="D82" s="178"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78" t="s">
        <v>13</v>
      </c>
      <c r="E83" s="34" t="str">
        <f t="shared" si="5"/>
        <v>EUR_YCONRH_EON40Y</v>
      </c>
      <c r="F83" s="33">
        <f>_xll.qlRateHelperQuoteValue($E83,Trigger)</f>
        <v>2.3289999999999998E-2</v>
      </c>
      <c r="G83" s="33" t="e">
        <f>_xll.qlSwapRateHelperSpread($E83,Trigger)</f>
        <v>#NUM!</v>
      </c>
      <c r="H83" s="26" t="b">
        <f t="shared" si="4"/>
        <v>1</v>
      </c>
      <c r="I83" s="26">
        <v>50</v>
      </c>
      <c r="J83" s="26">
        <v>1</v>
      </c>
      <c r="K83" s="32">
        <f>_xll.qlRateHelperEarliestDate($E83,Trigger)</f>
        <v>41737</v>
      </c>
      <c r="L83" s="31">
        <f>_xll.qlRateHelperLatestDate($E83,Trigger)</f>
        <v>56347</v>
      </c>
    </row>
    <row r="84" spans="2:12" x14ac:dyDescent="0.2">
      <c r="B84" s="36" t="str">
        <f t="shared" si="7"/>
        <v/>
      </c>
      <c r="C84" s="35" t="str">
        <f t="shared" si="6"/>
        <v>EON</v>
      </c>
      <c r="D84" s="178" t="s">
        <v>12</v>
      </c>
      <c r="E84" s="34" t="str">
        <f t="shared" si="5"/>
        <v>EUR_YCONRH_EON50Y</v>
      </c>
      <c r="F84" s="33">
        <f>_xll.qlRateHelperQuoteValue($E84,Trigger)</f>
        <v>2.3559999999999998E-2</v>
      </c>
      <c r="G84" s="33" t="e">
        <f>_xll.qlSwapRateHelperSpread($E84,Trigger)</f>
        <v>#NUM!</v>
      </c>
      <c r="H84" s="26" t="b">
        <f t="shared" si="4"/>
        <v>1</v>
      </c>
      <c r="I84" s="26">
        <v>50</v>
      </c>
      <c r="J84" s="26">
        <v>1</v>
      </c>
      <c r="K84" s="32">
        <f>_xll.qlRateHelperEarliestDate($E84,Trigger)</f>
        <v>41737</v>
      </c>
      <c r="L84" s="31">
        <f>_xll.qlRateHelperLatestDate($E84,Trigger)</f>
        <v>60000</v>
      </c>
    </row>
    <row r="85" spans="2:12" x14ac:dyDescent="0.2">
      <c r="B85" s="30" t="str">
        <f t="shared" si="7"/>
        <v/>
      </c>
      <c r="C85" s="29" t="str">
        <f t="shared" si="6"/>
        <v>EON</v>
      </c>
      <c r="D85" s="179" t="s">
        <v>11</v>
      </c>
      <c r="E85" s="28" t="str">
        <f t="shared" si="5"/>
        <v>EUR_YCONRH_EON60Y</v>
      </c>
      <c r="F85" s="27">
        <f>_xll.qlRateHelperQuoteValue($E85,Trigger)</f>
        <v>2.3789999999999999E-2</v>
      </c>
      <c r="G85" s="27" t="e">
        <f>_xll.qlSwapRateHelperSpread($E85,Trigger)</f>
        <v>#NUM!</v>
      </c>
      <c r="H85" s="25" t="b">
        <f t="shared" si="4"/>
        <v>1</v>
      </c>
      <c r="I85" s="25">
        <v>50</v>
      </c>
      <c r="J85" s="25">
        <v>1</v>
      </c>
      <c r="K85" s="24">
        <f>_xll.qlRateHelperEarliestDate($E85,Trigger)</f>
        <v>41737</v>
      </c>
      <c r="L85" s="23">
        <f>_xll.qlRateHelperLatestDate($E85,Trigger)</f>
        <v>63653</v>
      </c>
    </row>
    <row r="86" spans="2:12" x14ac:dyDescent="0.2">
      <c r="B86" s="36" t="str">
        <f t="shared" si="7"/>
        <v/>
      </c>
      <c r="C86" s="35" t="str">
        <f t="shared" ref="C86:C122" si="8">IborType&amp;"BASIS"</f>
        <v>EONBASIS</v>
      </c>
      <c r="D86" s="177"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78"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78"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78"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78"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78"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78"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78"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78"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78"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78"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78"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78"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78"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78"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78"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78"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78"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78"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78"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78"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78"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78"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78"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78"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78"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78"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78"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78"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78"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78"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78"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78"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78"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78"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78"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79"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26"/>
  <sheetViews>
    <sheetView workbookViewId="0">
      <selection activeCell="A10" sqref="A10"/>
    </sheetView>
  </sheetViews>
  <sheetFormatPr defaultRowHeight="11.25" x14ac:dyDescent="0.2"/>
  <cols>
    <col min="1" max="1" width="36.85546875" style="1" bestFit="1" customWidth="1"/>
    <col min="2" max="2" width="9" style="1" bestFit="1" customWidth="1"/>
    <col min="3" max="3" width="2.7109375" style="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9" ht="12" thickBot="1" x14ac:dyDescent="0.25">
      <c r="A1" s="191" t="s">
        <v>10</v>
      </c>
      <c r="B1" s="192"/>
      <c r="D1" s="22" t="s">
        <v>9</v>
      </c>
      <c r="E1" s="21" t="s">
        <v>8</v>
      </c>
      <c r="F1" s="21"/>
      <c r="G1" s="21" t="s">
        <v>7</v>
      </c>
      <c r="H1" s="20" t="s">
        <v>6</v>
      </c>
      <c r="I1" s="3">
        <f t="array" ref="I1:I126">_xll.qlPiecewiseYieldCurveData(YieldCurve)</f>
        <v>1</v>
      </c>
    </row>
    <row r="2" spans="1:9" x14ac:dyDescent="0.2">
      <c r="A2" s="19" t="s">
        <v>5</v>
      </c>
      <c r="B2" s="18">
        <v>8</v>
      </c>
      <c r="C2" s="89"/>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2.5999999999999999E-3</v>
      </c>
      <c r="F2" s="10" t="str">
        <f>IF(ISERROR(_xll.qlSwapRateHelperSpread($D2)),IF(ISERROR(_xll.qlFuturesRateHelperConvexityAdjustment($D2)),"--",_xll.qlFuturesRateHelperConvexityAdjustment($D2)),_xll.qlSwapRateHelperSpread($D2))</f>
        <v>--</v>
      </c>
      <c r="G2" s="9">
        <f>_xll.qlRateHelperEarliestDate($D2)</f>
        <v>41733</v>
      </c>
      <c r="H2" s="8">
        <f>_xll.qlRateHelperLatestDate($D2)</f>
        <v>41736</v>
      </c>
      <c r="I2" s="3">
        <v>0.99997833380276757</v>
      </c>
    </row>
    <row r="3" spans="1:9" x14ac:dyDescent="0.2">
      <c r="A3" s="15" t="s">
        <v>4</v>
      </c>
      <c r="B3" s="17">
        <v>1</v>
      </c>
      <c r="C3" s="89"/>
      <c r="D3" s="11" t="str">
        <v>EUR_YCONRH_TND</v>
      </c>
      <c r="E3" s="10">
        <f>_xll.qlRateHelperRate($D3)</f>
        <v>2.5999999999999999E-3</v>
      </c>
      <c r="F3" s="10" t="str">
        <f>IF(ISERROR(_xll.qlSwapRateHelperSpread($D3)),IF(ISERROR(_xll.qlFuturesRateHelperConvexityAdjustment($D3)),"--",_xll.qlFuturesRateHelperConvexityAdjustment($D3)),_xll.qlSwapRateHelperSpread($D3))</f>
        <v>--</v>
      </c>
      <c r="G3" s="9">
        <f>_xll.qlRateHelperEarliestDate($D3)</f>
        <v>41736</v>
      </c>
      <c r="H3" s="8">
        <f>_xll.qlRateHelperLatestDate($D3)</f>
        <v>41737</v>
      </c>
      <c r="I3" s="3">
        <v>0.99997111178932474</v>
      </c>
    </row>
    <row r="4" spans="1:9" x14ac:dyDescent="0.2">
      <c r="A4" s="15" t="s">
        <v>3</v>
      </c>
      <c r="B4" s="17">
        <v>2</v>
      </c>
      <c r="C4" s="89"/>
      <c r="D4" s="11" t="str">
        <v>EUR_YCONRH_SND</v>
      </c>
      <c r="E4" s="10">
        <f>_xll.qlRateHelperRate($D4)</f>
        <v>2.5999999999999999E-3</v>
      </c>
      <c r="F4" s="10" t="str">
        <f>IF(ISERROR(_xll.qlSwapRateHelperSpread($D4)),IF(ISERROR(_xll.qlFuturesRateHelperConvexityAdjustment($D4)),"--",_xll.qlFuturesRateHelperConvexityAdjustment($D4)),_xll.qlSwapRateHelperSpread($D4))</f>
        <v>--</v>
      </c>
      <c r="G4" s="9">
        <f>_xll.qlRateHelperEarliestDate($D4)</f>
        <v>41737</v>
      </c>
      <c r="H4" s="8">
        <f>_xll.qlRateHelperLatestDate($D4)</f>
        <v>41738</v>
      </c>
      <c r="I4" s="3">
        <v>0.99996388982800499</v>
      </c>
    </row>
    <row r="5" spans="1:9" x14ac:dyDescent="0.2">
      <c r="A5" s="15" t="s">
        <v>2</v>
      </c>
      <c r="B5" s="16" t="s">
        <v>1</v>
      </c>
      <c r="C5" s="89"/>
      <c r="D5" s="11" t="str">
        <v>EUR_YCONRH_EONSW</v>
      </c>
      <c r="E5" s="10">
        <f>_xll.qlRateHelperRate($D5)</f>
        <v>2.3E-3</v>
      </c>
      <c r="F5" s="10" t="str">
        <f>IF(ISERROR(_xll.qlSwapRateHelperSpread($D5)),IF(ISERROR(_xll.qlFuturesRateHelperConvexityAdjustment($D5)),"--",_xll.qlFuturesRateHelperConvexityAdjustment($D5)),_xll.qlSwapRateHelperSpread($D5))</f>
        <v>--</v>
      </c>
      <c r="G5" s="9">
        <f>_xll.qlRateHelperEarliestDate($D5)</f>
        <v>41737</v>
      </c>
      <c r="H5" s="8">
        <f>_xll.qlRateHelperLatestDate($D5)</f>
        <v>41744</v>
      </c>
      <c r="I5" s="3">
        <v>0.99992639285897733</v>
      </c>
    </row>
    <row r="6" spans="1:9" x14ac:dyDescent="0.2">
      <c r="A6" s="15" t="s">
        <v>0</v>
      </c>
      <c r="B6" s="14" t="str">
        <f>_xll.ohRangeRetrieveError(Selected!D2)</f>
        <v/>
      </c>
      <c r="C6" s="89"/>
      <c r="D6" s="11" t="str">
        <v>EUR_YCONRH_EON2W</v>
      </c>
      <c r="E6" s="10">
        <f>_xll.qlRateHelperRate($D6)</f>
        <v>2.4599999999999999E-3</v>
      </c>
      <c r="F6" s="10" t="str">
        <f>IF(ISERROR(_xll.qlSwapRateHelperSpread($D6)),IF(ISERROR(_xll.qlFuturesRateHelperConvexityAdjustment($D6)),"--",_xll.qlFuturesRateHelperConvexityAdjustment($D6)),_xll.qlSwapRateHelperSpread($D6))</f>
        <v>--</v>
      </c>
      <c r="G6" s="9">
        <f>_xll.qlRateHelperEarliestDate($D6)</f>
        <v>41737</v>
      </c>
      <c r="H6" s="8">
        <f>_xll.qlRateHelperLatestDate($D6)</f>
        <v>41751</v>
      </c>
      <c r="I6" s="3">
        <v>0.99987545703726211</v>
      </c>
    </row>
    <row r="7" spans="1:9" ht="12" thickBot="1" x14ac:dyDescent="0.25">
      <c r="A7" s="13" t="str">
        <f>_xll.ohGroup(RateHelperPrefix&amp;"_RateHelpersSelected",_xll.ohPack(Selected!D2:D126),TRUE,,ObjectOverwrite)</f>
        <v>EUR_YCONRH_RateHelpersSelected#0002</v>
      </c>
      <c r="B7" s="12" t="str">
        <f>_xll.ohRangeRetrieveError(RateHelpersSelected)</f>
        <v/>
      </c>
      <c r="C7" s="89"/>
      <c r="D7" s="11" t="str">
        <v>EUR_YCONRH_EON3W</v>
      </c>
      <c r="E7" s="10">
        <f>_xll.qlRateHelperRate($D7)</f>
        <v>2.3699999999999997E-3</v>
      </c>
      <c r="F7" s="10" t="str">
        <f>IF(ISERROR(_xll.qlSwapRateHelperSpread($D7)),IF(ISERROR(_xll.qlFuturesRateHelperConvexityAdjustment($D7)),"--",_xll.qlFuturesRateHelperConvexityAdjustment($D7)),_xll.qlSwapRateHelperSpread($D7))</f>
        <v>--</v>
      </c>
      <c r="G7" s="9">
        <f>_xll.qlRateHelperEarliestDate($D7)</f>
        <v>41737</v>
      </c>
      <c r="H7" s="8">
        <f>_xll.qlRateHelperLatestDate($D7)</f>
        <v>41758</v>
      </c>
      <c r="I7" s="3">
        <v>0.99983288489298827</v>
      </c>
    </row>
    <row r="8" spans="1:9" x14ac:dyDescent="0.2">
      <c r="C8" s="89"/>
      <c r="D8" s="11" t="str">
        <v>EUR_YCONRH_EON1M</v>
      </c>
      <c r="E8" s="10">
        <f>_xll.qlRateHelperRate($D8)</f>
        <v>2.31E-3</v>
      </c>
      <c r="F8" s="10" t="str">
        <f>IF(ISERROR(_xll.qlSwapRateHelperSpread($D8)),IF(ISERROR(_xll.qlFuturesRateHelperConvexityAdjustment($D8)),"--",_xll.qlFuturesRateHelperConvexityAdjustment($D8)),_xll.qlSwapRateHelperSpread($D8))</f>
        <v>--</v>
      </c>
      <c r="G8" s="9">
        <f>_xll.qlRateHelperEarliestDate($D8)</f>
        <v>41737</v>
      </c>
      <c r="H8" s="8">
        <f>_xll.qlRateHelperLatestDate($D8)</f>
        <v>41767</v>
      </c>
      <c r="I8" s="3">
        <v>0.99977865439835312</v>
      </c>
    </row>
    <row r="9" spans="1:9" x14ac:dyDescent="0.2">
      <c r="C9" s="89"/>
      <c r="D9" s="11" t="str">
        <v>EUR_YCONRH_EON2M</v>
      </c>
      <c r="E9" s="10">
        <f>_xll.qlRateHelperRate($D9)</f>
        <v>2.0700000000000002E-3</v>
      </c>
      <c r="F9" s="10" t="str">
        <f>IF(ISERROR(_xll.qlSwapRateHelperSpread($D9)),IF(ISERROR(_xll.qlFuturesRateHelperConvexityAdjustment($D9)),"--",_xll.qlFuturesRateHelperConvexityAdjustment($D9)),_xll.qlSwapRateHelperSpread($D9))</f>
        <v>--</v>
      </c>
      <c r="G9" s="9">
        <f>_xll.qlRateHelperEarliestDate($D9)</f>
        <v>41737</v>
      </c>
      <c r="H9" s="8">
        <f>_xll.qlRateHelperLatestDate($D9)</f>
        <v>41799</v>
      </c>
      <c r="I9" s="3">
        <v>0.99961474913125947</v>
      </c>
    </row>
    <row r="10" spans="1:9" x14ac:dyDescent="0.2">
      <c r="C10" s="89"/>
      <c r="D10" s="11" t="str">
        <v>EUR_YCONRH_EON3M</v>
      </c>
      <c r="E10" s="10">
        <f>_xll.qlRateHelperRate($D10)</f>
        <v>1.97E-3</v>
      </c>
      <c r="F10" s="10" t="str">
        <f>IF(ISERROR(_xll.qlSwapRateHelperSpread($D10)),IF(ISERROR(_xll.qlFuturesRateHelperConvexityAdjustment($D10)),"--",_xll.qlFuturesRateHelperConvexityAdjustment($D10)),_xll.qlSwapRateHelperSpread($D10))</f>
        <v>--</v>
      </c>
      <c r="G10" s="9">
        <f>_xll.qlRateHelperEarliestDate($D10)</f>
        <v>41737</v>
      </c>
      <c r="H10" s="8">
        <f>_xll.qlRateHelperLatestDate($D10)</f>
        <v>41828</v>
      </c>
      <c r="I10" s="3">
        <v>0.99947340179837918</v>
      </c>
    </row>
    <row r="11" spans="1:9" x14ac:dyDescent="0.2">
      <c r="C11" s="89"/>
      <c r="D11" s="11" t="str">
        <v>EUR_YCONRH_EON4M</v>
      </c>
      <c r="E11" s="10">
        <f>_xll.qlRateHelperRate($D11)</f>
        <v>1.9E-3</v>
      </c>
      <c r="F11" s="10" t="str">
        <f>IF(ISERROR(_xll.qlSwapRateHelperSpread($D11)),IF(ISERROR(_xll.qlFuturesRateHelperConvexityAdjustment($D11)),"--",_xll.qlFuturesRateHelperConvexityAdjustment($D11)),_xll.qlSwapRateHelperSpread($D11))</f>
        <v>--</v>
      </c>
      <c r="G11" s="9">
        <f>_xll.qlRateHelperEarliestDate($D11)</f>
        <v>41737</v>
      </c>
      <c r="H11" s="8">
        <f>_xll.qlRateHelperLatestDate($D11)</f>
        <v>41859</v>
      </c>
      <c r="I11" s="3">
        <v>0.99932765581538574</v>
      </c>
    </row>
    <row r="12" spans="1:9" x14ac:dyDescent="0.2">
      <c r="C12" s="89"/>
      <c r="D12" s="11" t="str">
        <v>EUR_YCONRH_EON5M</v>
      </c>
      <c r="E12" s="10">
        <f>_xll.qlRateHelperRate($D12)</f>
        <v>1.8400000000000001E-3</v>
      </c>
      <c r="F12" s="10" t="str">
        <f>IF(ISERROR(_xll.qlSwapRateHelperSpread($D12)),IF(ISERROR(_xll.qlFuturesRateHelperConvexityAdjustment($D12)),"--",_xll.qlFuturesRateHelperConvexityAdjustment($D12)),_xll.qlSwapRateHelperSpread($D12))</f>
        <v>--</v>
      </c>
      <c r="G12" s="9">
        <f>_xll.qlRateHelperEarliestDate($D12)</f>
        <v>41737</v>
      </c>
      <c r="H12" s="8">
        <f>_xll.qlRateHelperLatestDate($D12)</f>
        <v>41890</v>
      </c>
      <c r="I12" s="3">
        <v>0.99918974540841532</v>
      </c>
    </row>
    <row r="13" spans="1:9" x14ac:dyDescent="0.2">
      <c r="C13" s="89"/>
      <c r="D13" s="11" t="str">
        <v>EUR_YCONRH_EON6M</v>
      </c>
      <c r="E13" s="10">
        <f>_xll.qlRateHelperRate($D13)</f>
        <v>1.7899999999999999E-3</v>
      </c>
      <c r="F13" s="10" t="str">
        <f>IF(ISERROR(_xll.qlSwapRateHelperSpread($D13)),IF(ISERROR(_xll.qlFuturesRateHelperConvexityAdjustment($D13)),"--",_xll.qlFuturesRateHelperConvexityAdjustment($D13)),_xll.qlSwapRateHelperSpread($D13))</f>
        <v>--</v>
      </c>
      <c r="G13" s="9">
        <f>_xll.qlRateHelperEarliestDate($D13)</f>
        <v>41737</v>
      </c>
      <c r="H13" s="8">
        <f>_xll.qlRateHelperLatestDate($D13)</f>
        <v>41920</v>
      </c>
      <c r="I13" s="3">
        <v>0.99906204858028735</v>
      </c>
    </row>
    <row r="14" spans="1:9" x14ac:dyDescent="0.2">
      <c r="C14" s="89"/>
      <c r="D14" s="11" t="str">
        <v>EUR_YCONRH_EON7M</v>
      </c>
      <c r="E14" s="10">
        <f>_xll.qlRateHelperRate($D14)</f>
        <v>1.7399999999999998E-3</v>
      </c>
      <c r="F14" s="10" t="str">
        <f>IF(ISERROR(_xll.qlSwapRateHelperSpread($D14)),IF(ISERROR(_xll.qlFuturesRateHelperConvexityAdjustment($D14)),"--",_xll.qlFuturesRateHelperConvexityAdjustment($D14)),_xll.qlSwapRateHelperSpread($D14))</f>
        <v>--</v>
      </c>
      <c r="G14" s="9">
        <f>_xll.qlRateHelperEarliestDate($D14)</f>
        <v>41737</v>
      </c>
      <c r="H14" s="8">
        <f>_xll.qlRateHelperLatestDate($D14)</f>
        <v>41953</v>
      </c>
      <c r="I14" s="3">
        <v>0.99892823071645664</v>
      </c>
    </row>
    <row r="15" spans="1:9" x14ac:dyDescent="0.2">
      <c r="C15" s="89"/>
      <c r="D15" s="11" t="str">
        <v>EUR_YCONRH_EON8M</v>
      </c>
      <c r="E15" s="10">
        <f>_xll.qlRateHelperRate($D15)</f>
        <v>1.6899999999999999E-3</v>
      </c>
      <c r="F15" s="10" t="str">
        <f>IF(ISERROR(_xll.qlSwapRateHelperSpread($D15)),IF(ISERROR(_xll.qlFuturesRateHelperConvexityAdjustment($D15)),"--",_xll.qlFuturesRateHelperConvexityAdjustment($D15)),_xll.qlSwapRateHelperSpread($D15))</f>
        <v>--</v>
      </c>
      <c r="G15" s="9">
        <f>_xll.qlRateHelperEarliestDate($D15)</f>
        <v>41737</v>
      </c>
      <c r="H15" s="8">
        <f>_xll.qlRateHelperLatestDate($D15)</f>
        <v>41981</v>
      </c>
      <c r="I15" s="3">
        <v>0.99882701093868398</v>
      </c>
    </row>
    <row r="16" spans="1:9" x14ac:dyDescent="0.2">
      <c r="C16" s="89"/>
      <c r="D16" s="11" t="str">
        <v>EUR_YCONRH_EON9M</v>
      </c>
      <c r="E16" s="10">
        <f>_xll.qlRateHelperRate($D16)</f>
        <v>1.6799999999999999E-3</v>
      </c>
      <c r="F16" s="10" t="str">
        <f>IF(ISERROR(_xll.qlSwapRateHelperSpread($D16)),IF(ISERROR(_xll.qlFuturesRateHelperConvexityAdjustment($D16)),"--",_xll.qlFuturesRateHelperConvexityAdjustment($D16)),_xll.qlSwapRateHelperSpread($D16))</f>
        <v>--</v>
      </c>
      <c r="G16" s="9">
        <f>_xll.qlRateHelperEarliestDate($D16)</f>
        <v>41737</v>
      </c>
      <c r="H16" s="8">
        <f>_xll.qlRateHelperLatestDate($D16)</f>
        <v>42012</v>
      </c>
      <c r="I16" s="3">
        <v>0.99868946031525341</v>
      </c>
    </row>
    <row r="17" spans="3:9" x14ac:dyDescent="0.2">
      <c r="C17" s="89"/>
      <c r="D17" s="11" t="str">
        <v>EUR_YCONRH_EON10M</v>
      </c>
      <c r="E17" s="10">
        <f>_xll.qlRateHelperRate($D17)</f>
        <v>1.65E-3</v>
      </c>
      <c r="F17" s="10" t="str">
        <f>IF(ISERROR(_xll.qlSwapRateHelperSpread($D17)),IF(ISERROR(_xll.qlFuturesRateHelperConvexityAdjustment($D17)),"--",_xll.qlFuturesRateHelperConvexityAdjustment($D17)),_xll.qlSwapRateHelperSpread($D17))</f>
        <v>--</v>
      </c>
      <c r="G17" s="9">
        <f>_xll.qlRateHelperEarliestDate($D17)</f>
        <v>41737</v>
      </c>
      <c r="H17" s="8">
        <f>_xll.qlRateHelperLatestDate($D17)</f>
        <v>42044</v>
      </c>
      <c r="I17" s="3">
        <v>0.9985660461485566</v>
      </c>
    </row>
    <row r="18" spans="3:9" x14ac:dyDescent="0.2">
      <c r="C18" s="89"/>
      <c r="D18" s="11" t="str">
        <v>EUR_YCONRH_EON11M</v>
      </c>
      <c r="E18" s="10">
        <f>_xll.qlRateHelperRate($D18)</f>
        <v>1.6300000000000002E-3</v>
      </c>
      <c r="F18" s="10" t="str">
        <f>IF(ISERROR(_xll.qlSwapRateHelperSpread($D18)),IF(ISERROR(_xll.qlFuturesRateHelperConvexityAdjustment($D18)),"--",_xll.qlFuturesRateHelperConvexityAdjustment($D18)),_xll.qlSwapRateHelperSpread($D18))</f>
        <v>--</v>
      </c>
      <c r="G18" s="9">
        <f>_xll.qlRateHelperEarliestDate($D18)</f>
        <v>41737</v>
      </c>
      <c r="H18" s="8">
        <f>_xll.qlRateHelperLatestDate($D18)</f>
        <v>42072</v>
      </c>
      <c r="I18" s="3">
        <v>0.99845664719987048</v>
      </c>
    </row>
    <row r="19" spans="3:9" x14ac:dyDescent="0.2">
      <c r="C19" s="89"/>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41737</v>
      </c>
      <c r="H19" s="8">
        <f>_xll.qlRateHelperLatestDate($D19)</f>
        <v>42102</v>
      </c>
      <c r="I19" s="3">
        <v>0.99833135254277316</v>
      </c>
    </row>
    <row r="20" spans="3:9" x14ac:dyDescent="0.2">
      <c r="C20" s="89"/>
      <c r="D20" s="11" t="str">
        <v>EUR_YCONRH_EON15M</v>
      </c>
      <c r="E20" s="10">
        <f>_xll.qlRateHelperRate($D20)</f>
        <v>1.6200000000000001E-3</v>
      </c>
      <c r="F20" s="10" t="str">
        <f>IF(ISERROR(_xll.qlSwapRateHelperSpread($D20)),IF(ISERROR(_xll.qlFuturesRateHelperConvexityAdjustment($D20)),"--",_xll.qlFuturesRateHelperConvexityAdjustment($D20)),_xll.qlSwapRateHelperSpread($D20))</f>
        <v>--</v>
      </c>
      <c r="G20" s="9">
        <f>_xll.qlRateHelperEarliestDate($D20)</f>
        <v>41737</v>
      </c>
      <c r="H20" s="8">
        <f>_xll.qlRateHelperLatestDate($D20)</f>
        <v>42193</v>
      </c>
      <c r="I20" s="3">
        <v>0.99792270319588128</v>
      </c>
    </row>
    <row r="21" spans="3:9" x14ac:dyDescent="0.2">
      <c r="C21" s="89"/>
      <c r="D21" s="11" t="str">
        <v>EUR_YCONRH_EON18M</v>
      </c>
      <c r="E21" s="10">
        <f>_xll.qlRateHelperRate($D21)</f>
        <v>1.6799999999999999E-3</v>
      </c>
      <c r="F21" s="10" t="str">
        <f>IF(ISERROR(_xll.qlSwapRateHelperSpread($D21)),IF(ISERROR(_xll.qlFuturesRateHelperConvexityAdjustment($D21)),"--",_xll.qlFuturesRateHelperConvexityAdjustment($D21)),_xll.qlSwapRateHelperSpread($D21))</f>
        <v>--</v>
      </c>
      <c r="G21" s="9">
        <f>_xll.qlRateHelperEarliestDate($D21)</f>
        <v>41737</v>
      </c>
      <c r="H21" s="8">
        <f>_xll.qlRateHelperLatestDate($D21)</f>
        <v>42285</v>
      </c>
      <c r="I21" s="3">
        <v>0.99741882504224078</v>
      </c>
    </row>
    <row r="22" spans="3:9" x14ac:dyDescent="0.2">
      <c r="C22" s="89"/>
      <c r="D22" s="11" t="str">
        <v>EUR_YCONRH_EON21M</v>
      </c>
      <c r="E22" s="10">
        <f>_xll.qlRateHelperRate($D22)</f>
        <v>1.7799999999999999E-3</v>
      </c>
      <c r="F22" s="10" t="str">
        <f>IF(ISERROR(_xll.qlSwapRateHelperSpread($D22)),IF(ISERROR(_xll.qlFuturesRateHelperConvexityAdjustment($D22)),"--",_xll.qlFuturesRateHelperConvexityAdjustment($D22)),_xll.qlSwapRateHelperSpread($D22))</f>
        <v>--</v>
      </c>
      <c r="G22" s="9">
        <f>_xll.qlRateHelperEarliestDate($D22)</f>
        <v>41737</v>
      </c>
      <c r="H22" s="8">
        <f>_xll.qlRateHelperLatestDate($D22)</f>
        <v>42377</v>
      </c>
      <c r="I22" s="3">
        <v>0.99681401085027488</v>
      </c>
    </row>
    <row r="23" spans="3:9" x14ac:dyDescent="0.2">
      <c r="C23" s="89"/>
      <c r="D23" s="11" t="str">
        <v>EUR_YCONRH_EON2Y</v>
      </c>
      <c r="E23" s="10">
        <f>_xll.qlRateHelperRate($D23)</f>
        <v>1.92E-3</v>
      </c>
      <c r="F23" s="10" t="str">
        <f>IF(ISERROR(_xll.qlSwapRateHelperSpread($D23)),IF(ISERROR(_xll.qlFuturesRateHelperConvexityAdjustment($D23)),"--",_xll.qlFuturesRateHelperConvexityAdjustment($D23)),_xll.qlSwapRateHelperSpread($D23))</f>
        <v>--</v>
      </c>
      <c r="G23" s="9">
        <f>_xll.qlRateHelperEarliestDate($D23)</f>
        <v>41737</v>
      </c>
      <c r="H23" s="8">
        <f>_xll.qlRateHelperLatestDate($D23)</f>
        <v>42468</v>
      </c>
      <c r="I23" s="3">
        <v>0.996083338745817</v>
      </c>
    </row>
    <row r="24" spans="3:9" x14ac:dyDescent="0.2">
      <c r="C24" s="89"/>
      <c r="D24" s="11" t="str">
        <v>EUR_YCONRH_EON3Y</v>
      </c>
      <c r="E24" s="10">
        <f>_xll.qlRateHelperRate($D24)</f>
        <v>2.9600000000000004E-3</v>
      </c>
      <c r="F24" s="10" t="str">
        <f>IF(ISERROR(_xll.qlSwapRateHelperSpread($D24)),IF(ISERROR(_xll.qlFuturesRateHelperConvexityAdjustment($D24)),"--",_xll.qlFuturesRateHelperConvexityAdjustment($D24)),_xll.qlSwapRateHelperSpread($D24))</f>
        <v>--</v>
      </c>
      <c r="G24" s="9">
        <f>_xll.qlRateHelperEarliestDate($D24)</f>
        <v>41737</v>
      </c>
      <c r="H24" s="8">
        <f>_xll.qlRateHelperLatestDate($D24)</f>
        <v>42835</v>
      </c>
      <c r="I24" s="3">
        <v>0.99098710304230309</v>
      </c>
    </row>
    <row r="25" spans="3:9" x14ac:dyDescent="0.2">
      <c r="C25" s="89"/>
      <c r="D25" s="11" t="str">
        <v>EUR_YCONRH_EON4Y</v>
      </c>
      <c r="E25" s="10">
        <f>_xll.qlRateHelperRate($D25)</f>
        <v>4.5399999999999998E-3</v>
      </c>
      <c r="F25" s="10" t="str">
        <f>IF(ISERROR(_xll.qlSwapRateHelperSpread($D25)),IF(ISERROR(_xll.qlFuturesRateHelperConvexityAdjustment($D25)),"--",_xll.qlFuturesRateHelperConvexityAdjustment($D25)),_xll.qlSwapRateHelperSpread($D25))</f>
        <v>--</v>
      </c>
      <c r="G25" s="9">
        <f>_xll.qlRateHelperEarliestDate($D25)</f>
        <v>41737</v>
      </c>
      <c r="H25" s="8">
        <f>_xll.qlRateHelperLatestDate($D25)</f>
        <v>43199</v>
      </c>
      <c r="I25" s="3">
        <v>0.98168521342560822</v>
      </c>
    </row>
    <row r="26" spans="3:9" x14ac:dyDescent="0.2">
      <c r="C26" s="89"/>
      <c r="D26" s="11" t="str">
        <v>EUR_YCONRH_EON5Y</v>
      </c>
      <c r="E26" s="10">
        <f>_xll.qlRateHelperRate($D26)</f>
        <v>6.3200000000000001E-3</v>
      </c>
      <c r="F26" s="10" t="str">
        <f>IF(ISERROR(_xll.qlSwapRateHelperSpread($D26)),IF(ISERROR(_xll.qlFuturesRateHelperConvexityAdjustment($D26)),"--",_xll.qlFuturesRateHelperConvexityAdjustment($D26)),_xll.qlSwapRateHelperSpread($D26))</f>
        <v>--</v>
      </c>
      <c r="G26" s="9">
        <f>_xll.qlRateHelperEarliestDate($D26)</f>
        <v>41737</v>
      </c>
      <c r="H26" s="8">
        <f>_xll.qlRateHelperLatestDate($D26)</f>
        <v>43563</v>
      </c>
      <c r="I26" s="3">
        <v>0.96832802115395944</v>
      </c>
    </row>
    <row r="27" spans="3:9" x14ac:dyDescent="0.2">
      <c r="C27" s="89"/>
      <c r="D27" s="11" t="str">
        <v>EUR_YCONRH_EON6Y</v>
      </c>
      <c r="E27" s="10">
        <f>_xll.qlRateHelperRate($D27)</f>
        <v>8.1499999999999993E-3</v>
      </c>
      <c r="F27" s="10" t="str">
        <f>IF(ISERROR(_xll.qlSwapRateHelperSpread($D27)),IF(ISERROR(_xll.qlFuturesRateHelperConvexityAdjustment($D27)),"--",_xll.qlFuturesRateHelperConvexityAdjustment($D27)),_xll.qlSwapRateHelperSpread($D27))</f>
        <v>--</v>
      </c>
      <c r="G27" s="9">
        <f>_xll.qlRateHelperEarliestDate($D27)</f>
        <v>41737</v>
      </c>
      <c r="H27" s="8">
        <f>_xll.qlRateHelperLatestDate($D27)</f>
        <v>43929</v>
      </c>
      <c r="I27" s="3">
        <v>0.95128336851619433</v>
      </c>
    </row>
    <row r="28" spans="3:9" x14ac:dyDescent="0.2">
      <c r="C28" s="89"/>
      <c r="D28" s="11" t="str">
        <v>EUR_YCONRH_EON7Y</v>
      </c>
      <c r="E28" s="10">
        <f>_xll.qlRateHelperRate($D28)</f>
        <v>9.9699999999999997E-3</v>
      </c>
      <c r="F28" s="10" t="str">
        <f>IF(ISERROR(_xll.qlSwapRateHelperSpread($D28)),IF(ISERROR(_xll.qlFuturesRateHelperConvexityAdjustment($D28)),"--",_xll.qlFuturesRateHelperConvexityAdjustment($D28)),_xll.qlSwapRateHelperSpread($D28))</f>
        <v>--</v>
      </c>
      <c r="G28" s="9">
        <f>_xll.qlRateHelperEarliestDate($D28)</f>
        <v>41737</v>
      </c>
      <c r="H28" s="8">
        <f>_xll.qlRateHelperLatestDate($D28)</f>
        <v>44294</v>
      </c>
      <c r="I28" s="3">
        <v>0.9309997827352261</v>
      </c>
    </row>
    <row r="29" spans="3:9" x14ac:dyDescent="0.2">
      <c r="C29" s="89"/>
      <c r="D29" s="11" t="str">
        <v>EUR_YCONRH_EON8Y</v>
      </c>
      <c r="E29" s="10">
        <f>_xll.qlRateHelperRate($D29)</f>
        <v>1.1690000000000001E-2</v>
      </c>
      <c r="F29" s="10" t="str">
        <f>IF(ISERROR(_xll.qlSwapRateHelperSpread($D29)),IF(ISERROR(_xll.qlFuturesRateHelperConvexityAdjustment($D29)),"--",_xll.qlFuturesRateHelperConvexityAdjustment($D29)),_xll.qlSwapRateHelperSpread($D29))</f>
        <v>--</v>
      </c>
      <c r="G29" s="9">
        <f>_xll.qlRateHelperEarliestDate($D29)</f>
        <v>41737</v>
      </c>
      <c r="H29" s="8">
        <f>_xll.qlRateHelperLatestDate($D29)</f>
        <v>44659</v>
      </c>
      <c r="I29" s="3">
        <v>0.90833510220204861</v>
      </c>
    </row>
    <row r="30" spans="3:9" x14ac:dyDescent="0.2">
      <c r="C30" s="89"/>
      <c r="D30" s="11" t="str">
        <v>EUR_YCONRH_EON9Y</v>
      </c>
      <c r="E30" s="10">
        <f>_xll.qlRateHelperRate($D30)</f>
        <v>1.3269999999999999E-2</v>
      </c>
      <c r="F30" s="10" t="str">
        <f>IF(ISERROR(_xll.qlSwapRateHelperSpread($D30)),IF(ISERROR(_xll.qlFuturesRateHelperConvexityAdjustment($D30)),"--",_xll.qlFuturesRateHelperConvexityAdjustment($D30)),_xll.qlSwapRateHelperSpread($D30))</f>
        <v>--</v>
      </c>
      <c r="G30" s="9">
        <f>_xll.qlRateHelperEarliestDate($D30)</f>
        <v>41737</v>
      </c>
      <c r="H30" s="8">
        <f>_xll.qlRateHelperLatestDate($D30)</f>
        <v>45027</v>
      </c>
      <c r="I30" s="3">
        <v>0.88395893433196226</v>
      </c>
    </row>
    <row r="31" spans="3:9" x14ac:dyDescent="0.2">
      <c r="C31" s="89"/>
      <c r="D31" s="11" t="str">
        <v>EUR_YCONRH_EON10Y</v>
      </c>
      <c r="E31" s="10">
        <f>_xll.qlRateHelperRate($D31)</f>
        <v>1.4689999999999998E-2</v>
      </c>
      <c r="F31" s="10" t="str">
        <f>IF(ISERROR(_xll.qlSwapRateHelperSpread($D31)),IF(ISERROR(_xll.qlFuturesRateHelperConvexityAdjustment($D31)),"--",_xll.qlFuturesRateHelperConvexityAdjustment($D31)),_xll.qlSwapRateHelperSpread($D31))</f>
        <v>--</v>
      </c>
      <c r="G31" s="9">
        <f>_xll.qlRateHelperEarliestDate($D31)</f>
        <v>41737</v>
      </c>
      <c r="H31" s="8">
        <f>_xll.qlRateHelperLatestDate($D31)</f>
        <v>45390</v>
      </c>
      <c r="I31" s="3">
        <v>0.85882341934520312</v>
      </c>
    </row>
    <row r="32" spans="3:9" x14ac:dyDescent="0.2">
      <c r="C32" s="89"/>
      <c r="D32" s="11" t="str">
        <v>EUR_YCONRH_EON11Y</v>
      </c>
      <c r="E32" s="10">
        <f>_xll.qlRateHelperRate($D32)</f>
        <v>1.5979999999999998E-2</v>
      </c>
      <c r="F32" s="10" t="str">
        <f>IF(ISERROR(_xll.qlSwapRateHelperSpread($D32)),IF(ISERROR(_xll.qlFuturesRateHelperConvexityAdjustment($D32)),"--",_xll.qlFuturesRateHelperConvexityAdjustment($D32)),_xll.qlSwapRateHelperSpread($D32))</f>
        <v>--</v>
      </c>
      <c r="G32" s="9">
        <f>_xll.qlRateHelperEarliestDate($D32)</f>
        <v>41737</v>
      </c>
      <c r="H32" s="8">
        <f>_xll.qlRateHelperLatestDate($D32)</f>
        <v>45755</v>
      </c>
      <c r="I32" s="3">
        <v>0.83293341637498131</v>
      </c>
    </row>
    <row r="33" spans="3:9" x14ac:dyDescent="0.2">
      <c r="C33" s="89"/>
      <c r="D33" s="11" t="str">
        <v>EUR_YCONRH_EON12Y</v>
      </c>
      <c r="E33" s="10">
        <f>_xll.qlRateHelperRate($D33)</f>
        <v>1.711E-2</v>
      </c>
      <c r="F33" s="10" t="str">
        <f>IF(ISERROR(_xll.qlSwapRateHelperSpread($D33)),IF(ISERROR(_xll.qlFuturesRateHelperConvexityAdjustment($D33)),"--",_xll.qlFuturesRateHelperConvexityAdjustment($D33)),_xll.qlSwapRateHelperSpread($D33))</f>
        <v>--</v>
      </c>
      <c r="G33" s="9">
        <f>_xll.qlRateHelperEarliestDate($D33)</f>
        <v>41737</v>
      </c>
      <c r="H33" s="8">
        <f>_xll.qlRateHelperLatestDate($D33)</f>
        <v>46120</v>
      </c>
      <c r="I33" s="3">
        <v>0.80711998828704645</v>
      </c>
    </row>
    <row r="34" spans="3:9" x14ac:dyDescent="0.2">
      <c r="C34" s="89"/>
      <c r="D34" s="11" t="str">
        <v>EUR_YCONRH_EON15Y</v>
      </c>
      <c r="E34" s="10">
        <f>_xll.qlRateHelperRate($D34)</f>
        <v>1.9689999999999999E-2</v>
      </c>
      <c r="F34" s="10" t="str">
        <f>IF(ISERROR(_xll.qlSwapRateHelperSpread($D34)),IF(ISERROR(_xll.qlFuturesRateHelperConvexityAdjustment($D34)),"--",_xll.qlFuturesRateHelperConvexityAdjustment($D34)),_xll.qlSwapRateHelperSpread($D34))</f>
        <v>--</v>
      </c>
      <c r="G34" s="9">
        <f>_xll.qlRateHelperEarliestDate($D34)</f>
        <v>41737</v>
      </c>
      <c r="H34" s="8">
        <f>_xll.qlRateHelperLatestDate($D34)</f>
        <v>47217</v>
      </c>
      <c r="I34" s="3">
        <v>0.73262534444896543</v>
      </c>
    </row>
    <row r="35" spans="3:9" x14ac:dyDescent="0.2">
      <c r="C35" s="89"/>
      <c r="D35" s="11" t="str">
        <v>EUR_YCONRH_EON20Y</v>
      </c>
      <c r="E35" s="10">
        <f>_xll.qlRateHelperRate($D35)</f>
        <v>2.1770000000000001E-2</v>
      </c>
      <c r="F35" s="10" t="str">
        <f>IF(ISERROR(_xll.qlSwapRateHelperSpread($D35)),IF(ISERROR(_xll.qlFuturesRateHelperConvexityAdjustment($D35)),"--",_xll.qlFuturesRateHelperConvexityAdjustment($D35)),_xll.qlSwapRateHelperSpread($D35))</f>
        <v>--</v>
      </c>
      <c r="G35" s="9">
        <f>_xll.qlRateHelperEarliestDate($D35)</f>
        <v>41737</v>
      </c>
      <c r="H35" s="8">
        <f>_xll.qlRateHelperLatestDate($D35)</f>
        <v>49045</v>
      </c>
      <c r="I35" s="3">
        <v>0.63041558097353301</v>
      </c>
    </row>
    <row r="36" spans="3:9" x14ac:dyDescent="0.2">
      <c r="C36" s="89"/>
      <c r="D36" s="11" t="str">
        <v>EUR_YCONRH_EON25Y</v>
      </c>
      <c r="E36" s="10">
        <f>_xll.qlRateHelperRate($D36)</f>
        <v>2.2540000000000001E-2</v>
      </c>
      <c r="F36" s="10" t="str">
        <f>IF(ISERROR(_xll.qlSwapRateHelperSpread($D36)),IF(ISERROR(_xll.qlFuturesRateHelperConvexityAdjustment($D36)),"--",_xll.qlFuturesRateHelperConvexityAdjustment($D36)),_xll.qlSwapRateHelperSpread($D36))</f>
        <v>--</v>
      </c>
      <c r="G36" s="9">
        <f>_xll.qlRateHelperEarliestDate($D36)</f>
        <v>41737</v>
      </c>
      <c r="H36" s="8">
        <f>_xll.qlRateHelperLatestDate($D36)</f>
        <v>50872</v>
      </c>
      <c r="I36" s="3">
        <v>0.55086299838826269</v>
      </c>
    </row>
    <row r="37" spans="3:9" x14ac:dyDescent="0.2">
      <c r="C37" s="89"/>
      <c r="D37" s="11" t="str">
        <v>EUR_YCONRH_EON30Y</v>
      </c>
      <c r="E37" s="10">
        <f>_xll.qlRateHelperRate($D37)</f>
        <v>2.282E-2</v>
      </c>
      <c r="F37" s="10" t="str">
        <f>IF(ISERROR(_xll.qlSwapRateHelperSpread($D37)),IF(ISERROR(_xll.qlFuturesRateHelperConvexityAdjustment($D37)),"--",_xll.qlFuturesRateHelperConvexityAdjustment($D37)),_xll.qlSwapRateHelperSpread($D37))</f>
        <v>--</v>
      </c>
      <c r="G37" s="9">
        <f>_xll.qlRateHelperEarliestDate($D37)</f>
        <v>41737</v>
      </c>
      <c r="H37" s="8">
        <f>_xll.qlRateHelperLatestDate($D37)</f>
        <v>52695</v>
      </c>
      <c r="I37" s="3">
        <v>0.48619912956654959</v>
      </c>
    </row>
    <row r="38" spans="3:9" x14ac:dyDescent="0.2">
      <c r="D38" s="11" t="str">
        <v>EUR_YCONRH_EON40Y</v>
      </c>
      <c r="E38" s="10">
        <f>_xll.qlRateHelperRate($D38)</f>
        <v>2.3289999999999998E-2</v>
      </c>
      <c r="F38" s="10" t="str">
        <f>IF(ISERROR(_xll.qlSwapRateHelperSpread($D38)),IF(ISERROR(_xll.qlFuturesRateHelperConvexityAdjustment($D38)),"--",_xll.qlFuturesRateHelperConvexityAdjustment($D38)),_xll.qlSwapRateHelperSpread($D38))</f>
        <v>--</v>
      </c>
      <c r="G38" s="9">
        <f>_xll.qlRateHelperEarliestDate($D38)</f>
        <v>41737</v>
      </c>
      <c r="H38" s="8">
        <f>_xll.qlRateHelperLatestDate($D38)</f>
        <v>56347</v>
      </c>
      <c r="I38" s="3">
        <v>0.37560118540805637</v>
      </c>
    </row>
    <row r="39" spans="3:9" x14ac:dyDescent="0.2">
      <c r="D39" s="11" t="str">
        <v>EUR_YCONRH_EON50Y</v>
      </c>
      <c r="E39" s="10">
        <f>_xll.qlRateHelperRate($D39)</f>
        <v>2.3559999999999998E-2</v>
      </c>
      <c r="F39" s="10" t="str">
        <f>IF(ISERROR(_xll.qlSwapRateHelperSpread($D39)),IF(ISERROR(_xll.qlFuturesRateHelperConvexityAdjustment($D39)),"--",_xll.qlFuturesRateHelperConvexityAdjustment($D39)),_xll.qlSwapRateHelperSpread($D39))</f>
        <v>--</v>
      </c>
      <c r="G39" s="9">
        <f>_xll.qlRateHelperEarliestDate($D39)</f>
        <v>41737</v>
      </c>
      <c r="H39" s="8">
        <f>_xll.qlRateHelperLatestDate($D39)</f>
        <v>60000</v>
      </c>
      <c r="I39" s="3">
        <v>0.29021910674406454</v>
      </c>
    </row>
    <row r="40" spans="3:9" x14ac:dyDescent="0.2">
      <c r="D40" s="11" t="str">
        <v>EUR_YCONRH_EON60Y</v>
      </c>
      <c r="E40" s="10">
        <f>_xll.qlRateHelperRate($D40)</f>
        <v>2.3789999999999999E-2</v>
      </c>
      <c r="F40" s="10" t="str">
        <f>IF(ISERROR(_xll.qlSwapRateHelperSpread($D40)),IF(ISERROR(_xll.qlFuturesRateHelperConvexityAdjustment($D40)),"--",_xll.qlFuturesRateHelperConvexityAdjustment($D40)),_xll.qlSwapRateHelperSpread($D40))</f>
        <v>--</v>
      </c>
      <c r="G40" s="9">
        <f>_xll.qlRateHelperEarliestDate($D40)</f>
        <v>41737</v>
      </c>
      <c r="H40" s="8">
        <f>_xll.qlRateHelperLatestDate($D40)</f>
        <v>63653</v>
      </c>
      <c r="I40" s="3">
        <v>0.22253799442246405</v>
      </c>
    </row>
    <row r="41" spans="3: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election activeCell="F3" sqref="F3"/>
    </sheetView>
  </sheetViews>
  <sheetFormatPr defaultRowHeight="12.75" x14ac:dyDescent="0.2"/>
  <cols>
    <col min="1" max="1" width="3" style="90" customWidth="1"/>
    <col min="2" max="2" width="4.140625" style="90" bestFit="1" customWidth="1"/>
    <col min="3" max="3" width="10" style="90" bestFit="1" customWidth="1"/>
    <col min="4" max="4" width="13.140625" style="90" bestFit="1" customWidth="1"/>
    <col min="5" max="5" width="22" style="90" bestFit="1" customWidth="1"/>
    <col min="6" max="6" width="20.28515625" style="90" bestFit="1" customWidth="1"/>
    <col min="7" max="7" width="54" style="90" customWidth="1"/>
    <col min="8" max="8" width="4.7109375" style="90" customWidth="1"/>
    <col min="9" max="16384" width="9.140625" style="90"/>
  </cols>
  <sheetData>
    <row r="1" spans="1:10" x14ac:dyDescent="0.2">
      <c r="A1" s="119" t="s">
        <v>128</v>
      </c>
      <c r="B1" s="118"/>
      <c r="C1" s="118"/>
      <c r="D1" s="117" t="s">
        <v>110</v>
      </c>
      <c r="E1" s="116" t="str">
        <f>Currency&amp;"_YC"&amp;$D$1&amp;"RH"</f>
        <v>EUR_YCONRH</v>
      </c>
      <c r="F1" s="115"/>
      <c r="G1" s="115"/>
      <c r="H1" s="104"/>
    </row>
    <row r="2" spans="1:10" ht="23.25" customHeight="1" x14ac:dyDescent="0.2">
      <c r="A2" s="110"/>
      <c r="B2" s="114"/>
      <c r="C2" s="114" t="s">
        <v>118</v>
      </c>
      <c r="D2" s="114" t="s">
        <v>117</v>
      </c>
      <c r="E2" s="113" t="str">
        <f>$E$1&amp;"_Deposits.xml"</f>
        <v>EUR_YCONRH_Deposits.xml</v>
      </c>
      <c r="F2" s="112">
        <f ca="1">IF(Serialize,_xll.ohObjectSave(F3,SerializationPath&amp;E2,FileOverwrite,Serialize),"---")</f>
        <v>1</v>
      </c>
      <c r="G2" s="111" t="str">
        <f ca="1">_xll.ohRangeRetrieveError(F2)</f>
        <v/>
      </c>
      <c r="H2" s="104"/>
    </row>
    <row r="3" spans="1:10" x14ac:dyDescent="0.2">
      <c r="A3" s="110"/>
      <c r="B3" s="109" t="s">
        <v>110</v>
      </c>
      <c r="C3" s="108" t="s">
        <v>116</v>
      </c>
      <c r="D3" s="107" t="str">
        <f>Currency&amp;$B3&amp;"D"&amp;QuoteSuffix</f>
        <v>EUROND_Quote</v>
      </c>
      <c r="E3" s="107" t="str">
        <f>$E$1&amp;"_"&amp;$B3&amp;"D"</f>
        <v>EUR_YCONRH_OND</v>
      </c>
      <c r="F3" s="106" t="str">
        <f>_xll.qlDepositRateHelper(E3,D3,C3,Permanent,Trigger,ObjectOverwrite)</f>
        <v>EUR_YCONRH_OND#0001</v>
      </c>
      <c r="G3" s="105" t="str">
        <f>_xll.ohRangeRetrieveError(F3)</f>
        <v/>
      </c>
      <c r="H3" s="104"/>
      <c r="J3" s="90" t="str">
        <f>_xll.ohObjectCallerAddress(D3)</f>
        <v>[EUR_Market.xlsx]Deposits!R5C4</v>
      </c>
    </row>
    <row r="4" spans="1:10" ht="13.5" thickBot="1" x14ac:dyDescent="0.25">
      <c r="A4" s="103"/>
      <c r="B4" s="102"/>
      <c r="C4" s="102"/>
      <c r="D4" s="102"/>
      <c r="E4" s="102"/>
      <c r="F4" s="102"/>
      <c r="G4" s="102"/>
      <c r="H4"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election activeCell="H4" sqref="H4"/>
    </sheetView>
  </sheetViews>
  <sheetFormatPr defaultRowHeight="11.25" x14ac:dyDescent="0.2"/>
  <cols>
    <col min="1" max="1" width="3.7109375" style="115" customWidth="1"/>
    <col min="2" max="2" width="3" style="115" bestFit="1" customWidth="1"/>
    <col min="3" max="3" width="5" style="115" customWidth="1"/>
    <col min="4" max="4" width="3.5703125" style="115" bestFit="1" customWidth="1"/>
    <col min="5" max="5" width="7.85546875" style="115" bestFit="1" customWidth="1"/>
    <col min="6" max="6" width="14.7109375" style="115" bestFit="1" customWidth="1"/>
    <col min="7" max="7" width="19.5703125" style="115" bestFit="1" customWidth="1"/>
    <col min="8" max="8" width="19.85546875" style="139" bestFit="1" customWidth="1"/>
    <col min="9" max="9" width="38.28515625" style="115" customWidth="1"/>
    <col min="10" max="10" width="3" style="115" customWidth="1"/>
    <col min="11" max="16384" width="9.140625" style="115"/>
  </cols>
  <sheetData>
    <row r="1" spans="1:12" x14ac:dyDescent="0.2">
      <c r="A1" s="158" t="s">
        <v>134</v>
      </c>
      <c r="B1" s="157"/>
      <c r="C1" s="157"/>
      <c r="D1" s="157"/>
      <c r="E1" s="156" t="s">
        <v>110</v>
      </c>
      <c r="G1" s="155" t="str">
        <f>Currency&amp;"_YC"&amp;$E$1&amp;"RH"</f>
        <v>EUR_YCONRH</v>
      </c>
      <c r="H1" s="154"/>
      <c r="I1" s="153"/>
      <c r="J1" s="152"/>
    </row>
    <row r="2" spans="1:12" ht="23.25" customHeight="1" x14ac:dyDescent="0.2">
      <c r="A2" s="110"/>
      <c r="B2" s="151"/>
      <c r="C2" s="151"/>
      <c r="D2" s="150"/>
      <c r="E2" s="114" t="s">
        <v>118</v>
      </c>
      <c r="F2" s="114" t="s">
        <v>117</v>
      </c>
      <c r="G2" s="113" t="str">
        <f>$G$1&amp;"_FRAs.xml"</f>
        <v>EUR_YCONRH_FRAs.xml</v>
      </c>
      <c r="H2" s="149">
        <f ca="1">IF(Serialize,_xll.ohObjectSave(H3:H4,SerializationPath&amp;G2,FileOverwrite,Serialize),"---")</f>
        <v>2</v>
      </c>
      <c r="I2" s="148" t="str">
        <f ca="1">_xll.ohRangeRetrieveError(H2)</f>
        <v/>
      </c>
      <c r="J2" s="104"/>
    </row>
    <row r="3" spans="1:12" x14ac:dyDescent="0.2">
      <c r="A3" s="110"/>
      <c r="B3" s="147" t="s">
        <v>133</v>
      </c>
      <c r="C3" s="147" t="s">
        <v>132</v>
      </c>
      <c r="D3" s="146" t="s">
        <v>129</v>
      </c>
      <c r="E3" s="145" t="s">
        <v>116</v>
      </c>
      <c r="F3" s="145" t="str">
        <f>Currency&amp;C3&amp;D3&amp;"_Quote"</f>
        <v>EURTND_Quote</v>
      </c>
      <c r="G3" s="145" t="str">
        <f>$G$1&amp;"_"&amp;$C3&amp;$D3</f>
        <v>EUR_YCONRH_TND</v>
      </c>
      <c r="H3" s="145" t="str">
        <f>_xll.qlFraRateHelper(G3,F3,B3,E3,Permanent,Trigger,ObjectOverwrite)</f>
        <v>EUR_YCONRH_TND#0001</v>
      </c>
      <c r="I3" s="144" t="str">
        <f>_xll.ohRangeRetrieveError(H3)</f>
        <v/>
      </c>
      <c r="J3" s="104"/>
      <c r="L3" s="115" t="str">
        <f>_xll.ohObjectCallerAddress(F3)</f>
        <v>[EUR_Market.xlsx]Deposits!R6C4</v>
      </c>
    </row>
    <row r="4" spans="1:12" x14ac:dyDescent="0.2">
      <c r="A4" s="110"/>
      <c r="B4" s="143" t="s">
        <v>131</v>
      </c>
      <c r="C4" s="143" t="s">
        <v>130</v>
      </c>
      <c r="D4" s="120" t="s">
        <v>129</v>
      </c>
      <c r="E4" s="142" t="s">
        <v>116</v>
      </c>
      <c r="F4" s="142" t="str">
        <f>Currency&amp;C4&amp;D4&amp;"_Quote"</f>
        <v>EURSND_Quote</v>
      </c>
      <c r="G4" s="142" t="str">
        <f>$G$1&amp;"_"&amp;$C4&amp;$D4</f>
        <v>EUR_YCONRH_SND</v>
      </c>
      <c r="H4" s="142" t="str">
        <f>_xll.qlFraRateHelper(G4,F4,B4,E4,Permanent,Trigger,ObjectOverwrite)</f>
        <v>EUR_YCONRH_SND#0001</v>
      </c>
      <c r="I4" s="141" t="str">
        <f>_xll.ohRangeRetrieveError(H4)</f>
        <v/>
      </c>
      <c r="J4" s="104"/>
    </row>
    <row r="5" spans="1:12" ht="12" thickBot="1" x14ac:dyDescent="0.25">
      <c r="A5" s="103"/>
      <c r="B5" s="102"/>
      <c r="C5" s="102"/>
      <c r="D5" s="102"/>
      <c r="E5" s="102"/>
      <c r="F5" s="102"/>
      <c r="G5" s="102"/>
      <c r="H5" s="140"/>
      <c r="I5" s="140"/>
      <c r="J5" s="101"/>
    </row>
    <row r="7" spans="1:12" x14ac:dyDescent="0.2">
      <c r="H7" s="11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workbookViewId="0">
      <selection activeCell="L7" sqref="L7"/>
    </sheetView>
  </sheetViews>
  <sheetFormatPr defaultRowHeight="11.25" x14ac:dyDescent="0.2"/>
  <cols>
    <col min="1" max="1" width="1.7109375" style="91" customWidth="1"/>
    <col min="2" max="2" width="17.28515625" style="91" bestFit="1" customWidth="1"/>
    <col min="3" max="3" width="7.140625" style="91" customWidth="1"/>
    <col min="4" max="6" width="7" style="91" bestFit="1" customWidth="1"/>
    <col min="7" max="7" width="19.28515625" style="91" bestFit="1" customWidth="1"/>
    <col min="8" max="8" width="11" style="91" bestFit="1" customWidth="1"/>
    <col min="9" max="9" width="8" style="91" bestFit="1" customWidth="1"/>
    <col min="10" max="10" width="21.42578125" style="91" bestFit="1" customWidth="1"/>
    <col min="11" max="11" width="23.42578125" style="91" bestFit="1" customWidth="1"/>
    <col min="12" max="12" width="28.5703125" style="92" bestFit="1" customWidth="1"/>
    <col min="13" max="13" width="21" style="91" customWidth="1"/>
    <col min="14" max="14" width="3.7109375" style="91" customWidth="1"/>
    <col min="15" max="15" width="4.28515625" style="91" customWidth="1"/>
    <col min="16" max="17" width="17.28515625" style="91" bestFit="1" customWidth="1"/>
    <col min="18" max="16384" width="9.140625" style="91"/>
  </cols>
  <sheetData>
    <row r="1" spans="1:17" x14ac:dyDescent="0.2">
      <c r="A1" s="158" t="s">
        <v>149</v>
      </c>
      <c r="B1" s="175"/>
      <c r="C1" s="175"/>
      <c r="D1" s="175"/>
      <c r="E1" s="175"/>
      <c r="F1" s="175"/>
      <c r="G1" s="175"/>
      <c r="H1" s="175"/>
      <c r="I1" s="175"/>
      <c r="J1" s="175"/>
      <c r="K1" s="176"/>
      <c r="L1" s="175"/>
      <c r="M1" s="175"/>
      <c r="N1" s="174"/>
    </row>
    <row r="2" spans="1:17" x14ac:dyDescent="0.2">
      <c r="A2" s="96"/>
      <c r="B2" s="99"/>
      <c r="C2" s="99"/>
      <c r="D2" s="99"/>
      <c r="E2" s="99"/>
      <c r="F2" s="99"/>
      <c r="G2" s="99"/>
      <c r="H2" s="99"/>
      <c r="I2" s="99"/>
      <c r="J2" s="93" t="s">
        <v>110</v>
      </c>
      <c r="K2" s="93" t="str">
        <f>Currency&amp;"_YC"&amp;$J$2&amp;"RH"</f>
        <v>EUR_YCONRH</v>
      </c>
      <c r="L2" s="118" t="e">
        <f>NA()</f>
        <v>#N/A</v>
      </c>
      <c r="M2" s="99"/>
      <c r="N2" s="161"/>
    </row>
    <row r="3" spans="1:17" ht="36" customHeight="1" x14ac:dyDescent="0.2">
      <c r="A3" s="96"/>
      <c r="B3" s="98" t="s">
        <v>140</v>
      </c>
      <c r="C3" s="98" t="s">
        <v>144</v>
      </c>
      <c r="D3" s="98"/>
      <c r="E3" s="98"/>
      <c r="F3" s="98" t="s">
        <v>139</v>
      </c>
      <c r="G3" s="98" t="s">
        <v>138</v>
      </c>
      <c r="H3" s="98" t="s">
        <v>137</v>
      </c>
      <c r="I3" s="98" t="s">
        <v>136</v>
      </c>
      <c r="J3" s="98" t="s">
        <v>117</v>
      </c>
      <c r="K3" s="173" t="str">
        <f>K2&amp;"_Swaps.xml"</f>
        <v>EUR_YCONRH_Swaps.xml</v>
      </c>
      <c r="L3" s="172">
        <f ca="1">IF(Serialize,_xll.ohObjectSave(_xll.ohPack(L4:L41),SerializationPath&amp;K3,FileOverwrite,Serialize),"---")</f>
        <v>37</v>
      </c>
      <c r="M3" s="97" t="str">
        <f ca="1">_xll.ohRangeRetrieveError(L3)</f>
        <v/>
      </c>
      <c r="N3" s="161"/>
    </row>
    <row r="4" spans="1:17" x14ac:dyDescent="0.2">
      <c r="A4" s="100"/>
      <c r="B4" s="99"/>
      <c r="C4" s="99"/>
      <c r="D4" s="99"/>
      <c r="E4" s="99"/>
      <c r="F4" s="99"/>
      <c r="G4" s="99"/>
      <c r="H4" s="99"/>
      <c r="I4" s="99"/>
      <c r="J4" s="99"/>
      <c r="K4" s="171" t="str">
        <f>$K$2&amp;"_"&amp;$D6&amp;"_"&amp;FamilyName&amp;$J$2</f>
        <v>EUR_YCONRH_EON_iborON</v>
      </c>
      <c r="L4" s="170" t="str">
        <f>_xll.qlEonia(K4,,Permanent,Trigger,ObjectOverwrite)</f>
        <v>EUR_YCONRH_EON_iborON#0001</v>
      </c>
      <c r="M4" s="169" t="str">
        <f>_xll.ohRangeRetrieveError(L4)</f>
        <v/>
      </c>
      <c r="N4" s="161"/>
    </row>
    <row r="5" spans="1:17" x14ac:dyDescent="0.2">
      <c r="A5" s="100"/>
      <c r="B5" s="99"/>
      <c r="C5" s="99"/>
      <c r="D5" s="99"/>
      <c r="E5" s="99"/>
      <c r="F5" s="99"/>
      <c r="G5" s="99"/>
      <c r="H5" s="99"/>
      <c r="I5" s="99"/>
      <c r="J5" s="99"/>
      <c r="K5" s="99"/>
      <c r="L5" s="99"/>
      <c r="M5" s="99"/>
      <c r="N5" s="161"/>
    </row>
    <row r="6" spans="1:17" x14ac:dyDescent="0.2">
      <c r="A6" s="96"/>
      <c r="B6" s="168"/>
      <c r="C6" s="167" t="s">
        <v>143</v>
      </c>
      <c r="D6" s="168" t="s">
        <v>108</v>
      </c>
      <c r="E6" s="167" t="s">
        <v>61</v>
      </c>
      <c r="F6" s="166" t="s">
        <v>142</v>
      </c>
      <c r="G6" s="166" t="s">
        <v>141</v>
      </c>
      <c r="H6" s="166" t="str">
        <f t="shared" ref="H6:H41" si="0">MoneyMarketDayCounter</f>
        <v>Actual/360</v>
      </c>
      <c r="I6" s="165">
        <v>0</v>
      </c>
      <c r="J6" s="164" t="str">
        <f t="shared" ref="J6:J41" si="1">Currency&amp;$D6&amp;$E6&amp;QuoteSuffix</f>
        <v>EUREONSW_Quote</v>
      </c>
      <c r="K6" s="164" t="str">
        <f t="shared" ref="K6:K41" si="2">$K$2&amp;"_"&amp;$D6&amp;$E6</f>
        <v>EUR_YCONRH_EONSW</v>
      </c>
      <c r="L6" s="163" t="str">
        <f>_xll.qlOISRateHelper(K6,2,C6,J6,$L$4,Permanent,,Trigger,ObjectOverwrite)</f>
        <v>EUR_YCONRH_EONSW#0001</v>
      </c>
      <c r="M6" s="97" t="str">
        <f>_xll.ohRangeRetrieveError(L6)</f>
        <v/>
      </c>
      <c r="N6" s="161"/>
      <c r="P6" s="162" t="str">
        <f>_xll.ohObjectCallerAddress(J6)</f>
        <v>[EUR_Market.xlsx]OIS!R5C6</v>
      </c>
      <c r="Q6" s="162"/>
    </row>
    <row r="7" spans="1:17" x14ac:dyDescent="0.2">
      <c r="A7" s="96"/>
      <c r="B7" s="168"/>
      <c r="C7" s="167" t="s">
        <v>60</v>
      </c>
      <c r="D7" s="168" t="s">
        <v>108</v>
      </c>
      <c r="E7" s="167" t="str">
        <f t="shared" ref="E7:E41" si="3">C7</f>
        <v>2W</v>
      </c>
      <c r="F7" s="166" t="s">
        <v>142</v>
      </c>
      <c r="G7" s="166" t="s">
        <v>141</v>
      </c>
      <c r="H7" s="166" t="str">
        <f t="shared" si="0"/>
        <v>Actual/360</v>
      </c>
      <c r="I7" s="165">
        <v>0</v>
      </c>
      <c r="J7" s="164" t="str">
        <f t="shared" si="1"/>
        <v>EUREON2W_Quote</v>
      </c>
      <c r="K7" s="164" t="str">
        <f t="shared" si="2"/>
        <v>EUR_YCONRH_EON2W</v>
      </c>
      <c r="L7" s="163" t="str">
        <f>_xll.qlOISRateHelper(K7,2,C7,J7,$L$4,Permanent,,Trigger,ObjectOverwrite)</f>
        <v>EUR_YCONRH_EON2W#0001</v>
      </c>
      <c r="M7" s="97" t="str">
        <f>_xll.ohRangeRetrieveError(L7)</f>
        <v/>
      </c>
      <c r="N7" s="161"/>
      <c r="P7" s="162"/>
      <c r="Q7" s="162"/>
    </row>
    <row r="8" spans="1:17" x14ac:dyDescent="0.2">
      <c r="A8" s="96"/>
      <c r="B8" s="168"/>
      <c r="C8" s="167" t="s">
        <v>59</v>
      </c>
      <c r="D8" s="168" t="s">
        <v>108</v>
      </c>
      <c r="E8" s="167" t="str">
        <f t="shared" si="3"/>
        <v>3W</v>
      </c>
      <c r="F8" s="166" t="s">
        <v>142</v>
      </c>
      <c r="G8" s="166" t="s">
        <v>141</v>
      </c>
      <c r="H8" s="166" t="str">
        <f t="shared" si="0"/>
        <v>Actual/360</v>
      </c>
      <c r="I8" s="165">
        <v>0</v>
      </c>
      <c r="J8" s="164" t="str">
        <f t="shared" si="1"/>
        <v>EUREON3W_Quote</v>
      </c>
      <c r="K8" s="164" t="str">
        <f t="shared" si="2"/>
        <v>EUR_YCONRH_EON3W</v>
      </c>
      <c r="L8" s="163" t="str">
        <f>_xll.qlOISRateHelper(K8,2,C8,J8,$L$4,Permanent,,Trigger,ObjectOverwrite)</f>
        <v>EUR_YCONRH_EON3W#0001</v>
      </c>
      <c r="M8" s="97" t="str">
        <f>_xll.ohRangeRetrieveError(L8)</f>
        <v/>
      </c>
      <c r="N8" s="161"/>
      <c r="P8" s="162"/>
      <c r="Q8" s="162"/>
    </row>
    <row r="9" spans="1:17" x14ac:dyDescent="0.2">
      <c r="A9" s="96"/>
      <c r="B9" s="168"/>
      <c r="C9" s="167" t="s">
        <v>58</v>
      </c>
      <c r="D9" s="168" t="s">
        <v>108</v>
      </c>
      <c r="E9" s="167" t="str">
        <f t="shared" si="3"/>
        <v>1M</v>
      </c>
      <c r="F9" s="166" t="s">
        <v>142</v>
      </c>
      <c r="G9" s="166" t="s">
        <v>135</v>
      </c>
      <c r="H9" s="166" t="str">
        <f t="shared" si="0"/>
        <v>Actual/360</v>
      </c>
      <c r="I9" s="165">
        <v>0</v>
      </c>
      <c r="J9" s="164" t="str">
        <f t="shared" si="1"/>
        <v>EUREON1M_Quote</v>
      </c>
      <c r="K9" s="164" t="str">
        <f t="shared" si="2"/>
        <v>EUR_YCONRH_EON1M</v>
      </c>
      <c r="L9" s="163" t="str">
        <f>_xll.qlOISRateHelper(K9,2,C9,J9,$L$4,Permanent,,Trigger,ObjectOverwrite)</f>
        <v>EUR_YCONRH_EON1M#0001</v>
      </c>
      <c r="M9" s="97" t="str">
        <f>_xll.ohRangeRetrieveError(L9)</f>
        <v/>
      </c>
      <c r="N9" s="161"/>
      <c r="P9" s="162"/>
      <c r="Q9" s="162"/>
    </row>
    <row r="10" spans="1:17" x14ac:dyDescent="0.2">
      <c r="A10" s="96"/>
      <c r="B10" s="168"/>
      <c r="C10" s="167" t="s">
        <v>57</v>
      </c>
      <c r="D10" s="168" t="s">
        <v>108</v>
      </c>
      <c r="E10" s="167" t="str">
        <f t="shared" si="3"/>
        <v>2M</v>
      </c>
      <c r="F10" s="166" t="s">
        <v>142</v>
      </c>
      <c r="G10" s="166" t="s">
        <v>135</v>
      </c>
      <c r="H10" s="166" t="str">
        <f t="shared" si="0"/>
        <v>Actual/360</v>
      </c>
      <c r="I10" s="165">
        <v>0</v>
      </c>
      <c r="J10" s="164" t="str">
        <f t="shared" si="1"/>
        <v>EUREON2M_Quote</v>
      </c>
      <c r="K10" s="164" t="str">
        <f t="shared" si="2"/>
        <v>EUR_YCONRH_EON2M</v>
      </c>
      <c r="L10" s="163" t="str">
        <f>_xll.qlOISRateHelper(K10,2,C10,J10,$L$4,Permanent,,Trigger,ObjectOverwrite)</f>
        <v>EUR_YCONRH_EON2M#0001</v>
      </c>
      <c r="M10" s="97" t="str">
        <f>_xll.ohRangeRetrieveError(L10)</f>
        <v/>
      </c>
      <c r="N10" s="161"/>
      <c r="P10" s="162"/>
      <c r="Q10" s="162"/>
    </row>
    <row r="11" spans="1:17" x14ac:dyDescent="0.2">
      <c r="A11" s="96"/>
      <c r="B11" s="168"/>
      <c r="C11" s="167" t="s">
        <v>56</v>
      </c>
      <c r="D11" s="168" t="s">
        <v>108</v>
      </c>
      <c r="E11" s="167" t="str">
        <f t="shared" si="3"/>
        <v>3M</v>
      </c>
      <c r="F11" s="166" t="s">
        <v>142</v>
      </c>
      <c r="G11" s="166" t="s">
        <v>135</v>
      </c>
      <c r="H11" s="166" t="str">
        <f t="shared" si="0"/>
        <v>Actual/360</v>
      </c>
      <c r="I11" s="165">
        <v>0</v>
      </c>
      <c r="J11" s="164" t="str">
        <f t="shared" si="1"/>
        <v>EUREON3M_Quote</v>
      </c>
      <c r="K11" s="164" t="str">
        <f t="shared" si="2"/>
        <v>EUR_YCONRH_EON3M</v>
      </c>
      <c r="L11" s="163" t="str">
        <f>_xll.qlOISRateHelper(K11,2,C11,J11,$L$4,Permanent,,Trigger,ObjectOverwrite)</f>
        <v>EUR_YCONRH_EON3M#0001</v>
      </c>
      <c r="M11" s="97" t="str">
        <f>_xll.ohRangeRetrieveError(L11)</f>
        <v/>
      </c>
      <c r="N11" s="161"/>
      <c r="P11" s="162"/>
      <c r="Q11" s="162"/>
    </row>
    <row r="12" spans="1:17" x14ac:dyDescent="0.2">
      <c r="A12" s="96"/>
      <c r="B12" s="168"/>
      <c r="C12" s="167" t="s">
        <v>55</v>
      </c>
      <c r="D12" s="168" t="s">
        <v>108</v>
      </c>
      <c r="E12" s="167" t="str">
        <f t="shared" si="3"/>
        <v>4M</v>
      </c>
      <c r="F12" s="166" t="s">
        <v>142</v>
      </c>
      <c r="G12" s="166" t="s">
        <v>135</v>
      </c>
      <c r="H12" s="166" t="str">
        <f t="shared" si="0"/>
        <v>Actual/360</v>
      </c>
      <c r="I12" s="165">
        <v>0</v>
      </c>
      <c r="J12" s="164" t="str">
        <f t="shared" si="1"/>
        <v>EUREON4M_Quote</v>
      </c>
      <c r="K12" s="164" t="str">
        <f t="shared" si="2"/>
        <v>EUR_YCONRH_EON4M</v>
      </c>
      <c r="L12" s="163" t="str">
        <f>_xll.qlOISRateHelper(K12,2,C12,J12,$L$4,Permanent,,Trigger,ObjectOverwrite)</f>
        <v>EUR_YCONRH_EON4M#0001</v>
      </c>
      <c r="M12" s="97" t="str">
        <f>_xll.ohRangeRetrieveError(L12)</f>
        <v/>
      </c>
      <c r="N12" s="161"/>
      <c r="P12" s="162"/>
      <c r="Q12" s="162"/>
    </row>
    <row r="13" spans="1:17" x14ac:dyDescent="0.2">
      <c r="A13" s="96"/>
      <c r="B13" s="168"/>
      <c r="C13" s="167" t="s">
        <v>54</v>
      </c>
      <c r="D13" s="168" t="s">
        <v>108</v>
      </c>
      <c r="E13" s="167" t="str">
        <f t="shared" si="3"/>
        <v>5M</v>
      </c>
      <c r="F13" s="166" t="s">
        <v>142</v>
      </c>
      <c r="G13" s="166" t="s">
        <v>135</v>
      </c>
      <c r="H13" s="166" t="str">
        <f t="shared" si="0"/>
        <v>Actual/360</v>
      </c>
      <c r="I13" s="165">
        <v>0</v>
      </c>
      <c r="J13" s="164" t="str">
        <f t="shared" si="1"/>
        <v>EUREON5M_Quote</v>
      </c>
      <c r="K13" s="164" t="str">
        <f t="shared" si="2"/>
        <v>EUR_YCONRH_EON5M</v>
      </c>
      <c r="L13" s="163" t="str">
        <f>_xll.qlOISRateHelper(K13,2,C13,J13,$L$4,Permanent,,Trigger,ObjectOverwrite)</f>
        <v>EUR_YCONRH_EON5M#0001</v>
      </c>
      <c r="M13" s="97" t="str">
        <f>_xll.ohRangeRetrieveError(L13)</f>
        <v/>
      </c>
      <c r="N13" s="161"/>
      <c r="P13" s="162"/>
      <c r="Q13" s="162"/>
    </row>
    <row r="14" spans="1:17" x14ac:dyDescent="0.2">
      <c r="A14" s="96"/>
      <c r="B14" s="168"/>
      <c r="C14" s="167" t="s">
        <v>53</v>
      </c>
      <c r="D14" s="168" t="s">
        <v>108</v>
      </c>
      <c r="E14" s="167" t="str">
        <f t="shared" si="3"/>
        <v>6M</v>
      </c>
      <c r="F14" s="166" t="s">
        <v>142</v>
      </c>
      <c r="G14" s="166" t="s">
        <v>135</v>
      </c>
      <c r="H14" s="166" t="str">
        <f t="shared" si="0"/>
        <v>Actual/360</v>
      </c>
      <c r="I14" s="165">
        <v>0</v>
      </c>
      <c r="J14" s="164" t="str">
        <f t="shared" si="1"/>
        <v>EUREON6M_Quote</v>
      </c>
      <c r="K14" s="164" t="str">
        <f t="shared" si="2"/>
        <v>EUR_YCONRH_EON6M</v>
      </c>
      <c r="L14" s="163" t="str">
        <f>_xll.qlOISRateHelper(K14,2,C14,J14,$L$4,Permanent,,Trigger,ObjectOverwrite)</f>
        <v>EUR_YCONRH_EON6M#0001</v>
      </c>
      <c r="M14" s="97" t="str">
        <f>_xll.ohRangeRetrieveError(L14)</f>
        <v/>
      </c>
      <c r="N14" s="161"/>
      <c r="P14" s="162"/>
      <c r="Q14" s="162"/>
    </row>
    <row r="15" spans="1:17" x14ac:dyDescent="0.2">
      <c r="A15" s="96"/>
      <c r="B15" s="168"/>
      <c r="C15" s="167" t="s">
        <v>52</v>
      </c>
      <c r="D15" s="168" t="s">
        <v>108</v>
      </c>
      <c r="E15" s="167" t="str">
        <f t="shared" si="3"/>
        <v>7M</v>
      </c>
      <c r="F15" s="166" t="s">
        <v>142</v>
      </c>
      <c r="G15" s="166" t="s">
        <v>135</v>
      </c>
      <c r="H15" s="166" t="str">
        <f t="shared" si="0"/>
        <v>Actual/360</v>
      </c>
      <c r="I15" s="165">
        <v>0</v>
      </c>
      <c r="J15" s="164" t="str">
        <f t="shared" si="1"/>
        <v>EUREON7M_Quote</v>
      </c>
      <c r="K15" s="164" t="str">
        <f t="shared" si="2"/>
        <v>EUR_YCONRH_EON7M</v>
      </c>
      <c r="L15" s="163" t="str">
        <f>_xll.qlOISRateHelper(K15,2,C15,J15,$L$4,Permanent,,Trigger,ObjectOverwrite)</f>
        <v>EUR_YCONRH_EON7M#0001</v>
      </c>
      <c r="M15" s="97" t="str">
        <f>_xll.ohRangeRetrieveError(L15)</f>
        <v/>
      </c>
      <c r="N15" s="161"/>
      <c r="P15" s="162"/>
      <c r="Q15" s="162"/>
    </row>
    <row r="16" spans="1:17" x14ac:dyDescent="0.2">
      <c r="A16" s="96"/>
      <c r="B16" s="168"/>
      <c r="C16" s="167" t="s">
        <v>51</v>
      </c>
      <c r="D16" s="168" t="s">
        <v>108</v>
      </c>
      <c r="E16" s="167" t="str">
        <f t="shared" si="3"/>
        <v>8M</v>
      </c>
      <c r="F16" s="166" t="s">
        <v>142</v>
      </c>
      <c r="G16" s="166" t="s">
        <v>135</v>
      </c>
      <c r="H16" s="166" t="str">
        <f t="shared" si="0"/>
        <v>Actual/360</v>
      </c>
      <c r="I16" s="165">
        <v>0</v>
      </c>
      <c r="J16" s="164" t="str">
        <f t="shared" si="1"/>
        <v>EUREON8M_Quote</v>
      </c>
      <c r="K16" s="164" t="str">
        <f t="shared" si="2"/>
        <v>EUR_YCONRH_EON8M</v>
      </c>
      <c r="L16" s="163" t="str">
        <f>_xll.qlOISRateHelper(K16,2,C16,J16,$L$4,Permanent,,Trigger,ObjectOverwrite)</f>
        <v>EUR_YCONRH_EON8M#0001</v>
      </c>
      <c r="M16" s="97" t="str">
        <f>_xll.ohRangeRetrieveError(L16)</f>
        <v/>
      </c>
      <c r="N16" s="161"/>
      <c r="P16" s="162"/>
      <c r="Q16" s="162"/>
    </row>
    <row r="17" spans="1:17" x14ac:dyDescent="0.2">
      <c r="A17" s="96"/>
      <c r="B17" s="168"/>
      <c r="C17" s="167" t="s">
        <v>50</v>
      </c>
      <c r="D17" s="168" t="s">
        <v>108</v>
      </c>
      <c r="E17" s="167" t="str">
        <f t="shared" si="3"/>
        <v>9M</v>
      </c>
      <c r="F17" s="166" t="s">
        <v>142</v>
      </c>
      <c r="G17" s="166" t="s">
        <v>135</v>
      </c>
      <c r="H17" s="166" t="str">
        <f t="shared" si="0"/>
        <v>Actual/360</v>
      </c>
      <c r="I17" s="165">
        <v>0</v>
      </c>
      <c r="J17" s="164" t="str">
        <f t="shared" si="1"/>
        <v>EUREON9M_Quote</v>
      </c>
      <c r="K17" s="164" t="str">
        <f t="shared" si="2"/>
        <v>EUR_YCONRH_EON9M</v>
      </c>
      <c r="L17" s="163" t="str">
        <f>_xll.qlOISRateHelper(K17,2,C17,J17,$L$4,Permanent,,Trigger,ObjectOverwrite)</f>
        <v>EUR_YCONRH_EON9M#0001</v>
      </c>
      <c r="M17" s="97" t="str">
        <f>_xll.ohRangeRetrieveError(L17)</f>
        <v/>
      </c>
      <c r="N17" s="161"/>
      <c r="P17" s="162"/>
      <c r="Q17" s="162"/>
    </row>
    <row r="18" spans="1:17" x14ac:dyDescent="0.2">
      <c r="A18" s="96"/>
      <c r="B18" s="168"/>
      <c r="C18" s="167" t="s">
        <v>49</v>
      </c>
      <c r="D18" s="168" t="s">
        <v>108</v>
      </c>
      <c r="E18" s="167" t="str">
        <f t="shared" si="3"/>
        <v>10M</v>
      </c>
      <c r="F18" s="166" t="s">
        <v>142</v>
      </c>
      <c r="G18" s="166" t="s">
        <v>135</v>
      </c>
      <c r="H18" s="166" t="str">
        <f t="shared" si="0"/>
        <v>Actual/360</v>
      </c>
      <c r="I18" s="165">
        <v>0</v>
      </c>
      <c r="J18" s="164" t="str">
        <f t="shared" si="1"/>
        <v>EUREON10M_Quote</v>
      </c>
      <c r="K18" s="164" t="str">
        <f t="shared" si="2"/>
        <v>EUR_YCONRH_EON10M</v>
      </c>
      <c r="L18" s="163" t="str">
        <f>_xll.qlOISRateHelper(K18,2,C18,J18,$L$4,Permanent,,Trigger,ObjectOverwrite)</f>
        <v>EUR_YCONRH_EON10M#0001</v>
      </c>
      <c r="M18" s="97" t="str">
        <f>_xll.ohRangeRetrieveError(L18)</f>
        <v/>
      </c>
      <c r="N18" s="161"/>
      <c r="P18" s="162"/>
      <c r="Q18" s="162"/>
    </row>
    <row r="19" spans="1:17" x14ac:dyDescent="0.2">
      <c r="A19" s="96"/>
      <c r="B19" s="168"/>
      <c r="C19" s="167" t="s">
        <v>48</v>
      </c>
      <c r="D19" s="168" t="s">
        <v>108</v>
      </c>
      <c r="E19" s="167" t="str">
        <f t="shared" si="3"/>
        <v>11M</v>
      </c>
      <c r="F19" s="166" t="s">
        <v>142</v>
      </c>
      <c r="G19" s="166" t="s">
        <v>135</v>
      </c>
      <c r="H19" s="166" t="str">
        <f t="shared" si="0"/>
        <v>Actual/360</v>
      </c>
      <c r="I19" s="165">
        <v>0</v>
      </c>
      <c r="J19" s="164" t="str">
        <f t="shared" si="1"/>
        <v>EUREON11M_Quote</v>
      </c>
      <c r="K19" s="164" t="str">
        <f t="shared" si="2"/>
        <v>EUR_YCONRH_EON11M</v>
      </c>
      <c r="L19" s="163" t="str">
        <f>_xll.qlOISRateHelper(K19,2,C19,J19,$L$4,Permanent,,Trigger,ObjectOverwrite)</f>
        <v>EUR_YCONRH_EON11M#0001</v>
      </c>
      <c r="M19" s="97" t="str">
        <f>_xll.ohRangeRetrieveError(L19)</f>
        <v/>
      </c>
      <c r="N19" s="161"/>
      <c r="P19" s="162"/>
      <c r="Q19" s="162"/>
    </row>
    <row r="20" spans="1:17" x14ac:dyDescent="0.2">
      <c r="A20" s="96"/>
      <c r="B20" s="168"/>
      <c r="C20" s="167" t="s">
        <v>47</v>
      </c>
      <c r="D20" s="168" t="s">
        <v>108</v>
      </c>
      <c r="E20" s="167" t="str">
        <f t="shared" si="3"/>
        <v>1Y</v>
      </c>
      <c r="F20" s="166" t="s">
        <v>142</v>
      </c>
      <c r="G20" s="166" t="s">
        <v>135</v>
      </c>
      <c r="H20" s="166" t="str">
        <f t="shared" si="0"/>
        <v>Actual/360</v>
      </c>
      <c r="I20" s="165">
        <v>0</v>
      </c>
      <c r="J20" s="164" t="str">
        <f t="shared" si="1"/>
        <v>EUREON1Y_Quote</v>
      </c>
      <c r="K20" s="164" t="str">
        <f t="shared" si="2"/>
        <v>EUR_YCONRH_EON1Y</v>
      </c>
      <c r="L20" s="163" t="str">
        <f>_xll.qlOISRateHelper(K20,2,C20,J20,$L$4,Permanent,,Trigger,ObjectOverwrite)</f>
        <v>EUR_YCONRH_EON1Y#0001</v>
      </c>
      <c r="M20" s="97" t="str">
        <f>_xll.ohRangeRetrieveError(L20)</f>
        <v/>
      </c>
      <c r="N20" s="161"/>
      <c r="P20" s="162"/>
      <c r="Q20" s="162"/>
    </row>
    <row r="21" spans="1:17" x14ac:dyDescent="0.2">
      <c r="A21" s="96"/>
      <c r="B21" s="168"/>
      <c r="C21" s="167" t="s">
        <v>46</v>
      </c>
      <c r="D21" s="168" t="s">
        <v>108</v>
      </c>
      <c r="E21" s="167" t="str">
        <f t="shared" si="3"/>
        <v>15M</v>
      </c>
      <c r="F21" s="166" t="s">
        <v>142</v>
      </c>
      <c r="G21" s="166" t="s">
        <v>135</v>
      </c>
      <c r="H21" s="166" t="str">
        <f t="shared" si="0"/>
        <v>Actual/360</v>
      </c>
      <c r="I21" s="165">
        <v>0</v>
      </c>
      <c r="J21" s="164" t="str">
        <f t="shared" si="1"/>
        <v>EUREON15M_Quote</v>
      </c>
      <c r="K21" s="164" t="str">
        <f t="shared" si="2"/>
        <v>EUR_YCONRH_EON15M</v>
      </c>
      <c r="L21" s="163" t="str">
        <f>_xll.qlOISRateHelper(K21,2,C21,J21,$L$4,Permanent,,Trigger,ObjectOverwrite)</f>
        <v>EUR_YCONRH_EON15M#0001</v>
      </c>
      <c r="M21" s="97" t="str">
        <f>_xll.ohRangeRetrieveError(L21)</f>
        <v/>
      </c>
      <c r="N21" s="161"/>
      <c r="P21" s="162"/>
      <c r="Q21" s="162"/>
    </row>
    <row r="22" spans="1:17" x14ac:dyDescent="0.2">
      <c r="A22" s="96"/>
      <c r="B22" s="168"/>
      <c r="C22" s="167" t="s">
        <v>45</v>
      </c>
      <c r="D22" s="168" t="s">
        <v>108</v>
      </c>
      <c r="E22" s="167" t="str">
        <f t="shared" si="3"/>
        <v>18M</v>
      </c>
      <c r="F22" s="166" t="s">
        <v>142</v>
      </c>
      <c r="G22" s="166" t="s">
        <v>135</v>
      </c>
      <c r="H22" s="166" t="str">
        <f t="shared" si="0"/>
        <v>Actual/360</v>
      </c>
      <c r="I22" s="165">
        <v>0</v>
      </c>
      <c r="J22" s="164" t="str">
        <f t="shared" si="1"/>
        <v>EUREON18M_Quote</v>
      </c>
      <c r="K22" s="164" t="str">
        <f t="shared" si="2"/>
        <v>EUR_YCONRH_EON18M</v>
      </c>
      <c r="L22" s="163" t="str">
        <f>_xll.qlOISRateHelper(K22,2,C22,J22,$L$4,Permanent,,Trigger,ObjectOverwrite)</f>
        <v>EUR_YCONRH_EON18M#0001</v>
      </c>
      <c r="M22" s="97" t="str">
        <f>_xll.ohRangeRetrieveError(L22)</f>
        <v/>
      </c>
      <c r="N22" s="161"/>
      <c r="P22" s="162"/>
      <c r="Q22" s="162"/>
    </row>
    <row r="23" spans="1:17" x14ac:dyDescent="0.2">
      <c r="A23" s="96"/>
      <c r="B23" s="168"/>
      <c r="C23" s="167" t="s">
        <v>44</v>
      </c>
      <c r="D23" s="168" t="s">
        <v>108</v>
      </c>
      <c r="E23" s="167" t="str">
        <f t="shared" si="3"/>
        <v>21M</v>
      </c>
      <c r="F23" s="166" t="s">
        <v>142</v>
      </c>
      <c r="G23" s="166" t="s">
        <v>135</v>
      </c>
      <c r="H23" s="166" t="str">
        <f t="shared" si="0"/>
        <v>Actual/360</v>
      </c>
      <c r="I23" s="165">
        <v>0</v>
      </c>
      <c r="J23" s="164" t="str">
        <f t="shared" si="1"/>
        <v>EUREON21M_Quote</v>
      </c>
      <c r="K23" s="164" t="str">
        <f t="shared" si="2"/>
        <v>EUR_YCONRH_EON21M</v>
      </c>
      <c r="L23" s="163" t="str">
        <f>_xll.qlOISRateHelper(K23,2,C23,J23,$L$4,Permanent,,Trigger,ObjectOverwrite)</f>
        <v>EUR_YCONRH_EON21M#0001</v>
      </c>
      <c r="M23" s="97" t="str">
        <f>_xll.ohRangeRetrieveError(L23)</f>
        <v/>
      </c>
      <c r="N23" s="161"/>
      <c r="P23" s="162"/>
      <c r="Q23" s="162"/>
    </row>
    <row r="24" spans="1:17" x14ac:dyDescent="0.2">
      <c r="A24" s="96"/>
      <c r="B24" s="168"/>
      <c r="C24" s="167" t="s">
        <v>43</v>
      </c>
      <c r="D24" s="168" t="s">
        <v>108</v>
      </c>
      <c r="E24" s="167" t="str">
        <f t="shared" si="3"/>
        <v>2Y</v>
      </c>
      <c r="F24" s="166" t="s">
        <v>142</v>
      </c>
      <c r="G24" s="166" t="s">
        <v>135</v>
      </c>
      <c r="H24" s="166" t="str">
        <f t="shared" si="0"/>
        <v>Actual/360</v>
      </c>
      <c r="I24" s="165">
        <v>0</v>
      </c>
      <c r="J24" s="164" t="str">
        <f t="shared" si="1"/>
        <v>EUREON2Y_Quote</v>
      </c>
      <c r="K24" s="164" t="str">
        <f t="shared" si="2"/>
        <v>EUR_YCONRH_EON2Y</v>
      </c>
      <c r="L24" s="163" t="str">
        <f>_xll.qlOISRateHelper(K24,2,C24,J24,$L$4,Permanent,,Trigger,ObjectOverwrite)</f>
        <v>EUR_YCONRH_EON2Y#0001</v>
      </c>
      <c r="M24" s="97" t="str">
        <f>_xll.ohRangeRetrieveError(L24)</f>
        <v/>
      </c>
      <c r="N24" s="161"/>
      <c r="P24" s="162"/>
      <c r="Q24" s="162"/>
    </row>
    <row r="25" spans="1:17" x14ac:dyDescent="0.2">
      <c r="A25" s="96"/>
      <c r="B25" s="168"/>
      <c r="C25" s="167" t="s">
        <v>42</v>
      </c>
      <c r="D25" s="168" t="s">
        <v>108</v>
      </c>
      <c r="E25" s="167" t="str">
        <f t="shared" si="3"/>
        <v>3Y</v>
      </c>
      <c r="F25" s="166" t="s">
        <v>142</v>
      </c>
      <c r="G25" s="166" t="s">
        <v>135</v>
      </c>
      <c r="H25" s="166" t="str">
        <f t="shared" si="0"/>
        <v>Actual/360</v>
      </c>
      <c r="I25" s="165">
        <v>0</v>
      </c>
      <c r="J25" s="164" t="str">
        <f t="shared" si="1"/>
        <v>EUREON3Y_Quote</v>
      </c>
      <c r="K25" s="164" t="str">
        <f t="shared" si="2"/>
        <v>EUR_YCONRH_EON3Y</v>
      </c>
      <c r="L25" s="163" t="str">
        <f>_xll.qlOISRateHelper(K25,2,C25,J25,$L$4,Permanent,,Trigger,ObjectOverwrite)</f>
        <v>EUR_YCONRH_EON3Y#0001</v>
      </c>
      <c r="M25" s="97" t="str">
        <f>_xll.ohRangeRetrieveError(L25)</f>
        <v/>
      </c>
      <c r="N25" s="161"/>
      <c r="P25" s="162"/>
      <c r="Q25" s="162"/>
    </row>
    <row r="26" spans="1:17" x14ac:dyDescent="0.2">
      <c r="A26" s="96"/>
      <c r="B26" s="168"/>
      <c r="C26" s="167" t="s">
        <v>41</v>
      </c>
      <c r="D26" s="168" t="s">
        <v>108</v>
      </c>
      <c r="E26" s="167" t="str">
        <f t="shared" si="3"/>
        <v>4Y</v>
      </c>
      <c r="F26" s="166" t="s">
        <v>142</v>
      </c>
      <c r="G26" s="166" t="s">
        <v>135</v>
      </c>
      <c r="H26" s="166" t="str">
        <f t="shared" si="0"/>
        <v>Actual/360</v>
      </c>
      <c r="I26" s="165">
        <v>0</v>
      </c>
      <c r="J26" s="164" t="str">
        <f t="shared" si="1"/>
        <v>EUREON4Y_Quote</v>
      </c>
      <c r="K26" s="164" t="str">
        <f t="shared" si="2"/>
        <v>EUR_YCONRH_EON4Y</v>
      </c>
      <c r="L26" s="163" t="str">
        <f>_xll.qlOISRateHelper(K26,2,C26,J26,$L$4,Permanent,,Trigger,ObjectOverwrite)</f>
        <v>EUR_YCONRH_EON4Y#0001</v>
      </c>
      <c r="M26" s="97" t="str">
        <f>_xll.ohRangeRetrieveError(L26)</f>
        <v/>
      </c>
      <c r="N26" s="161"/>
      <c r="P26" s="162"/>
      <c r="Q26" s="162"/>
    </row>
    <row r="27" spans="1:17" x14ac:dyDescent="0.2">
      <c r="A27" s="96"/>
      <c r="B27" s="168"/>
      <c r="C27" s="167" t="s">
        <v>40</v>
      </c>
      <c r="D27" s="168" t="s">
        <v>108</v>
      </c>
      <c r="E27" s="167" t="str">
        <f t="shared" si="3"/>
        <v>5Y</v>
      </c>
      <c r="F27" s="166" t="s">
        <v>142</v>
      </c>
      <c r="G27" s="166" t="s">
        <v>135</v>
      </c>
      <c r="H27" s="166" t="str">
        <f t="shared" si="0"/>
        <v>Actual/360</v>
      </c>
      <c r="I27" s="165">
        <v>0</v>
      </c>
      <c r="J27" s="164" t="str">
        <f t="shared" si="1"/>
        <v>EUREON5Y_Quote</v>
      </c>
      <c r="K27" s="164" t="str">
        <f t="shared" si="2"/>
        <v>EUR_YCONRH_EON5Y</v>
      </c>
      <c r="L27" s="163" t="str">
        <f>_xll.qlOISRateHelper(K27,2,C27,J27,$L$4,Permanent,,Trigger,ObjectOverwrite)</f>
        <v>EUR_YCONRH_EON5Y#0001</v>
      </c>
      <c r="M27" s="97" t="str">
        <f>_xll.ohRangeRetrieveError(L27)</f>
        <v/>
      </c>
      <c r="N27" s="161"/>
      <c r="P27" s="162"/>
      <c r="Q27" s="162"/>
    </row>
    <row r="28" spans="1:17" x14ac:dyDescent="0.2">
      <c r="A28" s="96"/>
      <c r="B28" s="168"/>
      <c r="C28" s="167" t="s">
        <v>39</v>
      </c>
      <c r="D28" s="168" t="s">
        <v>108</v>
      </c>
      <c r="E28" s="167" t="str">
        <f t="shared" si="3"/>
        <v>6Y</v>
      </c>
      <c r="F28" s="166" t="s">
        <v>142</v>
      </c>
      <c r="G28" s="166" t="s">
        <v>135</v>
      </c>
      <c r="H28" s="166" t="str">
        <f t="shared" si="0"/>
        <v>Actual/360</v>
      </c>
      <c r="I28" s="165">
        <v>0</v>
      </c>
      <c r="J28" s="164" t="str">
        <f t="shared" si="1"/>
        <v>EUREON6Y_Quote</v>
      </c>
      <c r="K28" s="164" t="str">
        <f t="shared" si="2"/>
        <v>EUR_YCONRH_EON6Y</v>
      </c>
      <c r="L28" s="163" t="str">
        <f>_xll.qlOISRateHelper(K28,2,C28,J28,$L$4,Permanent,,Trigger,ObjectOverwrite)</f>
        <v>EUR_YCONRH_EON6Y#0001</v>
      </c>
      <c r="M28" s="97" t="str">
        <f>_xll.ohRangeRetrieveError(L28)</f>
        <v/>
      </c>
      <c r="N28" s="161"/>
      <c r="P28" s="162"/>
      <c r="Q28" s="162"/>
    </row>
    <row r="29" spans="1:17" x14ac:dyDescent="0.2">
      <c r="A29" s="96"/>
      <c r="B29" s="168"/>
      <c r="C29" s="167" t="s">
        <v>38</v>
      </c>
      <c r="D29" s="168" t="s">
        <v>108</v>
      </c>
      <c r="E29" s="167" t="str">
        <f t="shared" si="3"/>
        <v>7Y</v>
      </c>
      <c r="F29" s="166" t="s">
        <v>142</v>
      </c>
      <c r="G29" s="166" t="s">
        <v>135</v>
      </c>
      <c r="H29" s="166" t="str">
        <f t="shared" si="0"/>
        <v>Actual/360</v>
      </c>
      <c r="I29" s="165">
        <v>0</v>
      </c>
      <c r="J29" s="164" t="str">
        <f t="shared" si="1"/>
        <v>EUREON7Y_Quote</v>
      </c>
      <c r="K29" s="164" t="str">
        <f t="shared" si="2"/>
        <v>EUR_YCONRH_EON7Y</v>
      </c>
      <c r="L29" s="163" t="str">
        <f>_xll.qlOISRateHelper(K29,2,C29,J29,$L$4,Permanent,,Trigger,ObjectOverwrite)</f>
        <v>EUR_YCONRH_EON7Y#0001</v>
      </c>
      <c r="M29" s="97" t="str">
        <f>_xll.ohRangeRetrieveError(L29)</f>
        <v/>
      </c>
      <c r="N29" s="161"/>
      <c r="P29" s="162"/>
      <c r="Q29" s="162"/>
    </row>
    <row r="30" spans="1:17" x14ac:dyDescent="0.2">
      <c r="A30" s="96"/>
      <c r="B30" s="168"/>
      <c r="C30" s="167" t="s">
        <v>37</v>
      </c>
      <c r="D30" s="168" t="s">
        <v>108</v>
      </c>
      <c r="E30" s="167" t="str">
        <f t="shared" si="3"/>
        <v>8Y</v>
      </c>
      <c r="F30" s="166" t="s">
        <v>142</v>
      </c>
      <c r="G30" s="166" t="s">
        <v>135</v>
      </c>
      <c r="H30" s="166" t="str">
        <f t="shared" si="0"/>
        <v>Actual/360</v>
      </c>
      <c r="I30" s="165">
        <v>0</v>
      </c>
      <c r="J30" s="164" t="str">
        <f t="shared" si="1"/>
        <v>EUREON8Y_Quote</v>
      </c>
      <c r="K30" s="164" t="str">
        <f t="shared" si="2"/>
        <v>EUR_YCONRH_EON8Y</v>
      </c>
      <c r="L30" s="163" t="str">
        <f>_xll.qlOISRateHelper(K30,2,C30,J30,$L$4,Permanent,,Trigger,ObjectOverwrite)</f>
        <v>EUR_YCONRH_EON8Y#0001</v>
      </c>
      <c r="M30" s="97" t="str">
        <f>_xll.ohRangeRetrieveError(L30)</f>
        <v/>
      </c>
      <c r="N30" s="161"/>
      <c r="P30" s="162"/>
      <c r="Q30" s="162"/>
    </row>
    <row r="31" spans="1:17" x14ac:dyDescent="0.2">
      <c r="A31" s="96"/>
      <c r="B31" s="168"/>
      <c r="C31" s="167" t="s">
        <v>36</v>
      </c>
      <c r="D31" s="168" t="s">
        <v>108</v>
      </c>
      <c r="E31" s="167" t="str">
        <f t="shared" si="3"/>
        <v>9Y</v>
      </c>
      <c r="F31" s="166" t="s">
        <v>142</v>
      </c>
      <c r="G31" s="166" t="s">
        <v>135</v>
      </c>
      <c r="H31" s="166" t="str">
        <f t="shared" si="0"/>
        <v>Actual/360</v>
      </c>
      <c r="I31" s="165">
        <v>0</v>
      </c>
      <c r="J31" s="164" t="str">
        <f t="shared" si="1"/>
        <v>EUREON9Y_Quote</v>
      </c>
      <c r="K31" s="164" t="str">
        <f t="shared" si="2"/>
        <v>EUR_YCONRH_EON9Y</v>
      </c>
      <c r="L31" s="163" t="str">
        <f>_xll.qlOISRateHelper(K31,2,C31,J31,$L$4,Permanent,,Trigger,ObjectOverwrite)</f>
        <v>EUR_YCONRH_EON9Y#0001</v>
      </c>
      <c r="M31" s="97" t="str">
        <f>_xll.ohRangeRetrieveError(L31)</f>
        <v/>
      </c>
      <c r="N31" s="161"/>
      <c r="P31" s="162"/>
      <c r="Q31" s="162"/>
    </row>
    <row r="32" spans="1:17" x14ac:dyDescent="0.2">
      <c r="A32" s="96"/>
      <c r="B32" s="168"/>
      <c r="C32" s="167" t="s">
        <v>35</v>
      </c>
      <c r="D32" s="168" t="s">
        <v>108</v>
      </c>
      <c r="E32" s="167" t="str">
        <f t="shared" si="3"/>
        <v>10Y</v>
      </c>
      <c r="F32" s="166" t="s">
        <v>142</v>
      </c>
      <c r="G32" s="166" t="s">
        <v>135</v>
      </c>
      <c r="H32" s="166" t="str">
        <f t="shared" si="0"/>
        <v>Actual/360</v>
      </c>
      <c r="I32" s="165">
        <v>0</v>
      </c>
      <c r="J32" s="164" t="str">
        <f t="shared" si="1"/>
        <v>EUREON10Y_Quote</v>
      </c>
      <c r="K32" s="164" t="str">
        <f t="shared" si="2"/>
        <v>EUR_YCONRH_EON10Y</v>
      </c>
      <c r="L32" s="163" t="str">
        <f>_xll.qlOISRateHelper(K32,2,C32,J32,$L$4,Permanent,,Trigger,ObjectOverwrite)</f>
        <v>EUR_YCONRH_EON10Y#0001</v>
      </c>
      <c r="M32" s="97" t="str">
        <f>_xll.ohRangeRetrieveError(L32)</f>
        <v/>
      </c>
      <c r="N32" s="161"/>
      <c r="P32" s="162"/>
      <c r="Q32" s="162"/>
    </row>
    <row r="33" spans="1:17" x14ac:dyDescent="0.2">
      <c r="A33" s="96"/>
      <c r="B33" s="168"/>
      <c r="C33" s="167" t="s">
        <v>34</v>
      </c>
      <c r="D33" s="168" t="s">
        <v>108</v>
      </c>
      <c r="E33" s="167" t="str">
        <f t="shared" si="3"/>
        <v>11Y</v>
      </c>
      <c r="F33" s="166" t="s">
        <v>142</v>
      </c>
      <c r="G33" s="166" t="s">
        <v>135</v>
      </c>
      <c r="H33" s="166" t="str">
        <f t="shared" si="0"/>
        <v>Actual/360</v>
      </c>
      <c r="I33" s="165">
        <v>0</v>
      </c>
      <c r="J33" s="164" t="str">
        <f t="shared" si="1"/>
        <v>EUREON11Y_Quote</v>
      </c>
      <c r="K33" s="164" t="str">
        <f t="shared" si="2"/>
        <v>EUR_YCONRH_EON11Y</v>
      </c>
      <c r="L33" s="163" t="str">
        <f>_xll.qlOISRateHelper(K33,2,C33,J33,$L$4,Permanent,,Trigger,ObjectOverwrite)</f>
        <v>EUR_YCONRH_EON11Y#0001</v>
      </c>
      <c r="M33" s="97" t="str">
        <f>_xll.ohRangeRetrieveError(L33)</f>
        <v/>
      </c>
      <c r="N33" s="161"/>
      <c r="P33" s="162"/>
      <c r="Q33" s="162"/>
    </row>
    <row r="34" spans="1:17" x14ac:dyDescent="0.2">
      <c r="A34" s="96"/>
      <c r="B34" s="168"/>
      <c r="C34" s="167" t="s">
        <v>33</v>
      </c>
      <c r="D34" s="168" t="s">
        <v>108</v>
      </c>
      <c r="E34" s="167" t="str">
        <f t="shared" si="3"/>
        <v>12Y</v>
      </c>
      <c r="F34" s="166" t="s">
        <v>142</v>
      </c>
      <c r="G34" s="166" t="s">
        <v>135</v>
      </c>
      <c r="H34" s="166" t="str">
        <f t="shared" si="0"/>
        <v>Actual/360</v>
      </c>
      <c r="I34" s="165">
        <v>0</v>
      </c>
      <c r="J34" s="164" t="str">
        <f t="shared" si="1"/>
        <v>EUREON12Y_Quote</v>
      </c>
      <c r="K34" s="164" t="str">
        <f t="shared" si="2"/>
        <v>EUR_YCONRH_EON12Y</v>
      </c>
      <c r="L34" s="163" t="str">
        <f>_xll.qlOISRateHelper(K34,2,C34,J34,$L$4,Permanent,,Trigger,ObjectOverwrite)</f>
        <v>EUR_YCONRH_EON12Y#0001</v>
      </c>
      <c r="M34" s="97" t="str">
        <f>_xll.ohRangeRetrieveError(L34)</f>
        <v/>
      </c>
      <c r="N34" s="161"/>
      <c r="P34" s="162"/>
      <c r="Q34" s="162"/>
    </row>
    <row r="35" spans="1:17" x14ac:dyDescent="0.2">
      <c r="A35" s="96"/>
      <c r="B35" s="168"/>
      <c r="C35" s="167" t="s">
        <v>30</v>
      </c>
      <c r="D35" s="168" t="s">
        <v>108</v>
      </c>
      <c r="E35" s="167" t="str">
        <f t="shared" si="3"/>
        <v>15Y</v>
      </c>
      <c r="F35" s="166" t="s">
        <v>142</v>
      </c>
      <c r="G35" s="166" t="s">
        <v>135</v>
      </c>
      <c r="H35" s="166" t="str">
        <f t="shared" si="0"/>
        <v>Actual/360</v>
      </c>
      <c r="I35" s="165">
        <v>0</v>
      </c>
      <c r="J35" s="164" t="str">
        <f t="shared" si="1"/>
        <v>EUREON15Y_Quote</v>
      </c>
      <c r="K35" s="164" t="str">
        <f t="shared" si="2"/>
        <v>EUR_YCONRH_EON15Y</v>
      </c>
      <c r="L35" s="163" t="str">
        <f>_xll.qlOISRateHelper(K35,2,C35,J35,$L$4,Permanent,,Trigger,ObjectOverwrite)</f>
        <v>EUR_YCONRH_EON15Y#0001</v>
      </c>
      <c r="M35" s="97" t="str">
        <f>_xll.ohRangeRetrieveError(L35)</f>
        <v/>
      </c>
      <c r="N35" s="161"/>
      <c r="P35" s="162"/>
      <c r="Q35" s="162"/>
    </row>
    <row r="36" spans="1:17" x14ac:dyDescent="0.2">
      <c r="A36" s="96"/>
      <c r="B36" s="168"/>
      <c r="C36" s="167" t="s">
        <v>25</v>
      </c>
      <c r="D36" s="168" t="s">
        <v>108</v>
      </c>
      <c r="E36" s="167" t="str">
        <f t="shared" si="3"/>
        <v>20Y</v>
      </c>
      <c r="F36" s="166" t="s">
        <v>142</v>
      </c>
      <c r="G36" s="166" t="s">
        <v>135</v>
      </c>
      <c r="H36" s="166" t="str">
        <f t="shared" si="0"/>
        <v>Actual/360</v>
      </c>
      <c r="I36" s="165">
        <v>0</v>
      </c>
      <c r="J36" s="164" t="str">
        <f t="shared" si="1"/>
        <v>EUREON20Y_Quote</v>
      </c>
      <c r="K36" s="164" t="str">
        <f t="shared" si="2"/>
        <v>EUR_YCONRH_EON20Y</v>
      </c>
      <c r="L36" s="163" t="str">
        <f>_xll.qlOISRateHelper(K36,2,C36,J36,$L$4,Permanent,,Trigger,ObjectOverwrite)</f>
        <v>EUR_YCONRH_EON20Y#0001</v>
      </c>
      <c r="M36" s="97" t="str">
        <f>_xll.ohRangeRetrieveError(L36)</f>
        <v/>
      </c>
      <c r="N36" s="161"/>
      <c r="P36" s="162"/>
      <c r="Q36" s="162"/>
    </row>
    <row r="37" spans="1:17" x14ac:dyDescent="0.2">
      <c r="A37" s="96"/>
      <c r="B37" s="168"/>
      <c r="C37" s="167" t="s">
        <v>20</v>
      </c>
      <c r="D37" s="168" t="s">
        <v>108</v>
      </c>
      <c r="E37" s="167" t="str">
        <f t="shared" si="3"/>
        <v>25Y</v>
      </c>
      <c r="F37" s="166" t="s">
        <v>142</v>
      </c>
      <c r="G37" s="166" t="s">
        <v>135</v>
      </c>
      <c r="H37" s="166" t="str">
        <f t="shared" si="0"/>
        <v>Actual/360</v>
      </c>
      <c r="I37" s="165">
        <v>0</v>
      </c>
      <c r="J37" s="164" t="str">
        <f t="shared" si="1"/>
        <v>EUREON25Y_Quote</v>
      </c>
      <c r="K37" s="164" t="str">
        <f t="shared" si="2"/>
        <v>EUR_YCONRH_EON25Y</v>
      </c>
      <c r="L37" s="163" t="str">
        <f>_xll.qlOISRateHelper(K37,2,C37,J37,$L$4,Permanent,,Trigger,ObjectOverwrite)</f>
        <v>EUR_YCONRH_EON25Y#0001</v>
      </c>
      <c r="M37" s="97" t="str">
        <f>_xll.ohRangeRetrieveError(L37)</f>
        <v/>
      </c>
      <c r="N37" s="161"/>
      <c r="P37" s="162"/>
      <c r="Q37" s="162"/>
    </row>
    <row r="38" spans="1:17" x14ac:dyDescent="0.2">
      <c r="A38" s="96"/>
      <c r="B38" s="168"/>
      <c r="C38" s="167" t="s">
        <v>15</v>
      </c>
      <c r="D38" s="168" t="s">
        <v>108</v>
      </c>
      <c r="E38" s="167" t="str">
        <f t="shared" ref="E38:E40" si="4">C38</f>
        <v>30Y</v>
      </c>
      <c r="F38" s="166" t="s">
        <v>142</v>
      </c>
      <c r="G38" s="166" t="s">
        <v>135</v>
      </c>
      <c r="H38" s="166" t="str">
        <f t="shared" si="0"/>
        <v>Actual/360</v>
      </c>
      <c r="I38" s="165">
        <v>0</v>
      </c>
      <c r="J38" s="164" t="str">
        <f t="shared" si="1"/>
        <v>EUREON30Y_Quote</v>
      </c>
      <c r="K38" s="164" t="str">
        <f t="shared" si="2"/>
        <v>EUR_YCONRH_EON30Y</v>
      </c>
      <c r="L38" s="163" t="str">
        <f>_xll.qlOISRateHelper(K38,2,C38,J38,$L$4,Permanent,,Trigger,ObjectOverwrite)</f>
        <v>EUR_YCONRH_EON30Y#0001</v>
      </c>
      <c r="M38" s="97" t="str">
        <f>_xll.ohRangeRetrieveError(L38)</f>
        <v/>
      </c>
      <c r="N38" s="161"/>
      <c r="P38" s="162"/>
      <c r="Q38" s="162"/>
    </row>
    <row r="39" spans="1:17" x14ac:dyDescent="0.2">
      <c r="A39" s="96"/>
      <c r="B39" s="168"/>
      <c r="C39" s="167" t="s">
        <v>13</v>
      </c>
      <c r="D39" s="168" t="s">
        <v>108</v>
      </c>
      <c r="E39" s="167" t="str">
        <f t="shared" si="4"/>
        <v>40Y</v>
      </c>
      <c r="F39" s="166" t="s">
        <v>142</v>
      </c>
      <c r="G39" s="166" t="s">
        <v>135</v>
      </c>
      <c r="H39" s="166" t="str">
        <f t="shared" si="0"/>
        <v>Actual/360</v>
      </c>
      <c r="I39" s="165">
        <v>0</v>
      </c>
      <c r="J39" s="164" t="str">
        <f t="shared" si="1"/>
        <v>EUREON40Y_Quote</v>
      </c>
      <c r="K39" s="164" t="str">
        <f t="shared" si="2"/>
        <v>EUR_YCONRH_EON40Y</v>
      </c>
      <c r="L39" s="163" t="str">
        <f>_xll.qlOISRateHelper(K39,2,C39,J39,$L$4,Permanent,,Trigger,ObjectOverwrite)</f>
        <v>EUR_YCONRH_EON40Y#0001</v>
      </c>
      <c r="M39" s="97" t="str">
        <f>_xll.ohRangeRetrieveError(L39)</f>
        <v/>
      </c>
      <c r="N39" s="161"/>
      <c r="P39" s="162"/>
      <c r="Q39" s="162"/>
    </row>
    <row r="40" spans="1:17" x14ac:dyDescent="0.2">
      <c r="A40" s="96"/>
      <c r="B40" s="168"/>
      <c r="C40" s="167" t="s">
        <v>12</v>
      </c>
      <c r="D40" s="168" t="s">
        <v>108</v>
      </c>
      <c r="E40" s="167" t="str">
        <f t="shared" si="4"/>
        <v>50Y</v>
      </c>
      <c r="F40" s="166" t="s">
        <v>142</v>
      </c>
      <c r="G40" s="166" t="s">
        <v>135</v>
      </c>
      <c r="H40" s="166" t="str">
        <f t="shared" si="0"/>
        <v>Actual/360</v>
      </c>
      <c r="I40" s="165">
        <v>0</v>
      </c>
      <c r="J40" s="164" t="str">
        <f t="shared" si="1"/>
        <v>EUREON50Y_Quote</v>
      </c>
      <c r="K40" s="164" t="str">
        <f t="shared" si="2"/>
        <v>EUR_YCONRH_EON50Y</v>
      </c>
      <c r="L40" s="163" t="str">
        <f>_xll.qlOISRateHelper(K40,2,C40,J40,$L$4,Permanent,,Trigger,ObjectOverwrite)</f>
        <v>EUR_YCONRH_EON50Y#0001</v>
      </c>
      <c r="M40" s="97" t="str">
        <f>_xll.ohRangeRetrieveError(L40)</f>
        <v/>
      </c>
      <c r="N40" s="161"/>
      <c r="P40" s="162"/>
      <c r="Q40" s="162"/>
    </row>
    <row r="41" spans="1:17" x14ac:dyDescent="0.2">
      <c r="A41" s="96"/>
      <c r="B41" s="168"/>
      <c r="C41" s="167" t="s">
        <v>11</v>
      </c>
      <c r="D41" s="168" t="s">
        <v>108</v>
      </c>
      <c r="E41" s="167" t="str">
        <f t="shared" si="3"/>
        <v>60Y</v>
      </c>
      <c r="F41" s="166" t="s">
        <v>142</v>
      </c>
      <c r="G41" s="166" t="s">
        <v>135</v>
      </c>
      <c r="H41" s="166" t="str">
        <f t="shared" si="0"/>
        <v>Actual/360</v>
      </c>
      <c r="I41" s="165">
        <v>0</v>
      </c>
      <c r="J41" s="164" t="str">
        <f t="shared" si="1"/>
        <v>EUREON60Y_Quote</v>
      </c>
      <c r="K41" s="164" t="str">
        <f t="shared" si="2"/>
        <v>EUR_YCONRH_EON60Y</v>
      </c>
      <c r="L41" s="163" t="str">
        <f>_xll.qlOISRateHelper(K41,2,C41,J41,$L$4,Permanent,,Trigger,ObjectOverwrite)</f>
        <v>EUR_YCONRH_EON60Y#0001</v>
      </c>
      <c r="M41" s="97" t="str">
        <f>_xll.ohRangeRetrieveError(L41)</f>
        <v/>
      </c>
      <c r="N41" s="161"/>
      <c r="P41" s="162"/>
      <c r="Q41" s="162"/>
    </row>
    <row r="42" spans="1:17" ht="12" thickBot="1" x14ac:dyDescent="0.25">
      <c r="A42" s="95"/>
      <c r="B42" s="94"/>
      <c r="C42" s="94"/>
      <c r="D42" s="94"/>
      <c r="E42" s="94"/>
      <c r="F42" s="94"/>
      <c r="G42" s="94"/>
      <c r="H42" s="94"/>
      <c r="I42" s="94"/>
      <c r="J42" s="94"/>
      <c r="K42" s="94"/>
      <c r="L42" s="160"/>
      <c r="M42" s="160"/>
      <c r="N42" s="159"/>
      <c r="P42" s="162"/>
      <c r="Q42" s="162"/>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2013-12-10T20:51:38Z</dcterms:created>
  <dcterms:modified xsi:type="dcterms:W3CDTF">2014-04-04T13:13:47Z</dcterms:modified>
</cp:coreProperties>
</file>