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8355" tabRatio="879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s1M" sheetId="23" r:id="rId11"/>
    <sheet name="Swap3M" sheetId="25" r:id="rId12"/>
    <sheet name="Swap6M" sheetId="26" r:id="rId13"/>
    <sheet name="BasisSwap1M3M" sheetId="11" r:id="rId14"/>
    <sheet name="BasisSwap3M6M" sheetId="12" r:id="rId15"/>
    <sheet name="Libor" sheetId="6" r:id="rId16"/>
    <sheet name="LiborSwapIsdaFixAm" sheetId="7" r:id="rId17"/>
    <sheet name="LiborSwapIsdaFixPm" sheetId="8" r:id="rId18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OIS!$O$2</definedName>
    <definedName name="Contributor">Swap3M!$S$2</definedName>
    <definedName name="ContributorFRA">FRA!$N$2</definedName>
    <definedName name="Contributors">'General Settings'!$C$12:$C$20</definedName>
    <definedName name="ContributorTable" localSheetId="5">Deposits!$U$5:$Y$13</definedName>
    <definedName name="ContributorTable">'General Settings'!$C$12:$D$20</definedName>
    <definedName name="Conventions" localSheetId="13">BasisSwap1M3M!$AD$5:$AF$9</definedName>
    <definedName name="Conventions" localSheetId="14">BasisSwap3M6M!$AD$5:$AF$9</definedName>
    <definedName name="Counter">Futures1M!$Z$4</definedName>
    <definedName name="Currency">'General Settings'!$D$4</definedName>
    <definedName name="Discounting">'General Settings'!$I$9</definedName>
    <definedName name="Discounting2">'General Settings'!#REF!</definedName>
    <definedName name="EvaluationDate">'General Settings'!$I$10</definedName>
    <definedName name="FamilyName" localSheetId="15">Libor!$E$3</definedName>
    <definedName name="FamilyName" localSheetId="16">LiborSwapIsdaFixAm!$F$3</definedName>
    <definedName name="FamilyName" localSheetId="17">LiborSwapIsdaFixPm!$F$3</definedName>
    <definedName name="FamilyName">'General Settings'!$I$19</definedName>
    <definedName name="FamilyName2" localSheetId="2">BBSWSwapForBasisCalc!$F$3</definedName>
    <definedName name="FileName" localSheetId="2">BBSWSwapForBasisCalc!$E$7</definedName>
    <definedName name="FileName" localSheetId="15">Libor!#REF!</definedName>
    <definedName name="FileName" localSheetId="16">LiborSwapIsdaFixAm!$E$6</definedName>
    <definedName name="FileName" localSheetId="17">LiborSwapIsdaFixPm!$E$6</definedName>
    <definedName name="FileOverwrite">'General Settings'!$I$8</definedName>
    <definedName name="FixingType" localSheetId="2">BBSWSwapForBasisCalc!$F$4</definedName>
    <definedName name="FixingType" localSheetId="16">LiborSwapIsdaFixAm!$F$4</definedName>
    <definedName name="FixingType" localSheetId="17">LiborSwapIsdaFixPm!$F$4</definedName>
    <definedName name="FixingType">'General Settings'!$I$21</definedName>
    <definedName name="FuturesCodes" localSheetId="7">Futures1M!$M$6:$M$17</definedName>
    <definedName name="FuturesCodes" localSheetId="8">Futures3M!$M$6:$M$47</definedName>
    <definedName name="FuturesDates" localSheetId="7">Futures1M!$N$6:$N$17</definedName>
    <definedName name="FuturesDates" localSheetId="8">Futures3M!$N$6:$N$47</definedName>
    <definedName name="IborIndex" localSheetId="7">Futures1M!$AM$4</definedName>
    <definedName name="IborIndex" localSheetId="8">Futures3M!$AH$4</definedName>
    <definedName name="Instruments" localSheetId="13">BasisSwap1M3M!$R$5:$R$42</definedName>
    <definedName name="Instruments" localSheetId="6">FRA!$M$5:$M$19</definedName>
    <definedName name="Instruments" localSheetId="4">MT_OIS!$N$5:$N$58</definedName>
    <definedName name="Instruments" localSheetId="3">OIS!$N$5:$N$58</definedName>
    <definedName name="Instruments" localSheetId="11">Swap3M!$R$5:$R$42</definedName>
    <definedName name="Instruments" localSheetId="12">Swap6M!$R$5:$R$42</definedName>
    <definedName name="Instruments" localSheetId="10">Swaps1M!$N$5:$N$18</definedName>
    <definedName name="Instruments">BasisSwap3M6M!$R$5:$R$42</definedName>
    <definedName name="InterpolationType">'General Settings'!$D$9</definedName>
    <definedName name="LastFixingsTrigger">'General Settings'!$D$8</definedName>
    <definedName name="LastUpdate">'General Settings'!$D$22</definedName>
    <definedName name="LiffeCodes" localSheetId="7">Futures1M!$AC$6:$AD$10</definedName>
    <definedName name="LiffeCodes" localSheetId="8">Futures3M!#REF!</definedName>
    <definedName name="LiveDataFeed">'General Settings'!$D$23</definedName>
    <definedName name="MeanReversion" localSheetId="7">Futures1M!$AM$3</definedName>
    <definedName name="MeanReversion" localSheetId="8">Futures3M!$AH$3</definedName>
    <definedName name="MoneyMarketDayCounter">'General Settings'!$I$20</definedName>
    <definedName name="ObjectOverwrite">'General Settings'!$I$5</definedName>
    <definedName name="OverNightIndexCalendar" localSheetId="4">'General Settings'!#REF!</definedName>
    <definedName name="OverNightIndexCalendar">'General Settings'!#REF!</definedName>
    <definedName name="Permanent">'General Settings'!$I$4</definedName>
    <definedName name="PriceTickValue">'General Settings'!$I$18</definedName>
    <definedName name="Quote" localSheetId="13">BasisSwap1M3M!$Z$5:$Z$42</definedName>
    <definedName name="Quote" localSheetId="14">BasisSwap3M6M!$Z$5:$Z$42</definedName>
    <definedName name="Quote" localSheetId="5">Deposits!$Q$5:$Q$22</definedName>
    <definedName name="Quote" localSheetId="6">FRA!$W$5:$W$19</definedName>
    <definedName name="Quote" localSheetId="7">Futures1M!$Y$6:$Y$17</definedName>
    <definedName name="Quote" localSheetId="8">Futures3M!$Y$6:$Y$47</definedName>
    <definedName name="Quote" localSheetId="9">FuturesHWConvAdj!$P$5:$P$6</definedName>
    <definedName name="Quote" localSheetId="4">MT_OIS!$X$5:$X$58</definedName>
    <definedName name="Quote" localSheetId="3">OIS!$X$5:$X$58</definedName>
    <definedName name="Quote" localSheetId="11">Swap3M!$AB$5:$AB$42</definedName>
    <definedName name="Quote" localSheetId="10">Swaps1M!$X$5:$X$18</definedName>
    <definedName name="QuoteLive" localSheetId="13">BasisSwap1M3M!$V$5:$V$42</definedName>
    <definedName name="QuoteLive" localSheetId="14">BasisSwap3M6M!$V$5:$V$42</definedName>
    <definedName name="QuoteLive" localSheetId="5">Deposits!$M$5:$M$22</definedName>
    <definedName name="QuoteLive" localSheetId="6">FRA!$S$5:$S$19</definedName>
    <definedName name="QuoteLive" localSheetId="7">Futures1M!$U$6:$U$17</definedName>
    <definedName name="QuoteLive" localSheetId="8">Futures3M!$U$6:$U$47</definedName>
    <definedName name="QuoteLive" localSheetId="9">FuturesHWConvAdj!$L$5:$L$6</definedName>
    <definedName name="QuoteLive" localSheetId="4">MT_OIS!$T$5:$T$58</definedName>
    <definedName name="QuoteLive" localSheetId="3">OIS!$T$5:$T$58</definedName>
    <definedName name="QuoteLive" localSheetId="11">Swap3M!$X$5:$X$42</definedName>
    <definedName name="QuoteLive" localSheetId="12">Swap6M!$X$5:$X$42</definedName>
    <definedName name="QuoteLive" localSheetId="10">Swaps1M!$T$5:$T$18</definedName>
    <definedName name="QuoteStatic" localSheetId="13">BasisSwap1M3M!$X$5:$X$42</definedName>
    <definedName name="QuoteStatic" localSheetId="14">BasisSwap3M6M!$X$5:$X$42</definedName>
    <definedName name="QuoteStatic" localSheetId="5">Deposits!$O$5:$O$22</definedName>
    <definedName name="QuoteStatic" localSheetId="6">FRA!$U$5:$U$19</definedName>
    <definedName name="QuoteStatic" localSheetId="7">Futures1M!$W$6:$W$17</definedName>
    <definedName name="QuoteStatic" localSheetId="8">Futures3M!$W$6:$W$47</definedName>
    <definedName name="QuoteStatic" localSheetId="9">FuturesHWConvAdj!$N$5:$N$6</definedName>
    <definedName name="QuoteStatic" localSheetId="4">MT_OIS!$V$5:$V$58</definedName>
    <definedName name="QuoteStatic" localSheetId="3">OIS!$V$5:$V$58</definedName>
    <definedName name="QuoteStatic" localSheetId="11">Swap3M!$Z$5:$Z$42</definedName>
    <definedName name="QuoteStatic" localSheetId="12">Swap6M!$Z$5:$Z$42</definedName>
    <definedName name="QuoteStatic" localSheetId="10">Swaps1M!$V$5:$V$18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Swap3M!$AB$12</definedName>
    <definedName name="Swap6M4Y">Swap6M!$AB$12</definedName>
    <definedName name="Traits" localSheetId="15">Libor!#REF!</definedName>
    <definedName name="Traits" localSheetId="16">LiborSwapIsdaFixAm!$L$24:$N$30</definedName>
    <definedName name="Traits" localSheetId="17">LiborSwapIsdaFixPm!$L$24:$N$30</definedName>
    <definedName name="Trigger">'General Settings'!$D$5</definedName>
    <definedName name="TriggerCounter">'General Settings'!$D$7</definedName>
    <definedName name="Volatility" localSheetId="7">Futures1M!$AM$2</definedName>
    <definedName name="Volatility" localSheetId="8">Futures3M!$AH$2</definedName>
  </definedNames>
  <calcPr calcId="145621"/>
</workbook>
</file>

<file path=xl/calcChain.xml><?xml version="1.0" encoding="utf-8"?>
<calcChain xmlns="http://schemas.openxmlformats.org/spreadsheetml/2006/main">
  <c r="F5" i="63" l="1"/>
  <c r="F9" i="63"/>
  <c r="F10" i="63"/>
  <c r="F11" i="63"/>
  <c r="F8" i="63"/>
  <c r="Z5" i="12" l="1" a="1"/>
  <c r="Z5" i="11" a="1"/>
  <c r="AB5" i="25" a="1"/>
  <c r="X5" i="23" a="1"/>
  <c r="Y6" i="18" a="1"/>
  <c r="Y6" i="17" a="1"/>
  <c r="W5" i="16" a="1"/>
  <c r="Q5" i="15" a="1"/>
  <c r="X5" i="65" a="1"/>
  <c r="X5" i="22" a="1"/>
  <c r="Y6" i="64" l="1"/>
  <c r="X6" i="64"/>
  <c r="U6" i="64"/>
  <c r="S6" i="64"/>
  <c r="E6" i="64"/>
  <c r="I6" i="64"/>
  <c r="H6" i="64"/>
  <c r="G6" i="64"/>
  <c r="N6" i="64"/>
  <c r="O6" i="64" s="1"/>
  <c r="M6" i="64"/>
  <c r="T6" i="64" l="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5" i="11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5" i="12"/>
  <c r="Z6" i="64"/>
  <c r="S5" i="12" l="1" a="1"/>
  <c r="S5" i="12" s="1"/>
  <c r="S41" i="12" l="1"/>
  <c r="S30" i="12"/>
  <c r="S26" i="12"/>
  <c r="S15" i="12"/>
  <c r="S6" i="12"/>
  <c r="S31" i="12"/>
  <c r="S22" i="12"/>
  <c r="S16" i="12"/>
  <c r="S38" i="12"/>
  <c r="S32" i="12"/>
  <c r="S23" i="12"/>
  <c r="S17" i="12"/>
  <c r="S24" i="12"/>
  <c r="S33" i="12"/>
  <c r="S9" i="12"/>
  <c r="S18" i="12"/>
  <c r="S42" i="12"/>
  <c r="S34" i="12"/>
  <c r="S11" i="12"/>
  <c r="S19" i="12"/>
  <c r="S27" i="12"/>
  <c r="S35" i="12"/>
  <c r="S21" i="12"/>
  <c r="S12" i="12"/>
  <c r="S20" i="12"/>
  <c r="S37" i="12"/>
  <c r="S28" i="12"/>
  <c r="S36" i="12"/>
  <c r="S7" i="12"/>
  <c r="S13" i="12"/>
  <c r="S40" i="12"/>
  <c r="S39" i="12"/>
  <c r="S29" i="12"/>
  <c r="S25" i="12"/>
  <c r="S8" i="12"/>
  <c r="S14" i="12"/>
  <c r="S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40" i="65"/>
  <c r="T33" i="65"/>
  <c r="T46" i="65"/>
  <c r="T48" i="65"/>
  <c r="T12" i="65"/>
  <c r="T47" i="65"/>
  <c r="T22" i="65"/>
  <c r="T30" i="65"/>
  <c r="T50" i="65"/>
  <c r="T41" i="65"/>
  <c r="T7" i="65"/>
  <c r="T44" i="65"/>
  <c r="T32" i="65"/>
  <c r="T11" i="65"/>
  <c r="T8" i="65"/>
  <c r="T37" i="65"/>
  <c r="T49" i="65"/>
  <c r="T28" i="65"/>
  <c r="T36" i="65"/>
  <c r="T45" i="65"/>
  <c r="T29" i="65"/>
  <c r="T53" i="65"/>
  <c r="T21" i="65"/>
  <c r="T56" i="65"/>
  <c r="T20" i="65"/>
  <c r="T58" i="65"/>
  <c r="T34" i="65"/>
  <c r="T19" i="65"/>
  <c r="T27" i="65"/>
  <c r="T42" i="65"/>
  <c r="T51" i="65"/>
  <c r="T25" i="65"/>
  <c r="T18" i="65"/>
  <c r="T23" i="65"/>
  <c r="T10" i="65"/>
  <c r="T24" i="65"/>
  <c r="T17" i="65"/>
  <c r="T15" i="65"/>
  <c r="T55" i="65"/>
  <c r="T57" i="65"/>
  <c r="T38" i="65"/>
  <c r="T26" i="65"/>
  <c r="T5" i="65"/>
  <c r="T54" i="65"/>
  <c r="T43" i="65"/>
  <c r="T35" i="65"/>
  <c r="T13" i="65"/>
  <c r="T9" i="65"/>
  <c r="T39" i="65"/>
  <c r="T14" i="65"/>
  <c r="T52" i="65"/>
  <c r="T6" i="65"/>
  <c r="T31" i="65"/>
  <c r="T16" i="65"/>
  <c r="F17" i="65"/>
  <c r="F58" i="65"/>
  <c r="F11" i="65"/>
  <c r="F6" i="65"/>
  <c r="F46" i="65"/>
  <c r="F36" i="65"/>
  <c r="F29" i="65"/>
  <c r="F32" i="65"/>
  <c r="F8" i="65"/>
  <c r="F48" i="65"/>
  <c r="F15" i="65"/>
  <c r="F41" i="65"/>
  <c r="F44" i="65"/>
  <c r="F56" i="65"/>
  <c r="F28" i="65"/>
  <c r="F9" i="65"/>
  <c r="F49" i="65"/>
  <c r="F10" i="65"/>
  <c r="F35" i="65"/>
  <c r="F57" i="65"/>
  <c r="F21" i="65"/>
  <c r="F23" i="65"/>
  <c r="F34" i="65"/>
  <c r="F16" i="65"/>
  <c r="F18" i="65"/>
  <c r="F51" i="65"/>
  <c r="F27" i="65"/>
  <c r="F33" i="65"/>
  <c r="F19" i="65"/>
  <c r="F42" i="65"/>
  <c r="F45" i="65"/>
  <c r="F54" i="65"/>
  <c r="F24" i="65"/>
  <c r="F50" i="65"/>
  <c r="F7" i="65"/>
  <c r="F43" i="65"/>
  <c r="F31" i="65"/>
  <c r="F30" i="65"/>
  <c r="F5" i="65"/>
  <c r="F39" i="65"/>
  <c r="F55" i="65"/>
  <c r="F52" i="65"/>
  <c r="F20" i="65"/>
  <c r="F47" i="65"/>
  <c r="F13" i="65"/>
  <c r="G4" i="65"/>
  <c r="F22" i="65"/>
  <c r="F37" i="65"/>
  <c r="F38" i="65"/>
  <c r="F25" i="65"/>
  <c r="F40" i="65"/>
  <c r="F12" i="65"/>
  <c r="F14" i="65"/>
  <c r="F26" i="65"/>
  <c r="F53" i="65"/>
  <c r="X16" i="65" l="1"/>
  <c r="X31" i="65"/>
  <c r="X6" i="65"/>
  <c r="X52" i="65"/>
  <c r="X14" i="65"/>
  <c r="X39" i="65"/>
  <c r="X9" i="65"/>
  <c r="X13" i="65"/>
  <c r="X35" i="65"/>
  <c r="X43" i="65"/>
  <c r="X54" i="65"/>
  <c r="X5" i="65"/>
  <c r="X26" i="65"/>
  <c r="X38" i="65"/>
  <c r="X57" i="65"/>
  <c r="X55" i="65"/>
  <c r="X15" i="65"/>
  <c r="X17" i="65"/>
  <c r="X24" i="65"/>
  <c r="X10" i="65"/>
  <c r="X23" i="65"/>
  <c r="X18" i="65"/>
  <c r="X25" i="65"/>
  <c r="X51" i="65"/>
  <c r="X42" i="65"/>
  <c r="X27" i="65"/>
  <c r="X19" i="65"/>
  <c r="X34" i="65"/>
  <c r="X58" i="65"/>
  <c r="X20" i="65"/>
  <c r="X56" i="65"/>
  <c r="X21" i="65"/>
  <c r="X53" i="65"/>
  <c r="X29" i="65"/>
  <c r="X45" i="65"/>
  <c r="X36" i="65"/>
  <c r="X28" i="65"/>
  <c r="X49" i="65"/>
  <c r="X37" i="65"/>
  <c r="X8" i="65"/>
  <c r="X11" i="65"/>
  <c r="X32" i="65"/>
  <c r="X44" i="65"/>
  <c r="X7" i="65"/>
  <c r="X41" i="65"/>
  <c r="X50" i="65"/>
  <c r="X30" i="65"/>
  <c r="X22" i="65"/>
  <c r="X47" i="65"/>
  <c r="X12" i="65"/>
  <c r="X48" i="65"/>
  <c r="X46" i="65"/>
  <c r="X33" i="65"/>
  <c r="X40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24" i="65"/>
  <c r="G15" i="65"/>
  <c r="G22" i="65"/>
  <c r="G33" i="65"/>
  <c r="G42" i="65"/>
  <c r="G12" i="65"/>
  <c r="G50" i="65"/>
  <c r="G54" i="65"/>
  <c r="G7" i="65"/>
  <c r="G51" i="65"/>
  <c r="G49" i="65"/>
  <c r="G26" i="65"/>
  <c r="G6" i="65"/>
  <c r="G17" i="65"/>
  <c r="G57" i="65"/>
  <c r="G11" i="65"/>
  <c r="G45" i="65"/>
  <c r="G56" i="65"/>
  <c r="G10" i="65"/>
  <c r="G34" i="65"/>
  <c r="G40" i="65"/>
  <c r="G36" i="65"/>
  <c r="G41" i="65"/>
  <c r="G30" i="65"/>
  <c r="G37" i="65"/>
  <c r="G8" i="65"/>
  <c r="G23" i="65"/>
  <c r="G31" i="65"/>
  <c r="G52" i="65"/>
  <c r="G58" i="65"/>
  <c r="G18" i="65"/>
  <c r="G9" i="65"/>
  <c r="G21" i="65"/>
  <c r="G35" i="65"/>
  <c r="G46" i="65"/>
  <c r="G39" i="65"/>
  <c r="G38" i="65"/>
  <c r="G20" i="65"/>
  <c r="G55" i="65"/>
  <c r="G29" i="65"/>
  <c r="G28" i="65"/>
  <c r="G53" i="65"/>
  <c r="G44" i="65"/>
  <c r="G47" i="65"/>
  <c r="G27" i="65"/>
  <c r="G13" i="65"/>
  <c r="G14" i="65"/>
  <c r="G16" i="65"/>
  <c r="G43" i="65"/>
  <c r="G48" i="65"/>
  <c r="G19" i="65"/>
  <c r="G5" i="65"/>
  <c r="G25" i="65"/>
  <c r="G32" i="65"/>
  <c r="E8" i="64" l="1"/>
  <c r="E9" i="64"/>
  <c r="E10" i="64"/>
  <c r="E11" i="64"/>
  <c r="E12" i="64"/>
  <c r="E13" i="64"/>
  <c r="E14" i="64"/>
  <c r="E7" i="64"/>
  <c r="Y33" i="65"/>
  <c r="Y30" i="65"/>
  <c r="Y23" i="65"/>
  <c r="Y19" i="65"/>
  <c r="Y7" i="65"/>
  <c r="Y14" i="65"/>
  <c r="Y37" i="65"/>
  <c r="Y15" i="65"/>
  <c r="Y41" i="65"/>
  <c r="Y25" i="65"/>
  <c r="Y8" i="65"/>
  <c r="Y16" i="65"/>
  <c r="Y49" i="65"/>
  <c r="Y12" i="65"/>
  <c r="Y46" i="65"/>
  <c r="Y5" i="65"/>
  <c r="Y47" i="65"/>
  <c r="Y50" i="65"/>
  <c r="Y35" i="65"/>
  <c r="Y42" i="65"/>
  <c r="Y22" i="65"/>
  <c r="Y51" i="65"/>
  <c r="Y44" i="65"/>
  <c r="Y48" i="65"/>
  <c r="Y21" i="65"/>
  <c r="Y24" i="65"/>
  <c r="Y13" i="65"/>
  <c r="Y40" i="65"/>
  <c r="Y17" i="65"/>
  <c r="Y9" i="65"/>
  <c r="Y53" i="65"/>
  <c r="Y45" i="65"/>
  <c r="Y39" i="65"/>
  <c r="Y6" i="65"/>
  <c r="Y52" i="65"/>
  <c r="Y43" i="65"/>
  <c r="Y57" i="65"/>
  <c r="Y38" i="65"/>
  <c r="Y27" i="65"/>
  <c r="Y55" i="65"/>
  <c r="Y36" i="65"/>
  <c r="Y28" i="65"/>
  <c r="Y58" i="65"/>
  <c r="Y18" i="65"/>
  <c r="Y54" i="65"/>
  <c r="Y26" i="65"/>
  <c r="Y10" i="65"/>
  <c r="Y34" i="65"/>
  <c r="Y56" i="65"/>
  <c r="Y32" i="65"/>
  <c r="Y20" i="65"/>
  <c r="Y29" i="65"/>
  <c r="Y11" i="65"/>
  <c r="Y31" i="65"/>
  <c r="J5" i="15" l="1" a="1"/>
  <c r="J13" i="15" s="1"/>
  <c r="X14" i="64"/>
  <c r="S14" i="64"/>
  <c r="U14" i="64" s="1"/>
  <c r="S8" i="64"/>
  <c r="U8" i="64" s="1"/>
  <c r="S9" i="64"/>
  <c r="U9" i="64" s="1"/>
  <c r="S10" i="64"/>
  <c r="U10" i="64" s="1"/>
  <c r="S11" i="64"/>
  <c r="U11" i="64" s="1"/>
  <c r="S12" i="64"/>
  <c r="U12" i="64" s="1"/>
  <c r="S13" i="64"/>
  <c r="U13" i="64" s="1"/>
  <c r="S7" i="64"/>
  <c r="U7" i="64" s="1"/>
  <c r="L8" i="64"/>
  <c r="L9" i="64"/>
  <c r="L10" i="64"/>
  <c r="L11" i="64"/>
  <c r="L12" i="64"/>
  <c r="L13" i="64"/>
  <c r="L14" i="64"/>
  <c r="L7" i="64"/>
  <c r="X13" i="64"/>
  <c r="X12" i="64"/>
  <c r="X11" i="64"/>
  <c r="X10" i="64"/>
  <c r="X9" i="64"/>
  <c r="X8" i="64"/>
  <c r="X7" i="64"/>
  <c r="I5" i="64"/>
  <c r="H5" i="64"/>
  <c r="G5" i="64"/>
  <c r="J3" i="64"/>
  <c r="I10" i="64"/>
  <c r="I9" i="64"/>
  <c r="G8" i="64"/>
  <c r="G13" i="64"/>
  <c r="G9" i="64"/>
  <c r="I11" i="64"/>
  <c r="G14" i="64"/>
  <c r="I8" i="64"/>
  <c r="G12" i="64"/>
  <c r="I12" i="64"/>
  <c r="G10" i="64"/>
  <c r="G11" i="64"/>
  <c r="I14" i="64"/>
  <c r="G7" i="64"/>
  <c r="I13" i="64"/>
  <c r="H10" i="64"/>
  <c r="H12" i="64"/>
  <c r="H14" i="64"/>
  <c r="H9" i="64"/>
  <c r="H13" i="64"/>
  <c r="H8" i="64"/>
  <c r="H11" i="64"/>
  <c r="N7" i="64"/>
  <c r="M14" i="15"/>
  <c r="M13" i="15"/>
  <c r="M22" i="15"/>
  <c r="M6" i="15"/>
  <c r="M9" i="15"/>
  <c r="M20" i="15"/>
  <c r="M21" i="15"/>
  <c r="M10" i="15"/>
  <c r="M5" i="15"/>
  <c r="M19" i="15"/>
  <c r="M12" i="15"/>
  <c r="M8" i="15"/>
  <c r="M15" i="15"/>
  <c r="M11" i="15"/>
  <c r="M7" i="15"/>
  <c r="M18" i="15"/>
  <c r="M17" i="15"/>
  <c r="M16" i="15"/>
  <c r="P7" i="64"/>
  <c r="N9" i="64"/>
  <c r="O9" i="64" s="1"/>
  <c r="M12" i="64"/>
  <c r="O7" i="64"/>
  <c r="M7" i="64"/>
  <c r="M9" i="64"/>
  <c r="E7" i="6"/>
  <c r="N13" i="64"/>
  <c r="N10" i="64"/>
  <c r="N11" i="64"/>
  <c r="N8" i="64"/>
  <c r="N12" i="64"/>
  <c r="N14" i="64"/>
  <c r="U5" i="64"/>
  <c r="Q16" i="15" l="1"/>
  <c r="Q17" i="15"/>
  <c r="Q18" i="15"/>
  <c r="Q7" i="15"/>
  <c r="Q11" i="15"/>
  <c r="Q15" i="15"/>
  <c r="Q8" i="15"/>
  <c r="Q12" i="15"/>
  <c r="Q19" i="15"/>
  <c r="Q5" i="15"/>
  <c r="Q10" i="15"/>
  <c r="Q21" i="15"/>
  <c r="Q20" i="15"/>
  <c r="Q9" i="15"/>
  <c r="Q6" i="15"/>
  <c r="Q22" i="15"/>
  <c r="Q13" i="15"/>
  <c r="Q14" i="15"/>
  <c r="J12" i="15"/>
  <c r="J11" i="15"/>
  <c r="J10" i="15"/>
  <c r="J9" i="15"/>
  <c r="J8" i="15"/>
  <c r="J7" i="15"/>
  <c r="J22" i="15"/>
  <c r="J6" i="15"/>
  <c r="J21" i="15"/>
  <c r="J5" i="15"/>
  <c r="J20" i="15"/>
  <c r="J19" i="15"/>
  <c r="J18" i="15"/>
  <c r="J17" i="15"/>
  <c r="J16" i="15"/>
  <c r="J15" i="15"/>
  <c r="J14" i="15"/>
  <c r="T7" i="64"/>
  <c r="T12" i="64"/>
  <c r="T9" i="64"/>
  <c r="T11" i="64"/>
  <c r="T13" i="64"/>
  <c r="T14" i="64"/>
  <c r="T10" i="64"/>
  <c r="T8" i="64"/>
  <c r="O8" i="64"/>
  <c r="O13" i="64"/>
  <c r="Y10" i="64"/>
  <c r="P9" i="64"/>
  <c r="O11" i="64"/>
  <c r="Y7" i="64"/>
  <c r="Z11" i="64"/>
  <c r="P10" i="64"/>
  <c r="P14" i="64"/>
  <c r="P8" i="64"/>
  <c r="O10" i="64"/>
  <c r="Z10" i="64" s="1"/>
  <c r="O14" i="64"/>
  <c r="Z14" i="64" s="1"/>
  <c r="Z13" i="64"/>
  <c r="Y9" i="64"/>
  <c r="Y11" i="64"/>
  <c r="Y13" i="64"/>
  <c r="Y14" i="64"/>
  <c r="Z9" i="64"/>
  <c r="Y8" i="64"/>
  <c r="P13" i="64"/>
  <c r="P11" i="64"/>
  <c r="Y12" i="64"/>
  <c r="Z7" i="64"/>
  <c r="Z8" i="64"/>
  <c r="P12" i="64"/>
  <c r="O12" i="64"/>
  <c r="Z12" i="64" s="1"/>
  <c r="J19" i="16" l="1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8" i="16"/>
  <c r="S17" i="16"/>
  <c r="S14" i="16"/>
  <c r="S16" i="16"/>
  <c r="S15" i="16"/>
  <c r="E17" i="16"/>
  <c r="W15" i="16" l="1"/>
  <c r="W16" i="16"/>
  <c r="W14" i="16"/>
  <c r="W17" i="16"/>
  <c r="W18" i="16"/>
  <c r="L17" i="16"/>
  <c r="M17" i="16" s="1"/>
  <c r="F17" i="16"/>
  <c r="E7" i="63" l="1"/>
  <c r="E11" i="63"/>
  <c r="E10" i="63"/>
  <c r="E9" i="63"/>
  <c r="E8" i="63"/>
  <c r="F7" i="63"/>
  <c r="G7" i="63"/>
  <c r="H5" i="6" l="1"/>
  <c r="I5" i="6"/>
  <c r="G5" i="6"/>
  <c r="K7" i="6"/>
  <c r="K8" i="6"/>
  <c r="K9" i="6"/>
  <c r="K10" i="6"/>
  <c r="K11" i="6"/>
  <c r="K12" i="6"/>
  <c r="K6" i="6"/>
  <c r="E4" i="6"/>
  <c r="I13" i="6"/>
  <c r="H13" i="6"/>
  <c r="G7" i="6"/>
  <c r="G9" i="6"/>
  <c r="I7" i="64"/>
  <c r="H7" i="64"/>
  <c r="E9" i="6"/>
  <c r="E6" i="6"/>
  <c r="I9" i="56" l="1"/>
  <c r="G10" i="6"/>
  <c r="G11" i="6"/>
  <c r="G13" i="6"/>
  <c r="G8" i="6"/>
  <c r="G12" i="6"/>
  <c r="D8" i="56"/>
  <c r="G6" i="6"/>
  <c r="E12" i="6"/>
  <c r="E8" i="6"/>
  <c r="E10" i="6"/>
  <c r="E11" i="6"/>
  <c r="H9" i="6"/>
  <c r="H7" i="6"/>
  <c r="AM2" i="17" l="1"/>
  <c r="AM3" i="17"/>
  <c r="AM4" i="17"/>
  <c r="AM6" i="17"/>
  <c r="AK7" i="17" a="1"/>
  <c r="H11" i="6"/>
  <c r="H6" i="6"/>
  <c r="G9" i="63"/>
  <c r="H12" i="6"/>
  <c r="G10" i="63"/>
  <c r="H8" i="6"/>
  <c r="G8" i="63"/>
  <c r="G11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10" i="17"/>
  <c r="AN8" i="17"/>
  <c r="AN9" i="17"/>
  <c r="AN7" i="17"/>
  <c r="AM11" i="17" l="1"/>
  <c r="AL12" i="17"/>
  <c r="AM12" i="17"/>
  <c r="AL13" i="17"/>
  <c r="AN11" i="17"/>
  <c r="AN12" i="17"/>
  <c r="AO8" i="17"/>
  <c r="AO7" i="17"/>
  <c r="AO9" i="17"/>
  <c r="AO10" i="17"/>
  <c r="AM13" i="17" l="1"/>
  <c r="AL14" i="17"/>
  <c r="AM14" i="17"/>
  <c r="AL15" i="17"/>
  <c r="AN14" i="17"/>
  <c r="AN13" i="17"/>
  <c r="AO12" i="17"/>
  <c r="AO11" i="17"/>
  <c r="AM15" i="17" l="1"/>
  <c r="AL16" i="17"/>
  <c r="AM16" i="17"/>
  <c r="AL17" i="17"/>
  <c r="AM17" i="17"/>
  <c r="AL18" i="17"/>
  <c r="AN17" i="17"/>
  <c r="AN16" i="17"/>
  <c r="AN15" i="17"/>
  <c r="AO13" i="17"/>
  <c r="AO14" i="17"/>
  <c r="AM18" i="17" l="1"/>
  <c r="AG5" i="18"/>
  <c r="AN18" i="17"/>
  <c r="AF6" i="18" a="1"/>
  <c r="D6" i="17" a="1"/>
  <c r="AO16" i="17"/>
  <c r="AO17" i="17"/>
  <c r="AO15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F6" i="18"/>
  <c r="AG6" i="18" s="1"/>
  <c r="AF7" i="18"/>
  <c r="AG7" i="18" s="1"/>
  <c r="AF8" i="18"/>
  <c r="AG8" i="18" s="1"/>
  <c r="AF9" i="18"/>
  <c r="AF10" i="18"/>
  <c r="AG10" i="18" s="1"/>
  <c r="AF11" i="18"/>
  <c r="AF12" i="18"/>
  <c r="AG12" i="18" s="1"/>
  <c r="AF13" i="18"/>
  <c r="AF14" i="18"/>
  <c r="AF15" i="18"/>
  <c r="AG15" i="18" s="1"/>
  <c r="AF16" i="18"/>
  <c r="AG16" i="18" s="1"/>
  <c r="AF17" i="18"/>
  <c r="AF18" i="18"/>
  <c r="AF19" i="18"/>
  <c r="AF20" i="18"/>
  <c r="AG20" i="18" s="1"/>
  <c r="AF21" i="18"/>
  <c r="AG21" i="18"/>
  <c r="AF22" i="18"/>
  <c r="AG22" i="18" s="1"/>
  <c r="AF23" i="18"/>
  <c r="AF24" i="18"/>
  <c r="AG24" i="18" s="1"/>
  <c r="AF25" i="18"/>
  <c r="AG25" i="18" s="1"/>
  <c r="AF26" i="18"/>
  <c r="AG26" i="18" s="1"/>
  <c r="AF27" i="18"/>
  <c r="AO18" i="17"/>
  <c r="AG11" i="18" l="1"/>
  <c r="AG18" i="18"/>
  <c r="AG23" i="18"/>
  <c r="AG14" i="18"/>
  <c r="AG19" i="18"/>
  <c r="AG17" i="18"/>
  <c r="AG9" i="18"/>
  <c r="AG13" i="18"/>
  <c r="AG27" i="18"/>
  <c r="AF28" i="18"/>
  <c r="AG28" i="18" s="1"/>
  <c r="AF29" i="18"/>
  <c r="AG29" i="18" l="1"/>
  <c r="AF30" i="18"/>
  <c r="AF31" i="18"/>
  <c r="AG30" i="18" l="1"/>
  <c r="AG31" i="18"/>
  <c r="AF32" i="18"/>
  <c r="AG32" i="18" s="1"/>
  <c r="AF33" i="18" l="1"/>
  <c r="AG33" i="18" s="1"/>
  <c r="AF34" i="18"/>
  <c r="AG34" i="18" l="1"/>
  <c r="AF35" i="18"/>
  <c r="AG35" i="18" s="1"/>
  <c r="AF36" i="18"/>
  <c r="AG36" i="18" s="1"/>
  <c r="AF37" i="18"/>
  <c r="AF38" i="18"/>
  <c r="AF39" i="18"/>
  <c r="AG39" i="18" s="1"/>
  <c r="AF40" i="18"/>
  <c r="AG40" i="18" s="1"/>
  <c r="AF41" i="18"/>
  <c r="AG41" i="18" s="1"/>
  <c r="AF42" i="18"/>
  <c r="AF43" i="18"/>
  <c r="AG43" i="18" s="1"/>
  <c r="AF44" i="18"/>
  <c r="AG44" i="18" s="1"/>
  <c r="AF45" i="18"/>
  <c r="AG45" i="18" s="1"/>
  <c r="AF46" i="18"/>
  <c r="AF47" i="18"/>
  <c r="AG47" i="18" s="1"/>
  <c r="AG37" i="18" l="1"/>
  <c r="AG42" i="18"/>
  <c r="AG46" i="18"/>
  <c r="AG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8" i="8"/>
  <c r="T9" i="8"/>
  <c r="W8" i="8"/>
  <c r="V8" i="8" l="1"/>
  <c r="X8" i="8" s="1"/>
  <c r="U9" i="8"/>
  <c r="V9" i="8" s="1"/>
  <c r="X9" i="8" s="1"/>
  <c r="M10" i="8"/>
  <c r="P10" i="8"/>
  <c r="Q10" i="8" s="1"/>
  <c r="S10" i="8"/>
  <c r="U7" i="8"/>
  <c r="W9" i="8"/>
  <c r="T10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18" i="8"/>
  <c r="T15" i="8"/>
  <c r="W19" i="8"/>
  <c r="T7" i="7"/>
  <c r="W11" i="8"/>
  <c r="W13" i="8"/>
  <c r="T17" i="8"/>
  <c r="W17" i="8"/>
  <c r="W21" i="8"/>
  <c r="W12" i="8"/>
  <c r="W7" i="8"/>
  <c r="T13" i="8"/>
  <c r="W15" i="8"/>
  <c r="T21" i="8"/>
  <c r="T20" i="8"/>
  <c r="T11" i="8"/>
  <c r="T16" i="8"/>
  <c r="W10" i="8"/>
  <c r="T12" i="8"/>
  <c r="W16" i="8"/>
  <c r="T19" i="8"/>
  <c r="W20" i="8"/>
  <c r="W14" i="8"/>
  <c r="W18" i="8"/>
  <c r="T14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Q8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U8" i="7"/>
  <c r="Q9" i="7"/>
  <c r="T13" i="7"/>
  <c r="W7" i="7"/>
  <c r="T20" i="7"/>
  <c r="X5" i="26"/>
  <c r="T14" i="7"/>
  <c r="T16" i="7"/>
  <c r="T12" i="7"/>
  <c r="T15" i="7"/>
  <c r="T18" i="7"/>
  <c r="T10" i="7"/>
  <c r="T19" i="7"/>
  <c r="T11" i="7"/>
  <c r="T21" i="7"/>
  <c r="T17" i="7"/>
  <c r="M6" i="7"/>
  <c r="V8" i="7" l="1"/>
  <c r="X8" i="7" s="1"/>
  <c r="R5" i="26"/>
  <c r="U9" i="7"/>
  <c r="Q20" i="7"/>
  <c r="Q10" i="7"/>
  <c r="Q19" i="7"/>
  <c r="Q12" i="7"/>
  <c r="Q16" i="7"/>
  <c r="Q17" i="7"/>
  <c r="Q11" i="7"/>
  <c r="Q18" i="7"/>
  <c r="Q15" i="7"/>
  <c r="Q13" i="7"/>
  <c r="Q21" i="7"/>
  <c r="Q14" i="7"/>
  <c r="W8" i="7"/>
  <c r="X6" i="26"/>
  <c r="U17" i="7" l="1"/>
  <c r="U20" i="7"/>
  <c r="V9" i="7"/>
  <c r="X9" i="7" s="1"/>
  <c r="R6" i="26"/>
  <c r="U16" i="7"/>
  <c r="U14" i="7"/>
  <c r="U21" i="7"/>
  <c r="U11" i="7"/>
  <c r="U13" i="7"/>
  <c r="U18" i="7"/>
  <c r="U10" i="7"/>
  <c r="U19" i="7"/>
  <c r="U12" i="7"/>
  <c r="U15" i="7"/>
  <c r="W9" i="7"/>
  <c r="X7" i="26"/>
  <c r="W17" i="7"/>
  <c r="W20" i="7"/>
  <c r="V20" i="7" l="1"/>
  <c r="X20" i="7" s="1"/>
  <c r="V17" i="7"/>
  <c r="X17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W10" i="7"/>
  <c r="W13" i="7"/>
  <c r="W14" i="7"/>
  <c r="W15" i="7"/>
  <c r="W16" i="7"/>
  <c r="W18" i="7"/>
  <c r="X8" i="26"/>
  <c r="W19" i="7"/>
  <c r="W12" i="7"/>
  <c r="W11" i="7"/>
  <c r="W21" i="7"/>
  <c r="V5" i="7" l="1"/>
  <c r="R8" i="26"/>
  <c r="X9" i="26"/>
  <c r="R9" i="26" l="1"/>
  <c r="X10" i="26"/>
  <c r="R10" i="26" l="1"/>
  <c r="X11" i="26"/>
  <c r="R11" i="26" l="1"/>
  <c r="X12" i="26"/>
  <c r="R12" i="26" l="1"/>
  <c r="X13" i="26"/>
  <c r="R13" i="26" l="1"/>
  <c r="X14" i="26"/>
  <c r="R14" i="26" l="1"/>
  <c r="X15" i="26"/>
  <c r="R15" i="26" l="1"/>
  <c r="X16" i="26"/>
  <c r="R16" i="26" l="1"/>
  <c r="X17" i="26"/>
  <c r="R17" i="26" l="1"/>
  <c r="X18" i="26"/>
  <c r="R18" i="26" l="1"/>
  <c r="X19" i="26"/>
  <c r="R19" i="26" l="1"/>
  <c r="X20" i="26"/>
  <c r="R20" i="26" l="1"/>
  <c r="X21" i="26"/>
  <c r="R21" i="26" l="1"/>
  <c r="X22" i="26"/>
  <c r="R22" i="26" l="1"/>
  <c r="X23" i="26"/>
  <c r="R23" i="26" l="1"/>
  <c r="X24" i="26"/>
  <c r="R24" i="26" l="1"/>
  <c r="X25" i="26"/>
  <c r="R25" i="26" l="1"/>
  <c r="X26" i="26"/>
  <c r="R26" i="26" l="1"/>
  <c r="R27" i="26"/>
  <c r="X27" i="26"/>
  <c r="X28" i="26"/>
  <c r="R28" i="26" l="1"/>
  <c r="R29" i="26"/>
  <c r="X29" i="26"/>
  <c r="X30" i="26"/>
  <c r="R30" i="26" l="1"/>
  <c r="X31" i="26"/>
  <c r="R31" i="26" l="1"/>
  <c r="X32" i="26"/>
  <c r="R32" i="26" l="1"/>
  <c r="X33" i="26"/>
  <c r="R33" i="26" l="1"/>
  <c r="X34" i="26"/>
  <c r="R34" i="26" l="1"/>
  <c r="R35" i="26"/>
  <c r="X35" i="26"/>
  <c r="X36" i="26"/>
  <c r="R36" i="26" l="1"/>
  <c r="R37" i="26"/>
  <c r="X37" i="26"/>
  <c r="X38" i="26"/>
  <c r="R38" i="26" l="1"/>
  <c r="R39" i="26"/>
  <c r="X39" i="26"/>
  <c r="R40" i="26" l="1"/>
  <c r="X40" i="26"/>
  <c r="X41" i="26"/>
  <c r="R41" i="26" l="1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X5" i="25"/>
  <c r="AB5" i="25" l="1"/>
  <c r="R5" i="25"/>
  <c r="X6" i="25"/>
  <c r="AB6" i="25" l="1"/>
  <c r="R6" i="25"/>
  <c r="X7" i="25"/>
  <c r="AB7" i="25" l="1"/>
  <c r="R7" i="25"/>
  <c r="X8" i="25"/>
  <c r="AB8" i="25" l="1"/>
  <c r="R8" i="25"/>
  <c r="X9" i="25"/>
  <c r="AB9" i="25" l="1"/>
  <c r="R9" i="25"/>
  <c r="X10" i="25"/>
  <c r="AB10" i="25" l="1"/>
  <c r="R10" i="25"/>
  <c r="X11" i="25"/>
  <c r="AB11" i="25" l="1"/>
  <c r="R11" i="25"/>
  <c r="X12" i="25"/>
  <c r="AB12" i="25" l="1"/>
  <c r="R12" i="25"/>
  <c r="X13" i="25"/>
  <c r="AB13" i="25" l="1"/>
  <c r="R13" i="25"/>
  <c r="X14" i="25"/>
  <c r="AB14" i="25" l="1"/>
  <c r="R14" i="25"/>
  <c r="X15" i="25"/>
  <c r="AB15" i="25" l="1"/>
  <c r="R15" i="25"/>
  <c r="X16" i="25"/>
  <c r="AB16" i="25" l="1"/>
  <c r="R16" i="25"/>
  <c r="X17" i="25"/>
  <c r="AB17" i="25" l="1"/>
  <c r="R17" i="25"/>
  <c r="X18" i="25"/>
  <c r="AB18" i="25" l="1"/>
  <c r="R18" i="25"/>
  <c r="X19" i="25"/>
  <c r="AB19" i="25" l="1"/>
  <c r="R19" i="25"/>
  <c r="X20" i="25"/>
  <c r="AB20" i="25" l="1"/>
  <c r="R20" i="25"/>
  <c r="X21" i="25"/>
  <c r="AB21" i="25" l="1"/>
  <c r="R21" i="25"/>
  <c r="X22" i="25"/>
  <c r="AB22" i="25" l="1"/>
  <c r="R22" i="25"/>
  <c r="X23" i="25"/>
  <c r="AB23" i="25" l="1"/>
  <c r="R23" i="25"/>
  <c r="X24" i="25"/>
  <c r="AB24" i="25" l="1"/>
  <c r="R24" i="25"/>
  <c r="X25" i="25"/>
  <c r="AB25" i="25" l="1"/>
  <c r="R25" i="25"/>
  <c r="X26" i="25"/>
  <c r="AB26" i="25" l="1"/>
  <c r="R26" i="25"/>
  <c r="X27" i="25"/>
  <c r="AB27" i="25" l="1"/>
  <c r="R27" i="25"/>
  <c r="X28" i="25"/>
  <c r="AB28" i="25" l="1"/>
  <c r="R28" i="25"/>
  <c r="R29" i="25"/>
  <c r="X29" i="25"/>
  <c r="AB29" i="25" l="1"/>
  <c r="R30" i="25"/>
  <c r="X30" i="25"/>
  <c r="AB30" i="25" l="1"/>
  <c r="X31" i="25"/>
  <c r="AB31" i="25" l="1"/>
  <c r="R31" i="25"/>
  <c r="X32" i="25"/>
  <c r="AB32" i="25" l="1"/>
  <c r="R32" i="25"/>
  <c r="X33" i="25"/>
  <c r="AB33" i="25" l="1"/>
  <c r="R33" i="25"/>
  <c r="X34" i="25"/>
  <c r="AB34" i="25" l="1"/>
  <c r="R34" i="25"/>
  <c r="R35" i="25"/>
  <c r="X35" i="25"/>
  <c r="AB35" i="25" l="1"/>
  <c r="X36" i="25"/>
  <c r="AB36" i="25" l="1"/>
  <c r="R36" i="25"/>
  <c r="X37" i="25"/>
  <c r="AB37" i="25" l="1"/>
  <c r="R37" i="25"/>
  <c r="X38" i="25"/>
  <c r="AB38" i="25" l="1"/>
  <c r="R38" i="25"/>
  <c r="R39" i="25"/>
  <c r="X39" i="25"/>
  <c r="AB39" i="25" l="1"/>
  <c r="X40" i="25"/>
  <c r="AB40" i="25" l="1"/>
  <c r="R40" i="25"/>
  <c r="X41" i="25"/>
  <c r="AB41" i="25" l="1"/>
  <c r="R41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H5" i="20"/>
  <c r="L5" i="20"/>
  <c r="P5" i="20" s="1" a="1"/>
  <c r="H4" i="20"/>
  <c r="U38" i="18"/>
  <c r="U33" i="18"/>
  <c r="U15" i="18"/>
  <c r="U6" i="18"/>
  <c r="U10" i="18"/>
  <c r="U21" i="18"/>
  <c r="U29" i="18"/>
  <c r="U26" i="18"/>
  <c r="U43" i="18"/>
  <c r="U42" i="18"/>
  <c r="U17" i="18"/>
  <c r="U35" i="18"/>
  <c r="U39" i="18"/>
  <c r="U23" i="18"/>
  <c r="U32" i="18"/>
  <c r="U47" i="18"/>
  <c r="U40" i="18"/>
  <c r="U14" i="18"/>
  <c r="U30" i="18"/>
  <c r="U25" i="18"/>
  <c r="U16" i="18"/>
  <c r="U9" i="18"/>
  <c r="U8" i="18"/>
  <c r="U44" i="18"/>
  <c r="U22" i="18"/>
  <c r="U28" i="18"/>
  <c r="U18" i="18"/>
  <c r="U45" i="18"/>
  <c r="U13" i="18"/>
  <c r="U36" i="18"/>
  <c r="U31" i="18"/>
  <c r="U46" i="18"/>
  <c r="U11" i="18"/>
  <c r="U24" i="18"/>
  <c r="U34" i="18"/>
  <c r="U20" i="18"/>
  <c r="U37" i="18"/>
  <c r="U27" i="18"/>
  <c r="U41" i="18"/>
  <c r="U19" i="18"/>
  <c r="U12" i="18"/>
  <c r="U7" i="18"/>
  <c r="N6" i="18" a="1"/>
  <c r="Y7" i="18" l="1"/>
  <c r="Y12" i="18"/>
  <c r="Y19" i="18"/>
  <c r="Y41" i="18"/>
  <c r="Y27" i="18"/>
  <c r="Y37" i="18"/>
  <c r="Y20" i="18"/>
  <c r="Y34" i="18"/>
  <c r="Y24" i="18"/>
  <c r="Y11" i="18"/>
  <c r="Y46" i="18"/>
  <c r="Y31" i="18"/>
  <c r="Y36" i="18"/>
  <c r="Y13" i="18"/>
  <c r="Y45" i="18"/>
  <c r="Y18" i="18"/>
  <c r="Y28" i="18"/>
  <c r="Y22" i="18"/>
  <c r="Y44" i="18"/>
  <c r="Y8" i="18"/>
  <c r="Y9" i="18"/>
  <c r="Y16" i="18"/>
  <c r="Y25" i="18"/>
  <c r="Y30" i="18"/>
  <c r="Y14" i="18"/>
  <c r="Y40" i="18"/>
  <c r="Y47" i="18"/>
  <c r="Y32" i="18"/>
  <c r="Y23" i="18"/>
  <c r="Y39" i="18"/>
  <c r="Y35" i="18"/>
  <c r="Y17" i="18"/>
  <c r="Y42" i="18"/>
  <c r="Y43" i="18"/>
  <c r="Y26" i="18"/>
  <c r="Y29" i="18"/>
  <c r="Y21" i="18"/>
  <c r="Y10" i="18"/>
  <c r="Y6" i="18"/>
  <c r="Y15" i="18"/>
  <c r="Y33" i="18"/>
  <c r="Y38" i="18"/>
  <c r="P5" i="20"/>
  <c r="P6" i="20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U6" i="17"/>
  <c r="U11" i="17"/>
  <c r="U14" i="17"/>
  <c r="U16" i="17"/>
  <c r="U7" i="17"/>
  <c r="U12" i="17"/>
  <c r="U17" i="17"/>
  <c r="U10" i="17"/>
  <c r="U9" i="17"/>
  <c r="U8" i="17"/>
  <c r="U13" i="17"/>
  <c r="U15" i="17"/>
  <c r="N6" i="17" a="1"/>
  <c r="Y15" i="17" l="1"/>
  <c r="Y13" i="17"/>
  <c r="Y8" i="17"/>
  <c r="Y9" i="17"/>
  <c r="Y10" i="17"/>
  <c r="Y17" i="17"/>
  <c r="Y12" i="17"/>
  <c r="Y7" i="17"/>
  <c r="Y16" i="17"/>
  <c r="Y14" i="17"/>
  <c r="Y11" i="17"/>
  <c r="Y6" i="17"/>
  <c r="N9" i="17"/>
  <c r="N17" i="17"/>
  <c r="N12" i="17"/>
  <c r="N7" i="17"/>
  <c r="N15" i="17"/>
  <c r="N10" i="17"/>
  <c r="N13" i="17"/>
  <c r="N8" i="17"/>
  <c r="N16" i="17"/>
  <c r="N11" i="17"/>
  <c r="N6" i="17"/>
  <c r="N14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N5" i="16" s="1" a="1"/>
  <c r="S19" i="16"/>
  <c r="W19" i="16" l="1"/>
  <c r="N5" i="16"/>
  <c r="N8" i="16"/>
  <c r="N19" i="16"/>
  <c r="N18" i="16"/>
  <c r="N17" i="16"/>
  <c r="N16" i="16"/>
  <c r="N15" i="16"/>
  <c r="N7" i="16"/>
  <c r="N14" i="16"/>
  <c r="N13" i="16"/>
  <c r="N11" i="16"/>
  <c r="N6" i="16"/>
  <c r="N12" i="16"/>
  <c r="N10" i="16"/>
  <c r="N9" i="16"/>
  <c r="L4" i="15"/>
  <c r="X5" i="15"/>
  <c r="N5" i="23" l="1"/>
  <c r="N6" i="23"/>
  <c r="T6" i="23"/>
  <c r="T5" i="23"/>
  <c r="X17" i="16"/>
  <c r="X5" i="23" l="1"/>
  <c r="X6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V35" i="11"/>
  <c r="V24" i="11"/>
  <c r="V22" i="11"/>
  <c r="V5" i="11"/>
  <c r="V30" i="11"/>
  <c r="V10" i="11"/>
  <c r="V41" i="11"/>
  <c r="V13" i="11"/>
  <c r="V7" i="11"/>
  <c r="V38" i="11"/>
  <c r="V29" i="11"/>
  <c r="V39" i="11"/>
  <c r="V37" i="11"/>
  <c r="V34" i="11"/>
  <c r="V42" i="11"/>
  <c r="V25" i="11"/>
  <c r="V6" i="11"/>
  <c r="V28" i="11"/>
  <c r="V14" i="11"/>
  <c r="V20" i="11"/>
  <c r="V32" i="11"/>
  <c r="V16" i="11"/>
  <c r="V12" i="11"/>
  <c r="V21" i="11"/>
  <c r="V15" i="11"/>
  <c r="V23" i="11"/>
  <c r="V18" i="11"/>
  <c r="V8" i="11"/>
  <c r="V36" i="11"/>
  <c r="V33" i="11"/>
  <c r="V9" i="11"/>
  <c r="V26" i="11"/>
  <c r="V27" i="11"/>
  <c r="V40" i="11"/>
  <c r="V11" i="11"/>
  <c r="V19" i="11"/>
  <c r="V17" i="11"/>
  <c r="V31" i="11"/>
  <c r="Y18" i="23"/>
  <c r="Z31" i="11" l="1"/>
  <c r="Z17" i="11"/>
  <c r="Z19" i="11"/>
  <c r="Z11" i="11"/>
  <c r="Z40" i="11"/>
  <c r="Z27" i="11"/>
  <c r="Z26" i="11"/>
  <c r="Z9" i="11"/>
  <c r="Z33" i="11"/>
  <c r="Z36" i="11"/>
  <c r="Z8" i="11"/>
  <c r="Z18" i="11"/>
  <c r="Z23" i="11"/>
  <c r="Z15" i="11"/>
  <c r="Z21" i="11"/>
  <c r="Z12" i="11"/>
  <c r="Z16" i="11"/>
  <c r="Z32" i="11"/>
  <c r="Z20" i="11"/>
  <c r="Z14" i="11"/>
  <c r="Z28" i="11"/>
  <c r="Z6" i="11"/>
  <c r="Z25" i="11"/>
  <c r="Z42" i="11"/>
  <c r="Z34" i="11"/>
  <c r="Z37" i="11"/>
  <c r="Z39" i="11"/>
  <c r="Z29" i="11"/>
  <c r="Z38" i="11"/>
  <c r="Z7" i="11"/>
  <c r="Z13" i="11"/>
  <c r="Z41" i="11"/>
  <c r="Z10" i="11"/>
  <c r="Z30" i="11"/>
  <c r="Z5" i="11"/>
  <c r="Z22" i="11"/>
  <c r="Z24" i="11"/>
  <c r="Z35" i="11"/>
  <c r="S5" i="11" a="1"/>
  <c r="S42" i="11" s="1"/>
  <c r="V5" i="12"/>
  <c r="Z5" i="12" l="1"/>
  <c r="S36" i="1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V6" i="12"/>
  <c r="V24" i="12"/>
  <c r="V15" i="12"/>
  <c r="V38" i="12"/>
  <c r="V13" i="12"/>
  <c r="V11" i="12"/>
  <c r="V33" i="12"/>
  <c r="V32" i="12"/>
  <c r="V21" i="12"/>
  <c r="V16" i="12"/>
  <c r="V31" i="12"/>
  <c r="V42" i="12"/>
  <c r="V17" i="12"/>
  <c r="V8" i="12"/>
  <c r="V41" i="12"/>
  <c r="V34" i="12"/>
  <c r="V19" i="12"/>
  <c r="V39" i="12"/>
  <c r="V23" i="12"/>
  <c r="V36" i="12"/>
  <c r="V22" i="12"/>
  <c r="V7" i="12"/>
  <c r="V25" i="12"/>
  <c r="V10" i="12"/>
  <c r="V28" i="12"/>
  <c r="V35" i="12"/>
  <c r="V26" i="12"/>
  <c r="V27" i="12"/>
  <c r="V9" i="12"/>
  <c r="V30" i="12"/>
  <c r="V37" i="12"/>
  <c r="V14" i="12"/>
  <c r="V18" i="12"/>
  <c r="V20" i="12"/>
  <c r="V40" i="12"/>
  <c r="V29" i="12"/>
  <c r="V12" i="12"/>
  <c r="Z12" i="12" l="1"/>
  <c r="Z29" i="12"/>
  <c r="Z40" i="12"/>
  <c r="Z20" i="12"/>
  <c r="Z18" i="12"/>
  <c r="Z14" i="12"/>
  <c r="Z37" i="12"/>
  <c r="Z30" i="12"/>
  <c r="Z9" i="12"/>
  <c r="Z27" i="12"/>
  <c r="Z26" i="12"/>
  <c r="Z35" i="12"/>
  <c r="Z28" i="12"/>
  <c r="Z10" i="12"/>
  <c r="Z25" i="12"/>
  <c r="Z7" i="12"/>
  <c r="Z22" i="12"/>
  <c r="Z36" i="12"/>
  <c r="Z23" i="12"/>
  <c r="Z39" i="12"/>
  <c r="Z19" i="12"/>
  <c r="Z34" i="12"/>
  <c r="Z41" i="12"/>
  <c r="Z8" i="12"/>
  <c r="Z17" i="12"/>
  <c r="Z42" i="12"/>
  <c r="Z31" i="12"/>
  <c r="Z16" i="12"/>
  <c r="Z21" i="12"/>
  <c r="Z32" i="12"/>
  <c r="Z33" i="12"/>
  <c r="Z11" i="12"/>
  <c r="Z13" i="12"/>
  <c r="Z38" i="12"/>
  <c r="Z15" i="12"/>
  <c r="Z24" i="12"/>
  <c r="Z6" i="12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T58" i="22"/>
  <c r="X58" i="22" l="1"/>
  <c r="O5" i="22" a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N6" i="6"/>
  <c r="Q6" i="6"/>
  <c r="N7" i="6" l="1"/>
  <c r="O6" i="6"/>
  <c r="Q7" i="6"/>
  <c r="N8" i="6" l="1"/>
  <c r="N9" i="6"/>
  <c r="N10" i="6"/>
  <c r="N11" i="6"/>
  <c r="N12" i="6"/>
  <c r="AN6" i="17"/>
  <c r="R6" i="6"/>
  <c r="Q9" i="6"/>
  <c r="O7" i="6"/>
  <c r="Q8" i="6"/>
  <c r="Q12" i="6"/>
  <c r="Q11" i="6"/>
  <c r="K5" i="6"/>
  <c r="S6" i="6" l="1"/>
  <c r="U6" i="6" s="1"/>
  <c r="R7" i="6"/>
  <c r="O8" i="6"/>
  <c r="O12" i="6"/>
  <c r="I10" i="56"/>
  <c r="O11" i="6"/>
  <c r="AO6" i="17"/>
  <c r="T6" i="6"/>
  <c r="O9" i="6"/>
  <c r="S7" i="6" l="1"/>
  <c r="R11" i="6"/>
  <c r="R8" i="6"/>
  <c r="R9" i="6"/>
  <c r="R12" i="6"/>
  <c r="T7" i="6"/>
  <c r="S8" i="6" l="1"/>
  <c r="S12" i="6"/>
  <c r="S11" i="6"/>
  <c r="S9" i="6"/>
  <c r="T11" i="6"/>
  <c r="T12" i="6"/>
  <c r="T8" i="6"/>
  <c r="T9" i="6"/>
  <c r="D12" i="56" l="1"/>
  <c r="B1" i="56"/>
  <c r="E4" i="23" l="1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51" i="22"/>
  <c r="F15" i="23"/>
  <c r="F20" i="22"/>
  <c r="F7" i="22"/>
  <c r="F22" i="22"/>
  <c r="F43" i="22"/>
  <c r="F50" i="22"/>
  <c r="F18" i="22"/>
  <c r="F21" i="22"/>
  <c r="F13" i="23"/>
  <c r="F56" i="22"/>
  <c r="F36" i="22"/>
  <c r="F30" i="22"/>
  <c r="F45" i="22"/>
  <c r="F23" i="22"/>
  <c r="F5" i="22"/>
  <c r="F7" i="23"/>
  <c r="F12" i="22"/>
  <c r="F46" i="22"/>
  <c r="F13" i="22"/>
  <c r="F34" i="22"/>
  <c r="F41" i="22"/>
  <c r="F53" i="22"/>
  <c r="F19" i="22"/>
  <c r="F38" i="22"/>
  <c r="F57" i="22"/>
  <c r="F54" i="22"/>
  <c r="F6" i="22"/>
  <c r="F10" i="22"/>
  <c r="F9" i="23"/>
  <c r="F9" i="22"/>
  <c r="F35" i="22"/>
  <c r="F12" i="23"/>
  <c r="F37" i="22"/>
  <c r="F48" i="22"/>
  <c r="F10" i="23"/>
  <c r="F55" i="22"/>
  <c r="F47" i="22"/>
  <c r="F52" i="22"/>
  <c r="F15" i="22"/>
  <c r="F42" i="22"/>
  <c r="F17" i="22"/>
  <c r="F14" i="23"/>
  <c r="F39" i="22"/>
  <c r="F25" i="22"/>
  <c r="F26" i="22"/>
  <c r="F6" i="23"/>
  <c r="F11" i="22"/>
  <c r="F16" i="22"/>
  <c r="F32" i="22"/>
  <c r="F8" i="22"/>
  <c r="F29" i="22"/>
  <c r="F14" i="22"/>
  <c r="F33" i="22"/>
  <c r="F24" i="22"/>
  <c r="F27" i="22"/>
  <c r="F28" i="22"/>
  <c r="F40" i="22"/>
  <c r="F49" i="22"/>
  <c r="F8" i="23"/>
  <c r="F58" i="22"/>
  <c r="F5" i="23"/>
  <c r="F31" i="22"/>
  <c r="F44" i="22"/>
  <c r="F11" i="23"/>
  <c r="Y6" i="22"/>
  <c r="Y7" i="22"/>
  <c r="Y5" i="22"/>
  <c r="Y8" i="22"/>
  <c r="E6" i="26" l="1"/>
  <c r="E12" i="25"/>
  <c r="G17" i="22"/>
  <c r="G23" i="22"/>
  <c r="F16" i="25"/>
  <c r="G6" i="22"/>
  <c r="G49" i="22"/>
  <c r="G51" i="22"/>
  <c r="F37" i="25"/>
  <c r="G11" i="23"/>
  <c r="G35" i="22"/>
  <c r="G53" i="22"/>
  <c r="G28" i="22"/>
  <c r="F19" i="25"/>
  <c r="G19" i="22"/>
  <c r="G37" i="22"/>
  <c r="G24" i="22"/>
  <c r="G10" i="22"/>
  <c r="G18" i="22"/>
  <c r="G54" i="22"/>
  <c r="G6" i="23"/>
  <c r="G8" i="23"/>
  <c r="G5" i="23"/>
  <c r="G5" i="22"/>
  <c r="G57" i="22"/>
  <c r="G34" i="22"/>
  <c r="G15" i="22"/>
  <c r="F19" i="26"/>
  <c r="G11" i="22"/>
  <c r="G29" i="22"/>
  <c r="G14" i="23"/>
  <c r="G9" i="22"/>
  <c r="F8" i="25"/>
  <c r="G25" i="22"/>
  <c r="G32" i="22"/>
  <c r="F40" i="26"/>
  <c r="G15" i="23"/>
  <c r="F29" i="26"/>
  <c r="G31" i="22"/>
  <c r="G16" i="22"/>
  <c r="F32" i="26"/>
  <c r="G50" i="22"/>
  <c r="G41" i="22"/>
  <c r="G40" i="22"/>
  <c r="G36" i="22"/>
  <c r="G44" i="22"/>
  <c r="G46" i="22"/>
  <c r="F24" i="26"/>
  <c r="G8" i="22"/>
  <c r="G52" i="22"/>
  <c r="G30" i="22"/>
  <c r="G27" i="22"/>
  <c r="G10" i="23"/>
  <c r="F13" i="25"/>
  <c r="G39" i="22"/>
  <c r="G14" i="22"/>
  <c r="G26" i="22"/>
  <c r="G7" i="23"/>
  <c r="F27" i="26"/>
  <c r="G47" i="22"/>
  <c r="F12" i="25"/>
  <c r="G21" i="22"/>
  <c r="G33" i="22"/>
  <c r="G42" i="22"/>
  <c r="F35" i="26"/>
  <c r="G45" i="22"/>
  <c r="F29" i="25"/>
  <c r="G7" i="22"/>
  <c r="G13" i="22"/>
  <c r="F16" i="26"/>
  <c r="F24" i="25"/>
  <c r="G13" i="23"/>
  <c r="G20" i="22"/>
  <c r="F21" i="25"/>
  <c r="F11" i="26"/>
  <c r="G56" i="22"/>
  <c r="G38" i="22"/>
  <c r="G43" i="22"/>
  <c r="G12" i="22"/>
  <c r="F8" i="26"/>
  <c r="F11" i="25"/>
  <c r="G55" i="22"/>
  <c r="G22" i="22"/>
  <c r="G12" i="23"/>
  <c r="G9" i="23"/>
  <c r="G48" i="22"/>
  <c r="G58" i="22"/>
  <c r="Y57" i="22"/>
  <c r="Y46" i="22"/>
  <c r="Y13" i="22"/>
  <c r="Y33" i="22"/>
  <c r="Y42" i="22"/>
  <c r="Y27" i="22"/>
  <c r="Y7" i="23"/>
  <c r="Y22" i="22"/>
  <c r="Y19" i="22"/>
  <c r="Y39" i="22"/>
  <c r="Y58" i="22"/>
  <c r="Y5" i="23"/>
  <c r="Y12" i="23"/>
  <c r="Y16" i="22"/>
  <c r="Y6" i="23"/>
  <c r="Y50" i="22"/>
  <c r="Y17" i="22"/>
  <c r="Y31" i="22"/>
  <c r="Y37" i="22"/>
  <c r="Y41" i="22"/>
  <c r="Y18" i="22"/>
  <c r="Y11" i="22"/>
  <c r="Y9" i="22"/>
  <c r="Y29" i="22"/>
  <c r="Y23" i="22"/>
  <c r="Y55" i="22"/>
  <c r="Y38" i="22"/>
  <c r="Y32" i="22"/>
  <c r="Y13" i="23"/>
  <c r="Y45" i="22"/>
  <c r="Y14" i="23"/>
  <c r="Y43" i="22"/>
  <c r="Y47" i="22"/>
  <c r="Y30" i="22"/>
  <c r="Y28" i="22"/>
  <c r="Y21" i="22"/>
  <c r="Y8" i="23"/>
  <c r="Y14" i="22"/>
  <c r="Y54" i="22"/>
  <c r="Y9" i="23"/>
  <c r="Y15" i="22"/>
  <c r="Y40" i="22"/>
  <c r="Y48" i="22"/>
  <c r="Y26" i="22"/>
  <c r="Y20" i="22"/>
  <c r="Y53" i="22"/>
  <c r="Y52" i="22"/>
  <c r="Y34" i="22"/>
  <c r="Y25" i="22"/>
  <c r="Y56" i="22"/>
  <c r="Y44" i="22"/>
  <c r="Y36" i="22"/>
  <c r="Y12" i="22"/>
  <c r="Y24" i="22"/>
  <c r="Y51" i="22"/>
  <c r="Y49" i="22"/>
  <c r="Y11" i="23"/>
  <c r="Y10" i="22"/>
  <c r="Y35" i="22"/>
  <c r="Y15" i="23"/>
  <c r="Y10" i="23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AC16" i="26"/>
  <c r="F12" i="26"/>
  <c r="F14" i="25"/>
  <c r="F7" i="25"/>
  <c r="G12" i="25"/>
  <c r="F37" i="26"/>
  <c r="F39" i="26"/>
  <c r="AC29" i="26"/>
  <c r="F10" i="25"/>
  <c r="F23" i="26"/>
  <c r="F26" i="25"/>
  <c r="F34" i="25"/>
  <c r="F20" i="25"/>
  <c r="F31" i="25"/>
  <c r="F41" i="25"/>
  <c r="F22" i="25"/>
  <c r="F38" i="25"/>
  <c r="F30" i="26"/>
  <c r="F9" i="26"/>
  <c r="G29" i="26"/>
  <c r="G11" i="26"/>
  <c r="AC40" i="26"/>
  <c r="F41" i="26"/>
  <c r="F9" i="25"/>
  <c r="F42" i="25"/>
  <c r="F6" i="25"/>
  <c r="F6" i="26"/>
  <c r="G8" i="25"/>
  <c r="AC11" i="26"/>
  <c r="G16" i="25"/>
  <c r="AC27" i="26"/>
  <c r="G16" i="26"/>
  <c r="AC35" i="26"/>
  <c r="AC24" i="26"/>
  <c r="AC8" i="26"/>
  <c r="G32" i="26"/>
  <c r="G13" i="25"/>
  <c r="F25" i="25"/>
  <c r="G24" i="26"/>
  <c r="F15" i="26"/>
  <c r="F21" i="26"/>
  <c r="F27" i="25"/>
  <c r="F18" i="25"/>
  <c r="G11" i="25"/>
  <c r="F13" i="26"/>
  <c r="G8" i="26"/>
  <c r="F28" i="25"/>
  <c r="G40" i="26"/>
  <c r="F20" i="26"/>
  <c r="AC19" i="26"/>
  <c r="F17" i="25"/>
  <c r="F22" i="26"/>
  <c r="F18" i="26"/>
  <c r="F33" i="25"/>
  <c r="F32" i="25"/>
  <c r="F40" i="25"/>
  <c r="F10" i="26"/>
  <c r="F7" i="26"/>
  <c r="F42" i="26"/>
  <c r="G24" i="25"/>
  <c r="G35" i="26"/>
  <c r="G21" i="25"/>
  <c r="AC15" i="26"/>
  <c r="F15" i="25"/>
  <c r="F28" i="26"/>
  <c r="F35" i="25"/>
  <c r="G19" i="25"/>
  <c r="F30" i="25"/>
  <c r="F38" i="26"/>
  <c r="F33" i="26"/>
  <c r="F36" i="26"/>
  <c r="F25" i="26"/>
  <c r="F14" i="26"/>
  <c r="G14" i="26"/>
  <c r="F39" i="25"/>
  <c r="G27" i="26"/>
  <c r="F34" i="26"/>
  <c r="AC34" i="26" s="1"/>
  <c r="F17" i="26"/>
  <c r="AC32" i="26"/>
  <c r="F23" i="25"/>
  <c r="F36" i="25"/>
  <c r="G29" i="25"/>
  <c r="F31" i="26"/>
  <c r="G19" i="26"/>
  <c r="F26" i="26"/>
  <c r="G37" i="25"/>
  <c r="AC19" i="25"/>
  <c r="AC23" i="25"/>
  <c r="AC11" i="25"/>
  <c r="AC30" i="25"/>
  <c r="AC38" i="25"/>
  <c r="AC16" i="25"/>
  <c r="AC34" i="25"/>
  <c r="AC12" i="25"/>
  <c r="AC17" i="25"/>
  <c r="AC36" i="25"/>
  <c r="AC25" i="25"/>
  <c r="AC6" i="25"/>
  <c r="AC29" i="25"/>
  <c r="AC22" i="25"/>
  <c r="AC35" i="25"/>
  <c r="AC20" i="25"/>
  <c r="AC13" i="25"/>
  <c r="AC21" i="25"/>
  <c r="AC37" i="25"/>
  <c r="AC27" i="25"/>
  <c r="AC32" i="25"/>
  <c r="AC42" i="25"/>
  <c r="AC10" i="25"/>
  <c r="AC7" i="25"/>
  <c r="AC41" i="25"/>
  <c r="AC40" i="25"/>
  <c r="AC14" i="25"/>
  <c r="AC24" i="25"/>
  <c r="AC18" i="25"/>
  <c r="AC31" i="25"/>
  <c r="AC33" i="25"/>
  <c r="AC15" i="25"/>
  <c r="AC28" i="25"/>
  <c r="AC9" i="25"/>
  <c r="AC39" i="25"/>
  <c r="AC26" i="25"/>
  <c r="AC8" i="25"/>
  <c r="AC21" i="26"/>
  <c r="G21" i="26"/>
  <c r="F4" i="23" l="1"/>
  <c r="F5" i="25"/>
  <c r="AC17" i="26"/>
  <c r="G9" i="25"/>
  <c r="G41" i="26"/>
  <c r="G18" i="25"/>
  <c r="AC42" i="26"/>
  <c r="G17" i="25"/>
  <c r="G15" i="25"/>
  <c r="AC13" i="26"/>
  <c r="G10" i="25"/>
  <c r="AC12" i="26"/>
  <c r="G39" i="26"/>
  <c r="G37" i="26"/>
  <c r="G22" i="25"/>
  <c r="G36" i="25"/>
  <c r="G7" i="25"/>
  <c r="G23" i="25"/>
  <c r="G25" i="25"/>
  <c r="G42" i="25"/>
  <c r="G27" i="25"/>
  <c r="AC28" i="26"/>
  <c r="AC41" i="26"/>
  <c r="AC38" i="26"/>
  <c r="G32" i="25"/>
  <c r="G34" i="25"/>
  <c r="G26" i="26"/>
  <c r="AC36" i="26"/>
  <c r="AC7" i="26"/>
  <c r="G17" i="26"/>
  <c r="G26" i="25"/>
  <c r="G39" i="25"/>
  <c r="AC26" i="26"/>
  <c r="AC23" i="26"/>
  <c r="AC6" i="26"/>
  <c r="AC31" i="26"/>
  <c r="G6" i="26"/>
  <c r="AC14" i="26"/>
  <c r="G33" i="26"/>
  <c r="G25" i="26"/>
  <c r="G10" i="26"/>
  <c r="G33" i="25"/>
  <c r="G9" i="26"/>
  <c r="G42" i="26"/>
  <c r="G14" i="25"/>
  <c r="G23" i="26"/>
  <c r="G13" i="26"/>
  <c r="G31" i="26"/>
  <c r="G41" i="25"/>
  <c r="G7" i="26"/>
  <c r="G6" i="25"/>
  <c r="G30" i="25"/>
  <c r="G28" i="25"/>
  <c r="G36" i="26"/>
  <c r="AC33" i="26"/>
  <c r="G35" i="25"/>
  <c r="G30" i="26"/>
  <c r="AC10" i="26"/>
  <c r="AC30" i="26"/>
  <c r="AC20" i="26"/>
  <c r="G18" i="26"/>
  <c r="AC39" i="26"/>
  <c r="AC37" i="26"/>
  <c r="G31" i="25"/>
  <c r="G28" i="26"/>
  <c r="AC25" i="26"/>
  <c r="G40" i="25"/>
  <c r="G38" i="25"/>
  <c r="AC22" i="26"/>
  <c r="G22" i="26"/>
  <c r="G20" i="26"/>
  <c r="G34" i="26"/>
  <c r="G15" i="26"/>
  <c r="G12" i="26"/>
  <c r="G38" i="26"/>
  <c r="G20" i="25"/>
  <c r="AC9" i="26"/>
  <c r="AC18" i="26"/>
  <c r="B4" i="20" l="1"/>
  <c r="B5" i="20"/>
  <c r="B6" i="20"/>
  <c r="E5" i="18"/>
  <c r="E5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5" i="26"/>
  <c r="E14" i="16"/>
  <c r="E10" i="16"/>
  <c r="D22" i="15"/>
  <c r="AC5" i="26"/>
  <c r="C5" i="20"/>
  <c r="D9" i="15"/>
  <c r="D11" i="15"/>
  <c r="D17" i="15"/>
  <c r="D20" i="15"/>
  <c r="E6" i="16"/>
  <c r="D5" i="15"/>
  <c r="E15" i="16"/>
  <c r="D18" i="15"/>
  <c r="E16" i="16"/>
  <c r="E13" i="16"/>
  <c r="D6" i="15"/>
  <c r="D10" i="15"/>
  <c r="D21" i="15"/>
  <c r="E7" i="16"/>
  <c r="C6" i="20"/>
  <c r="E5" i="16"/>
  <c r="E9" i="16"/>
  <c r="D15" i="15"/>
  <c r="D7" i="15"/>
  <c r="G4" i="23"/>
  <c r="E8" i="16"/>
  <c r="D14" i="15"/>
  <c r="E12" i="16"/>
  <c r="D12" i="15"/>
  <c r="E18" i="16"/>
  <c r="D8" i="15"/>
  <c r="D19" i="15"/>
  <c r="E19" i="16"/>
  <c r="G5" i="25"/>
  <c r="D16" i="15"/>
  <c r="E11" i="16"/>
  <c r="D13" i="15"/>
  <c r="X16" i="16"/>
  <c r="AC5" i="25"/>
  <c r="AH2" i="18" l="1"/>
  <c r="AH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4" i="16"/>
  <c r="F5" i="18"/>
  <c r="C4" i="20"/>
  <c r="F5" i="17"/>
  <c r="D4" i="15"/>
  <c r="F39" i="18"/>
  <c r="F12" i="18"/>
  <c r="F34" i="18"/>
  <c r="F21" i="18"/>
  <c r="F19" i="18"/>
  <c r="F12" i="16"/>
  <c r="F43" i="18"/>
  <c r="E12" i="15"/>
  <c r="F15" i="17"/>
  <c r="E14" i="15"/>
  <c r="F7" i="18"/>
  <c r="E9" i="15"/>
  <c r="F10" i="17"/>
  <c r="E22" i="15"/>
  <c r="F7" i="16"/>
  <c r="E6" i="15"/>
  <c r="F32" i="18"/>
  <c r="F35" i="18"/>
  <c r="F38" i="18"/>
  <c r="F9" i="17"/>
  <c r="E13" i="15"/>
  <c r="F25" i="18"/>
  <c r="F40" i="18"/>
  <c r="F19" i="16"/>
  <c r="F14" i="16"/>
  <c r="F46" i="18"/>
  <c r="F5" i="16"/>
  <c r="F24" i="18"/>
  <c r="E10" i="15"/>
  <c r="F8" i="16"/>
  <c r="F44" i="18"/>
  <c r="E18" i="15"/>
  <c r="F6" i="17"/>
  <c r="E19" i="15"/>
  <c r="F18" i="18"/>
  <c r="D6" i="20"/>
  <c r="F13" i="17"/>
  <c r="F6" i="18"/>
  <c r="F26" i="18"/>
  <c r="F27" i="18"/>
  <c r="F17" i="17"/>
  <c r="F15" i="16"/>
  <c r="E20" i="15"/>
  <c r="F6" i="16"/>
  <c r="F13" i="16"/>
  <c r="E5" i="15"/>
  <c r="F23" i="18"/>
  <c r="F22" i="18"/>
  <c r="E21" i="15"/>
  <c r="F13" i="18"/>
  <c r="F47" i="18"/>
  <c r="F16" i="17"/>
  <c r="F36" i="18"/>
  <c r="F16" i="18"/>
  <c r="F33" i="18"/>
  <c r="F9" i="16"/>
  <c r="F11" i="18"/>
  <c r="F8" i="17"/>
  <c r="F14" i="17"/>
  <c r="F16" i="16"/>
  <c r="E11" i="15"/>
  <c r="F12" i="17"/>
  <c r="F14" i="18"/>
  <c r="F17" i="18"/>
  <c r="F11" i="17"/>
  <c r="D5" i="20"/>
  <c r="F37" i="18"/>
  <c r="F31" i="18"/>
  <c r="F7" i="17"/>
  <c r="F15" i="18"/>
  <c r="F20" i="18"/>
  <c r="E16" i="15"/>
  <c r="F42" i="18"/>
  <c r="F11" i="16"/>
  <c r="F30" i="18"/>
  <c r="F8" i="18"/>
  <c r="F10" i="16"/>
  <c r="F28" i="18"/>
  <c r="E17" i="15"/>
  <c r="E8" i="15"/>
  <c r="E7" i="15"/>
  <c r="F45" i="18"/>
  <c r="E15" i="15"/>
  <c r="F29" i="18"/>
  <c r="F18" i="16"/>
  <c r="F10" i="18"/>
  <c r="F9" i="18"/>
  <c r="F41" i="18"/>
  <c r="X6" i="16"/>
  <c r="Q6" i="20"/>
  <c r="X18" i="16"/>
  <c r="X10" i="16"/>
  <c r="Z8" i="17"/>
  <c r="R5" i="15"/>
  <c r="X13" i="16"/>
  <c r="R6" i="15"/>
  <c r="X12" i="16"/>
  <c r="Z15" i="17"/>
  <c r="R22" i="15"/>
  <c r="R8" i="15"/>
  <c r="R10" i="15"/>
  <c r="Z13" i="17"/>
  <c r="Z10" i="17"/>
  <c r="Z12" i="17"/>
  <c r="R14" i="15"/>
  <c r="X15" i="16"/>
  <c r="R15" i="15"/>
  <c r="Z6" i="17"/>
  <c r="Z9" i="17"/>
  <c r="R17" i="15"/>
  <c r="Q5" i="20"/>
  <c r="R13" i="15"/>
  <c r="Z7" i="17"/>
  <c r="R20" i="15"/>
  <c r="R7" i="15"/>
  <c r="R16" i="15"/>
  <c r="X19" i="16"/>
  <c r="X14" i="16"/>
  <c r="X8" i="16"/>
  <c r="R19" i="15"/>
  <c r="Z17" i="17"/>
  <c r="Z16" i="17"/>
  <c r="X11" i="16"/>
  <c r="R11" i="15"/>
  <c r="X5" i="16"/>
  <c r="X9" i="16"/>
  <c r="Z14" i="17"/>
  <c r="Z11" i="17"/>
  <c r="R9" i="15"/>
  <c r="R12" i="15"/>
  <c r="R18" i="15"/>
  <c r="R21" i="15"/>
  <c r="X7" i="16"/>
  <c r="D6" i="11" l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6" i="17"/>
  <c r="G10" i="17"/>
  <c r="G22" i="18"/>
  <c r="G7" i="17"/>
  <c r="G6" i="17"/>
  <c r="G13" i="17"/>
  <c r="G15" i="17"/>
  <c r="G47" i="18"/>
  <c r="G39" i="18"/>
  <c r="G21" i="18"/>
  <c r="G32" i="18"/>
  <c r="G20" i="18"/>
  <c r="G8" i="18"/>
  <c r="G44" i="18"/>
  <c r="G29" i="18"/>
  <c r="G12" i="17"/>
  <c r="G43" i="18"/>
  <c r="D4" i="20"/>
  <c r="G35" i="18"/>
  <c r="G18" i="18"/>
  <c r="G10" i="18"/>
  <c r="G45" i="18"/>
  <c r="G33" i="18"/>
  <c r="G41" i="18"/>
  <c r="G23" i="18"/>
  <c r="G17" i="18"/>
  <c r="G8" i="17"/>
  <c r="G11" i="17"/>
  <c r="G30" i="18"/>
  <c r="G12" i="18"/>
  <c r="E4" i="15"/>
  <c r="G9" i="18"/>
  <c r="G14" i="18"/>
  <c r="G5" i="18"/>
  <c r="G26" i="18"/>
  <c r="G17" i="17"/>
  <c r="G11" i="18"/>
  <c r="G13" i="18"/>
  <c r="G16" i="18"/>
  <c r="G15" i="18"/>
  <c r="G19" i="18"/>
  <c r="G40" i="18"/>
  <c r="G9" i="17"/>
  <c r="G6" i="18"/>
  <c r="G27" i="18"/>
  <c r="G36" i="18"/>
  <c r="G37" i="18"/>
  <c r="G38" i="18"/>
  <c r="G34" i="18"/>
  <c r="G42" i="18"/>
  <c r="G14" i="17"/>
  <c r="G24" i="18"/>
  <c r="G5" i="17"/>
  <c r="G25" i="18"/>
  <c r="G28" i="18"/>
  <c r="G7" i="18"/>
  <c r="G46" i="18"/>
  <c r="G31" i="18"/>
  <c r="Z28" i="18"/>
  <c r="Z40" i="18"/>
  <c r="Z13" i="18"/>
  <c r="Z19" i="18"/>
  <c r="Z22" i="18"/>
  <c r="Z46" i="18"/>
  <c r="Z45" i="18"/>
  <c r="Z8" i="18"/>
  <c r="Z35" i="18"/>
  <c r="Z47" i="18"/>
  <c r="Z20" i="18"/>
  <c r="Z25" i="18"/>
  <c r="Z23" i="18"/>
  <c r="Z38" i="18"/>
  <c r="Z17" i="18"/>
  <c r="Z21" i="18"/>
  <c r="Z7" i="18"/>
  <c r="Z34" i="18"/>
  <c r="Z32" i="18"/>
  <c r="Z15" i="18"/>
  <c r="Z33" i="18"/>
  <c r="Z30" i="18"/>
  <c r="Z43" i="18"/>
  <c r="Z31" i="18"/>
  <c r="Z41" i="18"/>
  <c r="Z39" i="18"/>
  <c r="Z26" i="18"/>
  <c r="Z37" i="18"/>
  <c r="Z24" i="18"/>
  <c r="Q3" i="20"/>
  <c r="Z29" i="18"/>
  <c r="Z9" i="18"/>
  <c r="Z16" i="18"/>
  <c r="Z27" i="18"/>
  <c r="Z44" i="18"/>
  <c r="Z18" i="18"/>
  <c r="Z12" i="18"/>
  <c r="Z6" i="18"/>
  <c r="Z10" i="18"/>
  <c r="Z14" i="18"/>
  <c r="Z36" i="18"/>
  <c r="Z11" i="18"/>
  <c r="Z42" i="18"/>
  <c r="E5" i="11" l="1"/>
  <c r="E5" i="12"/>
  <c r="C6" i="11"/>
  <c r="F5" i="11"/>
  <c r="F5" i="12"/>
  <c r="E4" i="12" l="1"/>
  <c r="E6" i="12"/>
  <c r="E4" i="11"/>
  <c r="C7" i="11"/>
  <c r="E6" i="11"/>
  <c r="G5" i="12"/>
  <c r="F6" i="11"/>
  <c r="F6" i="12"/>
  <c r="G5" i="11"/>
  <c r="E7" i="12" l="1"/>
  <c r="E7" i="11"/>
  <c r="C8" i="11"/>
  <c r="F7" i="12"/>
  <c r="F7" i="11"/>
  <c r="G6" i="11"/>
  <c r="G6" i="12"/>
  <c r="E8" i="12" l="1"/>
  <c r="E8" i="11"/>
  <c r="C9" i="11"/>
  <c r="F8" i="11"/>
  <c r="F8" i="12"/>
  <c r="G7" i="12"/>
  <c r="G7" i="11"/>
  <c r="E9" i="12" l="1"/>
  <c r="C10" i="11"/>
  <c r="E9" i="11"/>
  <c r="F9" i="11"/>
  <c r="F9" i="12"/>
  <c r="G8" i="12"/>
  <c r="G8" i="11"/>
  <c r="E10" i="12" l="1"/>
  <c r="E10" i="11"/>
  <c r="C11" i="11"/>
  <c r="F10" i="12"/>
  <c r="G9" i="11"/>
  <c r="G9" i="12"/>
  <c r="F10" i="11"/>
  <c r="E11" i="12" l="1"/>
  <c r="C12" i="11"/>
  <c r="E11" i="11"/>
  <c r="F11" i="11"/>
  <c r="G10" i="11"/>
  <c r="G10" i="12"/>
  <c r="F11" i="12"/>
  <c r="E12" i="12" l="1"/>
  <c r="E12" i="11"/>
  <c r="C13" i="11"/>
  <c r="F12" i="12"/>
  <c r="G11" i="12"/>
  <c r="F12" i="11"/>
  <c r="G11" i="11"/>
  <c r="E13" i="12" l="1"/>
  <c r="E13" i="11"/>
  <c r="C14" i="11"/>
  <c r="F4" i="22"/>
  <c r="F13" i="11"/>
  <c r="G12" i="11"/>
  <c r="G12" i="12"/>
  <c r="F13" i="12"/>
  <c r="E14" i="12" l="1"/>
  <c r="C15" i="11"/>
  <c r="E14" i="11"/>
  <c r="G4" i="22"/>
  <c r="G13" i="12"/>
  <c r="F14" i="12"/>
  <c r="G13" i="11"/>
  <c r="F14" i="11"/>
  <c r="E15" i="12" l="1"/>
  <c r="E15" i="11"/>
  <c r="C16" i="11"/>
  <c r="F15" i="12"/>
  <c r="G14" i="12"/>
  <c r="G14" i="11"/>
  <c r="F15" i="11"/>
  <c r="E16" i="12" l="1"/>
  <c r="E16" i="11"/>
  <c r="C17" i="11"/>
  <c r="F16" i="11"/>
  <c r="F16" i="12"/>
  <c r="G15" i="12"/>
  <c r="G15" i="11"/>
  <c r="E17" i="12" l="1"/>
  <c r="C18" i="11"/>
  <c r="E17" i="11"/>
  <c r="F17" i="12"/>
  <c r="F17" i="11"/>
  <c r="G16" i="11"/>
  <c r="G16" i="12"/>
  <c r="E18" i="12" l="1"/>
  <c r="E18" i="11"/>
  <c r="C19" i="11"/>
  <c r="F18" i="11"/>
  <c r="G17" i="11"/>
  <c r="F18" i="12"/>
  <c r="G17" i="12"/>
  <c r="E19" i="12" l="1"/>
  <c r="C20" i="11"/>
  <c r="E19" i="11"/>
  <c r="F19" i="11"/>
  <c r="G18" i="12"/>
  <c r="F19" i="12"/>
  <c r="G18" i="11"/>
  <c r="E20" i="12" l="1"/>
  <c r="E20" i="11"/>
  <c r="C21" i="11"/>
  <c r="F20" i="12"/>
  <c r="F20" i="11"/>
  <c r="G19" i="12"/>
  <c r="G19" i="11"/>
  <c r="E21" i="12" l="1"/>
  <c r="E21" i="11"/>
  <c r="C22" i="11"/>
  <c r="F21" i="12"/>
  <c r="G20" i="11"/>
  <c r="F21" i="11"/>
  <c r="G20" i="12"/>
  <c r="E22" i="12" l="1"/>
  <c r="C23" i="11"/>
  <c r="E22" i="11"/>
  <c r="F22" i="12"/>
  <c r="G21" i="12"/>
  <c r="F22" i="11"/>
  <c r="G21" i="11"/>
  <c r="E23" i="12" l="1"/>
  <c r="E23" i="11"/>
  <c r="C24" i="11"/>
  <c r="F23" i="12"/>
  <c r="G22" i="11"/>
  <c r="F23" i="11"/>
  <c r="G22" i="12"/>
  <c r="E24" i="12" l="1"/>
  <c r="E24" i="11"/>
  <c r="C25" i="11"/>
  <c r="F24" i="11"/>
  <c r="F24" i="12"/>
  <c r="G23" i="11"/>
  <c r="G23" i="12"/>
  <c r="E25" i="12" l="1"/>
  <c r="C26" i="11"/>
  <c r="E25" i="11"/>
  <c r="F25" i="12"/>
  <c r="F25" i="11"/>
  <c r="G24" i="11"/>
  <c r="G24" i="12"/>
  <c r="E26" i="12" l="1"/>
  <c r="E26" i="11"/>
  <c r="C27" i="11"/>
  <c r="F26" i="11"/>
  <c r="F26" i="12"/>
  <c r="G25" i="11"/>
  <c r="G25" i="12"/>
  <c r="E27" i="12" l="1"/>
  <c r="C28" i="11"/>
  <c r="E27" i="11"/>
  <c r="F27" i="12"/>
  <c r="G26" i="12"/>
  <c r="F27" i="11"/>
  <c r="G26" i="11"/>
  <c r="E28" i="12" l="1"/>
  <c r="C29" i="11"/>
  <c r="E28" i="11"/>
  <c r="F28" i="12"/>
  <c r="G27" i="11"/>
  <c r="F28" i="11"/>
  <c r="G27" i="12"/>
  <c r="E29" i="12" l="1"/>
  <c r="E29" i="11"/>
  <c r="C30" i="11"/>
  <c r="F29" i="11"/>
  <c r="G28" i="11"/>
  <c r="G28" i="12"/>
  <c r="F29" i="12"/>
  <c r="E30" i="12" l="1"/>
  <c r="C31" i="11"/>
  <c r="E30" i="11"/>
  <c r="F30" i="12"/>
  <c r="G29" i="12"/>
  <c r="F30" i="11"/>
  <c r="G29" i="11"/>
  <c r="E31" i="12" l="1"/>
  <c r="E31" i="11"/>
  <c r="C32" i="11"/>
  <c r="F31" i="11"/>
  <c r="G30" i="12"/>
  <c r="G30" i="11"/>
  <c r="F31" i="12"/>
  <c r="E32" i="12" l="1"/>
  <c r="E32" i="11"/>
  <c r="C33" i="11"/>
  <c r="F32" i="11"/>
  <c r="G31" i="12"/>
  <c r="F32" i="12"/>
  <c r="G31" i="11"/>
  <c r="E33" i="12" l="1"/>
  <c r="C34" i="11"/>
  <c r="E33" i="11"/>
  <c r="F33" i="12"/>
  <c r="G32" i="11"/>
  <c r="F33" i="11"/>
  <c r="G32" i="12"/>
  <c r="E34" i="12" l="1"/>
  <c r="E34" i="11"/>
  <c r="C35" i="11"/>
  <c r="F34" i="11"/>
  <c r="G33" i="11"/>
  <c r="F34" i="12"/>
  <c r="G33" i="12"/>
  <c r="E35" i="12" l="1"/>
  <c r="C36" i="11"/>
  <c r="E35" i="11"/>
  <c r="F35" i="12"/>
  <c r="G34" i="11"/>
  <c r="G34" i="12"/>
  <c r="F35" i="11"/>
  <c r="E36" i="12" l="1"/>
  <c r="E36" i="11"/>
  <c r="C37" i="11"/>
  <c r="F36" i="12"/>
  <c r="F36" i="11"/>
  <c r="G35" i="11"/>
  <c r="G35" i="12"/>
  <c r="E37" i="12" l="1"/>
  <c r="E37" i="11"/>
  <c r="C38" i="11"/>
  <c r="F37" i="11"/>
  <c r="G36" i="12"/>
  <c r="G36" i="11"/>
  <c r="F37" i="12"/>
  <c r="E38" i="12" l="1"/>
  <c r="C39" i="11"/>
  <c r="E38" i="11"/>
  <c r="F38" i="11"/>
  <c r="F38" i="12"/>
  <c r="G37" i="11"/>
  <c r="G37" i="12"/>
  <c r="E39" i="12" l="1"/>
  <c r="E39" i="11"/>
  <c r="C40" i="11"/>
  <c r="F39" i="11"/>
  <c r="G38" i="12"/>
  <c r="G38" i="11"/>
  <c r="F39" i="12"/>
  <c r="E40" i="12" l="1"/>
  <c r="E40" i="11"/>
  <c r="C41" i="11"/>
  <c r="F40" i="11"/>
  <c r="F40" i="12"/>
  <c r="G39" i="12"/>
  <c r="G39" i="11"/>
  <c r="E42" i="12" l="1"/>
  <c r="E41" i="12"/>
  <c r="C42" i="11"/>
  <c r="E42" i="11" s="1"/>
  <c r="E41" i="11"/>
  <c r="F4" i="12"/>
  <c r="F4" i="11"/>
  <c r="G40" i="12"/>
  <c r="F42" i="11"/>
  <c r="F41" i="12"/>
  <c r="F42" i="12"/>
  <c r="G40" i="11"/>
  <c r="F41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54" i="8"/>
  <c r="F12" i="8"/>
  <c r="G42" i="12"/>
  <c r="F39" i="7"/>
  <c r="F26" i="7"/>
  <c r="F35" i="7"/>
  <c r="F14" i="7"/>
  <c r="F8" i="7"/>
  <c r="F19" i="8"/>
  <c r="F30" i="7"/>
  <c r="F47" i="7"/>
  <c r="F60" i="8"/>
  <c r="F62" i="7"/>
  <c r="F42" i="7"/>
  <c r="F22" i="8"/>
  <c r="F53" i="8"/>
  <c r="F50" i="8"/>
  <c r="F28" i="7"/>
  <c r="G41" i="12"/>
  <c r="F25" i="7"/>
  <c r="F38" i="7"/>
  <c r="F16" i="7"/>
  <c r="F40" i="8"/>
  <c r="F55" i="7"/>
  <c r="F38" i="8"/>
  <c r="F66" i="8"/>
  <c r="F49" i="7"/>
  <c r="F43" i="7"/>
  <c r="F10" i="7"/>
  <c r="F59" i="8"/>
  <c r="F31" i="8"/>
  <c r="F57" i="7"/>
  <c r="F50" i="7"/>
  <c r="G4" i="12"/>
  <c r="F27" i="8"/>
  <c r="F47" i="8"/>
  <c r="F56" i="7"/>
  <c r="F24" i="8"/>
  <c r="F33" i="8"/>
  <c r="F26" i="8"/>
  <c r="F48" i="7"/>
  <c r="F40" i="7"/>
  <c r="F11" i="7"/>
  <c r="F64" i="7"/>
  <c r="F52" i="7"/>
  <c r="F44" i="7"/>
  <c r="F27" i="7"/>
  <c r="F54" i="7"/>
  <c r="F32" i="8"/>
  <c r="F63" i="8"/>
  <c r="F55" i="8"/>
  <c r="F15" i="8"/>
  <c r="F15" i="7"/>
  <c r="F61" i="8"/>
  <c r="F58" i="7"/>
  <c r="F30" i="8"/>
  <c r="F9" i="8"/>
  <c r="F31" i="7"/>
  <c r="F66" i="7"/>
  <c r="F18" i="8"/>
  <c r="F37" i="8"/>
  <c r="F37" i="7"/>
  <c r="F51" i="8"/>
  <c r="F34" i="8"/>
  <c r="F61" i="7"/>
  <c r="F21" i="7"/>
  <c r="F65" i="8"/>
  <c r="F17" i="8"/>
  <c r="F41" i="7"/>
  <c r="F20" i="7"/>
  <c r="F64" i="8"/>
  <c r="F45" i="8"/>
  <c r="F8" i="8"/>
  <c r="F23" i="8"/>
  <c r="F48" i="8"/>
  <c r="F59" i="7"/>
  <c r="F63" i="7"/>
  <c r="F58" i="8"/>
  <c r="F49" i="8"/>
  <c r="F16" i="8"/>
  <c r="F60" i="7"/>
  <c r="F9" i="7"/>
  <c r="F51" i="7"/>
  <c r="G41" i="11"/>
  <c r="G4" i="11"/>
  <c r="F25" i="8"/>
  <c r="F19" i="7"/>
  <c r="F21" i="8"/>
  <c r="F14" i="8"/>
  <c r="F13" i="7"/>
  <c r="F7" i="8"/>
  <c r="F42" i="8"/>
  <c r="F32" i="7"/>
  <c r="F44" i="8"/>
  <c r="F28" i="8"/>
  <c r="F39" i="8"/>
  <c r="F36" i="8"/>
  <c r="F56" i="8"/>
  <c r="F52" i="8"/>
  <c r="F41" i="8"/>
  <c r="F46" i="7"/>
  <c r="F62" i="8"/>
  <c r="F23" i="7"/>
  <c r="F29" i="7"/>
  <c r="F43" i="8"/>
  <c r="F36" i="7"/>
  <c r="F7" i="7"/>
  <c r="F17" i="7"/>
  <c r="F34" i="7"/>
  <c r="F53" i="7"/>
  <c r="F13" i="8"/>
  <c r="F24" i="7"/>
  <c r="G42" i="11"/>
  <c r="F11" i="8"/>
  <c r="F57" i="8"/>
  <c r="F12" i="7"/>
  <c r="F18" i="7"/>
  <c r="F20" i="8"/>
  <c r="F45" i="7"/>
  <c r="F22" i="7"/>
  <c r="F65" i="7"/>
  <c r="F33" i="7"/>
  <c r="F35" i="8"/>
  <c r="F29" i="8"/>
  <c r="F46" i="8"/>
  <c r="F10" i="8"/>
  <c r="F6" i="8" l="1"/>
  <c r="F6" i="7"/>
  <c r="I7" i="6"/>
  <c r="I11" i="6"/>
  <c r="I8" i="6"/>
  <c r="I9" i="6"/>
  <c r="I12" i="6"/>
  <c r="I6" i="6"/>
  <c r="G6" i="7"/>
  <c r="G6" i="8"/>
  <c r="Y3" i="22"/>
  <c r="G61" i="8"/>
  <c r="G18" i="8"/>
  <c r="G36" i="8"/>
  <c r="G25" i="7"/>
  <c r="G26" i="8"/>
  <c r="G11" i="7"/>
  <c r="G14" i="8"/>
  <c r="G47" i="7"/>
  <c r="G56" i="7"/>
  <c r="G22" i="7"/>
  <c r="G61" i="7"/>
  <c r="G29" i="7"/>
  <c r="G59" i="7"/>
  <c r="G55" i="7"/>
  <c r="G59" i="8"/>
  <c r="G13" i="8"/>
  <c r="G31" i="7"/>
  <c r="G32" i="7"/>
  <c r="G51" i="7"/>
  <c r="G26" i="7"/>
  <c r="G23" i="7"/>
  <c r="G10" i="8"/>
  <c r="G10" i="7"/>
  <c r="G39" i="8"/>
  <c r="G66" i="7"/>
  <c r="G47" i="8"/>
  <c r="G37" i="8"/>
  <c r="G44" i="7"/>
  <c r="G39" i="7"/>
  <c r="G42" i="7"/>
  <c r="G57" i="7"/>
  <c r="G50" i="8"/>
  <c r="G52" i="8"/>
  <c r="G36" i="7"/>
  <c r="G28" i="7"/>
  <c r="G60" i="8"/>
  <c r="G24" i="8"/>
  <c r="G49" i="7"/>
  <c r="G66" i="8"/>
  <c r="G49" i="8"/>
  <c r="G25" i="8"/>
  <c r="G7" i="7"/>
  <c r="G16" i="8"/>
  <c r="G35" i="7"/>
  <c r="G38" i="7"/>
  <c r="G40" i="7"/>
  <c r="G45" i="7"/>
  <c r="G15" i="8"/>
  <c r="G41" i="8"/>
  <c r="G64" i="8"/>
  <c r="G19" i="8"/>
  <c r="G8" i="7"/>
  <c r="G63" i="7"/>
  <c r="G45" i="8"/>
  <c r="G54" i="8"/>
  <c r="G50" i="7"/>
  <c r="G15" i="7"/>
  <c r="G32" i="8"/>
  <c r="G62" i="7"/>
  <c r="G31" i="8"/>
  <c r="G52" i="7"/>
  <c r="G37" i="7"/>
  <c r="G65" i="8"/>
  <c r="G48" i="8"/>
  <c r="G17" i="8"/>
  <c r="G20" i="7"/>
  <c r="G19" i="7"/>
  <c r="G44" i="8"/>
  <c r="G42" i="8"/>
  <c r="G34" i="8"/>
  <c r="G65" i="7"/>
  <c r="G24" i="7"/>
  <c r="G12" i="8"/>
  <c r="G58" i="7"/>
  <c r="G48" i="7"/>
  <c r="G38" i="8"/>
  <c r="G43" i="8"/>
  <c r="G11" i="8"/>
  <c r="G9" i="8"/>
  <c r="G17" i="7"/>
  <c r="G27" i="7"/>
  <c r="G54" i="7"/>
  <c r="G23" i="8"/>
  <c r="G64" i="7"/>
  <c r="G53" i="8"/>
  <c r="G13" i="7"/>
  <c r="G43" i="7"/>
  <c r="G12" i="7"/>
  <c r="G58" i="8"/>
  <c r="G53" i="7"/>
  <c r="G28" i="8"/>
  <c r="G27" i="8"/>
  <c r="G40" i="8"/>
  <c r="G46" i="8"/>
  <c r="G46" i="7"/>
  <c r="G34" i="7"/>
  <c r="G56" i="8"/>
  <c r="G62" i="8"/>
  <c r="G55" i="8"/>
  <c r="G22" i="8"/>
  <c r="G60" i="7"/>
  <c r="G41" i="7"/>
  <c r="G16" i="7"/>
  <c r="G30" i="7"/>
  <c r="G8" i="8"/>
  <c r="G51" i="8"/>
  <c r="G18" i="7"/>
  <c r="G63" i="8"/>
  <c r="G7" i="8"/>
  <c r="G14" i="7"/>
  <c r="G35" i="8"/>
  <c r="G21" i="7"/>
  <c r="G30" i="8"/>
  <c r="G33" i="7"/>
  <c r="G20" i="8"/>
  <c r="G9" i="7"/>
  <c r="G21" i="8"/>
  <c r="G57" i="8"/>
  <c r="G33" i="8"/>
  <c r="G29" i="8"/>
  <c r="U8" i="6" l="1"/>
  <c r="U7" i="6"/>
  <c r="U9" i="6"/>
  <c r="U11" i="6"/>
  <c r="U12" i="6"/>
  <c r="M6" i="17" a="1"/>
  <c r="Y3" i="23"/>
  <c r="X3" i="16"/>
  <c r="R3" i="15"/>
  <c r="M7" i="17" l="1"/>
  <c r="M6" i="17"/>
  <c r="M8" i="17"/>
  <c r="M9" i="17"/>
  <c r="AA21" i="12"/>
  <c r="AA25" i="12"/>
  <c r="AA18" i="12"/>
  <c r="AA5" i="12"/>
  <c r="AA33" i="12"/>
  <c r="AA34" i="12"/>
  <c r="AA20" i="12"/>
  <c r="AA14" i="12"/>
  <c r="AA26" i="12"/>
  <c r="AA40" i="12"/>
  <c r="AA32" i="12"/>
  <c r="AA19" i="12"/>
  <c r="AA24" i="12"/>
  <c r="AA22" i="12"/>
  <c r="AA37" i="12"/>
  <c r="AA23" i="12"/>
  <c r="AA8" i="12"/>
  <c r="AA35" i="12"/>
  <c r="AA7" i="12"/>
  <c r="AA31" i="12"/>
  <c r="AA13" i="12"/>
  <c r="AA12" i="12"/>
  <c r="AA17" i="12"/>
  <c r="AA36" i="12"/>
  <c r="AA28" i="12"/>
  <c r="AA30" i="12"/>
  <c r="AA16" i="12"/>
  <c r="AA29" i="12"/>
  <c r="AA41" i="12"/>
  <c r="AA6" i="12"/>
  <c r="AA27" i="12"/>
  <c r="AA15" i="12"/>
  <c r="AA39" i="12"/>
  <c r="AA10" i="12"/>
  <c r="AA11" i="12"/>
  <c r="AA9" i="12"/>
  <c r="AA42" i="12"/>
  <c r="AA38" i="12"/>
  <c r="M10" i="17" l="1"/>
  <c r="M11" i="17"/>
  <c r="M12" i="17" l="1"/>
  <c r="M13" i="17"/>
  <c r="M14" i="17" l="1"/>
  <c r="M15" i="17"/>
  <c r="M16" i="17" l="1"/>
  <c r="M17" i="17"/>
  <c r="O6" i="17" l="1" a="1"/>
  <c r="AA39" i="11"/>
  <c r="AA22" i="11"/>
  <c r="AA40" i="11"/>
  <c r="AA19" i="11"/>
  <c r="AA28" i="11"/>
  <c r="AA33" i="11"/>
  <c r="AA34" i="11"/>
  <c r="AA18" i="11"/>
  <c r="AA38" i="11"/>
  <c r="AA9" i="11"/>
  <c r="AA21" i="11"/>
  <c r="AA20" i="11"/>
  <c r="AA27" i="11"/>
  <c r="AA7" i="11"/>
  <c r="AA24" i="11"/>
  <c r="AA32" i="11"/>
  <c r="AA42" i="11"/>
  <c r="AA5" i="11"/>
  <c r="AA8" i="11"/>
  <c r="AA31" i="11"/>
  <c r="AA30" i="11"/>
  <c r="AA37" i="11"/>
  <c r="AA35" i="11"/>
  <c r="AA13" i="11"/>
  <c r="AA23" i="11"/>
  <c r="AA6" i="11"/>
  <c r="AA26" i="11"/>
  <c r="AA11" i="11"/>
  <c r="AA12" i="11"/>
  <c r="AA15" i="11"/>
  <c r="AA25" i="11"/>
  <c r="AA16" i="11"/>
  <c r="AA17" i="11"/>
  <c r="AA14" i="11"/>
  <c r="AA10" i="11"/>
  <c r="AA36" i="11"/>
  <c r="AA29" i="11"/>
  <c r="AA41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A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45" i="18" s="1"/>
  <c r="O14" i="18"/>
  <c r="O8" i="18"/>
  <c r="O17" i="18"/>
  <c r="O13" i="18"/>
  <c r="O23" i="18"/>
  <c r="O16" i="18"/>
  <c r="O28" i="18"/>
  <c r="O7" i="18"/>
  <c r="O12" i="18"/>
  <c r="O22" i="18"/>
  <c r="O15" i="18"/>
  <c r="O6" i="18"/>
  <c r="O11" i="18"/>
  <c r="O30" i="18"/>
  <c r="O21" i="18"/>
  <c r="O26" i="18"/>
  <c r="O36" i="18"/>
  <c r="O10" i="18"/>
  <c r="O20" i="18"/>
  <c r="O19" i="18"/>
  <c r="O9" i="18"/>
  <c r="O18" i="18"/>
  <c r="AH5" i="18"/>
  <c r="AC3" i="26"/>
  <c r="AA3" i="12"/>
  <c r="AI5" i="18"/>
  <c r="AC3" i="25"/>
  <c r="Z4" i="18"/>
  <c r="O4" i="22"/>
  <c r="N4" i="16"/>
  <c r="O4" i="23"/>
  <c r="S4" i="25"/>
  <c r="S4" i="11"/>
  <c r="O5" i="17"/>
  <c r="S4" i="12"/>
  <c r="S4" i="26"/>
  <c r="O44" i="18" l="1"/>
  <c r="O34" i="18"/>
  <c r="O37" i="18"/>
  <c r="O27" i="18"/>
  <c r="O47" i="18"/>
  <c r="O42" i="18"/>
  <c r="O32" i="18"/>
  <c r="O46" i="18"/>
  <c r="O29" i="18"/>
  <c r="O39" i="18"/>
  <c r="O40" i="18"/>
  <c r="O25" i="18"/>
  <c r="O35" i="18"/>
  <c r="O43" i="18"/>
  <c r="O33" i="18"/>
  <c r="O41" i="18"/>
  <c r="O31" i="18"/>
  <c r="O24" i="18"/>
  <c r="O38" i="18"/>
  <c r="AH4" i="18"/>
  <c r="I10" i="6"/>
  <c r="Q10" i="6"/>
  <c r="T10" i="6"/>
  <c r="AH14" i="18"/>
  <c r="Y3" i="65"/>
  <c r="AH6" i="18"/>
  <c r="AH30" i="18"/>
  <c r="AH46" i="18"/>
  <c r="AH35" i="18"/>
  <c r="AH24" i="18"/>
  <c r="AH36" i="18"/>
  <c r="AH25" i="18"/>
  <c r="D7" i="56"/>
  <c r="AH37" i="18"/>
  <c r="AH8" i="18"/>
  <c r="AH29" i="18"/>
  <c r="AH13" i="18"/>
  <c r="AH21" i="18"/>
  <c r="AH45" i="18"/>
  <c r="AH11" i="18"/>
  <c r="AH26" i="18"/>
  <c r="AH10" i="18"/>
  <c r="AH23" i="18"/>
  <c r="AH41" i="18"/>
  <c r="AH28" i="18"/>
  <c r="AH19" i="18"/>
  <c r="AH39" i="18"/>
  <c r="AH22" i="18"/>
  <c r="AH12" i="18"/>
  <c r="AH16" i="18"/>
  <c r="AH43" i="18"/>
  <c r="AH32" i="18"/>
  <c r="AH27" i="18"/>
  <c r="AH20" i="18"/>
  <c r="AH38" i="18"/>
  <c r="AH42" i="18"/>
  <c r="AH44" i="18"/>
  <c r="AH17" i="18"/>
  <c r="AH47" i="18"/>
  <c r="AH18" i="18"/>
  <c r="AH31" i="18"/>
  <c r="AH33" i="18"/>
  <c r="AH40" i="18"/>
  <c r="AH9" i="18"/>
  <c r="AH15" i="18"/>
  <c r="AH7" i="18"/>
  <c r="AH34" i="18"/>
  <c r="AI41" i="18"/>
  <c r="AI38" i="18"/>
  <c r="AI45" i="18"/>
  <c r="AI7" i="18"/>
  <c r="AI39" i="18"/>
  <c r="AI11" i="18"/>
  <c r="AI19" i="18"/>
  <c r="AI10" i="18"/>
  <c r="AI18" i="18"/>
  <c r="AI42" i="18"/>
  <c r="AI40" i="18"/>
  <c r="AI44" i="18"/>
  <c r="AI29" i="18"/>
  <c r="AI20" i="18"/>
  <c r="AI32" i="18"/>
  <c r="J4" i="15"/>
  <c r="AI23" i="18"/>
  <c r="AI30" i="18"/>
  <c r="AI24" i="18"/>
  <c r="AI26" i="18"/>
  <c r="AI22" i="18"/>
  <c r="AI28" i="18"/>
  <c r="AI21" i="18"/>
  <c r="AI35" i="18"/>
  <c r="AI34" i="18"/>
  <c r="AI37" i="18"/>
  <c r="AI15" i="18"/>
  <c r="AI17" i="18"/>
  <c r="AI9" i="18"/>
  <c r="AI27" i="18"/>
  <c r="AI16" i="18"/>
  <c r="AI25" i="18"/>
  <c r="AI47" i="18"/>
  <c r="AI12" i="18"/>
  <c r="AI8" i="18"/>
  <c r="AI6" i="18"/>
  <c r="AI31" i="18"/>
  <c r="H10" i="6"/>
  <c r="AI36" i="18"/>
  <c r="AI33" i="18"/>
  <c r="O4" i="65"/>
  <c r="AI13" i="18"/>
  <c r="AI14" i="18"/>
  <c r="O5" i="18"/>
  <c r="AI46" i="18"/>
  <c r="AI43" i="18"/>
  <c r="O10" i="6"/>
  <c r="R10" i="6" l="1"/>
  <c r="S10" i="6" s="1"/>
  <c r="U10" i="6" s="1"/>
</calcChain>
</file>

<file path=xl/sharedStrings.xml><?xml version="1.0" encoding="utf-8"?>
<sst xmlns="http://schemas.openxmlformats.org/spreadsheetml/2006/main" count="3098" uniqueCount="288">
  <si>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</si>
  <si>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</si>
  <si>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</si>
  <si>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</si>
  <si>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</si>
  <si>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</si>
  <si>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</si>
  <si>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</si>
  <si>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</si>
  <si>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</si>
  <si>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</si>
  <si>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</si>
  <si>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</si>
  <si>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</si>
  <si>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</si>
  <si>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</si>
  <si>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</si>
  <si>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</si>
  <si>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</si>
  <si>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</si>
  <si>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</si>
  <si>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</si>
  <si>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</si>
  <si>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</si>
  <si>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</si>
  <si>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</si>
  <si>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</si>
  <si>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</si>
  <si>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</si>
  <si>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</si>
  <si>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</si>
  <si>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</si>
  <si>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</si>
  <si>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</si>
  <si>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</si>
  <si>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</si>
  <si>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</si>
  <si>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</si>
  <si>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</si>
  <si>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</si>
  <si>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</si>
  <si>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</si>
  <si>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</si>
  <si>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</si>
  <si>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</si>
  <si>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</si>
  <si>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</si>
  <si>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</si>
  <si>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</si>
  <si>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</si>
  <si>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</si>
  <si>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</si>
  <si>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</si>
  <si>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</si>
  <si>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</si>
  <si>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</si>
  <si>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</si>
  <si>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</si>
  <si>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</si>
  <si>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</si>
  <si>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</si>
  <si>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</si>
  <si>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</si>
  <si>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</si>
  <si>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</si>
  <si>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</si>
  <si>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</si>
  <si>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</si>
  <si>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</si>
  <si>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</si>
  <si>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</si>
  <si>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</si>
  <si>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</si>
  <si>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</si>
  <si>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</si>
  <si>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</si>
  <si>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</si>
  <si>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</si>
  <si>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</si>
  <si>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</si>
  <si>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</si>
  <si>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</si>
  <si>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</si>
  <si>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</si>
  <si>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</si>
  <si>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</si>
  <si>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</si>
  <si>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</si>
  <si>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</si>
  <si>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</si>
  <si>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</si>
  <si>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</si>
  <si>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</t>
  </si>
  <si>
    <t>USD</t>
  </si>
  <si>
    <t>UsdLibor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</si>
  <si>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</si>
  <si>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</si>
  <si>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</si>
  <si>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</si>
  <si>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</si>
  <si>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</si>
  <si>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</si>
  <si>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</si>
  <si>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</si>
  <si>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</si>
  <si>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</si>
  <si>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</si>
  <si>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</si>
  <si>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</si>
  <si>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</si>
  <si>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</si>
  <si>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</si>
  <si>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</si>
  <si>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</si>
  <si>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</si>
  <si>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</si>
  <si>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</si>
  <si>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</si>
  <si>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</si>
  <si>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</si>
  <si>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</si>
  <si>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</si>
  <si>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</si>
  <si>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</si>
  <si>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</si>
  <si>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</si>
  <si>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</si>
  <si>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</si>
  <si>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</si>
  <si>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</si>
  <si>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</si>
  <si>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</si>
  <si>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</si>
  <si>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</si>
  <si>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</si>
  <si>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</si>
  <si>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</si>
  <si>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</si>
  <si>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</si>
  <si>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</si>
  <si>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</si>
  <si>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</si>
  <si>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</si>
  <si>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</si>
  <si>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</si>
  <si>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</si>
  <si>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</si>
  <si>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</si>
  <si>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</si>
  <si>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</si>
  <si>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</si>
  <si>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</si>
  <si>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</si>
  <si>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</si>
  <si>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</si>
  <si>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</si>
  <si>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</si>
  <si>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ON</t>
  </si>
  <si>
    <t>Quote</t>
  </si>
  <si>
    <t>Meanreversion</t>
  </si>
  <si>
    <t>Volatility</t>
  </si>
  <si>
    <t>USD_020_FuturesConvAdjQuotes</t>
  </si>
  <si>
    <t>ASK</t>
  </si>
  <si>
    <t>BID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</si>
  <si>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</si>
  <si>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</si>
  <si>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</si>
  <si>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</si>
  <si>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</si>
  <si>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</si>
  <si>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</si>
  <si>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</si>
  <si>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</si>
  <si>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</si>
  <si>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</si>
  <si>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</si>
  <si>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</si>
  <si>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</si>
  <si>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</si>
  <si>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</si>
  <si>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</si>
  <si>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</si>
  <si>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</si>
  <si>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</si>
  <si>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</si>
  <si>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</si>
  <si>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</si>
  <si>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</si>
  <si>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</si>
  <si>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</si>
  <si>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</si>
  <si>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</si>
  <si>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</si>
  <si>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</si>
  <si>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</si>
  <si>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</si>
  <si>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</si>
  <si>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</si>
  <si>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</si>
  <si>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</si>
  <si>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</si>
  <si>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</si>
  <si>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</si>
  <si>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</si>
  <si>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</si>
  <si>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</si>
  <si>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</si>
  <si>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</si>
  <si>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</si>
  <si>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</si>
  <si>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</si>
  <si>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</si>
  <si>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</si>
  <si>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</si>
  <si>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</si>
  <si>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</si>
  <si>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</si>
  <si>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</si>
  <si>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</si>
  <si>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</si>
  <si>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</si>
  <si>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</si>
  <si>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</si>
  <si>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</si>
  <si>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</si>
  <si>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</si>
  <si>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</si>
  <si>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</si>
  <si>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</si>
  <si>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</si>
  <si>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</si>
  <si>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</si>
  <si>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</si>
  <si>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</si>
  <si>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</si>
  <si>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</si>
  <si>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</si>
  <si>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</si>
  <si>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</si>
  <si>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</si>
  <si>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</si>
  <si>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USD_MMIndicesAddLastFixing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</si>
  <si>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</si>
  <si>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</si>
  <si>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</si>
  <si>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</si>
  <si>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</si>
  <si>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</si>
  <si>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</si>
  <si>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</si>
  <si>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</si>
  <si>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</si>
  <si>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AUD</t>
  </si>
  <si>
    <t>Syntax error in request</t>
  </si>
  <si>
    <t>BBSW</t>
  </si>
  <si>
    <t>QM</t>
  </si>
  <si>
    <t>3AB</t>
  </si>
  <si>
    <t>SM</t>
  </si>
  <si>
    <t>6AB</t>
  </si>
  <si>
    <t>IRSS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</si>
  <si>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</si>
  <si>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</si>
  <si>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</si>
  <si>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</si>
  <si>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</si>
  <si>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</si>
  <si>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</si>
  <si>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Actual/365 (Fixed)</t>
  </si>
  <si>
    <t>Indexes</t>
  </si>
  <si>
    <t>R. Handles</t>
  </si>
  <si>
    <t>Index Last Fixing</t>
  </si>
  <si>
    <t>qlLastFixingQuote(PROPER(Currency)&amp;$F$5,E6,Permanent,Trigger,ObjectOverwrite)</t>
  </si>
  <si>
    <t>Last Fixing</t>
  </si>
  <si>
    <t>PRIMACT_2</t>
  </si>
  <si>
    <t>Calendar</t>
  </si>
  <si>
    <t>Australia</t>
  </si>
  <si>
    <t>MT</t>
  </si>
  <si>
    <t>12M</t>
  </si>
  <si>
    <t>BR</t>
  </si>
  <si>
    <t>ICAA</t>
  </si>
  <si>
    <t>Record not service permissioned</t>
  </si>
  <si>
    <t>3BR</t>
  </si>
  <si>
    <t>6BR</t>
  </si>
  <si>
    <t>1BR</t>
  </si>
  <si>
    <t>ICAP AUST</t>
  </si>
  <si>
    <t>AONIA</t>
  </si>
  <si>
    <t>PRIMACT_1</t>
  </si>
  <si>
    <t>BBSWSwap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</si>
</sst>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9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8"/>
      <color rgb="FFFF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481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2" xfId="1" applyFont="1" applyFill="1" applyBorder="1"/>
    <xf numFmtId="0" fontId="5" fillId="3" borderId="15" xfId="1" applyFont="1" applyFill="1" applyBorder="1" applyAlignment="1">
      <alignment horizontal="left"/>
    </xf>
    <xf numFmtId="0" fontId="5" fillId="3" borderId="15" xfId="1" applyFont="1" applyFill="1" applyBorder="1"/>
    <xf numFmtId="0" fontId="5" fillId="3" borderId="16" xfId="1" applyFont="1" applyFill="1" applyBorder="1"/>
    <xf numFmtId="0" fontId="5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1" xfId="1" applyNumberFormat="1" applyFont="1" applyFill="1" applyBorder="1" applyAlignment="1">
      <alignment horizontal="center"/>
    </xf>
    <xf numFmtId="0" fontId="5" fillId="3" borderId="12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19" xfId="1" applyFont="1" applyFill="1" applyBorder="1"/>
    <xf numFmtId="0" fontId="5" fillId="0" borderId="20" xfId="1" applyFont="1" applyBorder="1"/>
    <xf numFmtId="0" fontId="5" fillId="0" borderId="20" xfId="1" applyFont="1" applyBorder="1" applyAlignment="1">
      <alignment horizontal="left"/>
    </xf>
    <xf numFmtId="0" fontId="5" fillId="3" borderId="20" xfId="1" applyFont="1" applyFill="1" applyBorder="1"/>
    <xf numFmtId="0" fontId="1" fillId="0" borderId="20" xfId="1" applyBorder="1"/>
    <xf numFmtId="0" fontId="1" fillId="0" borderId="20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1" xfId="1" applyFont="1" applyFill="1" applyBorder="1" applyAlignment="1">
      <alignment horizontal="left"/>
    </xf>
    <xf numFmtId="0" fontId="13" fillId="0" borderId="0" xfId="1" applyFont="1"/>
    <xf numFmtId="0" fontId="5" fillId="3" borderId="17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21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5" fillId="3" borderId="11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22" xfId="1" applyNumberFormat="1" applyFont="1" applyFill="1" applyBorder="1" applyAlignment="1"/>
    <xf numFmtId="0" fontId="9" fillId="3" borderId="20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3" xfId="10" applyNumberFormat="1" applyFont="1" applyFill="1" applyBorder="1" applyAlignment="1">
      <alignment horizontal="center"/>
    </xf>
    <xf numFmtId="0" fontId="5" fillId="3" borderId="16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1" xfId="1" applyNumberFormat="1" applyFont="1" applyFill="1" applyBorder="1" applyAlignment="1" applyProtection="1">
      <alignment horizontal="left"/>
    </xf>
    <xf numFmtId="171" fontId="5" fillId="3" borderId="16" xfId="10" applyNumberFormat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2" xfId="1" applyFont="1" applyFill="1" applyBorder="1"/>
    <xf numFmtId="0" fontId="13" fillId="3" borderId="15" xfId="1" applyFont="1" applyFill="1" applyBorder="1"/>
    <xf numFmtId="0" fontId="13" fillId="3" borderId="16" xfId="1" applyFont="1" applyFill="1" applyBorder="1"/>
    <xf numFmtId="0" fontId="13" fillId="3" borderId="17" xfId="1" applyFont="1" applyFill="1" applyBorder="1"/>
    <xf numFmtId="0" fontId="13" fillId="3" borderId="5" xfId="1" applyFont="1" applyFill="1" applyBorder="1"/>
    <xf numFmtId="0" fontId="13" fillId="3" borderId="18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0" fontId="5" fillId="0" borderId="3" xfId="1" applyFont="1" applyBorder="1"/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1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171" fontId="5" fillId="3" borderId="11" xfId="10" applyNumberFormat="1" applyFont="1" applyFill="1" applyBorder="1" applyAlignment="1">
      <alignment horizontal="center"/>
    </xf>
    <xf numFmtId="171" fontId="5" fillId="3" borderId="11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170" fontId="5" fillId="0" borderId="15" xfId="4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169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0" fontId="18" fillId="3" borderId="3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1" xfId="1" applyNumberFormat="1" applyFont="1" applyBorder="1"/>
    <xf numFmtId="164" fontId="5" fillId="0" borderId="15" xfId="4" applyNumberFormat="1" applyFont="1" applyFill="1" applyBorder="1" applyAlignment="1">
      <alignment horizontal="center"/>
    </xf>
    <xf numFmtId="172" fontId="5" fillId="0" borderId="15" xfId="4" applyNumberFormat="1" applyFont="1" applyFill="1" applyBorder="1" applyAlignment="1">
      <alignment horizontal="center"/>
    </xf>
    <xf numFmtId="1" fontId="5" fillId="0" borderId="15" xfId="4" applyNumberFormat="1" applyFont="1" applyFill="1" applyBorder="1" applyAlignment="1">
      <alignment horizontal="center"/>
    </xf>
    <xf numFmtId="1" fontId="5" fillId="0" borderId="16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2" xfId="1" applyNumberFormat="1" applyFont="1" applyFill="1" applyBorder="1"/>
    <xf numFmtId="164" fontId="5" fillId="0" borderId="20" xfId="4" applyNumberFormat="1" applyFont="1" applyFill="1" applyBorder="1" applyAlignment="1">
      <alignment horizontal="center"/>
    </xf>
    <xf numFmtId="172" fontId="5" fillId="0" borderId="20" xfId="4" applyNumberFormat="1" applyFont="1" applyFill="1" applyBorder="1" applyAlignment="1">
      <alignment horizontal="center"/>
    </xf>
    <xf numFmtId="1" fontId="5" fillId="0" borderId="2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19" xfId="4" applyNumberFormat="1" applyFont="1" applyFill="1" applyBorder="1" applyAlignment="1">
      <alignment horizontal="center" vertical="center" wrapText="1"/>
    </xf>
    <xf numFmtId="169" fontId="9" fillId="0" borderId="20" xfId="4" applyNumberFormat="1" applyFont="1" applyFill="1" applyBorder="1" applyAlignment="1">
      <alignment horizontal="center" vertical="center" wrapText="1"/>
    </xf>
    <xf numFmtId="169" fontId="9" fillId="0" borderId="22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169" fontId="9" fillId="0" borderId="21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2" xfId="4" applyNumberFormat="1" applyFont="1" applyFill="1" applyBorder="1" applyAlignment="1"/>
    <xf numFmtId="169" fontId="5" fillId="0" borderId="16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1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6" xfId="4" applyNumberFormat="1" applyFont="1" applyFill="1" applyBorder="1" applyAlignment="1"/>
    <xf numFmtId="172" fontId="5" fillId="0" borderId="12" xfId="4" applyNumberFormat="1" applyFont="1" applyFill="1" applyBorder="1" applyAlignment="1"/>
    <xf numFmtId="0" fontId="5" fillId="0" borderId="8" xfId="1" applyFont="1" applyBorder="1"/>
    <xf numFmtId="174" fontId="5" fillId="0" borderId="19" xfId="4" applyNumberFormat="1" applyFont="1" applyFill="1" applyBorder="1" applyAlignment="1"/>
    <xf numFmtId="174" fontId="5" fillId="0" borderId="22" xfId="4" applyNumberFormat="1" applyFont="1" applyFill="1" applyBorder="1" applyAlignment="1"/>
    <xf numFmtId="0" fontId="5" fillId="0" borderId="21" xfId="4" applyNumberFormat="1" applyFont="1" applyFill="1" applyBorder="1" applyAlignment="1"/>
    <xf numFmtId="2" fontId="5" fillId="0" borderId="17" xfId="4" applyNumberFormat="1" applyFont="1" applyFill="1" applyBorder="1" applyAlignment="1"/>
    <xf numFmtId="169" fontId="5" fillId="0" borderId="18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18" fillId="0" borderId="0" xfId="1" applyFont="1" applyFill="1"/>
    <xf numFmtId="0" fontId="5" fillId="3" borderId="13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1" xfId="4" applyNumberFormat="1" applyFont="1" applyBorder="1"/>
    <xf numFmtId="2" fontId="5" fillId="0" borderId="15" xfId="4" applyNumberFormat="1" applyFont="1" applyFill="1" applyBorder="1" applyAlignment="1"/>
    <xf numFmtId="2" fontId="5" fillId="0" borderId="23" xfId="4" applyNumberFormat="1" applyFont="1" applyBorder="1"/>
    <xf numFmtId="2" fontId="5" fillId="0" borderId="0" xfId="4" applyNumberFormat="1" applyFont="1" applyFill="1" applyBorder="1" applyAlignment="1"/>
    <xf numFmtId="2" fontId="5" fillId="3" borderId="7" xfId="1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9" fillId="3" borderId="0" xfId="1" applyFont="1" applyFill="1" applyBorder="1" applyAlignment="1">
      <alignment horizontal="right"/>
    </xf>
    <xf numFmtId="0" fontId="20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0" fillId="3" borderId="4" xfId="1" applyFont="1" applyFill="1" applyBorder="1"/>
    <xf numFmtId="0" fontId="20" fillId="3" borderId="12" xfId="1" applyFont="1" applyFill="1" applyBorder="1" applyAlignment="1">
      <alignment horizontal="center"/>
    </xf>
    <xf numFmtId="0" fontId="20" fillId="3" borderId="11" xfId="1" applyFont="1" applyFill="1" applyBorder="1" applyAlignment="1">
      <alignment horizontal="center"/>
    </xf>
    <xf numFmtId="0" fontId="20" fillId="3" borderId="17" xfId="1" applyFont="1" applyFill="1" applyBorder="1" applyAlignment="1">
      <alignment horizontal="center"/>
    </xf>
    <xf numFmtId="0" fontId="20" fillId="3" borderId="23" xfId="1" applyFont="1" applyFill="1" applyBorder="1" applyAlignment="1">
      <alignment horizontal="center"/>
    </xf>
    <xf numFmtId="0" fontId="20" fillId="3" borderId="0" xfId="1" applyFont="1" applyFill="1" applyBorder="1"/>
    <xf numFmtId="0" fontId="20" fillId="3" borderId="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1" fontId="20" fillId="3" borderId="12" xfId="1" applyNumberFormat="1" applyFont="1" applyFill="1" applyBorder="1" applyAlignment="1">
      <alignment horizontal="center"/>
    </xf>
    <xf numFmtId="0" fontId="20" fillId="2" borderId="11" xfId="1" applyFont="1" applyFill="1" applyBorder="1"/>
    <xf numFmtId="1" fontId="20" fillId="3" borderId="17" xfId="1" applyNumberFormat="1" applyFont="1" applyFill="1" applyBorder="1" applyAlignment="1">
      <alignment horizontal="center"/>
    </xf>
    <xf numFmtId="0" fontId="20" fillId="2" borderId="23" xfId="1" applyFont="1" applyFill="1" applyBorder="1"/>
    <xf numFmtId="0" fontId="20" fillId="3" borderId="17" xfId="1" applyNumberFormat="1" applyFont="1" applyFill="1" applyBorder="1" applyAlignment="1">
      <alignment horizontal="center"/>
    </xf>
    <xf numFmtId="176" fontId="20" fillId="3" borderId="17" xfId="1" applyNumberFormat="1" applyFont="1" applyFill="1" applyBorder="1" applyAlignment="1">
      <alignment horizontal="center"/>
    </xf>
    <xf numFmtId="0" fontId="20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3" borderId="0" xfId="11" applyFill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2" fillId="3" borderId="0" xfId="12" applyNumberFormat="1" applyFont="1" applyFill="1"/>
    <xf numFmtId="0" fontId="22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2" fillId="2" borderId="2" xfId="12" applyNumberFormat="1" applyFont="1" applyFill="1" applyBorder="1"/>
    <xf numFmtId="0" fontId="13" fillId="2" borderId="3" xfId="11" applyFill="1" applyBorder="1"/>
    <xf numFmtId="0" fontId="13" fillId="2" borderId="4" xfId="11" applyFill="1" applyBorder="1"/>
    <xf numFmtId="170" fontId="5" fillId="0" borderId="12" xfId="12" applyNumberFormat="1" applyFont="1" applyFill="1" applyBorder="1" applyAlignment="1"/>
    <xf numFmtId="170" fontId="5" fillId="0" borderId="15" xfId="12" applyNumberFormat="1" applyFont="1" applyFill="1" applyBorder="1" applyAlignment="1"/>
    <xf numFmtId="170" fontId="5" fillId="0" borderId="16" xfId="12" applyNumberFormat="1" applyFont="1" applyFill="1" applyBorder="1" applyAlignment="1"/>
    <xf numFmtId="0" fontId="13" fillId="2" borderId="0" xfId="11" applyFill="1" applyBorder="1" applyAlignment="1"/>
    <xf numFmtId="0" fontId="13" fillId="0" borderId="12" xfId="11" applyBorder="1" applyAlignment="1"/>
    <xf numFmtId="169" fontId="5" fillId="0" borderId="15" xfId="12" applyNumberFormat="1" applyFont="1" applyFill="1" applyBorder="1" applyAlignment="1"/>
    <xf numFmtId="177" fontId="5" fillId="0" borderId="15" xfId="12" applyNumberFormat="1" applyFont="1" applyFill="1" applyBorder="1" applyAlignment="1"/>
    <xf numFmtId="170" fontId="9" fillId="0" borderId="16" xfId="12" applyNumberFormat="1" applyFont="1" applyFill="1" applyBorder="1" applyAlignment="1"/>
    <xf numFmtId="0" fontId="13" fillId="2" borderId="7" xfId="11" applyFill="1" applyBorder="1"/>
    <xf numFmtId="170" fontId="5" fillId="0" borderId="17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18" xfId="12" applyNumberFormat="1" applyFont="1" applyFill="1" applyBorder="1" applyAlignment="1"/>
    <xf numFmtId="0" fontId="13" fillId="0" borderId="17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170" fontId="5" fillId="0" borderId="2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19" xfId="11" applyBorder="1" applyAlignment="1"/>
    <xf numFmtId="169" fontId="5" fillId="0" borderId="20" xfId="12" applyNumberFormat="1" applyFont="1" applyFill="1" applyBorder="1" applyAlignment="1"/>
    <xf numFmtId="177" fontId="5" fillId="0" borderId="2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4" xfId="12" applyNumberFormat="1" applyFont="1" applyFill="1" applyBorder="1" applyAlignment="1">
      <alignment horizontal="center" vertical="center" wrapText="1"/>
    </xf>
    <xf numFmtId="170" fontId="9" fillId="0" borderId="13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3" fillId="2" borderId="9" xfId="11" applyFont="1" applyFill="1" applyBorder="1"/>
    <xf numFmtId="0" fontId="22" fillId="2" borderId="9" xfId="11" applyFont="1" applyFill="1" applyBorder="1"/>
    <xf numFmtId="0" fontId="22" fillId="2" borderId="9" xfId="11" applyFont="1" applyFill="1" applyBorder="1" applyAlignment="1">
      <alignment horizontal="left"/>
    </xf>
    <xf numFmtId="0" fontId="23" fillId="2" borderId="9" xfId="11" applyFont="1" applyFill="1" applyBorder="1" applyAlignment="1">
      <alignment horizontal="center"/>
    </xf>
    <xf numFmtId="0" fontId="13" fillId="2" borderId="10" xfId="11" applyFill="1" applyBorder="1"/>
    <xf numFmtId="0" fontId="22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1" xfId="12" applyNumberFormat="1" applyFont="1" applyFill="1" applyBorder="1" applyAlignment="1"/>
    <xf numFmtId="170" fontId="5" fillId="0" borderId="23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0" fontId="5" fillId="7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18" xfId="4" applyNumberFormat="1" applyFont="1" applyFill="1" applyBorder="1" applyAlignment="1">
      <alignment horizontal="center"/>
    </xf>
    <xf numFmtId="2" fontId="5" fillId="0" borderId="16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3" xfId="4" applyNumberFormat="1" applyFont="1" applyFill="1" applyBorder="1" applyAlignment="1">
      <alignment horizontal="center" vertical="center" wrapText="1"/>
    </xf>
    <xf numFmtId="174" fontId="5" fillId="0" borderId="21" xfId="4" applyNumberFormat="1" applyFont="1" applyFill="1" applyBorder="1" applyAlignment="1"/>
    <xf numFmtId="173" fontId="5" fillId="0" borderId="16" xfId="4" applyNumberFormat="1" applyFont="1" applyFill="1" applyBorder="1" applyAlignment="1"/>
    <xf numFmtId="169" fontId="9" fillId="0" borderId="13" xfId="4" applyNumberFormat="1" applyFont="1" applyFill="1" applyBorder="1" applyAlignment="1">
      <alignment horizontal="center" vertical="center" wrapText="1"/>
    </xf>
    <xf numFmtId="0" fontId="1" fillId="9" borderId="0" xfId="1" applyFill="1"/>
    <xf numFmtId="0" fontId="5" fillId="9" borderId="0" xfId="1" applyFont="1" applyFill="1" applyBorder="1"/>
    <xf numFmtId="0" fontId="5" fillId="9" borderId="0" xfId="2" applyFill="1"/>
    <xf numFmtId="175" fontId="21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4" fillId="2" borderId="0" xfId="2" applyFont="1" applyFill="1"/>
    <xf numFmtId="0" fontId="24" fillId="3" borderId="10" xfId="1" applyFont="1" applyFill="1" applyBorder="1"/>
    <xf numFmtId="0" fontId="24" fillId="3" borderId="9" xfId="1" applyFont="1" applyFill="1" applyBorder="1"/>
    <xf numFmtId="0" fontId="24" fillId="3" borderId="9" xfId="2" applyFont="1" applyFill="1" applyBorder="1"/>
    <xf numFmtId="0" fontId="24" fillId="3" borderId="8" xfId="2" applyFont="1" applyFill="1" applyBorder="1"/>
    <xf numFmtId="0" fontId="24" fillId="3" borderId="7" xfId="1" applyFont="1" applyFill="1" applyBorder="1"/>
    <xf numFmtId="0" fontId="24" fillId="3" borderId="0" xfId="1" applyFont="1" applyFill="1" applyBorder="1"/>
    <xf numFmtId="0" fontId="24" fillId="2" borderId="5" xfId="1" applyNumberFormat="1" applyFont="1" applyFill="1" applyBorder="1" applyAlignment="1">
      <alignment horizontal="center" vertical="center"/>
    </xf>
    <xf numFmtId="0" fontId="24" fillId="4" borderId="6" xfId="1" applyNumberFormat="1" applyFont="1" applyFill="1" applyBorder="1" applyAlignment="1" applyProtection="1">
      <alignment horizontal="center" vertical="center"/>
    </xf>
    <xf numFmtId="0" fontId="24" fillId="3" borderId="0" xfId="2" applyFont="1" applyFill="1" applyBorder="1"/>
    <xf numFmtId="0" fontId="24" fillId="3" borderId="4" xfId="2" applyFont="1" applyFill="1" applyBorder="1"/>
    <xf numFmtId="0" fontId="24" fillId="4" borderId="5" xfId="1" applyNumberFormat="1" applyFont="1" applyFill="1" applyBorder="1" applyAlignment="1" applyProtection="1">
      <alignment horizontal="center"/>
    </xf>
    <xf numFmtId="164" fontId="24" fillId="4" borderId="5" xfId="1" applyNumberFormat="1" applyFont="1" applyFill="1" applyBorder="1" applyAlignment="1" applyProtection="1">
      <alignment horizontal="left"/>
    </xf>
    <xf numFmtId="0" fontId="24" fillId="4" borderId="6" xfId="1" applyNumberFormat="1" applyFont="1" applyFill="1" applyBorder="1" applyAlignment="1" applyProtection="1"/>
    <xf numFmtId="170" fontId="26" fillId="0" borderId="13" xfId="12" applyNumberFormat="1" applyFont="1" applyFill="1" applyBorder="1" applyAlignment="1">
      <alignment horizontal="center" vertical="center" wrapText="1"/>
    </xf>
    <xf numFmtId="170" fontId="26" fillId="0" borderId="14" xfId="12" applyNumberFormat="1" applyFont="1" applyFill="1" applyBorder="1" applyAlignment="1">
      <alignment horizontal="center" vertical="center" wrapText="1"/>
    </xf>
    <xf numFmtId="170" fontId="26" fillId="0" borderId="6" xfId="12" applyNumberFormat="1" applyFont="1" applyFill="1" applyBorder="1" applyAlignment="1">
      <alignment horizontal="center" vertical="center" wrapText="1"/>
    </xf>
    <xf numFmtId="0" fontId="24" fillId="2" borderId="5" xfId="1" applyNumberFormat="1" applyFont="1" applyFill="1" applyBorder="1" applyAlignment="1"/>
    <xf numFmtId="0" fontId="24" fillId="4" borderId="11" xfId="1" applyNumberFormat="1" applyFont="1" applyFill="1" applyBorder="1" applyAlignment="1" applyProtection="1"/>
    <xf numFmtId="170" fontId="24" fillId="0" borderId="22" xfId="12" applyNumberFormat="1" applyFont="1" applyFill="1" applyBorder="1" applyAlignment="1">
      <alignment horizontal="center"/>
    </xf>
    <xf numFmtId="170" fontId="24" fillId="0" borderId="0" xfId="12" applyNumberFormat="1" applyFont="1" applyFill="1" applyBorder="1" applyAlignment="1"/>
    <xf numFmtId="177" fontId="24" fillId="0" borderId="0" xfId="12" applyNumberFormat="1" applyFont="1" applyFill="1" applyBorder="1" applyAlignment="1"/>
    <xf numFmtId="169" fontId="24" fillId="0" borderId="0" xfId="12" applyNumberFormat="1" applyFont="1" applyFill="1" applyBorder="1" applyAlignment="1"/>
    <xf numFmtId="170" fontId="24" fillId="0" borderId="18" xfId="12" applyNumberFormat="1" applyFont="1" applyFill="1" applyBorder="1" applyAlignment="1"/>
    <xf numFmtId="170" fontId="24" fillId="0" borderId="17" xfId="12" applyNumberFormat="1" applyFont="1" applyFill="1" applyBorder="1" applyAlignment="1"/>
    <xf numFmtId="170" fontId="24" fillId="0" borderId="23" xfId="12" applyNumberFormat="1" applyFont="1" applyFill="1" applyBorder="1" applyAlignment="1">
      <alignment horizontal="center"/>
    </xf>
    <xf numFmtId="0" fontId="24" fillId="3" borderId="3" xfId="1" applyFont="1" applyFill="1" applyBorder="1"/>
    <xf numFmtId="0" fontId="24" fillId="3" borderId="2" xfId="1" applyFont="1" applyFill="1" applyBorder="1"/>
    <xf numFmtId="0" fontId="24" fillId="3" borderId="1" xfId="1" applyFont="1" applyFill="1" applyBorder="1"/>
    <xf numFmtId="0" fontId="24" fillId="2" borderId="0" xfId="1" applyFont="1" applyFill="1"/>
    <xf numFmtId="0" fontId="27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24" fillId="10" borderId="11" xfId="1" applyNumberFormat="1" applyFont="1" applyFill="1" applyBorder="1" applyAlignment="1" applyProtection="1"/>
    <xf numFmtId="170" fontId="26" fillId="0" borderId="22" xfId="12" applyNumberFormat="1" applyFont="1" applyFill="1" applyBorder="1" applyAlignment="1">
      <alignment horizontal="center" vertical="center" wrapText="1"/>
    </xf>
    <xf numFmtId="0" fontId="24" fillId="3" borderId="20" xfId="2" applyFont="1" applyFill="1" applyBorder="1"/>
    <xf numFmtId="0" fontId="25" fillId="3" borderId="5" xfId="1" applyNumberFormat="1" applyFont="1" applyFill="1" applyBorder="1" applyAlignment="1">
      <alignment horizontal="center" vertical="center" wrapText="1"/>
    </xf>
    <xf numFmtId="0" fontId="24" fillId="3" borderId="0" xfId="2" applyFont="1" applyFill="1" applyBorder="1" applyAlignment="1">
      <alignment horizontal="center" vertical="center" wrapText="1"/>
    </xf>
    <xf numFmtId="0" fontId="24" fillId="0" borderId="0" xfId="11" applyFont="1" applyBorder="1" applyAlignment="1"/>
    <xf numFmtId="0" fontId="24" fillId="3" borderId="23" xfId="2" applyFont="1" applyFill="1" applyBorder="1"/>
    <xf numFmtId="0" fontId="24" fillId="3" borderId="23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4" fillId="3" borderId="10" xfId="2" applyFont="1" applyFill="1" applyBorder="1"/>
    <xf numFmtId="0" fontId="26" fillId="3" borderId="9" xfId="2" applyFont="1" applyFill="1" applyBorder="1"/>
    <xf numFmtId="0" fontId="24" fillId="3" borderId="7" xfId="2" applyFont="1" applyFill="1" applyBorder="1"/>
    <xf numFmtId="0" fontId="24" fillId="2" borderId="5" xfId="13" applyNumberFormat="1" applyFont="1" applyFill="1" applyBorder="1"/>
    <xf numFmtId="0" fontId="24" fillId="4" borderId="6" xfId="13" applyNumberFormat="1" applyFont="1" applyFill="1" applyBorder="1" applyAlignment="1" applyProtection="1">
      <alignment horizontal="center"/>
    </xf>
    <xf numFmtId="0" fontId="24" fillId="4" borderId="5" xfId="13" applyNumberFormat="1" applyFont="1" applyFill="1" applyBorder="1" applyAlignment="1" applyProtection="1">
      <alignment horizontal="center"/>
    </xf>
    <xf numFmtId="0" fontId="24" fillId="3" borderId="5" xfId="2" applyFont="1" applyFill="1" applyBorder="1"/>
    <xf numFmtId="0" fontId="25" fillId="3" borderId="5" xfId="13" applyFont="1" applyFill="1" applyBorder="1" applyAlignment="1">
      <alignment horizontal="center"/>
    </xf>
    <xf numFmtId="0" fontId="24" fillId="4" borderId="5" xfId="13" applyNumberFormat="1" applyFont="1" applyFill="1" applyBorder="1" applyAlignment="1" applyProtection="1"/>
    <xf numFmtId="0" fontId="24" fillId="2" borderId="5" xfId="13" applyFont="1" applyFill="1" applyBorder="1" applyAlignment="1">
      <alignment horizontal="center"/>
    </xf>
    <xf numFmtId="0" fontId="24" fillId="2" borderId="5" xfId="2" applyFont="1" applyFill="1" applyBorder="1"/>
    <xf numFmtId="0" fontId="24" fillId="4" borderId="6" xfId="13" applyNumberFormat="1" applyFont="1" applyFill="1" applyBorder="1" applyAlignment="1" applyProtection="1"/>
    <xf numFmtId="0" fontId="24" fillId="3" borderId="4" xfId="13" applyFont="1" applyFill="1" applyBorder="1"/>
    <xf numFmtId="0" fontId="24" fillId="2" borderId="0" xfId="13" applyFont="1" applyFill="1"/>
    <xf numFmtId="176" fontId="20" fillId="3" borderId="22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4" fillId="2" borderId="5" xfId="1" applyNumberFormat="1" applyFont="1" applyFill="1" applyBorder="1" applyAlignment="1">
      <alignment horizontal="center"/>
    </xf>
    <xf numFmtId="2" fontId="24" fillId="0" borderId="0" xfId="12" applyNumberFormat="1" applyFont="1" applyFill="1" applyBorder="1" applyAlignment="1"/>
    <xf numFmtId="170" fontId="24" fillId="0" borderId="16" xfId="12" applyNumberFormat="1" applyFont="1" applyFill="1" applyBorder="1" applyAlignment="1"/>
    <xf numFmtId="177" fontId="24" fillId="0" borderId="15" xfId="12" applyNumberFormat="1" applyFont="1" applyFill="1" applyBorder="1" applyAlignment="1"/>
    <xf numFmtId="2" fontId="24" fillId="0" borderId="15" xfId="12" applyNumberFormat="1" applyFont="1" applyFill="1" applyBorder="1" applyAlignment="1"/>
    <xf numFmtId="177" fontId="24" fillId="0" borderId="12" xfId="12" applyNumberFormat="1" applyFont="1" applyFill="1" applyBorder="1" applyAlignment="1"/>
    <xf numFmtId="170" fontId="26" fillId="0" borderId="18" xfId="12" applyNumberFormat="1" applyFont="1" applyFill="1" applyBorder="1" applyAlignment="1">
      <alignment horizontal="center"/>
    </xf>
    <xf numFmtId="170" fontId="26" fillId="0" borderId="16" xfId="12" applyNumberFormat="1" applyFont="1" applyFill="1" applyBorder="1" applyAlignment="1">
      <alignment horizontal="center"/>
    </xf>
    <xf numFmtId="177" fontId="24" fillId="0" borderId="17" xfId="12" applyNumberFormat="1" applyFont="1" applyFill="1" applyBorder="1" applyAlignment="1"/>
    <xf numFmtId="0" fontId="24" fillId="8" borderId="5" xfId="1" applyNumberFormat="1" applyFont="1" applyFill="1" applyBorder="1" applyAlignment="1">
      <alignment horizontal="center"/>
    </xf>
    <xf numFmtId="177" fontId="24" fillId="8" borderId="0" xfId="12" applyNumberFormat="1" applyFont="1" applyFill="1" applyBorder="1" applyAlignment="1"/>
    <xf numFmtId="0" fontId="5" fillId="3" borderId="28" xfId="1" applyNumberFormat="1" applyFont="1" applyFill="1" applyBorder="1" applyAlignment="1"/>
    <xf numFmtId="0" fontId="5" fillId="3" borderId="29" xfId="1" applyNumberFormat="1" applyFont="1" applyFill="1" applyBorder="1" applyAlignment="1"/>
    <xf numFmtId="0" fontId="14" fillId="4" borderId="30" xfId="1" applyNumberFormat="1" applyFont="1" applyFill="1" applyBorder="1" applyAlignment="1" applyProtection="1"/>
    <xf numFmtId="0" fontId="5" fillId="3" borderId="31" xfId="1" applyNumberFormat="1" applyFont="1" applyFill="1" applyBorder="1" applyAlignment="1"/>
    <xf numFmtId="0" fontId="14" fillId="4" borderId="32" xfId="1" applyNumberFormat="1" applyFont="1" applyFill="1" applyBorder="1" applyAlignment="1" applyProtection="1"/>
    <xf numFmtId="0" fontId="5" fillId="3" borderId="33" xfId="1" applyNumberFormat="1" applyFont="1" applyFill="1" applyBorder="1" applyAlignment="1"/>
    <xf numFmtId="0" fontId="14" fillId="4" borderId="34" xfId="1" applyNumberFormat="1" applyFont="1" applyFill="1" applyBorder="1" applyAlignment="1" applyProtection="1"/>
    <xf numFmtId="0" fontId="5" fillId="3" borderId="35" xfId="1" applyNumberFormat="1" applyFont="1" applyFill="1" applyBorder="1" applyAlignment="1"/>
    <xf numFmtId="0" fontId="14" fillId="4" borderId="36" xfId="1" applyNumberFormat="1" applyFont="1" applyFill="1" applyBorder="1" applyAlignment="1" applyProtection="1"/>
    <xf numFmtId="2" fontId="5" fillId="0" borderId="12" xfId="4" applyNumberFormat="1" applyFont="1" applyFill="1" applyBorder="1" applyAlignment="1"/>
    <xf numFmtId="0" fontId="7" fillId="6" borderId="25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24" fillId="11" borderId="5" xfId="1" applyNumberFormat="1" applyFont="1" applyFill="1" applyBorder="1" applyAlignment="1"/>
    <xf numFmtId="0" fontId="24" fillId="11" borderId="5" xfId="1" applyNumberFormat="1" applyFont="1" applyFill="1" applyBorder="1" applyAlignment="1">
      <alignment horizontal="center"/>
    </xf>
    <xf numFmtId="164" fontId="24" fillId="10" borderId="5" xfId="1" applyNumberFormat="1" applyFont="1" applyFill="1" applyBorder="1" applyAlignment="1" applyProtection="1">
      <alignment horizontal="left"/>
    </xf>
    <xf numFmtId="0" fontId="24" fillId="10" borderId="6" xfId="1" applyNumberFormat="1" applyFont="1" applyFill="1" applyBorder="1" applyAlignment="1" applyProtection="1">
      <alignment horizontal="center" vertical="center"/>
    </xf>
    <xf numFmtId="0" fontId="25" fillId="11" borderId="6" xfId="1" applyNumberFormat="1" applyFont="1" applyFill="1" applyBorder="1" applyAlignment="1">
      <alignment horizontal="center" vertical="center" wrapText="1"/>
    </xf>
    <xf numFmtId="170" fontId="26" fillId="11" borderId="18" xfId="12" applyNumberFormat="1" applyFont="1" applyFill="1" applyBorder="1" applyAlignment="1">
      <alignment horizontal="center"/>
    </xf>
    <xf numFmtId="170" fontId="24" fillId="11" borderId="18" xfId="12" applyNumberFormat="1" applyFont="1" applyFill="1" applyBorder="1" applyAlignment="1"/>
    <xf numFmtId="177" fontId="24" fillId="11" borderId="0" xfId="12" applyNumberFormat="1" applyFont="1" applyFill="1" applyBorder="1" applyAlignment="1"/>
    <xf numFmtId="2" fontId="24" fillId="11" borderId="0" xfId="12" applyNumberFormat="1" applyFont="1" applyFill="1" applyBorder="1" applyAlignment="1"/>
    <xf numFmtId="170" fontId="26" fillId="11" borderId="17" xfId="12" applyNumberFormat="1" applyFont="1" applyFill="1" applyBorder="1" applyAlignment="1">
      <alignment horizontal="center" vertical="center" wrapText="1"/>
    </xf>
    <xf numFmtId="170" fontId="28" fillId="0" borderId="14" xfId="12" applyNumberFormat="1" applyFont="1" applyFill="1" applyBorder="1" applyAlignment="1">
      <alignment horizontal="center" vertical="center" wrapText="1"/>
    </xf>
    <xf numFmtId="0" fontId="1" fillId="7" borderId="2" xfId="1" applyFill="1" applyBorder="1"/>
    <xf numFmtId="0" fontId="1" fillId="7" borderId="26" xfId="1" applyFill="1" applyBorder="1"/>
    <xf numFmtId="0" fontId="10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8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5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1" fillId="7" borderId="37" xfId="1" applyFill="1" applyBorder="1"/>
    <xf numFmtId="169" fontId="9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24" fillId="3" borderId="3" xfId="2" applyFont="1" applyFill="1" applyBorder="1"/>
    <xf numFmtId="0" fontId="24" fillId="3" borderId="2" xfId="2" applyFont="1" applyFill="1" applyBorder="1"/>
    <xf numFmtId="0" fontId="24" fillId="3" borderId="1" xfId="2" applyFont="1" applyFill="1" applyBorder="1"/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12:08:05</v>
        <stp/>
        <stp>{383FA10F-C291-4F35-AA76-324B10A28BF5}</stp>
        <tr r="O4" s="23"/>
      </tp>
      <tp t="s">
        <v>Paused at 12:08:05</v>
        <stp/>
        <stp>{B20B2E3D-2271-43A1-B113-420471C1F6D3}</stp>
        <tr r="S4" s="12"/>
      </tp>
      <tp t="s">
        <v>Paused at 12:08:05</v>
        <stp/>
        <stp>{34EFC9B1-84D5-49EF-81BA-1FFD42455324}</stp>
        <tr r="J4" s="15"/>
      </tp>
      <tp t="s">
        <v>Paused at 12:08:05</v>
        <stp/>
        <stp>{BD8782BF-28ED-443E-92A7-0C6BD21C20B3}</stp>
        <tr r="N4" s="16"/>
      </tp>
      <tp t="s">
        <v>Paused at 12:08:05</v>
        <stp/>
        <stp>{377FD7EA-301B-4CAC-823F-10400977D079}</stp>
        <tr r="O5" s="18"/>
      </tp>
      <tp t="s">
        <v>Paused at 12:08:05</v>
        <stp/>
        <stp>{0DF380C3-757A-43C6-A5E8-33BD3E3630AF}</stp>
        <tr r="S4" s="11"/>
      </tp>
      <tp t="s">
        <v>Paused at 12:08:05</v>
        <stp/>
        <stp>{16BE4D43-6EEF-487D-9E4B-BD449D210609}</stp>
        <tr r="M6" s="7"/>
      </tp>
      <tp t="s">
        <v>Paused at 12:08:05</v>
        <stp/>
        <stp>{D1C5EE4F-CF71-4E30-A87B-F2399A68533A}</stp>
        <tr r="U5" s="64"/>
      </tp>
      <tp t="s">
        <v>Paused at 12:08:05</v>
        <stp/>
        <stp>{434C2B1D-5695-4AE2-B260-4ACB8AA229B7}</stp>
        <tr r="O4" s="22"/>
      </tp>
      <tp t="s">
        <v>Paused at 12:08:05</v>
        <stp/>
        <stp>{7ECDA28A-B08E-4A46-BA99-0024BC2F6226}</stp>
        <tr r="K5" s="6"/>
      </tp>
      <tp t="s">
        <v>Paused at 12:08:05</v>
        <stp/>
        <stp>{0BEF0059-B448-4F17-8163-5A42A8B078AA}</stp>
        <tr r="S4" s="26"/>
      </tp>
      <tp t="s">
        <v>Paused at 12:08:05</v>
        <stp/>
        <stp>{F7C9E520-3E9D-46D3-A237-5778B2544AA9}</stp>
        <tr r="O5" s="17"/>
      </tp>
      <tp t="s">
        <v>Paused at 12:08:05</v>
        <stp/>
        <stp>{26DC19A7-96EF-4960-9F89-3C421B159AA0}</stp>
        <tr r="S4" s="25"/>
      </tp>
      <tp t="s">
        <v>Paused at 12:08:05</v>
        <stp/>
        <stp>{1998C8FD-11BA-4FEA-9604-844C4793138F}</stp>
        <tr r="O4" s="65"/>
      </tp>
      <tp t="s">
        <v>Paused at 12:08:05</v>
        <stp/>
        <stp>{2E0FAD90-6A41-4F43-98C1-A4C5BE6159D5}</stp>
        <tr r="M6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2.75" x14ac:dyDescent="0.2"/>
  <cols>
    <col min="1" max="1" width="1.7109375" style="356" customWidth="1"/>
    <col min="2" max="2" width="2.7109375" style="356" customWidth="1"/>
    <col min="3" max="3" width="14.85546875" style="356" bestFit="1" customWidth="1"/>
    <col min="4" max="4" width="21.42578125" style="356" bestFit="1" customWidth="1"/>
    <col min="5" max="7" width="2.7109375" style="356" customWidth="1"/>
    <col min="8" max="8" width="18.5703125" style="356" bestFit="1" customWidth="1"/>
    <col min="9" max="9" width="53.7109375" style="356" bestFit="1" customWidth="1"/>
    <col min="10" max="10" width="2.7109375" style="356" customWidth="1"/>
    <col min="11" max="16384" width="9.140625" style="356"/>
  </cols>
  <sheetData>
    <row r="1" spans="2:10" ht="13.5" thickBot="1" x14ac:dyDescent="0.25">
      <c r="B1" s="356" t="str">
        <f>_xll.qlxlVersion(TRUE,Trigger)</f>
        <v>QuantLibXL 1.4.0 - MS VC++ 9.0 - Multithreaded Dynamic Runtime library - Release Configuration - Apr 29 2014 14:47:17</v>
      </c>
    </row>
    <row r="2" spans="2:10" ht="16.5" thickBot="1" x14ac:dyDescent="0.3">
      <c r="B2" s="449" t="s">
        <v>219</v>
      </c>
      <c r="C2" s="450"/>
      <c r="D2" s="450"/>
      <c r="E2" s="451"/>
      <c r="G2" s="397" t="s">
        <v>7</v>
      </c>
      <c r="H2" s="398"/>
      <c r="I2" s="398"/>
      <c r="J2" s="399"/>
    </row>
    <row r="3" spans="2:10" x14ac:dyDescent="0.2">
      <c r="B3" s="262"/>
      <c r="C3" s="279"/>
      <c r="D3" s="279"/>
      <c r="E3" s="278"/>
      <c r="G3" s="5"/>
      <c r="H3" s="7"/>
      <c r="I3" s="7"/>
      <c r="J3" s="4"/>
    </row>
    <row r="4" spans="2:10" x14ac:dyDescent="0.2">
      <c r="B4" s="262"/>
      <c r="C4" s="277" t="s">
        <v>0</v>
      </c>
      <c r="D4" s="423" t="s">
        <v>252</v>
      </c>
      <c r="E4" s="263"/>
      <c r="G4" s="5"/>
      <c r="H4" s="10" t="s">
        <v>5</v>
      </c>
      <c r="I4" s="343" t="b">
        <v>1</v>
      </c>
      <c r="J4" s="8"/>
    </row>
    <row r="5" spans="2:10" x14ac:dyDescent="0.2">
      <c r="B5" s="262"/>
      <c r="C5" s="274" t="s">
        <v>6</v>
      </c>
      <c r="D5" s="276">
        <v>41807.504421296297</v>
      </c>
      <c r="E5" s="263"/>
      <c r="G5" s="5"/>
      <c r="H5" s="10" t="s">
        <v>4</v>
      </c>
      <c r="I5" s="343" t="b">
        <v>0</v>
      </c>
      <c r="J5" s="8"/>
    </row>
    <row r="6" spans="2:10" x14ac:dyDescent="0.2">
      <c r="B6" s="262"/>
      <c r="C6" s="274" t="s">
        <v>218</v>
      </c>
      <c r="D6" s="275" t="s">
        <v>217</v>
      </c>
      <c r="E6" s="263"/>
      <c r="G6" s="5"/>
      <c r="H6" s="10" t="s">
        <v>3</v>
      </c>
      <c r="I6" s="343" t="b">
        <v>0</v>
      </c>
      <c r="J6" s="8"/>
    </row>
    <row r="7" spans="2:10" x14ac:dyDescent="0.2">
      <c r="B7" s="262"/>
      <c r="C7" s="274" t="s">
        <v>216</v>
      </c>
      <c r="D7" s="273">
        <f>_xll.ohTrigger(Deposits!R3,FRA!X3,Futures3M!Z4,FuturesHWConvAdj!Q3,Swaps1M!Y3,Swap3M!AC3,Swap6M!AC3,BasisSwap1M3M!AA3,BasisSwap3M6M!AA3,OIS!Y3)</f>
        <v>2</v>
      </c>
      <c r="E7" s="263"/>
      <c r="G7" s="5"/>
      <c r="H7" s="10" t="s">
        <v>2</v>
      </c>
      <c r="I7" s="344"/>
      <c r="J7" s="8"/>
    </row>
    <row r="8" spans="2:10" x14ac:dyDescent="0.2">
      <c r="B8" s="262"/>
      <c r="C8" s="274" t="s">
        <v>244</v>
      </c>
      <c r="D8" s="273">
        <f>_xll.ohTrigger(U6:U12)</f>
        <v>0</v>
      </c>
      <c r="E8" s="263"/>
      <c r="G8" s="5"/>
      <c r="H8" s="10" t="s">
        <v>1</v>
      </c>
      <c r="I8" s="345" t="b">
        <v>1</v>
      </c>
      <c r="J8" s="8"/>
    </row>
    <row r="9" spans="2:10" x14ac:dyDescent="0.2">
      <c r="B9" s="262"/>
      <c r="C9" s="272" t="s">
        <v>215</v>
      </c>
      <c r="D9" s="271" t="s">
        <v>214</v>
      </c>
      <c r="E9" s="263"/>
      <c r="G9" s="5"/>
      <c r="H9" s="10" t="s">
        <v>92</v>
      </c>
      <c r="I9" s="343" t="str">
        <f>Currency&amp;"ON"</f>
        <v>AUDON</v>
      </c>
      <c r="J9" s="8"/>
    </row>
    <row r="10" spans="2:10" x14ac:dyDescent="0.2">
      <c r="B10" s="262"/>
      <c r="C10" s="268"/>
      <c r="D10" s="268"/>
      <c r="E10" s="263"/>
      <c r="G10" s="341"/>
      <c r="H10" s="346" t="s">
        <v>240</v>
      </c>
      <c r="I10" s="408">
        <f>_xll.qlSettingsEvaluationDate(Trigger)</f>
        <v>41807</v>
      </c>
      <c r="J10" s="340"/>
    </row>
    <row r="11" spans="2:10" x14ac:dyDescent="0.2">
      <c r="B11" s="262"/>
      <c r="C11" s="270" t="s">
        <v>188</v>
      </c>
      <c r="D11" s="269" t="s">
        <v>213</v>
      </c>
      <c r="E11" s="263"/>
      <c r="G11" s="341"/>
      <c r="H11" s="10" t="s">
        <v>274</v>
      </c>
      <c r="I11" s="343" t="s">
        <v>275</v>
      </c>
      <c r="J11" s="340"/>
    </row>
    <row r="12" spans="2:10" ht="13.5" thickBot="1" x14ac:dyDescent="0.25">
      <c r="B12" s="262"/>
      <c r="C12" s="267" t="s">
        <v>177</v>
      </c>
      <c r="D12" s="266" t="str">
        <f>""</f>
        <v/>
      </c>
      <c r="E12" s="263"/>
      <c r="G12" s="3"/>
      <c r="H12" s="2"/>
      <c r="I12" s="2"/>
      <c r="J12" s="1"/>
    </row>
    <row r="13" spans="2:10" ht="13.5" thickBot="1" x14ac:dyDescent="0.25">
      <c r="B13" s="262"/>
      <c r="C13" s="267" t="s">
        <v>164</v>
      </c>
      <c r="D13" s="266" t="s">
        <v>176</v>
      </c>
      <c r="E13" s="263"/>
      <c r="G13" s="358"/>
      <c r="H13" s="358"/>
      <c r="I13" s="358"/>
      <c r="J13" s="358"/>
    </row>
    <row r="14" spans="2:10" ht="16.5" thickBot="1" x14ac:dyDescent="0.3">
      <c r="B14" s="262"/>
      <c r="C14" s="267" t="s">
        <v>175</v>
      </c>
      <c r="D14" s="266" t="s">
        <v>175</v>
      </c>
      <c r="E14" s="263"/>
      <c r="G14" s="397" t="s">
        <v>109</v>
      </c>
      <c r="H14" s="398"/>
      <c r="I14" s="398"/>
      <c r="J14" s="399"/>
    </row>
    <row r="15" spans="2:10" x14ac:dyDescent="0.2">
      <c r="B15" s="262"/>
      <c r="C15" s="267" t="s">
        <v>173</v>
      </c>
      <c r="D15" s="266" t="s">
        <v>172</v>
      </c>
      <c r="E15" s="263"/>
      <c r="G15" s="5"/>
      <c r="H15" s="7"/>
      <c r="I15" s="7"/>
      <c r="J15" s="4"/>
    </row>
    <row r="16" spans="2:10" x14ac:dyDescent="0.2">
      <c r="B16" s="262"/>
      <c r="C16" s="267" t="s">
        <v>251</v>
      </c>
      <c r="D16" s="266" t="s">
        <v>250</v>
      </c>
      <c r="E16" s="263"/>
      <c r="G16" s="5"/>
      <c r="H16" s="10" t="s">
        <v>108</v>
      </c>
      <c r="I16" s="14" t="s">
        <v>107</v>
      </c>
      <c r="J16" s="8"/>
    </row>
    <row r="17" spans="2:10" x14ac:dyDescent="0.2">
      <c r="B17" s="262"/>
      <c r="C17" s="267" t="s">
        <v>171</v>
      </c>
      <c r="D17" s="266" t="s">
        <v>170</v>
      </c>
      <c r="E17" s="263"/>
      <c r="G17" s="5"/>
      <c r="H17" s="10" t="s">
        <v>106</v>
      </c>
      <c r="I17" s="68">
        <v>1E-4</v>
      </c>
      <c r="J17" s="8"/>
    </row>
    <row r="18" spans="2:10" x14ac:dyDescent="0.2">
      <c r="B18" s="262"/>
      <c r="C18" s="267" t="s">
        <v>169</v>
      </c>
      <c r="D18" s="266" t="s">
        <v>212</v>
      </c>
      <c r="E18" s="263"/>
      <c r="G18" s="5"/>
      <c r="H18" s="10" t="s">
        <v>105</v>
      </c>
      <c r="I18" s="67">
        <v>-0.01</v>
      </c>
      <c r="J18" s="8"/>
    </row>
    <row r="19" spans="2:10" x14ac:dyDescent="0.2">
      <c r="B19" s="262"/>
      <c r="C19" s="267" t="s">
        <v>284</v>
      </c>
      <c r="D19" s="266" t="s">
        <v>279</v>
      </c>
      <c r="E19" s="263"/>
      <c r="G19" s="5"/>
      <c r="H19" s="10" t="s">
        <v>25</v>
      </c>
      <c r="I19" s="67" t="s">
        <v>254</v>
      </c>
      <c r="J19" s="8"/>
    </row>
    <row r="20" spans="2:10" x14ac:dyDescent="0.2">
      <c r="B20" s="262"/>
      <c r="C20" s="265" t="s">
        <v>211</v>
      </c>
      <c r="D20" s="264" t="s">
        <v>210</v>
      </c>
      <c r="E20" s="263"/>
      <c r="G20" s="5"/>
      <c r="H20" s="10" t="s">
        <v>248</v>
      </c>
      <c r="I20" s="9" t="s">
        <v>249</v>
      </c>
      <c r="J20" s="8"/>
    </row>
    <row r="21" spans="2:10" x14ac:dyDescent="0.2">
      <c r="B21" s="262"/>
      <c r="C21" s="261"/>
      <c r="D21" s="261"/>
      <c r="E21" s="263"/>
      <c r="G21" s="5"/>
      <c r="H21" s="10" t="s">
        <v>87</v>
      </c>
      <c r="I21" s="9" t="s">
        <v>91</v>
      </c>
      <c r="J21" s="8"/>
    </row>
    <row r="22" spans="2:10" ht="13.5" thickBot="1" x14ac:dyDescent="0.25">
      <c r="B22" s="262"/>
      <c r="C22" s="260" t="s">
        <v>209</v>
      </c>
      <c r="D22" s="359">
        <v>41795.654097222221</v>
      </c>
      <c r="E22" s="21"/>
      <c r="G22" s="3"/>
      <c r="H22" s="2"/>
      <c r="I22" s="2"/>
      <c r="J22" s="1"/>
    </row>
    <row r="23" spans="2:10" x14ac:dyDescent="0.2">
      <c r="B23" s="262"/>
      <c r="C23" s="260" t="s">
        <v>208</v>
      </c>
      <c r="D23" s="360" t="b">
        <v>1</v>
      </c>
      <c r="E23" s="21"/>
    </row>
    <row r="24" spans="2:10" ht="13.5" thickBot="1" x14ac:dyDescent="0.25">
      <c r="B24" s="259"/>
      <c r="C24" s="19"/>
      <c r="D24" s="19"/>
      <c r="E24" s="18"/>
    </row>
    <row r="25" spans="2:10" ht="11.25" customHeight="1" x14ac:dyDescent="0.2">
      <c r="C25" s="357"/>
      <c r="D25" s="357"/>
      <c r="E25" s="357"/>
    </row>
    <row r="26" spans="2:10" x14ac:dyDescent="0.2">
      <c r="C26" s="357"/>
      <c r="D26" s="357"/>
      <c r="E26" s="357"/>
    </row>
    <row r="27" spans="2:10" x14ac:dyDescent="0.2">
      <c r="C27" s="357"/>
      <c r="D27" s="357"/>
      <c r="E27" s="357"/>
    </row>
  </sheetData>
  <conditionalFormatting sqref="D23">
    <cfRule type="cellIs" dxfId="28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E16"/>
  <sheetViews>
    <sheetView workbookViewId="0">
      <selection activeCell="B2" sqref="B2"/>
    </sheetView>
  </sheetViews>
  <sheetFormatPr defaultRowHeight="11.25" outlineLevelCol="1" x14ac:dyDescent="0.2"/>
  <cols>
    <col min="1" max="1" width="2.140625" style="395" customWidth="1"/>
    <col min="2" max="2" width="2.7109375" style="395" customWidth="1"/>
    <col min="3" max="3" width="6.5703125" style="395" bestFit="1" customWidth="1"/>
    <col min="4" max="4" width="9" style="395" customWidth="1"/>
    <col min="5" max="5" width="11" style="395" bestFit="1" customWidth="1"/>
    <col min="6" max="6" width="19.28515625" style="395" bestFit="1" customWidth="1"/>
    <col min="7" max="9" width="17.85546875" style="395" hidden="1" customWidth="1" outlineLevel="1"/>
    <col min="10" max="10" width="5.7109375" style="395" customWidth="1" collapsed="1"/>
    <col min="11" max="11" width="19.28515625" style="395" bestFit="1" customWidth="1"/>
    <col min="12" max="12" width="10" style="395" bestFit="1" customWidth="1"/>
    <col min="13" max="13" width="11" style="395" bestFit="1" customWidth="1"/>
    <col min="14" max="14" width="15.140625" style="395" bestFit="1" customWidth="1"/>
    <col min="15" max="15" width="31.7109375" style="395" bestFit="1" customWidth="1"/>
    <col min="16" max="16" width="15.140625" style="395" customWidth="1"/>
    <col min="17" max="18" width="2.7109375" style="395" customWidth="1"/>
    <col min="19" max="19" width="6" style="395" bestFit="1" customWidth="1"/>
    <col min="20" max="20" width="15.140625" style="395" bestFit="1" customWidth="1"/>
    <col min="21" max="21" width="13.28515625" style="395" customWidth="1"/>
    <col min="22" max="23" width="15.140625" style="395" bestFit="1" customWidth="1"/>
    <col min="24" max="24" width="13.140625" style="395" bestFit="1" customWidth="1"/>
    <col min="25" max="25" width="11" style="395" bestFit="1" customWidth="1"/>
    <col min="26" max="26" width="12" style="395" bestFit="1" customWidth="1"/>
    <col min="27" max="27" width="2.7109375" style="395" customWidth="1"/>
    <col min="28" max="29" width="10.28515625" style="395" bestFit="1" customWidth="1"/>
    <col min="30" max="31" width="2.7109375" style="395" customWidth="1"/>
    <col min="32" max="16384" width="9.140625" style="395"/>
  </cols>
  <sheetData>
    <row r="1" spans="2:31" s="366" customFormat="1" ht="12" thickBot="1" x14ac:dyDescent="0.25">
      <c r="U1" s="395"/>
      <c r="V1" s="395"/>
      <c r="W1" s="395"/>
      <c r="X1" s="395"/>
      <c r="Y1" s="395"/>
      <c r="Z1" s="395"/>
      <c r="AA1" s="395"/>
      <c r="AB1" s="395"/>
      <c r="AC1" s="395"/>
      <c r="AD1" s="395"/>
      <c r="AE1" s="395"/>
    </row>
    <row r="2" spans="2:31" s="366" customFormat="1" ht="11.25" customHeight="1" x14ac:dyDescent="0.2">
      <c r="B2" s="367"/>
      <c r="C2" s="368"/>
      <c r="D2" s="368"/>
      <c r="E2" s="369"/>
      <c r="F2" s="369"/>
      <c r="G2" s="368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  <c r="X2" s="369"/>
      <c r="Y2" s="369"/>
      <c r="Z2" s="369"/>
      <c r="AA2" s="370"/>
    </row>
    <row r="3" spans="2:31" s="366" customFormat="1" ht="11.25" customHeight="1" x14ac:dyDescent="0.25">
      <c r="B3" s="371"/>
      <c r="C3" s="372"/>
      <c r="D3" s="372"/>
      <c r="E3" s="372"/>
      <c r="F3" s="375"/>
      <c r="G3" s="372"/>
      <c r="H3" s="375"/>
      <c r="I3" s="375"/>
      <c r="J3" s="377" t="str">
        <f>IF(Serialize,_xll.ohObjectSave(D7:F13,SerializationPath&amp;#REF!,FileOverwrite,,Serialize),"---")</f>
        <v>---</v>
      </c>
      <c r="K3" s="375"/>
      <c r="L3" s="375"/>
      <c r="M3" s="375"/>
      <c r="N3" s="375"/>
      <c r="O3" s="375"/>
      <c r="P3" s="375"/>
      <c r="Q3" s="375"/>
      <c r="R3" s="375"/>
      <c r="S3" s="375"/>
      <c r="T3"/>
      <c r="U3" s="375"/>
      <c r="V3" s="375"/>
      <c r="W3" s="375"/>
      <c r="X3" s="375"/>
      <c r="Y3" s="375"/>
      <c r="Z3" s="375"/>
      <c r="AA3" s="376"/>
    </row>
    <row r="4" spans="2:31" s="366" customFormat="1" ht="11.25" customHeight="1" x14ac:dyDescent="0.2">
      <c r="B4" s="371"/>
      <c r="C4" s="372"/>
      <c r="D4" s="372"/>
      <c r="E4" s="372"/>
      <c r="F4" s="375"/>
      <c r="G4" s="372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96"/>
      <c r="V4" s="375"/>
      <c r="W4" s="375"/>
      <c r="X4" s="375"/>
      <c r="Y4" s="375"/>
      <c r="Z4" s="375"/>
      <c r="AA4" s="376"/>
    </row>
    <row r="5" spans="2:31" s="366" customFormat="1" ht="28.5" customHeight="1" x14ac:dyDescent="0.2">
      <c r="B5" s="371"/>
      <c r="C5" s="403" t="s">
        <v>23</v>
      </c>
      <c r="D5" s="403" t="s">
        <v>261</v>
      </c>
      <c r="E5" s="403" t="s">
        <v>262</v>
      </c>
      <c r="F5" s="403" t="s">
        <v>263</v>
      </c>
      <c r="G5" s="403" t="str">
        <f>"Error Message "&amp;D5</f>
        <v>Error Message fix days</v>
      </c>
      <c r="H5" s="403" t="str">
        <f t="shared" ref="H5:I5" si="0">"Error Message "&amp;E5</f>
        <v>Error Message calendar</v>
      </c>
      <c r="I5" s="403" t="str">
        <f t="shared" si="0"/>
        <v>Error Message bdc</v>
      </c>
      <c r="J5" s="403" t="s">
        <v>265</v>
      </c>
      <c r="K5" s="403" t="s">
        <v>266</v>
      </c>
      <c r="L5" s="403" t="s">
        <v>268</v>
      </c>
      <c r="M5" s="403" t="s">
        <v>269</v>
      </c>
      <c r="N5" s="403" t="s">
        <v>268</v>
      </c>
      <c r="O5" s="403" t="s">
        <v>270</v>
      </c>
      <c r="P5" s="403"/>
      <c r="Q5" s="375"/>
      <c r="R5" s="375"/>
      <c r="S5" s="380" t="s">
        <v>23</v>
      </c>
      <c r="T5" s="380" t="s">
        <v>245</v>
      </c>
      <c r="U5" s="381" t="str">
        <f>_xll.RData(U7:U14,V5:W5,"RTFEED:IDN",,,V7)</f>
        <v>Paused at 12:08:05</v>
      </c>
      <c r="V5" s="381" t="s">
        <v>228</v>
      </c>
      <c r="W5" s="462" t="s">
        <v>286</v>
      </c>
      <c r="X5" s="381" t="s">
        <v>227</v>
      </c>
      <c r="Y5" s="381" t="s">
        <v>226</v>
      </c>
      <c r="Z5" s="382" t="s">
        <v>272</v>
      </c>
      <c r="AA5" s="376"/>
    </row>
    <row r="6" spans="2:31" s="366" customFormat="1" ht="11.25" customHeight="1" x14ac:dyDescent="0.2">
      <c r="B6" s="371"/>
      <c r="C6" s="452" t="s">
        <v>157</v>
      </c>
      <c r="D6" s="453">
        <v>0</v>
      </c>
      <c r="E6" s="453" t="str">
        <f t="shared" ref="E6:E14" si="1">Calendar</f>
        <v>Australia</v>
      </c>
      <c r="F6" s="453" t="s">
        <v>264</v>
      </c>
      <c r="G6" s="454" t="str">
        <f>_xll.ohRangeRetrieveError(D6)</f>
        <v/>
      </c>
      <c r="H6" s="454" t="str">
        <f>_xll.ohRangeRetrieveError(E6)</f>
        <v/>
      </c>
      <c r="I6" s="454" t="str">
        <f>_xll.ohRangeRetrieveError(F6)</f>
        <v/>
      </c>
      <c r="J6" s="453" t="b">
        <v>1</v>
      </c>
      <c r="K6" s="453" t="s">
        <v>267</v>
      </c>
      <c r="L6" s="453" t="s">
        <v>285</v>
      </c>
      <c r="M6" s="455" t="str">
        <f>_xll.qlRelinkableHandleYieldTermStructure(Currency&amp;C6,,Permanent,Trigger,ObjectOverwrite)</f>
        <v>AUDON#0000</v>
      </c>
      <c r="N6" s="455" t="str">
        <f>_xll.qlOvernightIndex(L6,,D6,Currency,Calendar,K6,,Permanent,Trigger,ObjectOverwrite)</f>
        <v>AONIA#0001</v>
      </c>
      <c r="O6" s="455" t="str">
        <f>_xll.qlLastFixingQuote(PROPER(Currency)&amp;FamilyName&amp;$C6&amp;"LastFixing_Quote",N6,Permanent,Trigger,ObjectOverwrite)</f>
        <v>AudBBSWONLastFixing_Quote#0002</v>
      </c>
      <c r="P6" s="456"/>
      <c r="Q6" s="375"/>
      <c r="R6" s="375"/>
      <c r="S6" s="457" t="str">
        <f t="shared" ref="S6:S14" si="2">C6</f>
        <v>ON</v>
      </c>
      <c r="T6" s="458" t="str">
        <f>N6</f>
        <v>AONIA#0001</v>
      </c>
      <c r="U6" s="459" t="str">
        <f t="shared" ref="U6:U13" si="3">"AU"&amp;S6&amp;"BBC"&amp;"="&amp;"ICAA"</f>
        <v>AUONBBC=ICAA</v>
      </c>
      <c r="V6" s="459">
        <v>41805</v>
      </c>
      <c r="W6" s="460">
        <v>0</v>
      </c>
      <c r="X6" s="459" t="b">
        <f t="shared" ref="X6:X14" si="4">IF(AND(ISNUMBER($W6),$W6&lt;&gt;0%),TRUE,FALSE)</f>
        <v>0</v>
      </c>
      <c r="Y6" s="459" t="e">
        <f>IF(W6,_xll.qlIndexAddFixings(T6,V6,W6/100,TRUE),NA())</f>
        <v>#N/A</v>
      </c>
      <c r="Z6" s="461" t="e">
        <f>_xll.qlQuoteValue(O6)</f>
        <v>#NUM!</v>
      </c>
      <c r="AA6" s="376"/>
    </row>
    <row r="7" spans="2:31" s="366" customFormat="1" ht="11.25" customHeight="1" x14ac:dyDescent="0.2">
      <c r="B7" s="371"/>
      <c r="C7" s="383" t="s">
        <v>19</v>
      </c>
      <c r="D7" s="428">
        <v>0</v>
      </c>
      <c r="E7" s="428" t="str">
        <f t="shared" si="1"/>
        <v>Australia</v>
      </c>
      <c r="F7" s="437" t="s">
        <v>264</v>
      </c>
      <c r="G7" s="378" t="str">
        <f>_xll.ohRangeRetrieveError(D7)</f>
        <v/>
      </c>
      <c r="H7" s="378" t="str">
        <f>_xll.ohRangeRetrieveError(E7)</f>
        <v/>
      </c>
      <c r="I7" s="378" t="str">
        <f>_xll.ohRangeRetrieveError(F7)</f>
        <v/>
      </c>
      <c r="J7" s="428" t="b">
        <v>1</v>
      </c>
      <c r="K7" s="428" t="s">
        <v>267</v>
      </c>
      <c r="L7" s="428" t="str">
        <f t="shared" ref="L7:L14" si="5">PROPER(Currency)&amp;FamilyName&amp;C7</f>
        <v>AudBBSW1M</v>
      </c>
      <c r="M7" s="374" t="str">
        <f>_xll.qlRelinkableHandleYieldTermStructure(Currency&amp;C7,,Permanent,Trigger,ObjectOverwrite)</f>
        <v>AUD1M#0000</v>
      </c>
      <c r="N7" s="374" t="str">
        <f>_xll.qlIborIndex(L7,FamilyName,C7,D7,Currency,E7,F7,J7,K7,,Permanent,Trigger,ObjectOverwrite)</f>
        <v>AudBBSW1M#0001</v>
      </c>
      <c r="O7" s="374" t="str">
        <f>_xll.qlLastFixingQuote(PROPER(Currency)&amp;FamilyName&amp;$C7&amp;"LastFixing_Quote",N7,Permanent,Trigger,ObjectOverwrite)</f>
        <v>AudBBSW1MLastFixing_Quote#0001</v>
      </c>
      <c r="P7" s="374" t="str">
        <f>_xll.ohRangeRetrieveError(N7)</f>
        <v/>
      </c>
      <c r="Q7" s="375"/>
      <c r="R7" s="375"/>
      <c r="S7" s="434" t="str">
        <f t="shared" si="2"/>
        <v>1M</v>
      </c>
      <c r="T7" s="389" t="str">
        <f>N7</f>
        <v>AudBBSW1M#0001</v>
      </c>
      <c r="U7" s="387" t="str">
        <f t="shared" si="3"/>
        <v>AU1MBBC=ICAA</v>
      </c>
      <c r="V7" s="387">
        <v>41807</v>
      </c>
      <c r="W7" s="429">
        <v>2.66</v>
      </c>
      <c r="X7" s="387" t="b">
        <f t="shared" si="4"/>
        <v>1</v>
      </c>
      <c r="Y7" s="387" t="b">
        <f>IF(W7,_xll.qlIndexAddFixings(T7,V7,W7/100,TRUE),NA())</f>
        <v>1</v>
      </c>
      <c r="Z7" s="436">
        <f>_xll.qlQuoteValue(O7)</f>
        <v>2.6600000000000002E-2</v>
      </c>
      <c r="AA7" s="376"/>
    </row>
    <row r="8" spans="2:31" s="366" customFormat="1" ht="11.25" customHeight="1" x14ac:dyDescent="0.2">
      <c r="B8" s="371"/>
      <c r="C8" s="383" t="s">
        <v>18</v>
      </c>
      <c r="D8" s="428">
        <v>0</v>
      </c>
      <c r="E8" s="428" t="str">
        <f t="shared" si="1"/>
        <v>Australia</v>
      </c>
      <c r="F8" s="437" t="s">
        <v>264</v>
      </c>
      <c r="G8" s="378" t="str">
        <f>_xll.ohRangeRetrieveError(D8)</f>
        <v/>
      </c>
      <c r="H8" s="378" t="str">
        <f>_xll.ohRangeRetrieveError(E8)</f>
        <v/>
      </c>
      <c r="I8" s="378" t="str">
        <f>_xll.ohRangeRetrieveError(F8)</f>
        <v/>
      </c>
      <c r="J8" s="428" t="b">
        <v>1</v>
      </c>
      <c r="K8" s="428" t="s">
        <v>267</v>
      </c>
      <c r="L8" s="428" t="str">
        <f t="shared" si="5"/>
        <v>AudBBSW2M</v>
      </c>
      <c r="M8" s="374"/>
      <c r="N8" s="374" t="str">
        <f>_xll.qlIborIndex(L8,FamilyName,C8,D8,Currency,E8,F8,J8,K8,,Permanent,Trigger,ObjectOverwrite)</f>
        <v>AudBBSW2M#0002</v>
      </c>
      <c r="O8" s="374" t="str">
        <f>_xll.qlLastFixingQuote(PROPER(Currency)&amp;FamilyName&amp;$C8&amp;"LastFixing_Quote",N8,Permanent,Trigger,ObjectOverwrite)</f>
        <v>AudBBSW2MLastFixing_Quote#0002</v>
      </c>
      <c r="P8" s="374" t="str">
        <f>_xll.ohRangeRetrieveError(N8)</f>
        <v/>
      </c>
      <c r="Q8" s="375"/>
      <c r="R8" s="375"/>
      <c r="S8" s="434" t="str">
        <f t="shared" si="2"/>
        <v>2M</v>
      </c>
      <c r="T8" s="389" t="str">
        <f t="shared" ref="T8:T14" si="6">N8</f>
        <v>AudBBSW2M#0002</v>
      </c>
      <c r="U8" s="387" t="str">
        <f t="shared" si="3"/>
        <v>AU2MBBC=ICAA</v>
      </c>
      <c r="V8" s="387">
        <v>41807</v>
      </c>
      <c r="W8" s="429">
        <v>2.67</v>
      </c>
      <c r="X8" s="387" t="b">
        <f t="shared" si="4"/>
        <v>1</v>
      </c>
      <c r="Y8" s="387" t="b">
        <f>IF(W8,_xll.qlIndexAddFixings(T8,V8,W8/100,TRUE),NA())</f>
        <v>1</v>
      </c>
      <c r="Z8" s="436">
        <f>_xll.qlQuoteValue(O8)</f>
        <v>2.6699999999999998E-2</v>
      </c>
      <c r="AA8" s="376"/>
    </row>
    <row r="9" spans="2:31" s="366" customFormat="1" ht="11.25" customHeight="1" x14ac:dyDescent="0.2">
      <c r="B9" s="371"/>
      <c r="C9" s="383" t="s">
        <v>17</v>
      </c>
      <c r="D9" s="428">
        <v>0</v>
      </c>
      <c r="E9" s="428" t="str">
        <f t="shared" si="1"/>
        <v>Australia</v>
      </c>
      <c r="F9" s="437" t="s">
        <v>264</v>
      </c>
      <c r="G9" s="378" t="str">
        <f>_xll.ohRangeRetrieveError(D9)</f>
        <v/>
      </c>
      <c r="H9" s="378" t="str">
        <f>_xll.ohRangeRetrieveError(E9)</f>
        <v/>
      </c>
      <c r="I9" s="378" t="str">
        <f>_xll.ohRangeRetrieveError(F9)</f>
        <v/>
      </c>
      <c r="J9" s="428" t="b">
        <v>1</v>
      </c>
      <c r="K9" s="428" t="s">
        <v>267</v>
      </c>
      <c r="L9" s="428" t="str">
        <f t="shared" si="5"/>
        <v>AudBBSW3M</v>
      </c>
      <c r="M9" s="374" t="str">
        <f>_xll.qlRelinkableHandleYieldTermStructure(Currency&amp;C9,,Permanent,Trigger,ObjectOverwrite)</f>
        <v>AUD3M#0000</v>
      </c>
      <c r="N9" s="374" t="str">
        <f>_xll.qlIborIndex(L9,FamilyName,C9,D9,Currency,E9,F9,J9,K9,,Permanent,Trigger,ObjectOverwrite)</f>
        <v>AudBBSW3M#0001</v>
      </c>
      <c r="O9" s="374" t="str">
        <f>_xll.qlLastFixingQuote(PROPER(Currency)&amp;FamilyName&amp;$C9&amp;"LastFixing_Quote",N9,Permanent,Trigger,ObjectOverwrite)</f>
        <v>AudBBSW3MLastFixing_Quote#0001</v>
      </c>
      <c r="P9" s="374" t="str">
        <f>_xll.ohRangeRetrieveError(N9)</f>
        <v/>
      </c>
      <c r="Q9" s="375"/>
      <c r="R9" s="375"/>
      <c r="S9" s="434" t="str">
        <f t="shared" si="2"/>
        <v>3M</v>
      </c>
      <c r="T9" s="389" t="str">
        <f t="shared" si="6"/>
        <v>AudBBSW3M#0001</v>
      </c>
      <c r="U9" s="387" t="str">
        <f t="shared" si="3"/>
        <v>AU3MBBC=ICAA</v>
      </c>
      <c r="V9" s="387">
        <v>41807</v>
      </c>
      <c r="W9" s="429">
        <v>2.69</v>
      </c>
      <c r="X9" s="387" t="b">
        <f t="shared" si="4"/>
        <v>1</v>
      </c>
      <c r="Y9" s="387" t="b">
        <f>IF(W9,_xll.qlIndexAddFixings(T9,V9,W9/100,TRUE),NA())</f>
        <v>1</v>
      </c>
      <c r="Z9" s="436">
        <f>_xll.qlQuoteValue(O9)</f>
        <v>2.69E-2</v>
      </c>
      <c r="AA9" s="376"/>
    </row>
    <row r="10" spans="2:31" s="366" customFormat="1" ht="11.25" customHeight="1" x14ac:dyDescent="0.2">
      <c r="B10" s="371"/>
      <c r="C10" s="383" t="s">
        <v>16</v>
      </c>
      <c r="D10" s="428">
        <v>0</v>
      </c>
      <c r="E10" s="428" t="str">
        <f t="shared" si="1"/>
        <v>Australia</v>
      </c>
      <c r="F10" s="437" t="s">
        <v>264</v>
      </c>
      <c r="G10" s="378" t="str">
        <f>_xll.ohRangeRetrieveError(D10)</f>
        <v/>
      </c>
      <c r="H10" s="378" t="str">
        <f>_xll.ohRangeRetrieveError(E10)</f>
        <v/>
      </c>
      <c r="I10" s="378" t="str">
        <f>_xll.ohRangeRetrieveError(F10)</f>
        <v/>
      </c>
      <c r="J10" s="428" t="b">
        <v>1</v>
      </c>
      <c r="K10" s="428" t="s">
        <v>267</v>
      </c>
      <c r="L10" s="428" t="str">
        <f t="shared" si="5"/>
        <v>AudBBSW4M</v>
      </c>
      <c r="M10" s="374"/>
      <c r="N10" s="374" t="str">
        <f>_xll.qlIborIndex(L10,FamilyName,C10,D10,Currency,E10,F10,J10,K10,,Permanent,Trigger,ObjectOverwrite)</f>
        <v>AudBBSW4M#0002</v>
      </c>
      <c r="O10" s="374" t="str">
        <f>_xll.qlLastFixingQuote(PROPER(Currency)&amp;FamilyName&amp;$C10&amp;"LastFixing_Quote",N10,Permanent,Trigger,ObjectOverwrite)</f>
        <v>AudBBSW4MLastFixing_Quote#0002</v>
      </c>
      <c r="P10" s="374" t="str">
        <f>_xll.ohRangeRetrieveError(N10)</f>
        <v/>
      </c>
      <c r="Q10" s="375"/>
      <c r="R10" s="375"/>
      <c r="S10" s="434" t="str">
        <f t="shared" si="2"/>
        <v>4M</v>
      </c>
      <c r="T10" s="389" t="str">
        <f t="shared" si="6"/>
        <v>AudBBSW4M#0002</v>
      </c>
      <c r="U10" s="387" t="str">
        <f t="shared" si="3"/>
        <v>AU4MBBC=ICAA</v>
      </c>
      <c r="V10" s="387">
        <v>41807</v>
      </c>
      <c r="W10" s="429">
        <v>2.7</v>
      </c>
      <c r="X10" s="387" t="b">
        <f t="shared" si="4"/>
        <v>1</v>
      </c>
      <c r="Y10" s="387" t="b">
        <f>IF(W10,_xll.qlIndexAddFixings(T10,V10,W10/100,TRUE),NA())</f>
        <v>1</v>
      </c>
      <c r="Z10" s="436">
        <f>_xll.qlQuoteValue(O10)</f>
        <v>2.7000000000000003E-2</v>
      </c>
      <c r="AA10" s="376"/>
    </row>
    <row r="11" spans="2:31" s="366" customFormat="1" ht="11.25" customHeight="1" x14ac:dyDescent="0.2">
      <c r="B11" s="371"/>
      <c r="C11" s="383" t="s">
        <v>15</v>
      </c>
      <c r="D11" s="428">
        <v>0</v>
      </c>
      <c r="E11" s="428" t="str">
        <f t="shared" si="1"/>
        <v>Australia</v>
      </c>
      <c r="F11" s="437" t="s">
        <v>264</v>
      </c>
      <c r="G11" s="378" t="str">
        <f>_xll.ohRangeRetrieveError(D11)</f>
        <v/>
      </c>
      <c r="H11" s="378" t="str">
        <f>_xll.ohRangeRetrieveError(E11)</f>
        <v/>
      </c>
      <c r="I11" s="378" t="str">
        <f>_xll.ohRangeRetrieveError(F11)</f>
        <v/>
      </c>
      <c r="J11" s="428" t="b">
        <v>1</v>
      </c>
      <c r="K11" s="428" t="s">
        <v>267</v>
      </c>
      <c r="L11" s="428" t="str">
        <f t="shared" si="5"/>
        <v>AudBBSW5M</v>
      </c>
      <c r="M11" s="374"/>
      <c r="N11" s="374" t="str">
        <f>_xll.qlIborIndex(L11,FamilyName,C11,D11,Currency,E11,F11,J11,K11,,Permanent,Trigger,ObjectOverwrite)</f>
        <v>AudBBSW5M#0002</v>
      </c>
      <c r="O11" s="374" t="str">
        <f>_xll.qlLastFixingQuote(PROPER(Currency)&amp;FamilyName&amp;$C11&amp;"LastFixing_Quote",N11,Permanent,Trigger,ObjectOverwrite)</f>
        <v>AudBBSW5MLastFixing_Quote#0002</v>
      </c>
      <c r="P11" s="374" t="str">
        <f>_xll.ohRangeRetrieveError(N11)</f>
        <v/>
      </c>
      <c r="Q11" s="375"/>
      <c r="R11" s="375"/>
      <c r="S11" s="434" t="str">
        <f t="shared" si="2"/>
        <v>5M</v>
      </c>
      <c r="T11" s="389" t="str">
        <f t="shared" si="6"/>
        <v>AudBBSW5M#0002</v>
      </c>
      <c r="U11" s="387" t="str">
        <f t="shared" si="3"/>
        <v>AU5MBBC=ICAA</v>
      </c>
      <c r="V11" s="387">
        <v>41807</v>
      </c>
      <c r="W11" s="429">
        <v>2.7</v>
      </c>
      <c r="X11" s="387" t="b">
        <f t="shared" si="4"/>
        <v>1</v>
      </c>
      <c r="Y11" s="387" t="b">
        <f>IF(W11,_xll.qlIndexAddFixings(T11,V11,W11/100,TRUE),NA())</f>
        <v>1</v>
      </c>
      <c r="Z11" s="436">
        <f>_xll.qlQuoteValue(O11)</f>
        <v>2.7000000000000003E-2</v>
      </c>
      <c r="AA11" s="376"/>
    </row>
    <row r="12" spans="2:31" s="366" customFormat="1" ht="11.25" customHeight="1" x14ac:dyDescent="0.2">
      <c r="B12" s="371"/>
      <c r="C12" s="383" t="s">
        <v>14</v>
      </c>
      <c r="D12" s="428">
        <v>0</v>
      </c>
      <c r="E12" s="428" t="str">
        <f t="shared" si="1"/>
        <v>Australia</v>
      </c>
      <c r="F12" s="437" t="s">
        <v>264</v>
      </c>
      <c r="G12" s="378" t="str">
        <f>_xll.ohRangeRetrieveError(D12)</f>
        <v/>
      </c>
      <c r="H12" s="378" t="str">
        <f>_xll.ohRangeRetrieveError(E12)</f>
        <v/>
      </c>
      <c r="I12" s="378" t="str">
        <f>_xll.ohRangeRetrieveError(F12)</f>
        <v/>
      </c>
      <c r="J12" s="428" t="b">
        <v>1</v>
      </c>
      <c r="K12" s="428" t="s">
        <v>267</v>
      </c>
      <c r="L12" s="428" t="str">
        <f t="shared" si="5"/>
        <v>AudBBSW6M</v>
      </c>
      <c r="M12" s="374" t="str">
        <f>_xll.qlRelinkableHandleYieldTermStructure(Currency&amp;C12,,Permanent,Trigger,ObjectOverwrite)</f>
        <v>AUD6M#0000</v>
      </c>
      <c r="N12" s="374" t="str">
        <f>_xll.qlIborIndex(L12,FamilyName,C12,D12,Currency,E12,F12,J12,K12,,Permanent,Trigger,ObjectOverwrite)</f>
        <v>AudBBSW6M#0001</v>
      </c>
      <c r="O12" s="374" t="str">
        <f>_xll.qlLastFixingQuote(PROPER(Currency)&amp;FamilyName&amp;$C12&amp;"LastFixing_Quote",N12,Permanent,Trigger,ObjectOverwrite)</f>
        <v>AudBBSW6MLastFixing_Quote#0001</v>
      </c>
      <c r="P12" s="374" t="str">
        <f>_xll.ohRangeRetrieveError(N12)</f>
        <v/>
      </c>
      <c r="Q12" s="375"/>
      <c r="R12" s="375"/>
      <c r="S12" s="434" t="str">
        <f t="shared" si="2"/>
        <v>6M</v>
      </c>
      <c r="T12" s="389" t="str">
        <f t="shared" si="6"/>
        <v>AudBBSW6M#0001</v>
      </c>
      <c r="U12" s="387" t="str">
        <f t="shared" si="3"/>
        <v>AU6MBBC=ICAA</v>
      </c>
      <c r="V12" s="387">
        <v>41807</v>
      </c>
      <c r="W12" s="429">
        <v>2.71</v>
      </c>
      <c r="X12" s="387" t="b">
        <f t="shared" si="4"/>
        <v>1</v>
      </c>
      <c r="Y12" s="387" t="b">
        <f>IF(W12,_xll.qlIndexAddFixings(T12,V12,W12/100,TRUE),NA())</f>
        <v>1</v>
      </c>
      <c r="Z12" s="436">
        <f>_xll.qlQuoteValue(O12)</f>
        <v>2.7099999999999999E-2</v>
      </c>
      <c r="AA12" s="376"/>
    </row>
    <row r="13" spans="2:31" s="366" customFormat="1" ht="11.25" customHeight="1" x14ac:dyDescent="0.2">
      <c r="B13" s="371"/>
      <c r="C13" s="383" t="s">
        <v>11</v>
      </c>
      <c r="D13" s="428">
        <v>0</v>
      </c>
      <c r="E13" s="428" t="str">
        <f t="shared" si="1"/>
        <v>Australia</v>
      </c>
      <c r="F13" s="437" t="s">
        <v>264</v>
      </c>
      <c r="G13" s="378" t="str">
        <f>_xll.ohRangeRetrieveError(D13)</f>
        <v/>
      </c>
      <c r="H13" s="378" t="str">
        <f>_xll.ohRangeRetrieveError(E13)</f>
        <v/>
      </c>
      <c r="I13" s="378" t="str">
        <f>_xll.ohRangeRetrieveError(F13)</f>
        <v/>
      </c>
      <c r="J13" s="428" t="b">
        <v>1</v>
      </c>
      <c r="K13" s="428" t="s">
        <v>267</v>
      </c>
      <c r="L13" s="428" t="str">
        <f t="shared" si="5"/>
        <v>AudBBSW9M</v>
      </c>
      <c r="M13" s="374"/>
      <c r="N13" s="374" t="str">
        <f>_xll.qlIborIndex(L13,FamilyName,C13,D13,Currency,E13,F13,J13,K13,,Permanent,Trigger,ObjectOverwrite)</f>
        <v>AudBBSW9M#0002</v>
      </c>
      <c r="O13" s="374" t="str">
        <f>_xll.qlLastFixingQuote(PROPER(Currency)&amp;FamilyName&amp;$C13&amp;"LastFixing_Quote",N13,Permanent,Trigger,ObjectOverwrite)</f>
        <v>AudBBSW9MLastFixing_Quote#0002</v>
      </c>
      <c r="P13" s="374" t="str">
        <f>_xll.ohRangeRetrieveError(N13)</f>
        <v/>
      </c>
      <c r="Q13" s="375"/>
      <c r="R13" s="375"/>
      <c r="S13" s="434" t="str">
        <f t="shared" si="2"/>
        <v>9M</v>
      </c>
      <c r="T13" s="389" t="str">
        <f t="shared" si="6"/>
        <v>AudBBSW9M#0002</v>
      </c>
      <c r="U13" s="387" t="str">
        <f t="shared" si="3"/>
        <v>AU9MBBC=ICAA</v>
      </c>
      <c r="V13" s="387">
        <v>41807</v>
      </c>
      <c r="W13" s="429">
        <v>2.73</v>
      </c>
      <c r="X13" s="387" t="b">
        <f t="shared" si="4"/>
        <v>1</v>
      </c>
      <c r="Y13" s="387" t="b">
        <f>IF(W13,_xll.qlIndexAddFixings(T13,V13,W13/100,TRUE),NA())</f>
        <v>1</v>
      </c>
      <c r="Z13" s="436">
        <f>_xll.qlQuoteValue(O13)</f>
        <v>2.7300000000000001E-2</v>
      </c>
      <c r="AA13" s="376"/>
    </row>
    <row r="14" spans="2:31" s="366" customFormat="1" ht="11.25" customHeight="1" x14ac:dyDescent="0.2">
      <c r="B14" s="371"/>
      <c r="C14" s="383" t="s">
        <v>8</v>
      </c>
      <c r="D14" s="428">
        <v>0</v>
      </c>
      <c r="E14" s="428" t="str">
        <f t="shared" si="1"/>
        <v>Australia</v>
      </c>
      <c r="F14" s="437" t="s">
        <v>264</v>
      </c>
      <c r="G14" s="378" t="str">
        <f>_xll.ohRangeRetrieveError(D14)</f>
        <v/>
      </c>
      <c r="H14" s="378" t="str">
        <f>_xll.ohRangeRetrieveError(E14)</f>
        <v/>
      </c>
      <c r="I14" s="378" t="str">
        <f>_xll.ohRangeRetrieveError(F14)</f>
        <v/>
      </c>
      <c r="J14" s="428" t="b">
        <v>1</v>
      </c>
      <c r="K14" s="428" t="s">
        <v>267</v>
      </c>
      <c r="L14" s="428" t="str">
        <f t="shared" si="5"/>
        <v>AudBBSW1Y</v>
      </c>
      <c r="M14" s="374"/>
      <c r="N14" s="374" t="str">
        <f>_xll.qlIborIndex(L14,FamilyName,C14,D14,Currency,E14,F14,J14,K14,,Permanent,Trigger,ObjectOverwrite)</f>
        <v>AudBBSW1Y#0002</v>
      </c>
      <c r="O14" s="374" t="str">
        <f>_xll.qlLastFixingQuote(PROPER(Currency)&amp;FamilyName&amp;$C14&amp;"LastFixing_Quote",N14,Permanent,Trigger,ObjectOverwrite)</f>
        <v>AudBBSW1YLastFixing_Quote#0002</v>
      </c>
      <c r="P14" s="374" t="str">
        <f>_xll.ohRangeRetrieveError(N14)</f>
        <v/>
      </c>
      <c r="Q14" s="375"/>
      <c r="R14" s="375"/>
      <c r="S14" s="435" t="str">
        <f t="shared" si="2"/>
        <v>1Y</v>
      </c>
      <c r="T14" s="430" t="str">
        <f t="shared" si="6"/>
        <v>AudBBSW1Y#0002</v>
      </c>
      <c r="U14" s="431" t="str">
        <f>"AU"&amp;S14&amp;"BBC"&amp;"="&amp;"ICAA"</f>
        <v>AU1YBBC=ICAA</v>
      </c>
      <c r="V14" s="431">
        <v>41807</v>
      </c>
      <c r="W14" s="432">
        <v>2.74</v>
      </c>
      <c r="X14" s="431" t="b">
        <f t="shared" si="4"/>
        <v>1</v>
      </c>
      <c r="Y14" s="431" t="b">
        <f>IF(W14,_xll.qlIndexAddFixings(T14,V14,W14/100,TRUE),NA())</f>
        <v>1</v>
      </c>
      <c r="Z14" s="433">
        <f>_xll.qlQuoteValue(O14)</f>
        <v>2.7400000000000001E-2</v>
      </c>
      <c r="AA14" s="376"/>
    </row>
    <row r="15" spans="2:31" s="366" customFormat="1" ht="12" thickBot="1" x14ac:dyDescent="0.25">
      <c r="B15" s="392"/>
      <c r="C15" s="393"/>
      <c r="D15" s="393"/>
      <c r="E15" s="393"/>
      <c r="F15" s="393"/>
      <c r="G15" s="393"/>
      <c r="H15" s="393"/>
      <c r="I15" s="393"/>
      <c r="J15" s="393"/>
      <c r="K15" s="393"/>
      <c r="L15" s="393"/>
      <c r="M15" s="393"/>
      <c r="N15" s="393"/>
      <c r="O15" s="393"/>
      <c r="P15" s="393"/>
      <c r="Q15" s="393"/>
      <c r="R15" s="393"/>
      <c r="S15" s="393"/>
      <c r="T15" s="393"/>
      <c r="U15" s="393"/>
      <c r="V15" s="393"/>
      <c r="W15" s="393"/>
      <c r="X15" s="393"/>
      <c r="Y15" s="393"/>
      <c r="Z15" s="393"/>
      <c r="AA15" s="394"/>
    </row>
    <row r="16" spans="2:31" x14ac:dyDescent="0.2">
      <c r="B16" s="366"/>
      <c r="C16" s="366"/>
      <c r="D16" s="366"/>
      <c r="G16" s="366"/>
      <c r="U16" s="366"/>
      <c r="V16" s="366"/>
      <c r="X16" s="366"/>
      <c r="Y16" s="366"/>
      <c r="Z16" s="366"/>
      <c r="AA16" s="366"/>
    </row>
  </sheetData>
  <dataValidations count="1">
    <dataValidation type="list" allowBlank="1" showInputMessage="1" showErrorMessage="1" sqref="K6:K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B2" sqref="B2"/>
    </sheetView>
  </sheetViews>
  <sheetFormatPr defaultRowHeight="11.25" x14ac:dyDescent="0.2"/>
  <cols>
    <col min="1" max="2" width="2.7109375" style="422" customWidth="1"/>
    <col min="3" max="3" width="4" style="422" bestFit="1" customWidth="1"/>
    <col min="4" max="4" width="10" style="422" bestFit="1" customWidth="1"/>
    <col min="5" max="5" width="30.28515625" style="422" bestFit="1" customWidth="1"/>
    <col min="6" max="6" width="33.85546875" style="422" bestFit="1" customWidth="1"/>
    <col min="7" max="7" width="20.7109375" style="422" customWidth="1"/>
    <col min="8" max="8" width="2.7109375" style="422" customWidth="1"/>
    <col min="9" max="9" width="22.7109375" style="422" customWidth="1"/>
    <col min="10" max="16384" width="9.140625" style="422"/>
  </cols>
  <sheetData>
    <row r="1" spans="2:8" s="366" customFormat="1" ht="12" thickBot="1" x14ac:dyDescent="0.25"/>
    <row r="2" spans="2:8" s="366" customFormat="1" x14ac:dyDescent="0.2">
      <c r="B2" s="409"/>
      <c r="C2" s="369"/>
      <c r="D2" s="369"/>
      <c r="E2" s="410"/>
      <c r="F2" s="369"/>
      <c r="G2" s="369"/>
      <c r="H2" s="370"/>
    </row>
    <row r="3" spans="2:8" s="366" customFormat="1" x14ac:dyDescent="0.2">
      <c r="B3" s="411"/>
      <c r="C3" s="375"/>
      <c r="D3" s="375"/>
      <c r="E3" s="412" t="s">
        <v>25</v>
      </c>
      <c r="F3" s="413" t="s">
        <v>287</v>
      </c>
      <c r="G3" s="375"/>
      <c r="H3" s="376"/>
    </row>
    <row r="4" spans="2:8" s="366" customFormat="1" x14ac:dyDescent="0.2">
      <c r="B4" s="411"/>
      <c r="C4" s="375"/>
      <c r="D4" s="375"/>
      <c r="E4" s="412" t="s">
        <v>87</v>
      </c>
      <c r="F4" s="413" t="s">
        <v>91</v>
      </c>
      <c r="G4" s="375"/>
      <c r="H4" s="376"/>
    </row>
    <row r="5" spans="2:8" s="366" customFormat="1" x14ac:dyDescent="0.2">
      <c r="B5" s="411"/>
      <c r="C5" s="375"/>
      <c r="D5" s="375"/>
      <c r="E5" s="412" t="s">
        <v>90</v>
      </c>
      <c r="F5" s="414" t="str">
        <f>PROPER(Currency)&amp;FamilyName&amp;"3M"</f>
        <v>AudBBSW3M</v>
      </c>
      <c r="G5" s="375"/>
      <c r="H5" s="376"/>
    </row>
    <row r="6" spans="2:8" s="366" customFormat="1" x14ac:dyDescent="0.2">
      <c r="B6" s="411"/>
      <c r="C6" s="375"/>
      <c r="D6" s="375"/>
      <c r="E6" s="375"/>
      <c r="F6" s="375"/>
      <c r="G6" s="375"/>
      <c r="H6" s="376"/>
    </row>
    <row r="7" spans="2:8" s="366" customFormat="1" ht="12" x14ac:dyDescent="0.25">
      <c r="B7" s="411"/>
      <c r="C7" s="375"/>
      <c r="D7" s="415" t="s">
        <v>85</v>
      </c>
      <c r="E7" s="416" t="str">
        <f>PROPER(Currency)&amp;FamilyName2&amp;FixingType&amp;".xml"</f>
        <v>AudBBSWSwapForBasisCalc.xml</v>
      </c>
      <c r="F7" s="413" t="str">
        <f>IF(Serialize,_xll.ohObjectSave(F8:F67,SerializationPath&amp;FileName,FileOverwrite,,Serialize),"---")</f>
        <v>---</v>
      </c>
      <c r="G7" s="417" t="str">
        <f>_xll.ohRangeRetrieveError(F7)</f>
        <v/>
      </c>
      <c r="H7" s="376"/>
    </row>
    <row r="8" spans="2:8" s="366" customFormat="1" x14ac:dyDescent="0.2">
      <c r="B8" s="411"/>
      <c r="C8" s="418" t="s">
        <v>8</v>
      </c>
      <c r="D8" s="418" t="s">
        <v>17</v>
      </c>
      <c r="E8" s="419" t="str">
        <f t="shared" ref="E8:E11" si="0">PROPER(Currency)&amp;FamilyName2&amp;FixingType&amp;$C8</f>
        <v>AudBBSWSwapForBasisCalc1Y</v>
      </c>
      <c r="F8" s="420" t="str">
        <f>_xll.qlSwapIndex($E8,FixingType,C8,1,Currency,Calendar,"3M","mf","act/365 (fixed)",$F$5,Discounting,Permanent,Trigger,ObjectOverwrite)</f>
        <v>AudBBSWSwapForBasisCalc1Y#0016</v>
      </c>
      <c r="G8" s="417" t="str">
        <f>_xll.ohRangeRetrieveError(F8)</f>
        <v/>
      </c>
      <c r="H8" s="421"/>
    </row>
    <row r="9" spans="2:8" s="366" customFormat="1" x14ac:dyDescent="0.2">
      <c r="B9" s="411"/>
      <c r="C9" s="418" t="s">
        <v>84</v>
      </c>
      <c r="D9" s="418" t="s">
        <v>17</v>
      </c>
      <c r="E9" s="419" t="str">
        <f t="shared" si="0"/>
        <v>AudBBSWSwapForBasisCalc2Y</v>
      </c>
      <c r="F9" s="420" t="str">
        <f>_xll.qlSwapIndex($E9,FixingType,C9,1,Currency,Calendar,"3M","mf","act/365 (fixed)",$F$5,Discounting,Permanent,Trigger,ObjectOverwrite)</f>
        <v>AudBBSWSwapForBasisCalc2Y#0004</v>
      </c>
      <c r="G9" s="417" t="str">
        <f>_xll.ohRangeRetrieveError(F9)</f>
        <v/>
      </c>
      <c r="H9" s="421"/>
    </row>
    <row r="10" spans="2:8" s="366" customFormat="1" x14ac:dyDescent="0.2">
      <c r="B10" s="411"/>
      <c r="C10" s="418" t="s">
        <v>83</v>
      </c>
      <c r="D10" s="418" t="s">
        <v>17</v>
      </c>
      <c r="E10" s="419" t="str">
        <f t="shared" si="0"/>
        <v>AudBBSWSwapForBasisCalc3Y</v>
      </c>
      <c r="F10" s="420" t="str">
        <f>_xll.qlSwapIndex($E10,FixingType,C10,1,Currency,Calendar,"3M","mf","act/365 (fixed)",$F$5,Discounting,Permanent,Trigger,ObjectOverwrite)</f>
        <v>AudBBSWSwapForBasisCalc3Y#0004</v>
      </c>
      <c r="G10" s="417" t="str">
        <f>_xll.ohRangeRetrieveError(F10)</f>
        <v/>
      </c>
      <c r="H10" s="421"/>
    </row>
    <row r="11" spans="2:8" s="366" customFormat="1" x14ac:dyDescent="0.2">
      <c r="B11" s="411"/>
      <c r="C11" s="418" t="s">
        <v>82</v>
      </c>
      <c r="D11" s="418" t="s">
        <v>17</v>
      </c>
      <c r="E11" s="419" t="str">
        <f t="shared" si="0"/>
        <v>AudBBSWSwapForBasisCalc4Y</v>
      </c>
      <c r="F11" s="420" t="str">
        <f>_xll.qlSwapIndex($E11,FixingType,C11,1,Currency,Calendar,"3M","mf","act/365 (fixed)",$F$5,Discounting,Permanent,Trigger,ObjectOverwrite)</f>
        <v>AudBBSWSwapForBasisCalc4Y#0004</v>
      </c>
      <c r="G11" s="417" t="str">
        <f>_xll.ohRangeRetrieveError(F11)</f>
        <v/>
      </c>
      <c r="H11" s="421"/>
    </row>
    <row r="12" spans="2:8" s="366" customFormat="1" ht="12" thickBot="1" x14ac:dyDescent="0.25">
      <c r="B12" s="478"/>
      <c r="C12" s="479"/>
      <c r="D12" s="479"/>
      <c r="E12" s="479"/>
      <c r="F12" s="479"/>
      <c r="G12" s="479"/>
      <c r="H12" s="480"/>
    </row>
    <row r="13" spans="2:8" s="366" customFormat="1" x14ac:dyDescent="0.2">
      <c r="B13" s="422"/>
      <c r="C13" s="422"/>
      <c r="D13" s="422"/>
      <c r="E13" s="422"/>
      <c r="F13" s="422"/>
      <c r="G13" s="422"/>
      <c r="H13" s="422"/>
    </row>
    <row r="14" spans="2:8" s="366" customFormat="1" x14ac:dyDescent="0.2">
      <c r="B14" s="422"/>
      <c r="C14" s="422"/>
      <c r="D14" s="422"/>
      <c r="E14" s="422"/>
      <c r="F14" s="422"/>
      <c r="G14" s="422"/>
      <c r="H14" s="422"/>
    </row>
    <row r="15" spans="2:8" s="366" customFormat="1" x14ac:dyDescent="0.2">
      <c r="B15" s="422"/>
      <c r="C15" s="422"/>
      <c r="D15" s="422"/>
      <c r="E15" s="422"/>
      <c r="F15" s="422"/>
      <c r="G15" s="422"/>
      <c r="H15" s="422"/>
    </row>
    <row r="16" spans="2:8" s="366" customFormat="1" x14ac:dyDescent="0.2">
      <c r="B16" s="422"/>
      <c r="C16" s="422"/>
      <c r="D16" s="422"/>
      <c r="E16" s="422"/>
      <c r="F16" s="422"/>
      <c r="G16" s="422"/>
      <c r="H16" s="422"/>
    </row>
    <row r="17" spans="2:8" s="366" customFormat="1" x14ac:dyDescent="0.2">
      <c r="B17" s="422"/>
      <c r="C17" s="422"/>
      <c r="D17" s="422"/>
      <c r="E17" s="422"/>
      <c r="F17" s="422"/>
      <c r="G17" s="422"/>
      <c r="H17" s="422"/>
    </row>
    <row r="18" spans="2:8" s="366" customFormat="1" x14ac:dyDescent="0.2">
      <c r="B18" s="422"/>
      <c r="C18" s="422"/>
      <c r="D18" s="422"/>
      <c r="E18" s="422"/>
      <c r="F18" s="422"/>
      <c r="G18" s="422"/>
      <c r="H18" s="422"/>
    </row>
    <row r="19" spans="2:8" s="366" customFormat="1" x14ac:dyDescent="0.2">
      <c r="B19" s="422"/>
      <c r="C19" s="422"/>
      <c r="D19" s="422"/>
      <c r="E19" s="422"/>
      <c r="F19" s="422"/>
      <c r="G19" s="422"/>
      <c r="H19" s="422"/>
    </row>
    <row r="20" spans="2:8" s="366" customFormat="1" x14ac:dyDescent="0.2">
      <c r="B20" s="422"/>
      <c r="C20" s="422"/>
      <c r="D20" s="422"/>
      <c r="E20" s="422"/>
      <c r="F20" s="422"/>
      <c r="G20" s="422"/>
      <c r="H20" s="422"/>
    </row>
    <row r="21" spans="2:8" s="366" customFormat="1" x14ac:dyDescent="0.2">
      <c r="B21" s="422"/>
      <c r="C21" s="422"/>
      <c r="D21" s="422"/>
      <c r="E21" s="422"/>
      <c r="F21" s="422"/>
      <c r="G21" s="422"/>
      <c r="H21" s="422"/>
    </row>
    <row r="22" spans="2:8" s="366" customFormat="1" x14ac:dyDescent="0.2">
      <c r="B22" s="422"/>
      <c r="C22" s="422"/>
      <c r="D22" s="422"/>
      <c r="E22" s="422"/>
      <c r="F22" s="422"/>
      <c r="G22" s="422"/>
      <c r="H22" s="422"/>
    </row>
    <row r="23" spans="2:8" s="366" customFormat="1" x14ac:dyDescent="0.2">
      <c r="B23" s="422"/>
      <c r="C23" s="422"/>
      <c r="D23" s="422"/>
      <c r="E23" s="422"/>
      <c r="F23" s="422"/>
      <c r="G23" s="422"/>
      <c r="H23" s="422"/>
    </row>
    <row r="24" spans="2:8" s="366" customFormat="1" x14ac:dyDescent="0.2">
      <c r="B24" s="422"/>
      <c r="C24" s="422"/>
      <c r="D24" s="422"/>
      <c r="E24" s="422"/>
      <c r="F24" s="422"/>
      <c r="G24" s="422"/>
      <c r="H24" s="422"/>
    </row>
    <row r="25" spans="2:8" s="366" customFormat="1" x14ac:dyDescent="0.2">
      <c r="B25" s="422"/>
      <c r="C25" s="422"/>
      <c r="D25" s="422"/>
      <c r="E25" s="422"/>
      <c r="F25" s="422"/>
      <c r="G25" s="422"/>
      <c r="H25" s="422"/>
    </row>
    <row r="26" spans="2:8" s="366" customFormat="1" x14ac:dyDescent="0.2">
      <c r="B26" s="422"/>
      <c r="C26" s="422"/>
      <c r="D26" s="422"/>
      <c r="E26" s="422"/>
      <c r="F26" s="422"/>
      <c r="G26" s="422"/>
      <c r="H26" s="422"/>
    </row>
    <row r="27" spans="2:8" s="366" customFormat="1" x14ac:dyDescent="0.2">
      <c r="B27" s="422"/>
      <c r="C27" s="422"/>
      <c r="D27" s="422"/>
      <c r="E27" s="422"/>
      <c r="F27" s="422"/>
      <c r="G27" s="422"/>
      <c r="H27" s="422"/>
    </row>
    <row r="28" spans="2:8" s="366" customFormat="1" x14ac:dyDescent="0.2">
      <c r="B28" s="422"/>
      <c r="C28" s="422"/>
      <c r="D28" s="422"/>
      <c r="E28" s="422"/>
      <c r="F28" s="422"/>
      <c r="G28" s="422"/>
      <c r="H28" s="422"/>
    </row>
    <row r="29" spans="2:8" s="366" customFormat="1" x14ac:dyDescent="0.2">
      <c r="B29" s="422"/>
      <c r="C29" s="422"/>
      <c r="D29" s="422"/>
      <c r="E29" s="422"/>
      <c r="F29" s="422"/>
      <c r="G29" s="422"/>
      <c r="H29" s="422"/>
    </row>
    <row r="30" spans="2:8" s="366" customFormat="1" x14ac:dyDescent="0.2">
      <c r="B30" s="422"/>
      <c r="C30" s="422"/>
      <c r="D30" s="422"/>
      <c r="E30" s="422"/>
      <c r="F30" s="422"/>
      <c r="G30" s="422"/>
      <c r="H30" s="422"/>
    </row>
    <row r="31" spans="2:8" s="366" customFormat="1" x14ac:dyDescent="0.2">
      <c r="B31" s="422"/>
      <c r="C31" s="422"/>
      <c r="D31" s="422"/>
      <c r="E31" s="422"/>
      <c r="F31" s="422"/>
      <c r="G31" s="422"/>
      <c r="H31" s="422"/>
    </row>
    <row r="32" spans="2:8" s="366" customFormat="1" x14ac:dyDescent="0.2">
      <c r="B32" s="422"/>
      <c r="C32" s="422"/>
      <c r="D32" s="422"/>
      <c r="E32" s="422"/>
      <c r="F32" s="422"/>
      <c r="G32" s="422"/>
      <c r="H32" s="422"/>
    </row>
    <row r="33" spans="2:8" s="366" customFormat="1" x14ac:dyDescent="0.2">
      <c r="B33" s="422"/>
      <c r="C33" s="422"/>
      <c r="D33" s="422"/>
      <c r="E33" s="422"/>
      <c r="F33" s="422"/>
      <c r="G33" s="422"/>
      <c r="H33" s="422"/>
    </row>
    <row r="34" spans="2:8" s="366" customFormat="1" x14ac:dyDescent="0.2">
      <c r="B34" s="422"/>
      <c r="C34" s="422"/>
      <c r="D34" s="422"/>
      <c r="E34" s="422"/>
      <c r="F34" s="422"/>
      <c r="G34" s="422"/>
      <c r="H34" s="422"/>
    </row>
    <row r="35" spans="2:8" s="366" customFormat="1" x14ac:dyDescent="0.2">
      <c r="B35" s="422"/>
      <c r="C35" s="422"/>
      <c r="D35" s="422"/>
      <c r="E35" s="422"/>
      <c r="F35" s="422"/>
      <c r="G35" s="422"/>
      <c r="H35" s="422"/>
    </row>
    <row r="36" spans="2:8" s="366" customFormat="1" x14ac:dyDescent="0.2">
      <c r="B36" s="422"/>
      <c r="C36" s="422"/>
      <c r="D36" s="422"/>
      <c r="E36" s="422"/>
      <c r="F36" s="422"/>
      <c r="G36" s="422"/>
      <c r="H36" s="422"/>
    </row>
    <row r="37" spans="2:8" s="366" customFormat="1" x14ac:dyDescent="0.2">
      <c r="B37" s="422"/>
      <c r="C37" s="422"/>
      <c r="D37" s="422"/>
      <c r="E37" s="422"/>
      <c r="F37" s="422"/>
      <c r="G37" s="422"/>
      <c r="H37" s="422"/>
    </row>
    <row r="38" spans="2:8" s="366" customFormat="1" x14ac:dyDescent="0.2">
      <c r="B38" s="422"/>
      <c r="C38" s="422"/>
      <c r="D38" s="422"/>
      <c r="E38" s="422"/>
      <c r="F38" s="422"/>
      <c r="G38" s="422"/>
      <c r="H38" s="422"/>
    </row>
    <row r="39" spans="2:8" s="366" customFormat="1" x14ac:dyDescent="0.2">
      <c r="B39" s="422"/>
      <c r="C39" s="422"/>
      <c r="D39" s="422"/>
      <c r="E39" s="422"/>
      <c r="F39" s="422"/>
      <c r="G39" s="422"/>
      <c r="H39" s="422"/>
    </row>
    <row r="40" spans="2:8" s="366" customFormat="1" x14ac:dyDescent="0.2">
      <c r="B40" s="422"/>
      <c r="C40" s="422"/>
      <c r="D40" s="422"/>
      <c r="E40" s="422"/>
      <c r="F40" s="422"/>
      <c r="G40" s="422"/>
      <c r="H40" s="422"/>
    </row>
    <row r="41" spans="2:8" s="366" customFormat="1" x14ac:dyDescent="0.2">
      <c r="B41" s="422"/>
      <c r="C41" s="422"/>
      <c r="D41" s="422"/>
      <c r="E41" s="422"/>
      <c r="F41" s="422"/>
      <c r="G41" s="422"/>
      <c r="H41" s="422"/>
    </row>
    <row r="42" spans="2:8" s="366" customFormat="1" x14ac:dyDescent="0.2">
      <c r="B42" s="422"/>
      <c r="C42" s="422"/>
      <c r="D42" s="422"/>
      <c r="E42" s="422"/>
      <c r="F42" s="422"/>
      <c r="G42" s="422"/>
      <c r="H42" s="422"/>
    </row>
    <row r="43" spans="2:8" s="366" customFormat="1" x14ac:dyDescent="0.2">
      <c r="B43" s="422"/>
      <c r="C43" s="422"/>
      <c r="D43" s="422"/>
      <c r="E43" s="422"/>
      <c r="F43" s="422"/>
      <c r="G43" s="422"/>
      <c r="H43" s="422"/>
    </row>
    <row r="44" spans="2:8" s="366" customFormat="1" x14ac:dyDescent="0.2">
      <c r="B44" s="422"/>
      <c r="C44" s="422"/>
      <c r="D44" s="422"/>
      <c r="E44" s="422"/>
      <c r="F44" s="422"/>
      <c r="G44" s="422"/>
      <c r="H44" s="422"/>
    </row>
    <row r="45" spans="2:8" s="366" customFormat="1" x14ac:dyDescent="0.2">
      <c r="B45" s="422"/>
      <c r="C45" s="422"/>
      <c r="D45" s="422"/>
      <c r="E45" s="422"/>
      <c r="F45" s="422"/>
      <c r="G45" s="422"/>
      <c r="H45" s="422"/>
    </row>
    <row r="46" spans="2:8" s="366" customFormat="1" x14ac:dyDescent="0.2">
      <c r="B46" s="422"/>
      <c r="C46" s="422"/>
      <c r="D46" s="422"/>
      <c r="E46" s="422"/>
      <c r="F46" s="422"/>
      <c r="G46" s="422"/>
      <c r="H46" s="422"/>
    </row>
    <row r="47" spans="2:8" s="366" customFormat="1" x14ac:dyDescent="0.2">
      <c r="B47" s="422"/>
      <c r="C47" s="422"/>
      <c r="D47" s="422"/>
      <c r="E47" s="422"/>
      <c r="F47" s="422"/>
      <c r="G47" s="422"/>
      <c r="H47" s="422"/>
    </row>
    <row r="48" spans="2:8" s="366" customFormat="1" x14ac:dyDescent="0.2">
      <c r="B48" s="422"/>
      <c r="C48" s="422"/>
      <c r="D48" s="422"/>
      <c r="E48" s="422"/>
      <c r="F48" s="422"/>
      <c r="G48" s="422"/>
      <c r="H48" s="422"/>
    </row>
    <row r="49" spans="2:8" s="366" customFormat="1" x14ac:dyDescent="0.2">
      <c r="B49" s="422"/>
      <c r="C49" s="422"/>
      <c r="D49" s="422"/>
      <c r="E49" s="422"/>
      <c r="F49" s="422"/>
      <c r="G49" s="422"/>
      <c r="H49" s="422"/>
    </row>
    <row r="50" spans="2:8" s="366" customFormat="1" x14ac:dyDescent="0.2">
      <c r="B50" s="422"/>
      <c r="C50" s="422"/>
      <c r="D50" s="422"/>
      <c r="E50" s="422"/>
      <c r="F50" s="422"/>
      <c r="G50" s="422"/>
      <c r="H50" s="422"/>
    </row>
    <row r="51" spans="2:8" s="366" customFormat="1" x14ac:dyDescent="0.2">
      <c r="B51" s="422"/>
      <c r="C51" s="422"/>
      <c r="D51" s="422"/>
      <c r="E51" s="422"/>
      <c r="F51" s="422"/>
      <c r="G51" s="422"/>
      <c r="H51" s="422"/>
    </row>
    <row r="52" spans="2:8" s="366" customFormat="1" x14ac:dyDescent="0.2">
      <c r="B52" s="422"/>
      <c r="C52" s="422"/>
      <c r="D52" s="422"/>
      <c r="E52" s="422"/>
      <c r="F52" s="422"/>
      <c r="G52" s="422"/>
      <c r="H52" s="422"/>
    </row>
    <row r="53" spans="2:8" s="366" customFormat="1" x14ac:dyDescent="0.2">
      <c r="B53" s="422"/>
      <c r="C53" s="422"/>
      <c r="D53" s="422"/>
      <c r="E53" s="422"/>
      <c r="F53" s="422"/>
      <c r="G53" s="422"/>
      <c r="H53" s="422"/>
    </row>
    <row r="54" spans="2:8" s="366" customFormat="1" x14ac:dyDescent="0.2">
      <c r="B54" s="422"/>
      <c r="C54" s="422"/>
      <c r="D54" s="422"/>
      <c r="E54" s="422"/>
      <c r="F54" s="422"/>
      <c r="G54" s="422"/>
      <c r="H54" s="422"/>
    </row>
    <row r="55" spans="2:8" s="366" customFormat="1" x14ac:dyDescent="0.2">
      <c r="B55" s="422"/>
      <c r="C55" s="422"/>
      <c r="D55" s="422"/>
      <c r="E55" s="422"/>
      <c r="F55" s="422"/>
      <c r="G55" s="422"/>
      <c r="H55" s="422"/>
    </row>
    <row r="56" spans="2:8" s="366" customFormat="1" x14ac:dyDescent="0.2">
      <c r="B56" s="422"/>
      <c r="C56" s="422"/>
      <c r="D56" s="422"/>
      <c r="E56" s="422"/>
      <c r="F56" s="422"/>
      <c r="G56" s="422"/>
      <c r="H56" s="422"/>
    </row>
    <row r="57" spans="2:8" s="366" customFormat="1" x14ac:dyDescent="0.2">
      <c r="B57" s="422"/>
      <c r="C57" s="422"/>
      <c r="D57" s="422"/>
      <c r="E57" s="422"/>
      <c r="F57" s="422"/>
      <c r="G57" s="422"/>
      <c r="H57" s="422"/>
    </row>
    <row r="58" spans="2:8" s="366" customFormat="1" x14ac:dyDescent="0.2">
      <c r="B58" s="422"/>
      <c r="C58" s="422"/>
      <c r="D58" s="422"/>
      <c r="E58" s="422"/>
      <c r="F58" s="422"/>
      <c r="G58" s="422"/>
      <c r="H58" s="422"/>
    </row>
    <row r="59" spans="2:8" s="366" customFormat="1" x14ac:dyDescent="0.2">
      <c r="B59" s="422"/>
      <c r="C59" s="422"/>
      <c r="D59" s="422"/>
      <c r="E59" s="422"/>
      <c r="F59" s="422"/>
      <c r="G59" s="422"/>
      <c r="H59" s="422"/>
    </row>
    <row r="60" spans="2:8" s="366" customFormat="1" x14ac:dyDescent="0.2">
      <c r="B60" s="422"/>
      <c r="C60" s="422"/>
      <c r="D60" s="422"/>
      <c r="E60" s="422"/>
      <c r="F60" s="422"/>
      <c r="G60" s="422"/>
      <c r="H60" s="422"/>
    </row>
    <row r="61" spans="2:8" s="366" customFormat="1" x14ac:dyDescent="0.2">
      <c r="B61" s="422"/>
      <c r="C61" s="422"/>
      <c r="D61" s="422"/>
      <c r="E61" s="422"/>
      <c r="F61" s="422"/>
      <c r="G61" s="422"/>
      <c r="H61" s="422"/>
    </row>
    <row r="62" spans="2:8" s="366" customFormat="1" x14ac:dyDescent="0.2">
      <c r="B62" s="422"/>
      <c r="C62" s="422"/>
      <c r="D62" s="422"/>
      <c r="E62" s="422"/>
      <c r="F62" s="422"/>
      <c r="G62" s="422"/>
      <c r="H62" s="422"/>
    </row>
    <row r="63" spans="2:8" s="366" customFormat="1" x14ac:dyDescent="0.2">
      <c r="B63" s="422"/>
      <c r="C63" s="422"/>
      <c r="D63" s="422"/>
      <c r="E63" s="422"/>
      <c r="F63" s="422"/>
      <c r="G63" s="422"/>
      <c r="H63" s="422"/>
    </row>
    <row r="64" spans="2:8" s="366" customFormat="1" x14ac:dyDescent="0.2">
      <c r="B64" s="422"/>
      <c r="C64" s="422"/>
      <c r="D64" s="422"/>
      <c r="E64" s="422"/>
      <c r="F64" s="422"/>
      <c r="G64" s="422"/>
      <c r="H64" s="422"/>
    </row>
    <row r="65" spans="2:8" s="366" customFormat="1" x14ac:dyDescent="0.2">
      <c r="B65" s="422"/>
      <c r="C65" s="422"/>
      <c r="D65" s="422"/>
      <c r="E65" s="422"/>
      <c r="F65" s="422"/>
      <c r="G65" s="422"/>
      <c r="H65" s="422"/>
    </row>
    <row r="66" spans="2:8" s="366" customFormat="1" x14ac:dyDescent="0.2">
      <c r="B66" s="422"/>
      <c r="C66" s="422"/>
      <c r="D66" s="422"/>
      <c r="E66" s="422"/>
      <c r="F66" s="422"/>
      <c r="G66" s="422"/>
      <c r="H66" s="422"/>
    </row>
    <row r="67" spans="2:8" s="366" customFormat="1" x14ac:dyDescent="0.2">
      <c r="B67" s="422"/>
      <c r="C67" s="422"/>
      <c r="D67" s="422"/>
      <c r="E67" s="422"/>
      <c r="F67" s="422"/>
      <c r="G67" s="422"/>
      <c r="H67" s="422"/>
    </row>
    <row r="68" spans="2:8" s="366" customFormat="1" x14ac:dyDescent="0.2">
      <c r="B68" s="422"/>
      <c r="C68" s="422"/>
      <c r="D68" s="422"/>
      <c r="E68" s="422"/>
      <c r="F68" s="422"/>
      <c r="G68" s="422"/>
      <c r="H68" s="422"/>
    </row>
    <row r="69" spans="2:8" s="366" customFormat="1" x14ac:dyDescent="0.2"/>
    <row r="70" spans="2:8" s="366" customFormat="1" x14ac:dyDescent="0.2">
      <c r="B70" s="422"/>
      <c r="C70" s="422"/>
      <c r="D70" s="422"/>
      <c r="E70" s="422"/>
      <c r="F70" s="422"/>
      <c r="G70" s="422"/>
      <c r="H70" s="422"/>
    </row>
    <row r="71" spans="2:8" s="366" customFormat="1" x14ac:dyDescent="0.2">
      <c r="B71" s="422"/>
      <c r="C71" s="422"/>
      <c r="D71" s="422"/>
      <c r="E71" s="422"/>
      <c r="F71" s="422"/>
      <c r="G71" s="422"/>
      <c r="H71" s="422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workbookViewId="0">
      <selection activeCell="N5" sqref="N5"/>
    </sheetView>
  </sheetViews>
  <sheetFormatPr defaultRowHeight="11.25" x14ac:dyDescent="0.2"/>
  <cols>
    <col min="1" max="1" width="2.7109375" style="12" customWidth="1"/>
    <col min="2" max="3" width="4" style="12" bestFit="1" customWidth="1"/>
    <col min="4" max="4" width="6" style="12" bestFit="1" customWidth="1"/>
    <col min="5" max="5" width="21.42578125" style="12" bestFit="1" customWidth="1"/>
    <col min="6" max="6" width="26.5703125" style="40" bestFit="1" customWidth="1"/>
    <col min="7" max="7" width="38.28515625" style="12" customWidth="1"/>
    <col min="8" max="10" width="2.7109375" style="12" customWidth="1"/>
    <col min="11" max="11" width="9.140625" style="12"/>
    <col min="12" max="12" width="4.28515625" style="12" customWidth="1"/>
    <col min="13" max="13" width="9.140625" style="12"/>
    <col min="14" max="14" width="9.28515625" style="12" bestFit="1" customWidth="1"/>
    <col min="15" max="15" width="13.5703125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4" width="10.5703125" style="12" bestFit="1" customWidth="1"/>
    <col min="25" max="25" width="7.7109375" style="12" bestFit="1" customWidth="1"/>
    <col min="26" max="26" width="2.7109375" style="12" customWidth="1"/>
    <col min="27" max="16384" width="9.140625" style="12"/>
  </cols>
  <sheetData>
    <row r="1" spans="1:28" x14ac:dyDescent="0.2">
      <c r="J1" s="200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4"/>
    </row>
    <row r="2" spans="1:28" ht="15.75" thickBot="1" x14ac:dyDescent="0.3">
      <c r="J2" s="181"/>
      <c r="K2" s="88"/>
      <c r="L2" s="88"/>
      <c r="M2" s="88"/>
      <c r="N2" s="88"/>
      <c r="O2" s="95" t="s">
        <v>284</v>
      </c>
      <c r="P2" s="88"/>
      <c r="Q2" s="88"/>
      <c r="R2"/>
      <c r="S2" s="88"/>
      <c r="T2" s="88"/>
      <c r="U2" s="149"/>
      <c r="V2" s="149"/>
      <c r="W2" s="149"/>
      <c r="X2" s="149"/>
      <c r="Y2" s="149"/>
      <c r="Z2" s="21"/>
    </row>
    <row r="3" spans="1:28" x14ac:dyDescent="0.2">
      <c r="A3" s="135"/>
      <c r="B3" s="127"/>
      <c r="C3" s="127"/>
      <c r="D3" s="127"/>
      <c r="E3" s="138"/>
      <c r="F3" s="365"/>
      <c r="G3" s="138"/>
      <c r="H3" s="124"/>
      <c r="J3" s="85"/>
      <c r="K3" s="149"/>
      <c r="L3" s="88"/>
      <c r="M3" s="88"/>
      <c r="N3" s="88"/>
      <c r="O3" s="88"/>
      <c r="P3" s="88"/>
      <c r="Q3" s="88"/>
      <c r="R3" s="88"/>
      <c r="S3" s="88"/>
      <c r="T3" s="88"/>
      <c r="U3" s="149"/>
      <c r="V3" s="149"/>
      <c r="W3" s="149"/>
      <c r="X3" s="88"/>
      <c r="Y3" s="178">
        <f>_xll.ohTrigger(Y5:Y24)</f>
        <v>2</v>
      </c>
      <c r="Z3" s="136"/>
    </row>
    <row r="4" spans="1:28" ht="22.5" x14ac:dyDescent="0.2">
      <c r="A4" s="85"/>
      <c r="B4" s="59"/>
      <c r="C4" s="59"/>
      <c r="D4" s="123"/>
      <c r="E4" s="361" t="str">
        <f>Currency&amp;"_010_"&amp;"OIS.xml"</f>
        <v>AUD_010_OIS.xml</v>
      </c>
      <c r="F4" s="362" t="str">
        <f>IF(Serialize,_xll.ohObjectSave(_xll.ohPack(F5:F95),SerializationPath&amp;E4,FileOverwrite,Serialize),"---")</f>
        <v>---</v>
      </c>
      <c r="G4" s="363" t="str">
        <f>_xll.ohRangeRetrieveError(F4)</f>
        <v/>
      </c>
      <c r="H4" s="21"/>
      <c r="J4" s="85"/>
      <c r="K4" s="258"/>
      <c r="L4" s="87"/>
      <c r="M4" s="87"/>
      <c r="N4" s="87"/>
      <c r="O4" s="230" t="str">
        <f>_xll.RData(O5:O58,P4:S4,"RTFEED:IDN",ReutersRtMode,,P5)</f>
        <v>Paused at 12:08:05</v>
      </c>
      <c r="P4" s="227" t="s">
        <v>163</v>
      </c>
      <c r="Q4" s="227" t="s">
        <v>162</v>
      </c>
      <c r="R4" s="227" t="s">
        <v>179</v>
      </c>
      <c r="S4" s="227" t="s">
        <v>195</v>
      </c>
      <c r="T4" s="229" t="s">
        <v>206</v>
      </c>
      <c r="U4" s="149"/>
      <c r="V4" s="176" t="s">
        <v>192</v>
      </c>
      <c r="W4" s="149"/>
      <c r="X4" s="347" t="s">
        <v>190</v>
      </c>
      <c r="Y4" s="60" t="s">
        <v>189</v>
      </c>
      <c r="Z4" s="136"/>
    </row>
    <row r="5" spans="1:28" ht="11.25" customHeight="1" x14ac:dyDescent="0.2">
      <c r="A5" s="85"/>
      <c r="B5" s="118"/>
      <c r="C5" s="118" t="s">
        <v>138</v>
      </c>
      <c r="D5" s="364" t="s">
        <v>22</v>
      </c>
      <c r="E5" s="137" t="str">
        <f t="shared" ref="E5:E36" si="0">Currency&amp;$B5&amp;$C5&amp;$D5&amp;QuoteSuffix</f>
        <v>AUDOISSW_Quote</v>
      </c>
      <c r="F5" s="137" t="str">
        <f>_xll.qlSimpleQuote(Currency&amp;$B5&amp;$C5&amp;$D5&amp;QuoteSuffix,,RateTickValue,Permanent,Trigger,ObjectOverwrite)</f>
        <v>AUDOISSW_Quote#0000</v>
      </c>
      <c r="G5" s="22" t="str">
        <f>_xll.ohRangeRetrieveError(F5)</f>
        <v/>
      </c>
      <c r="H5" s="21"/>
      <c r="J5" s="85"/>
      <c r="K5" s="170" t="s">
        <v>22</v>
      </c>
      <c r="L5" s="196"/>
      <c r="M5" s="196" t="s">
        <v>138</v>
      </c>
      <c r="N5" s="194" t="str">
        <f t="shared" ref="N5:N36" si="1">Currency&amp;$K5&amp;$L5&amp;$M5</f>
        <v>AUDSWOIS</v>
      </c>
      <c r="O5" s="194" t="str">
        <f t="array" ref="O5:O58">Instruments&amp;"="&amp;"ICAA"</f>
        <v>AUDSWOIS=ICAA</v>
      </c>
      <c r="P5" s="166">
        <v>2.4900000000000002</v>
      </c>
      <c r="Q5" s="166">
        <v>2.5099999999999998</v>
      </c>
      <c r="R5" s="166">
        <v>0</v>
      </c>
      <c r="S5" s="166">
        <v>0</v>
      </c>
      <c r="T5" s="168">
        <f>_xll.qlMidEquivalent($P5,$Q5,$R5,$S5)</f>
        <v>2.5</v>
      </c>
      <c r="U5" s="149"/>
      <c r="V5" s="167">
        <v>2.5</v>
      </c>
      <c r="W5" s="149"/>
      <c r="X5" s="216">
        <f t="array" ref="X5:X58">QuoteLive</f>
        <v>2.5</v>
      </c>
      <c r="Y5" s="165">
        <f>_xll.qlSimpleQuoteSetValue(F5,X5/100,Trigger)</f>
        <v>0</v>
      </c>
      <c r="Z5" s="136"/>
    </row>
    <row r="6" spans="1:28" ht="11.25" customHeight="1" x14ac:dyDescent="0.2">
      <c r="A6" s="85"/>
      <c r="B6" s="118"/>
      <c r="C6" s="118" t="s">
        <v>138</v>
      </c>
      <c r="D6" s="364" t="s">
        <v>21</v>
      </c>
      <c r="E6" s="137" t="str">
        <f t="shared" si="0"/>
        <v>AUDOIS2W_Quote</v>
      </c>
      <c r="F6" s="137" t="str">
        <f>_xll.qlSimpleQuote(Currency&amp;$B6&amp;$C6&amp;$D6&amp;QuoteSuffix,,RateTickValue,Permanent,Trigger,ObjectOverwrite)</f>
        <v>AUDOIS2W_Quote#0000</v>
      </c>
      <c r="G6" s="22" t="str">
        <f>_xll.ohRangeRetrieveError(F6)</f>
        <v/>
      </c>
      <c r="H6" s="21"/>
      <c r="J6" s="85"/>
      <c r="K6" s="153" t="s">
        <v>21</v>
      </c>
      <c r="L6" s="192"/>
      <c r="M6" s="192" t="s">
        <v>138</v>
      </c>
      <c r="N6" s="190" t="str">
        <f t="shared" si="1"/>
        <v>AUD2WOIS</v>
      </c>
      <c r="O6" s="190" t="str">
        <v>AUD2WOIS=ICAA</v>
      </c>
      <c r="P6" s="147" t="s">
        <v>174</v>
      </c>
      <c r="Q6" s="147" t="s">
        <v>174</v>
      </c>
      <c r="R6" s="147" t="s">
        <v>174</v>
      </c>
      <c r="S6" s="147" t="s">
        <v>174</v>
      </c>
      <c r="T6" s="151" t="e">
        <f>_xll.qlMidEquivalent($P6,$Q6,$R6,$S6)</f>
        <v>#NUM!</v>
      </c>
      <c r="U6" s="149"/>
      <c r="V6" s="150" t="e">
        <v>#NUM!</v>
      </c>
      <c r="W6" s="149"/>
      <c r="X6" s="209" t="e">
        <v>#NUM!</v>
      </c>
      <c r="Y6" s="146" t="e">
        <f>_xll.qlSimpleQuoteSetValue(F6,X6/100,Trigger)</f>
        <v>#NUM!</v>
      </c>
      <c r="Z6" s="136"/>
    </row>
    <row r="7" spans="1:28" ht="11.25" customHeight="1" x14ac:dyDescent="0.2">
      <c r="A7" s="85"/>
      <c r="B7" s="118"/>
      <c r="C7" s="118" t="s">
        <v>138</v>
      </c>
      <c r="D7" s="364" t="s">
        <v>20</v>
      </c>
      <c r="E7" s="137" t="str">
        <f t="shared" si="0"/>
        <v>AUDOIS3W_Quote</v>
      </c>
      <c r="F7" s="137" t="str">
        <f>_xll.qlSimpleQuote(Currency&amp;$B7&amp;$C7&amp;$D7&amp;QuoteSuffix,,RateTickValue,Permanent,Trigger,ObjectOverwrite)</f>
        <v>AUDOIS3W_Quote#0000</v>
      </c>
      <c r="G7" s="22" t="str">
        <f>_xll.ohRangeRetrieveError(F7)</f>
        <v/>
      </c>
      <c r="H7" s="21"/>
      <c r="J7" s="85"/>
      <c r="K7" s="153" t="s">
        <v>20</v>
      </c>
      <c r="L7" s="192"/>
      <c r="M7" s="192" t="s">
        <v>138</v>
      </c>
      <c r="N7" s="190" t="str">
        <f t="shared" si="1"/>
        <v>AUD3WOIS</v>
      </c>
      <c r="O7" s="190" t="str">
        <v>AUD3WOIS=ICAA</v>
      </c>
      <c r="P7" s="147" t="s">
        <v>174</v>
      </c>
      <c r="Q7" s="147" t="s">
        <v>174</v>
      </c>
      <c r="R7" s="147" t="s">
        <v>174</v>
      </c>
      <c r="S7" s="147" t="s">
        <v>174</v>
      </c>
      <c r="T7" s="151" t="e">
        <f>_xll.qlMidEquivalent($P7,$Q7,$R7,$S7)</f>
        <v>#NUM!</v>
      </c>
      <c r="U7" s="149"/>
      <c r="V7" s="150" t="e">
        <v>#NUM!</v>
      </c>
      <c r="W7" s="149"/>
      <c r="X7" s="209" t="e">
        <v>#NUM!</v>
      </c>
      <c r="Y7" s="146" t="e">
        <f>_xll.qlSimpleQuoteSetValue(F7,X7/100,Trigger)</f>
        <v>#NUM!</v>
      </c>
      <c r="Z7" s="136"/>
    </row>
    <row r="8" spans="1:28" ht="11.25" customHeight="1" x14ac:dyDescent="0.25">
      <c r="A8" s="85"/>
      <c r="B8" s="118"/>
      <c r="C8" s="118" t="s">
        <v>138</v>
      </c>
      <c r="D8" s="364" t="s">
        <v>19</v>
      </c>
      <c r="E8" s="137" t="str">
        <f t="shared" si="0"/>
        <v>AUDOIS1M_Quote</v>
      </c>
      <c r="F8" s="137" t="str">
        <f>_xll.qlSimpleQuote(Currency&amp;$B8&amp;$C8&amp;$D8&amp;QuoteSuffix,,RateTickValue,Permanent,Trigger,ObjectOverwrite)</f>
        <v>AUDOIS1M_Quote#0000</v>
      </c>
      <c r="G8" s="22" t="str">
        <f>_xll.ohRangeRetrieveError(F8)</f>
        <v/>
      </c>
      <c r="H8" s="21"/>
      <c r="J8" s="85"/>
      <c r="K8" s="153" t="s">
        <v>19</v>
      </c>
      <c r="L8" s="192"/>
      <c r="M8" s="192" t="s">
        <v>138</v>
      </c>
      <c r="N8" s="190" t="str">
        <f t="shared" si="1"/>
        <v>AUD1MOIS</v>
      </c>
      <c r="O8" s="190" t="str">
        <v>AUD1MOIS=ICAA</v>
      </c>
      <c r="P8" s="147">
        <v>2.4950000000000001</v>
      </c>
      <c r="Q8" s="147">
        <v>2.5030000000000001</v>
      </c>
      <c r="R8" s="147">
        <v>0</v>
      </c>
      <c r="S8" s="147">
        <v>0</v>
      </c>
      <c r="T8" s="151">
        <f>_xll.qlMidEquivalent($P8,$Q8,$R8,$S8)</f>
        <v>2.4990000000000001</v>
      </c>
      <c r="U8" s="149"/>
      <c r="V8" s="150">
        <v>2.4990000000000001</v>
      </c>
      <c r="W8" s="149"/>
      <c r="X8" s="209">
        <v>2.4990000000000001</v>
      </c>
      <c r="Y8" s="146">
        <f>_xll.qlSimpleQuoteSetValue(F8,X8/100,Trigger)</f>
        <v>0</v>
      </c>
      <c r="Z8" s="136"/>
      <c r="AB8"/>
    </row>
    <row r="9" spans="1:28" ht="11.25" customHeight="1" x14ac:dyDescent="0.2">
      <c r="A9" s="85"/>
      <c r="B9" s="118"/>
      <c r="C9" s="118" t="s">
        <v>138</v>
      </c>
      <c r="D9" s="364" t="s">
        <v>18</v>
      </c>
      <c r="E9" s="137" t="str">
        <f t="shared" si="0"/>
        <v>AUDOIS2M_Quote</v>
      </c>
      <c r="F9" s="137" t="str">
        <f>_xll.qlSimpleQuote(Currency&amp;$B9&amp;$C9&amp;$D9&amp;QuoteSuffix,,RateTickValue,Permanent,Trigger,ObjectOverwrite)</f>
        <v>AUDOIS2M_Quote#0000</v>
      </c>
      <c r="G9" s="22" t="str">
        <f>_xll.ohRangeRetrieveError(F9)</f>
        <v/>
      </c>
      <c r="H9" s="21"/>
      <c r="J9" s="85"/>
      <c r="K9" s="153" t="s">
        <v>18</v>
      </c>
      <c r="L9" s="192"/>
      <c r="M9" s="192" t="s">
        <v>138</v>
      </c>
      <c r="N9" s="190" t="str">
        <f t="shared" si="1"/>
        <v>AUD2MOIS</v>
      </c>
      <c r="O9" s="190" t="str">
        <v>AUD2MOIS=ICAA</v>
      </c>
      <c r="P9" s="147">
        <v>2.4950000000000001</v>
      </c>
      <c r="Q9" s="147">
        <v>2.5</v>
      </c>
      <c r="R9" s="147">
        <v>0</v>
      </c>
      <c r="S9" s="147">
        <v>0</v>
      </c>
      <c r="T9" s="151">
        <f>_xll.qlMidEquivalent($P9,$Q9,$R9,$S9)</f>
        <v>2.4975000000000001</v>
      </c>
      <c r="U9" s="149"/>
      <c r="V9" s="150">
        <v>2.4975000000000001</v>
      </c>
      <c r="W9" s="149"/>
      <c r="X9" s="209">
        <v>2.4975000000000001</v>
      </c>
      <c r="Y9" s="146">
        <f>_xll.qlSimpleQuoteSetValue(F9,X9/100,Trigger)</f>
        <v>0</v>
      </c>
      <c r="Z9" s="136"/>
    </row>
    <row r="10" spans="1:28" ht="11.25" customHeight="1" x14ac:dyDescent="0.2">
      <c r="A10" s="85"/>
      <c r="B10" s="118"/>
      <c r="C10" s="118" t="s">
        <v>138</v>
      </c>
      <c r="D10" s="364" t="s">
        <v>17</v>
      </c>
      <c r="E10" s="137" t="str">
        <f t="shared" si="0"/>
        <v>AUDOIS3M_Quote</v>
      </c>
      <c r="F10" s="137" t="str">
        <f>_xll.qlSimpleQuote(Currency&amp;$B10&amp;$C10&amp;$D10&amp;QuoteSuffix,,RateTickValue,Permanent,Trigger,ObjectOverwrite)</f>
        <v>AUDOIS3M_Quote#0000</v>
      </c>
      <c r="G10" s="22" t="str">
        <f>_xll.ohRangeRetrieveError(F10)</f>
        <v/>
      </c>
      <c r="H10" s="21"/>
      <c r="J10" s="85"/>
      <c r="K10" s="153" t="s">
        <v>17</v>
      </c>
      <c r="L10" s="192"/>
      <c r="M10" s="192" t="s">
        <v>138</v>
      </c>
      <c r="N10" s="190" t="str">
        <f t="shared" si="1"/>
        <v>AUD3MOIS</v>
      </c>
      <c r="O10" s="190" t="str">
        <v>AUD3MOIS=ICAA</v>
      </c>
      <c r="P10" s="147">
        <v>2.492</v>
      </c>
      <c r="Q10" s="147">
        <v>2.4980000000000002</v>
      </c>
      <c r="R10" s="147">
        <v>0</v>
      </c>
      <c r="S10" s="147">
        <v>0</v>
      </c>
      <c r="T10" s="151">
        <f>_xll.qlMidEquivalent($P10,$Q10,$R10,$S10)</f>
        <v>2.4950000000000001</v>
      </c>
      <c r="U10" s="149"/>
      <c r="V10" s="150">
        <v>2.4950000000000001</v>
      </c>
      <c r="W10" s="149"/>
      <c r="X10" s="209">
        <v>2.4950000000000001</v>
      </c>
      <c r="Y10" s="146">
        <f>_xll.qlSimpleQuoteSetValue(F10,X10/100,Trigger)</f>
        <v>0</v>
      </c>
      <c r="Z10" s="136"/>
    </row>
    <row r="11" spans="1:28" ht="11.25" customHeight="1" x14ac:dyDescent="0.2">
      <c r="A11" s="85"/>
      <c r="B11" s="118"/>
      <c r="C11" s="118" t="s">
        <v>138</v>
      </c>
      <c r="D11" s="364" t="s">
        <v>16</v>
      </c>
      <c r="E11" s="137" t="str">
        <f t="shared" si="0"/>
        <v>AUDOIS4M_Quote</v>
      </c>
      <c r="F11" s="137" t="str">
        <f>_xll.qlSimpleQuote(Currency&amp;$B11&amp;$C11&amp;$D11&amp;QuoteSuffix,,RateTickValue,Permanent,Trigger,ObjectOverwrite)</f>
        <v>AUDOIS4M_Quote#0000</v>
      </c>
      <c r="G11" s="22" t="str">
        <f>_xll.ohRangeRetrieveError(F11)</f>
        <v/>
      </c>
      <c r="H11" s="21"/>
      <c r="J11" s="85"/>
      <c r="K11" s="153" t="s">
        <v>16</v>
      </c>
      <c r="L11" s="192"/>
      <c r="M11" s="192" t="s">
        <v>138</v>
      </c>
      <c r="N11" s="190" t="str">
        <f t="shared" si="1"/>
        <v>AUD4MOIS</v>
      </c>
      <c r="O11" s="190" t="str">
        <v>AUD4MOIS=ICAA</v>
      </c>
      <c r="P11" s="147">
        <v>2.492</v>
      </c>
      <c r="Q11" s="147">
        <v>2.5</v>
      </c>
      <c r="R11" s="147">
        <v>0</v>
      </c>
      <c r="S11" s="147">
        <v>0</v>
      </c>
      <c r="T11" s="151">
        <f>_xll.qlMidEquivalent($P11,$Q11,$R11,$S11)</f>
        <v>2.496</v>
      </c>
      <c r="U11" s="149"/>
      <c r="V11" s="150">
        <v>2.5</v>
      </c>
      <c r="W11" s="149"/>
      <c r="X11" s="209">
        <v>2.496</v>
      </c>
      <c r="Y11" s="146">
        <f>_xll.qlSimpleQuoteSetValue(F11,X11/100,Trigger)</f>
        <v>-4.000000000000184E-5</v>
      </c>
      <c r="Z11" s="136"/>
    </row>
    <row r="12" spans="1:28" ht="11.25" customHeight="1" x14ac:dyDescent="0.2">
      <c r="A12" s="85"/>
      <c r="B12" s="118"/>
      <c r="C12" s="118" t="s">
        <v>138</v>
      </c>
      <c r="D12" s="364" t="s">
        <v>15</v>
      </c>
      <c r="E12" s="137" t="str">
        <f t="shared" si="0"/>
        <v>AUDOIS5M_Quote</v>
      </c>
      <c r="F12" s="137" t="str">
        <f>_xll.qlSimpleQuote(Currency&amp;$B12&amp;$C12&amp;$D12&amp;QuoteSuffix,,RateTickValue,Permanent,Trigger,ObjectOverwrite)</f>
        <v>AUDOIS5M_Quote#0000</v>
      </c>
      <c r="G12" s="22" t="str">
        <f>_xll.ohRangeRetrieveError(F12)</f>
        <v/>
      </c>
      <c r="H12" s="21"/>
      <c r="J12" s="85"/>
      <c r="K12" s="153" t="s">
        <v>15</v>
      </c>
      <c r="L12" s="192"/>
      <c r="M12" s="192" t="s">
        <v>138</v>
      </c>
      <c r="N12" s="190" t="str">
        <f t="shared" si="1"/>
        <v>AUD5MOIS</v>
      </c>
      <c r="O12" s="190" t="str">
        <v>AUD5MOIS=ICAA</v>
      </c>
      <c r="P12" s="147">
        <v>2.4900000000000002</v>
      </c>
      <c r="Q12" s="147">
        <v>2.5</v>
      </c>
      <c r="R12" s="147">
        <v>0</v>
      </c>
      <c r="S12" s="147">
        <v>0</v>
      </c>
      <c r="T12" s="151">
        <f>_xll.qlMidEquivalent($P12,$Q12,$R12,$S12)</f>
        <v>2.4950000000000001</v>
      </c>
      <c r="U12" s="149"/>
      <c r="V12" s="150">
        <v>2.5</v>
      </c>
      <c r="W12" s="149"/>
      <c r="X12" s="209">
        <v>2.4950000000000001</v>
      </c>
      <c r="Y12" s="146">
        <f>_xll.qlSimpleQuoteSetValue(F12,X12/100,Trigger)</f>
        <v>-5.0000000000001432E-5</v>
      </c>
      <c r="Z12" s="136"/>
    </row>
    <row r="13" spans="1:28" ht="11.25" customHeight="1" x14ac:dyDescent="0.2">
      <c r="A13" s="85"/>
      <c r="B13" s="118"/>
      <c r="C13" s="118" t="s">
        <v>138</v>
      </c>
      <c r="D13" s="364" t="s">
        <v>14</v>
      </c>
      <c r="E13" s="137" t="str">
        <f t="shared" si="0"/>
        <v>AUDOIS6M_Quote</v>
      </c>
      <c r="F13" s="137" t="str">
        <f>_xll.qlSimpleQuote(Currency&amp;$B13&amp;$C13&amp;$D13&amp;QuoteSuffix,,RateTickValue,Permanent,Trigger,ObjectOverwrite)</f>
        <v>AUDOIS6M_Quote#0000</v>
      </c>
      <c r="G13" s="22" t="str">
        <f>_xll.ohRangeRetrieveError(F13)</f>
        <v/>
      </c>
      <c r="H13" s="21"/>
      <c r="J13" s="85"/>
      <c r="K13" s="153" t="s">
        <v>14</v>
      </c>
      <c r="L13" s="192"/>
      <c r="M13" s="192" t="s">
        <v>138</v>
      </c>
      <c r="N13" s="190" t="str">
        <f t="shared" si="1"/>
        <v>AUD6MOIS</v>
      </c>
      <c r="O13" s="190" t="str">
        <v>AUD6MOIS=ICAA</v>
      </c>
      <c r="P13" s="147">
        <v>2.4900000000000002</v>
      </c>
      <c r="Q13" s="147">
        <v>2.4950000000000001</v>
      </c>
      <c r="R13" s="147">
        <v>0</v>
      </c>
      <c r="S13" s="147">
        <v>0</v>
      </c>
      <c r="T13" s="151">
        <f>_xll.qlMidEquivalent($P13,$Q13,$R13,$S13)</f>
        <v>2.4925000000000002</v>
      </c>
      <c r="U13" s="149"/>
      <c r="V13" s="150">
        <v>2.5034999999999998</v>
      </c>
      <c r="W13" s="149"/>
      <c r="X13" s="209">
        <v>2.4925000000000002</v>
      </c>
      <c r="Y13" s="146">
        <f>_xll.qlSimpleQuoteSetValue(F13,X13/100,Trigger)</f>
        <v>-1.0999999999999552E-4</v>
      </c>
      <c r="Z13" s="136"/>
    </row>
    <row r="14" spans="1:28" ht="11.25" customHeight="1" x14ac:dyDescent="0.2">
      <c r="A14" s="85"/>
      <c r="B14" s="118"/>
      <c r="C14" s="118" t="s">
        <v>138</v>
      </c>
      <c r="D14" s="364" t="s">
        <v>13</v>
      </c>
      <c r="E14" s="137" t="str">
        <f t="shared" si="0"/>
        <v>AUDOIS7M_Quote</v>
      </c>
      <c r="F14" s="137" t="str">
        <f>_xll.qlSimpleQuote(Currency&amp;$B14&amp;$C14&amp;$D14&amp;QuoteSuffix,,RateTickValue,Permanent,Trigger,ObjectOverwrite)</f>
        <v>AUDOIS7M_Quote#0000</v>
      </c>
      <c r="G14" s="22" t="str">
        <f>_xll.ohRangeRetrieveError(F14)</f>
        <v/>
      </c>
      <c r="H14" s="21"/>
      <c r="J14" s="85"/>
      <c r="K14" s="153" t="s">
        <v>13</v>
      </c>
      <c r="L14" s="192"/>
      <c r="M14" s="192" t="s">
        <v>138</v>
      </c>
      <c r="N14" s="190" t="str">
        <f t="shared" si="1"/>
        <v>AUD7MOIS</v>
      </c>
      <c r="O14" s="190" t="str">
        <v>AUD7MOIS=ICAA</v>
      </c>
      <c r="P14" s="147" t="s">
        <v>174</v>
      </c>
      <c r="Q14" s="147" t="s">
        <v>174</v>
      </c>
      <c r="R14" s="147" t="s">
        <v>174</v>
      </c>
      <c r="S14" s="147" t="s">
        <v>174</v>
      </c>
      <c r="T14" s="151" t="e">
        <f>_xll.qlMidEquivalent($P14,$Q14,$R14,$S14)</f>
        <v>#NUM!</v>
      </c>
      <c r="U14" s="149"/>
      <c r="V14" s="150" t="e">
        <v>#NUM!</v>
      </c>
      <c r="W14" s="149"/>
      <c r="X14" s="209" t="e">
        <v>#NUM!</v>
      </c>
      <c r="Y14" s="146" t="e">
        <f>_xll.qlSimpleQuoteSetValue(F14,X14/100,Trigger)</f>
        <v>#NUM!</v>
      </c>
      <c r="Z14" s="136"/>
    </row>
    <row r="15" spans="1:28" ht="11.25" customHeight="1" x14ac:dyDescent="0.2">
      <c r="A15" s="85"/>
      <c r="B15" s="118"/>
      <c r="C15" s="118" t="s">
        <v>138</v>
      </c>
      <c r="D15" s="364" t="s">
        <v>12</v>
      </c>
      <c r="E15" s="137" t="str">
        <f t="shared" si="0"/>
        <v>AUDOIS8M_Quote</v>
      </c>
      <c r="F15" s="137" t="str">
        <f>_xll.qlSimpleQuote(Currency&amp;$B15&amp;$C15&amp;$D15&amp;QuoteSuffix,,RateTickValue,Permanent,Trigger,ObjectOverwrite)</f>
        <v>AUDOIS8M_Quote#0000</v>
      </c>
      <c r="G15" s="22" t="str">
        <f>_xll.ohRangeRetrieveError(F15)</f>
        <v/>
      </c>
      <c r="H15" s="21"/>
      <c r="J15" s="85"/>
      <c r="K15" s="153" t="s">
        <v>12</v>
      </c>
      <c r="L15" s="192"/>
      <c r="M15" s="192" t="s">
        <v>138</v>
      </c>
      <c r="N15" s="190" t="str">
        <f t="shared" si="1"/>
        <v>AUD8MOIS</v>
      </c>
      <c r="O15" s="190" t="str">
        <v>AUD8MOIS=ICAA</v>
      </c>
      <c r="P15" s="147" t="s">
        <v>174</v>
      </c>
      <c r="Q15" s="147" t="s">
        <v>174</v>
      </c>
      <c r="R15" s="147" t="s">
        <v>174</v>
      </c>
      <c r="S15" s="147" t="s">
        <v>174</v>
      </c>
      <c r="T15" s="151" t="e">
        <f>_xll.qlMidEquivalent($P15,$Q15,$R15,$S15)</f>
        <v>#NUM!</v>
      </c>
      <c r="U15" s="149"/>
      <c r="V15" s="150" t="e">
        <v>#NUM!</v>
      </c>
      <c r="W15" s="149"/>
      <c r="X15" s="209" t="e">
        <v>#NUM!</v>
      </c>
      <c r="Y15" s="146" t="e">
        <f>_xll.qlSimpleQuoteSetValue(F15,X15/100,Trigger)</f>
        <v>#NUM!</v>
      </c>
      <c r="Z15" s="136"/>
    </row>
    <row r="16" spans="1:28" ht="11.25" customHeight="1" x14ac:dyDescent="0.2">
      <c r="A16" s="85"/>
      <c r="B16" s="118"/>
      <c r="C16" s="118" t="s">
        <v>138</v>
      </c>
      <c r="D16" s="364" t="s">
        <v>11</v>
      </c>
      <c r="E16" s="137" t="str">
        <f t="shared" si="0"/>
        <v>AUDOIS9M_Quote</v>
      </c>
      <c r="F16" s="137" t="str">
        <f>_xll.qlSimpleQuote(Currency&amp;$B16&amp;$C16&amp;$D16&amp;QuoteSuffix,,RateTickValue,Permanent,Trigger,ObjectOverwrite)</f>
        <v>AUDOIS9M_Quote#0000</v>
      </c>
      <c r="G16" s="22" t="str">
        <f>_xll.ohRangeRetrieveError(F16)</f>
        <v/>
      </c>
      <c r="H16" s="21"/>
      <c r="J16" s="85"/>
      <c r="K16" s="153" t="s">
        <v>11</v>
      </c>
      <c r="L16" s="192"/>
      <c r="M16" s="192" t="s">
        <v>138</v>
      </c>
      <c r="N16" s="190" t="str">
        <f t="shared" si="1"/>
        <v>AUD9MOIS</v>
      </c>
      <c r="O16" s="190" t="str">
        <v>AUD9MOIS=ICAA</v>
      </c>
      <c r="P16" s="147">
        <v>2.4950000000000001</v>
      </c>
      <c r="Q16" s="147">
        <v>2.508</v>
      </c>
      <c r="R16" s="147">
        <v>0</v>
      </c>
      <c r="S16" s="147">
        <v>0</v>
      </c>
      <c r="T16" s="151">
        <f>_xll.qlMidEquivalent($P16,$Q16,$R16,$S16)</f>
        <v>2.5015000000000001</v>
      </c>
      <c r="U16" s="149"/>
      <c r="V16" s="150">
        <v>2.5149999999999997</v>
      </c>
      <c r="W16" s="149"/>
      <c r="X16" s="209">
        <v>2.5015000000000001</v>
      </c>
      <c r="Y16" s="146">
        <f>_xll.qlSimpleQuoteSetValue(F16,X16/100,Trigger)</f>
        <v>-1.3499999999999623E-4</v>
      </c>
      <c r="Z16" s="136"/>
    </row>
    <row r="17" spans="1:26" ht="11.25" customHeight="1" x14ac:dyDescent="0.2">
      <c r="A17" s="85"/>
      <c r="B17" s="118"/>
      <c r="C17" s="118" t="s">
        <v>138</v>
      </c>
      <c r="D17" s="364" t="s">
        <v>10</v>
      </c>
      <c r="E17" s="137" t="str">
        <f t="shared" si="0"/>
        <v>AUDOIS10M_Quote</v>
      </c>
      <c r="F17" s="137" t="str">
        <f>_xll.qlSimpleQuote(Currency&amp;$B17&amp;$C17&amp;$D17&amp;QuoteSuffix,,RateTickValue,Permanent,Trigger,ObjectOverwrite)</f>
        <v>AUDOIS10M_Quote#0000</v>
      </c>
      <c r="G17" s="22" t="str">
        <f>_xll.ohRangeRetrieveError(F17)</f>
        <v/>
      </c>
      <c r="H17" s="21"/>
      <c r="J17" s="85"/>
      <c r="K17" s="153" t="s">
        <v>10</v>
      </c>
      <c r="L17" s="192"/>
      <c r="M17" s="192" t="s">
        <v>138</v>
      </c>
      <c r="N17" s="190" t="str">
        <f t="shared" si="1"/>
        <v>AUD10MOIS</v>
      </c>
      <c r="O17" s="190" t="str">
        <v>AUD10MOIS=ICAA</v>
      </c>
      <c r="P17" s="147" t="s">
        <v>174</v>
      </c>
      <c r="Q17" s="147" t="s">
        <v>174</v>
      </c>
      <c r="R17" s="147" t="s">
        <v>174</v>
      </c>
      <c r="S17" s="147" t="s">
        <v>174</v>
      </c>
      <c r="T17" s="151" t="e">
        <f>_xll.qlMidEquivalent($P17,$Q17,$R17,$S17)</f>
        <v>#NUM!</v>
      </c>
      <c r="U17" s="149"/>
      <c r="V17" s="150" t="e">
        <v>#NUM!</v>
      </c>
      <c r="W17" s="149"/>
      <c r="X17" s="209" t="e">
        <v>#NUM!</v>
      </c>
      <c r="Y17" s="146" t="e">
        <f>_xll.qlSimpleQuoteSetValue(F17,X17/100,Trigger)</f>
        <v>#NUM!</v>
      </c>
      <c r="Z17" s="136"/>
    </row>
    <row r="18" spans="1:26" ht="11.25" customHeight="1" x14ac:dyDescent="0.2">
      <c r="A18" s="85"/>
      <c r="B18" s="118"/>
      <c r="C18" s="118" t="s">
        <v>138</v>
      </c>
      <c r="D18" s="364" t="s">
        <v>9</v>
      </c>
      <c r="E18" s="137" t="str">
        <f t="shared" si="0"/>
        <v>AUDOIS11M_Quote</v>
      </c>
      <c r="F18" s="137" t="str">
        <f>_xll.qlSimpleQuote(Currency&amp;$B18&amp;$C18&amp;$D18&amp;QuoteSuffix,,RateTickValue,Permanent,Trigger,ObjectOverwrite)</f>
        <v>AUDOIS11M_Quote#0000</v>
      </c>
      <c r="G18" s="22" t="str">
        <f>_xll.ohRangeRetrieveError(F18)</f>
        <v/>
      </c>
      <c r="H18" s="21"/>
      <c r="J18" s="85"/>
      <c r="K18" s="153" t="s">
        <v>9</v>
      </c>
      <c r="L18" s="192"/>
      <c r="M18" s="192" t="s">
        <v>138</v>
      </c>
      <c r="N18" s="190" t="str">
        <f t="shared" si="1"/>
        <v>AUD11MOIS</v>
      </c>
      <c r="O18" s="190" t="str">
        <v>AUD11MOIS=ICAA</v>
      </c>
      <c r="P18" s="147" t="s">
        <v>174</v>
      </c>
      <c r="Q18" s="147" t="s">
        <v>174</v>
      </c>
      <c r="R18" s="147" t="s">
        <v>174</v>
      </c>
      <c r="S18" s="147" t="s">
        <v>174</v>
      </c>
      <c r="T18" s="151" t="e">
        <f>_xll.qlMidEquivalent($P18,$Q18,$R18,$S18)</f>
        <v>#NUM!</v>
      </c>
      <c r="U18" s="149"/>
      <c r="V18" s="150" t="e">
        <v>#NUM!</v>
      </c>
      <c r="W18" s="149"/>
      <c r="X18" s="209" t="e">
        <v>#NUM!</v>
      </c>
      <c r="Y18" s="146" t="e">
        <f>_xll.qlSimpleQuoteSetValue(F18,X18/100,Trigger)</f>
        <v>#NUM!</v>
      </c>
      <c r="Z18" s="136"/>
    </row>
    <row r="19" spans="1:26" ht="11.25" customHeight="1" x14ac:dyDescent="0.2">
      <c r="A19" s="85"/>
      <c r="B19" s="118"/>
      <c r="C19" s="118" t="s">
        <v>138</v>
      </c>
      <c r="D19" s="364" t="s">
        <v>277</v>
      </c>
      <c r="E19" s="137" t="str">
        <f t="shared" si="0"/>
        <v>AUDOIS12M_Quote</v>
      </c>
      <c r="F19" s="137" t="str">
        <f>_xll.qlSimpleQuote(Currency&amp;$B19&amp;$C19&amp;$D19&amp;QuoteSuffix,,RateTickValue,Permanent,Trigger,ObjectOverwrite)</f>
        <v>AUDOIS12M_Quote#0000</v>
      </c>
      <c r="G19" s="22" t="str">
        <f>_xll.ohRangeRetrieveError(F19)</f>
        <v/>
      </c>
      <c r="H19" s="21"/>
      <c r="J19" s="85"/>
      <c r="K19" s="153" t="s">
        <v>277</v>
      </c>
      <c r="L19" s="192"/>
      <c r="M19" s="192" t="s">
        <v>138</v>
      </c>
      <c r="N19" s="190" t="str">
        <f t="shared" si="1"/>
        <v>AUD12MOIS</v>
      </c>
      <c r="O19" s="190" t="str">
        <v>AUD12MOIS=ICAA</v>
      </c>
      <c r="P19" s="147">
        <v>2.5150000000000001</v>
      </c>
      <c r="Q19" s="147">
        <v>2.5249999999999999</v>
      </c>
      <c r="R19" s="147">
        <v>0</v>
      </c>
      <c r="S19" s="147">
        <v>0</v>
      </c>
      <c r="T19" s="151">
        <f>_xll.qlMidEquivalent($P19,$Q19,$R19,$S19)</f>
        <v>2.52</v>
      </c>
      <c r="U19" s="149"/>
      <c r="V19" s="150">
        <v>2.5375000000000001</v>
      </c>
      <c r="W19" s="149"/>
      <c r="X19" s="209">
        <v>2.52</v>
      </c>
      <c r="Y19" s="146">
        <f>_xll.qlSimpleQuoteSetValue(F19,X19/100,Trigger)</f>
        <v>-1.7500000000000154E-4</v>
      </c>
      <c r="Z19" s="136"/>
    </row>
    <row r="20" spans="1:26" ht="11.25" customHeight="1" x14ac:dyDescent="0.2">
      <c r="A20" s="85"/>
      <c r="B20" s="118"/>
      <c r="C20" s="118" t="s">
        <v>138</v>
      </c>
      <c r="D20" s="364" t="s">
        <v>155</v>
      </c>
      <c r="E20" s="137" t="str">
        <f t="shared" si="0"/>
        <v>AUDOIS13M_Quote</v>
      </c>
      <c r="F20" s="137" t="str">
        <f>_xll.qlSimpleQuote(Currency&amp;$B20&amp;$C20&amp;$D20&amp;QuoteSuffix,,RateTickValue,Permanent,Trigger,ObjectOverwrite)</f>
        <v>AUDOIS13M_Quote#0000</v>
      </c>
      <c r="G20" s="22" t="str">
        <f>_xll.ohRangeRetrieveError(F20)</f>
        <v/>
      </c>
      <c r="H20" s="21"/>
      <c r="J20" s="85"/>
      <c r="K20" s="153" t="s">
        <v>155</v>
      </c>
      <c r="L20" s="192"/>
      <c r="M20" s="192" t="s">
        <v>138</v>
      </c>
      <c r="N20" s="190" t="str">
        <f t="shared" si="1"/>
        <v>AUD13MOIS</v>
      </c>
      <c r="O20" s="190" t="str">
        <v>AUD13MOIS=ICAA</v>
      </c>
      <c r="P20" s="147" t="s">
        <v>174</v>
      </c>
      <c r="Q20" s="147" t="s">
        <v>174</v>
      </c>
      <c r="R20" s="147" t="s">
        <v>174</v>
      </c>
      <c r="S20" s="147" t="s">
        <v>174</v>
      </c>
      <c r="T20" s="151" t="e">
        <f>_xll.qlMidEquivalent($P20,$Q20,$R20,$S20)</f>
        <v>#NUM!</v>
      </c>
      <c r="U20" s="149"/>
      <c r="V20" s="150" t="e">
        <v>#NUM!</v>
      </c>
      <c r="W20" s="149"/>
      <c r="X20" s="209" t="e">
        <v>#NUM!</v>
      </c>
      <c r="Y20" s="146" t="e">
        <f>_xll.qlSimpleQuoteSetValue(F20,X20/100,Trigger)</f>
        <v>#NUM!</v>
      </c>
      <c r="Z20" s="136"/>
    </row>
    <row r="21" spans="1:26" ht="11.25" customHeight="1" x14ac:dyDescent="0.2">
      <c r="A21" s="85"/>
      <c r="B21" s="118"/>
      <c r="C21" s="118" t="s">
        <v>138</v>
      </c>
      <c r="D21" s="364" t="s">
        <v>154</v>
      </c>
      <c r="E21" s="137" t="str">
        <f t="shared" si="0"/>
        <v>AUDOIS14M_Quote</v>
      </c>
      <c r="F21" s="137" t="str">
        <f>_xll.qlSimpleQuote(Currency&amp;$B21&amp;$C21&amp;$D21&amp;QuoteSuffix,,RateTickValue,Permanent,Trigger,ObjectOverwrite)</f>
        <v>AUDOIS14M_Quote#0000</v>
      </c>
      <c r="G21" s="22" t="str">
        <f>_xll.ohRangeRetrieveError(F21)</f>
        <v/>
      </c>
      <c r="H21" s="21"/>
      <c r="J21" s="85"/>
      <c r="K21" s="153" t="s">
        <v>154</v>
      </c>
      <c r="L21" s="192"/>
      <c r="M21" s="192" t="s">
        <v>138</v>
      </c>
      <c r="N21" s="190" t="str">
        <f t="shared" si="1"/>
        <v>AUD14MOIS</v>
      </c>
      <c r="O21" s="190" t="str">
        <v>AUD14MOIS=ICAA</v>
      </c>
      <c r="P21" s="147" t="s">
        <v>174</v>
      </c>
      <c r="Q21" s="147" t="s">
        <v>174</v>
      </c>
      <c r="R21" s="147" t="s">
        <v>174</v>
      </c>
      <c r="S21" s="147" t="s">
        <v>174</v>
      </c>
      <c r="T21" s="151" t="e">
        <f>_xll.qlMidEquivalent($P21,$Q21,$R21,$S21)</f>
        <v>#NUM!</v>
      </c>
      <c r="U21" s="149"/>
      <c r="V21" s="150" t="e">
        <v>#NUM!</v>
      </c>
      <c r="W21" s="149"/>
      <c r="X21" s="209" t="e">
        <v>#NUM!</v>
      </c>
      <c r="Y21" s="146" t="e">
        <f>_xll.qlSimpleQuoteSetValue(F21,X21/100,Trigger)</f>
        <v>#NUM!</v>
      </c>
      <c r="Z21" s="136"/>
    </row>
    <row r="22" spans="1:26" ht="11.25" customHeight="1" x14ac:dyDescent="0.2">
      <c r="A22" s="85"/>
      <c r="B22" s="118"/>
      <c r="C22" s="118" t="s">
        <v>138</v>
      </c>
      <c r="D22" s="364" t="s">
        <v>103</v>
      </c>
      <c r="E22" s="137" t="str">
        <f t="shared" si="0"/>
        <v>AUDOIS15M_Quote</v>
      </c>
      <c r="F22" s="137" t="str">
        <f>_xll.qlSimpleQuote(Currency&amp;$B22&amp;$C22&amp;$D22&amp;QuoteSuffix,,RateTickValue,Permanent,Trigger,ObjectOverwrite)</f>
        <v>AUDOIS15M_Quote#0000</v>
      </c>
      <c r="G22" s="22" t="str">
        <f>_xll.ohRangeRetrieveError(F22)</f>
        <v/>
      </c>
      <c r="H22" s="21"/>
      <c r="J22" s="85"/>
      <c r="K22" s="153" t="s">
        <v>103</v>
      </c>
      <c r="L22" s="192"/>
      <c r="M22" s="192" t="s">
        <v>138</v>
      </c>
      <c r="N22" s="190" t="str">
        <f t="shared" si="1"/>
        <v>AUD15MOIS</v>
      </c>
      <c r="O22" s="190" t="str">
        <v>AUD15MOIS=ICAA</v>
      </c>
      <c r="P22" s="147" t="s">
        <v>174</v>
      </c>
      <c r="Q22" s="147" t="s">
        <v>174</v>
      </c>
      <c r="R22" s="147" t="s">
        <v>174</v>
      </c>
      <c r="S22" s="147" t="s">
        <v>174</v>
      </c>
      <c r="T22" s="151" t="e">
        <f>_xll.qlMidEquivalent($P22,$Q22,$R22,$S22)</f>
        <v>#NUM!</v>
      </c>
      <c r="U22" s="149"/>
      <c r="V22" s="150" t="e">
        <v>#NUM!</v>
      </c>
      <c r="W22" s="149"/>
      <c r="X22" s="209" t="e">
        <v>#NUM!</v>
      </c>
      <c r="Y22" s="146" t="e">
        <f>_xll.qlSimpleQuoteSetValue(F22,X22/100,Trigger)</f>
        <v>#NUM!</v>
      </c>
      <c r="Z22" s="136"/>
    </row>
    <row r="23" spans="1:26" ht="11.25" customHeight="1" x14ac:dyDescent="0.2">
      <c r="A23" s="85"/>
      <c r="B23" s="118"/>
      <c r="C23" s="118" t="s">
        <v>138</v>
      </c>
      <c r="D23" s="364" t="s">
        <v>153</v>
      </c>
      <c r="E23" s="137" t="str">
        <f t="shared" si="0"/>
        <v>AUDOIS16M_Quote</v>
      </c>
      <c r="F23" s="137" t="str">
        <f>_xll.qlSimpleQuote(Currency&amp;$B23&amp;$C23&amp;$D23&amp;QuoteSuffix,,RateTickValue,Permanent,Trigger,ObjectOverwrite)</f>
        <v>AUDOIS16M_Quote#0000</v>
      </c>
      <c r="G23" s="22" t="str">
        <f>_xll.ohRangeRetrieveError(F23)</f>
        <v/>
      </c>
      <c r="H23" s="21"/>
      <c r="J23" s="85"/>
      <c r="K23" s="153" t="s">
        <v>153</v>
      </c>
      <c r="L23" s="192"/>
      <c r="M23" s="192" t="s">
        <v>138</v>
      </c>
      <c r="N23" s="190" t="str">
        <f t="shared" si="1"/>
        <v>AUD16MOIS</v>
      </c>
      <c r="O23" s="190" t="str">
        <v>AUD16MOIS=ICAA</v>
      </c>
      <c r="P23" s="147" t="s">
        <v>174</v>
      </c>
      <c r="Q23" s="147" t="s">
        <v>174</v>
      </c>
      <c r="R23" s="147" t="s">
        <v>174</v>
      </c>
      <c r="S23" s="147" t="s">
        <v>174</v>
      </c>
      <c r="T23" s="151" t="e">
        <f>_xll.qlMidEquivalent($P23,$Q23,$R23,$S23)</f>
        <v>#NUM!</v>
      </c>
      <c r="U23" s="149"/>
      <c r="V23" s="150" t="e">
        <v>#NUM!</v>
      </c>
      <c r="W23" s="149"/>
      <c r="X23" s="209" t="e">
        <v>#NUM!</v>
      </c>
      <c r="Y23" s="146" t="e">
        <f>_xll.qlSimpleQuoteSetValue(F23,X23/100,Trigger)</f>
        <v>#NUM!</v>
      </c>
      <c r="Z23" s="136"/>
    </row>
    <row r="24" spans="1:26" ht="11.25" customHeight="1" x14ac:dyDescent="0.2">
      <c r="A24" s="85"/>
      <c r="B24" s="118"/>
      <c r="C24" s="118" t="s">
        <v>138</v>
      </c>
      <c r="D24" s="364" t="s">
        <v>152</v>
      </c>
      <c r="E24" s="137" t="str">
        <f t="shared" si="0"/>
        <v>AUDOIS17M_Quote</v>
      </c>
      <c r="F24" s="137" t="str">
        <f>_xll.qlSimpleQuote(Currency&amp;$B24&amp;$C24&amp;$D24&amp;QuoteSuffix,,RateTickValue,Permanent,Trigger,ObjectOverwrite)</f>
        <v>AUDOIS17M_Quote#0000</v>
      </c>
      <c r="G24" s="22" t="str">
        <f>_xll.ohRangeRetrieveError(F24)</f>
        <v/>
      </c>
      <c r="H24" s="21"/>
      <c r="J24" s="85"/>
      <c r="K24" s="153" t="s">
        <v>152</v>
      </c>
      <c r="L24" s="192"/>
      <c r="M24" s="192" t="s">
        <v>138</v>
      </c>
      <c r="N24" s="190" t="str">
        <f t="shared" si="1"/>
        <v>AUD17MOIS</v>
      </c>
      <c r="O24" s="190" t="str">
        <v>AUD17MOIS=ICAA</v>
      </c>
      <c r="P24" s="147" t="s">
        <v>174</v>
      </c>
      <c r="Q24" s="147" t="s">
        <v>174</v>
      </c>
      <c r="R24" s="147" t="s">
        <v>174</v>
      </c>
      <c r="S24" s="147" t="s">
        <v>174</v>
      </c>
      <c r="T24" s="151" t="e">
        <f>_xll.qlMidEquivalent($P24,$Q24,$R24,$S24)</f>
        <v>#NUM!</v>
      </c>
      <c r="U24" s="149"/>
      <c r="V24" s="150" t="e">
        <v>#NUM!</v>
      </c>
      <c r="W24" s="149"/>
      <c r="X24" s="209" t="e">
        <v>#NUM!</v>
      </c>
      <c r="Y24" s="146" t="e">
        <f>_xll.qlSimpleQuoteSetValue(F24,X24/100,Trigger)</f>
        <v>#NUM!</v>
      </c>
      <c r="Z24" s="136"/>
    </row>
    <row r="25" spans="1:26" ht="11.25" customHeight="1" x14ac:dyDescent="0.2">
      <c r="A25" s="85"/>
      <c r="B25" s="118"/>
      <c r="C25" s="118" t="s">
        <v>138</v>
      </c>
      <c r="D25" s="364" t="s">
        <v>102</v>
      </c>
      <c r="E25" s="137" t="str">
        <f t="shared" si="0"/>
        <v>AUDOIS18M_Quote</v>
      </c>
      <c r="F25" s="137" t="str">
        <f>_xll.qlSimpleQuote(Currency&amp;$B25&amp;$C25&amp;$D25&amp;QuoteSuffix,,RateTickValue,Permanent,Trigger,ObjectOverwrite)</f>
        <v>AUDOIS18M_Quote#0000</v>
      </c>
      <c r="G25" s="22" t="str">
        <f>_xll.ohRangeRetrieveError(F25)</f>
        <v/>
      </c>
      <c r="H25" s="21"/>
      <c r="J25" s="85"/>
      <c r="K25" s="153" t="s">
        <v>102</v>
      </c>
      <c r="L25" s="192"/>
      <c r="M25" s="192" t="s">
        <v>138</v>
      </c>
      <c r="N25" s="190" t="str">
        <f t="shared" si="1"/>
        <v>AUD18MOIS</v>
      </c>
      <c r="O25" s="190" t="str">
        <v>AUD18MOIS=ICAA</v>
      </c>
      <c r="P25" s="147">
        <v>2.5649999999999999</v>
      </c>
      <c r="Q25" s="147">
        <v>2.6150000000000002</v>
      </c>
      <c r="R25" s="147">
        <v>0</v>
      </c>
      <c r="S25" s="147">
        <v>0</v>
      </c>
      <c r="T25" s="151">
        <f>_xll.qlMidEquivalent($P25,$Q25,$R25,$S25)</f>
        <v>2.59</v>
      </c>
      <c r="U25" s="149"/>
      <c r="V25" s="150">
        <v>2.62</v>
      </c>
      <c r="W25" s="149"/>
      <c r="X25" s="209">
        <v>2.59</v>
      </c>
      <c r="Y25" s="146">
        <f>_xll.qlSimpleQuoteSetValue(F25,X25/100,Trigger)</f>
        <v>-3.0000000000000165E-4</v>
      </c>
      <c r="Z25" s="136"/>
    </row>
    <row r="26" spans="1:26" ht="11.25" customHeight="1" x14ac:dyDescent="0.2">
      <c r="A26" s="85"/>
      <c r="B26" s="118"/>
      <c r="C26" s="118" t="s">
        <v>138</v>
      </c>
      <c r="D26" s="364" t="s">
        <v>151</v>
      </c>
      <c r="E26" s="137" t="str">
        <f t="shared" si="0"/>
        <v>AUDOIS19M_Quote</v>
      </c>
      <c r="F26" s="137" t="str">
        <f>_xll.qlSimpleQuote(Currency&amp;$B26&amp;$C26&amp;$D26&amp;QuoteSuffix,,RateTickValue,Permanent,Trigger,ObjectOverwrite)</f>
        <v>AUDOIS19M_Quote#0000</v>
      </c>
      <c r="G26" s="22" t="str">
        <f>_xll.ohRangeRetrieveError(F26)</f>
        <v/>
      </c>
      <c r="H26" s="21"/>
      <c r="J26" s="85"/>
      <c r="K26" s="153" t="s">
        <v>151</v>
      </c>
      <c r="L26" s="192"/>
      <c r="M26" s="192" t="s">
        <v>138</v>
      </c>
      <c r="N26" s="190" t="str">
        <f t="shared" si="1"/>
        <v>AUD19MOIS</v>
      </c>
      <c r="O26" s="190" t="str">
        <v>AUD19MOIS=ICAA</v>
      </c>
      <c r="P26" s="147" t="s">
        <v>174</v>
      </c>
      <c r="Q26" s="147" t="s">
        <v>174</v>
      </c>
      <c r="R26" s="147" t="s">
        <v>174</v>
      </c>
      <c r="S26" s="147" t="s">
        <v>174</v>
      </c>
      <c r="T26" s="151" t="e">
        <f>_xll.qlMidEquivalent($P26,$Q26,$R26,$S26)</f>
        <v>#NUM!</v>
      </c>
      <c r="U26" s="149"/>
      <c r="V26" s="150" t="e">
        <v>#NUM!</v>
      </c>
      <c r="W26" s="149"/>
      <c r="X26" s="209" t="e">
        <v>#NUM!</v>
      </c>
      <c r="Y26" s="146" t="e">
        <f>_xll.qlSimpleQuoteSetValue(F26,X26/100,Trigger)</f>
        <v>#NUM!</v>
      </c>
      <c r="Z26" s="136"/>
    </row>
    <row r="27" spans="1:26" ht="11.25" customHeight="1" x14ac:dyDescent="0.2">
      <c r="A27" s="85"/>
      <c r="B27" s="118"/>
      <c r="C27" s="118" t="s">
        <v>138</v>
      </c>
      <c r="D27" s="364" t="s">
        <v>150</v>
      </c>
      <c r="E27" s="137" t="str">
        <f t="shared" si="0"/>
        <v>AUDOIS20M_Quote</v>
      </c>
      <c r="F27" s="137" t="str">
        <f>_xll.qlSimpleQuote(Currency&amp;$B27&amp;$C27&amp;$D27&amp;QuoteSuffix,,RateTickValue,Permanent,Trigger,ObjectOverwrite)</f>
        <v>AUDOIS20M_Quote#0000</v>
      </c>
      <c r="G27" s="22" t="str">
        <f>_xll.ohRangeRetrieveError(F27)</f>
        <v/>
      </c>
      <c r="H27" s="21"/>
      <c r="J27" s="85"/>
      <c r="K27" s="153" t="s">
        <v>150</v>
      </c>
      <c r="L27" s="192"/>
      <c r="M27" s="192" t="s">
        <v>138</v>
      </c>
      <c r="N27" s="190" t="str">
        <f t="shared" si="1"/>
        <v>AUD20MOIS</v>
      </c>
      <c r="O27" s="190" t="str">
        <v>AUD20MOIS=ICAA</v>
      </c>
      <c r="P27" s="147" t="s">
        <v>174</v>
      </c>
      <c r="Q27" s="147" t="s">
        <v>174</v>
      </c>
      <c r="R27" s="147" t="s">
        <v>174</v>
      </c>
      <c r="S27" s="147" t="s">
        <v>174</v>
      </c>
      <c r="T27" s="151" t="e">
        <f>_xll.qlMidEquivalent($P27,$Q27,$R27,$S27)</f>
        <v>#NUM!</v>
      </c>
      <c r="U27" s="149"/>
      <c r="V27" s="150" t="e">
        <v>#NUM!</v>
      </c>
      <c r="W27" s="149"/>
      <c r="X27" s="209" t="e">
        <v>#NUM!</v>
      </c>
      <c r="Y27" s="146" t="e">
        <f>_xll.qlSimpleQuoteSetValue(F27,X27/100,Trigger)</f>
        <v>#NUM!</v>
      </c>
      <c r="Z27" s="136"/>
    </row>
    <row r="28" spans="1:26" ht="11.25" customHeight="1" x14ac:dyDescent="0.2">
      <c r="A28" s="85"/>
      <c r="B28" s="118"/>
      <c r="C28" s="118" t="s">
        <v>138</v>
      </c>
      <c r="D28" s="364" t="s">
        <v>101</v>
      </c>
      <c r="E28" s="137" t="str">
        <f t="shared" si="0"/>
        <v>AUDOIS21M_Quote</v>
      </c>
      <c r="F28" s="137" t="str">
        <f>_xll.qlSimpleQuote(Currency&amp;$B28&amp;$C28&amp;$D28&amp;QuoteSuffix,,RateTickValue,Permanent,Trigger,ObjectOverwrite)</f>
        <v>AUDOIS21M_Quote#0000</v>
      </c>
      <c r="G28" s="22" t="str">
        <f>_xll.ohRangeRetrieveError(F28)</f>
        <v/>
      </c>
      <c r="H28" s="21"/>
      <c r="J28" s="85"/>
      <c r="K28" s="153" t="s">
        <v>101</v>
      </c>
      <c r="L28" s="192"/>
      <c r="M28" s="192" t="s">
        <v>138</v>
      </c>
      <c r="N28" s="190" t="str">
        <f t="shared" si="1"/>
        <v>AUD21MOIS</v>
      </c>
      <c r="O28" s="190" t="str">
        <v>AUD21MOIS=ICAA</v>
      </c>
      <c r="P28" s="147" t="s">
        <v>174</v>
      </c>
      <c r="Q28" s="147" t="s">
        <v>174</v>
      </c>
      <c r="R28" s="147" t="s">
        <v>174</v>
      </c>
      <c r="S28" s="147" t="s">
        <v>174</v>
      </c>
      <c r="T28" s="151" t="e">
        <f>_xll.qlMidEquivalent($P28,$Q28,$R28,$S28)</f>
        <v>#NUM!</v>
      </c>
      <c r="U28" s="149"/>
      <c r="V28" s="150" t="e">
        <v>#NUM!</v>
      </c>
      <c r="W28" s="149"/>
      <c r="X28" s="209" t="e">
        <v>#NUM!</v>
      </c>
      <c r="Y28" s="146" t="e">
        <f>_xll.qlSimpleQuoteSetValue(F28,X28/100,Trigger)</f>
        <v>#NUM!</v>
      </c>
      <c r="Z28" s="136"/>
    </row>
    <row r="29" spans="1:26" ht="11.25" customHeight="1" x14ac:dyDescent="0.2">
      <c r="A29" s="85"/>
      <c r="B29" s="118"/>
      <c r="C29" s="118" t="s">
        <v>138</v>
      </c>
      <c r="D29" s="364" t="s">
        <v>149</v>
      </c>
      <c r="E29" s="137" t="str">
        <f t="shared" si="0"/>
        <v>AUDOIS22M_Quote</v>
      </c>
      <c r="F29" s="137" t="str">
        <f>_xll.qlSimpleQuote(Currency&amp;$B29&amp;$C29&amp;$D29&amp;QuoteSuffix,,RateTickValue,Permanent,Trigger,ObjectOverwrite)</f>
        <v>AUDOIS22M_Quote#0000</v>
      </c>
      <c r="G29" s="22" t="str">
        <f>_xll.ohRangeRetrieveError(F29)</f>
        <v/>
      </c>
      <c r="H29" s="21"/>
      <c r="J29" s="85"/>
      <c r="K29" s="153" t="s">
        <v>149</v>
      </c>
      <c r="L29" s="192"/>
      <c r="M29" s="192" t="s">
        <v>138</v>
      </c>
      <c r="N29" s="190" t="str">
        <f t="shared" si="1"/>
        <v>AUD22MOIS</v>
      </c>
      <c r="O29" s="190" t="str">
        <v>AUD22MOIS=ICAA</v>
      </c>
      <c r="P29" s="147" t="s">
        <v>174</v>
      </c>
      <c r="Q29" s="147" t="s">
        <v>174</v>
      </c>
      <c r="R29" s="147" t="s">
        <v>174</v>
      </c>
      <c r="S29" s="147" t="s">
        <v>174</v>
      </c>
      <c r="T29" s="151" t="e">
        <f>_xll.qlMidEquivalent($P29,$Q29,$R29,$S29)</f>
        <v>#NUM!</v>
      </c>
      <c r="U29" s="149"/>
      <c r="V29" s="150" t="e">
        <v>#NUM!</v>
      </c>
      <c r="W29" s="149"/>
      <c r="X29" s="209" t="e">
        <v>#NUM!</v>
      </c>
      <c r="Y29" s="146" t="e">
        <f>_xll.qlSimpleQuoteSetValue(F29,X29/100,Trigger)</f>
        <v>#NUM!</v>
      </c>
      <c r="Z29" s="136"/>
    </row>
    <row r="30" spans="1:26" ht="11.25" customHeight="1" x14ac:dyDescent="0.2">
      <c r="A30" s="85"/>
      <c r="B30" s="118"/>
      <c r="C30" s="118" t="s">
        <v>138</v>
      </c>
      <c r="D30" s="364" t="s">
        <v>148</v>
      </c>
      <c r="E30" s="137" t="str">
        <f t="shared" si="0"/>
        <v>AUDOIS23M_Quote</v>
      </c>
      <c r="F30" s="137" t="str">
        <f>_xll.qlSimpleQuote(Currency&amp;$B30&amp;$C30&amp;$D30&amp;QuoteSuffix,,RateTickValue,Permanent,Trigger,ObjectOverwrite)</f>
        <v>AUDOIS23M_Quote#0000</v>
      </c>
      <c r="G30" s="22" t="str">
        <f>_xll.ohRangeRetrieveError(F30)</f>
        <v/>
      </c>
      <c r="H30" s="21"/>
      <c r="J30" s="85"/>
      <c r="K30" s="153" t="s">
        <v>148</v>
      </c>
      <c r="L30" s="192"/>
      <c r="M30" s="192" t="s">
        <v>138</v>
      </c>
      <c r="N30" s="190" t="str">
        <f t="shared" si="1"/>
        <v>AUD23MOIS</v>
      </c>
      <c r="O30" s="190" t="str">
        <v>AUD23MOIS=ICAA</v>
      </c>
      <c r="P30" s="147" t="s">
        <v>174</v>
      </c>
      <c r="Q30" s="147" t="s">
        <v>174</v>
      </c>
      <c r="R30" s="147" t="s">
        <v>174</v>
      </c>
      <c r="S30" s="147" t="s">
        <v>174</v>
      </c>
      <c r="T30" s="151" t="e">
        <f>_xll.qlMidEquivalent($P30,$Q30,$R30,$S30)</f>
        <v>#NUM!</v>
      </c>
      <c r="U30" s="149"/>
      <c r="V30" s="150" t="e">
        <v>#NUM!</v>
      </c>
      <c r="W30" s="149"/>
      <c r="X30" s="209" t="e">
        <v>#NUM!</v>
      </c>
      <c r="Y30" s="146" t="e">
        <f>_xll.qlSimpleQuoteSetValue(F30,X30/100,Trigger)</f>
        <v>#NUM!</v>
      </c>
      <c r="Z30" s="136"/>
    </row>
    <row r="31" spans="1:26" ht="11.25" customHeight="1" x14ac:dyDescent="0.2">
      <c r="A31" s="85"/>
      <c r="B31" s="118"/>
      <c r="C31" s="118" t="s">
        <v>138</v>
      </c>
      <c r="D31" s="364" t="s">
        <v>84</v>
      </c>
      <c r="E31" s="137" t="str">
        <f t="shared" si="0"/>
        <v>AUDOIS2Y_Quote</v>
      </c>
      <c r="F31" s="137" t="str">
        <f>_xll.qlSimpleQuote(Currency&amp;$B31&amp;$C31&amp;$D31&amp;QuoteSuffix,,RateTickValue,Permanent,Trigger,ObjectOverwrite)</f>
        <v>AUDOIS2Y_Quote#0000</v>
      </c>
      <c r="G31" s="22" t="str">
        <f>_xll.ohRangeRetrieveError(F31)</f>
        <v/>
      </c>
      <c r="H31" s="21"/>
      <c r="J31" s="85"/>
      <c r="K31" s="153" t="s">
        <v>84</v>
      </c>
      <c r="L31" s="192"/>
      <c r="M31" s="192" t="s">
        <v>138</v>
      </c>
      <c r="N31" s="190" t="str">
        <f t="shared" si="1"/>
        <v>AUD2YOIS</v>
      </c>
      <c r="O31" s="190" t="str">
        <v>AUD2YOIS=ICAA</v>
      </c>
      <c r="P31" s="147">
        <v>2.66</v>
      </c>
      <c r="Q31" s="147">
        <v>2.71</v>
      </c>
      <c r="R31" s="147">
        <v>0</v>
      </c>
      <c r="S31" s="147">
        <v>0</v>
      </c>
      <c r="T31" s="151">
        <f>_xll.qlMidEquivalent($P31,$Q31,$R31,$S31)</f>
        <v>2.6850000000000001</v>
      </c>
      <c r="U31" s="149"/>
      <c r="V31" s="150">
        <v>2.7250000000000001</v>
      </c>
      <c r="W31" s="149"/>
      <c r="X31" s="209">
        <v>2.6850000000000001</v>
      </c>
      <c r="Y31" s="146">
        <f>_xll.qlSimpleQuoteSetValue(F31,X31/100,Trigger)</f>
        <v>-4.0000000000000105E-4</v>
      </c>
      <c r="Z31" s="136"/>
    </row>
    <row r="32" spans="1:26" ht="11.25" customHeight="1" x14ac:dyDescent="0.2">
      <c r="A32" s="85"/>
      <c r="B32" s="118"/>
      <c r="C32" s="118" t="s">
        <v>138</v>
      </c>
      <c r="D32" s="364" t="s">
        <v>147</v>
      </c>
      <c r="E32" s="137" t="str">
        <f t="shared" si="0"/>
        <v>AUDOIS27M_Quote</v>
      </c>
      <c r="F32" s="137" t="str">
        <f>_xll.qlSimpleQuote(Currency&amp;$B32&amp;$C32&amp;$D32&amp;QuoteSuffix,,RateTickValue,Permanent,Trigger,ObjectOverwrite)</f>
        <v>AUDOIS27M_Quote#0000</v>
      </c>
      <c r="G32" s="22" t="str">
        <f>_xll.ohRangeRetrieveError(F32)</f>
        <v/>
      </c>
      <c r="H32" s="21"/>
      <c r="J32" s="85"/>
      <c r="K32" s="153" t="s">
        <v>147</v>
      </c>
      <c r="L32" s="192"/>
      <c r="M32" s="192" t="s">
        <v>138</v>
      </c>
      <c r="N32" s="190" t="str">
        <f t="shared" si="1"/>
        <v>AUD27MOIS</v>
      </c>
      <c r="O32" s="190" t="str">
        <v>AUD27MOIS=ICAA</v>
      </c>
      <c r="P32" s="147" t="s">
        <v>174</v>
      </c>
      <c r="Q32" s="147" t="s">
        <v>174</v>
      </c>
      <c r="R32" s="147" t="s">
        <v>174</v>
      </c>
      <c r="S32" s="147" t="s">
        <v>174</v>
      </c>
      <c r="T32" s="151" t="e">
        <f>_xll.qlMidEquivalent($P32,$Q32,$R32,$S32)</f>
        <v>#NUM!</v>
      </c>
      <c r="U32" s="149"/>
      <c r="V32" s="150" t="e">
        <v>#NUM!</v>
      </c>
      <c r="W32" s="149"/>
      <c r="X32" s="209" t="e">
        <v>#NUM!</v>
      </c>
      <c r="Y32" s="146" t="e">
        <f>_xll.qlSimpleQuoteSetValue(F32,X32/100,Trigger)</f>
        <v>#NUM!</v>
      </c>
      <c r="Z32" s="136"/>
    </row>
    <row r="33" spans="1:26" ht="11.25" customHeight="1" x14ac:dyDescent="0.2">
      <c r="A33" s="85"/>
      <c r="B33" s="118"/>
      <c r="C33" s="118" t="s">
        <v>138</v>
      </c>
      <c r="D33" s="364" t="s">
        <v>146</v>
      </c>
      <c r="E33" s="137" t="str">
        <f t="shared" si="0"/>
        <v>AUDOIS30M_Quote</v>
      </c>
      <c r="F33" s="137" t="str">
        <f>_xll.qlSimpleQuote(Currency&amp;$B33&amp;$C33&amp;$D33&amp;QuoteSuffix,,RateTickValue,Permanent,Trigger,ObjectOverwrite)</f>
        <v>AUDOIS30M_Quote#0000</v>
      </c>
      <c r="G33" s="22" t="str">
        <f>_xll.ohRangeRetrieveError(F33)</f>
        <v/>
      </c>
      <c r="H33" s="21"/>
      <c r="J33" s="85"/>
      <c r="K33" s="153" t="s">
        <v>146</v>
      </c>
      <c r="L33" s="192"/>
      <c r="M33" s="192" t="s">
        <v>138</v>
      </c>
      <c r="N33" s="190" t="str">
        <f t="shared" si="1"/>
        <v>AUD30MOIS</v>
      </c>
      <c r="O33" s="190" t="str">
        <v>AUD30MOIS=ICAA</v>
      </c>
      <c r="P33" s="147" t="s">
        <v>174</v>
      </c>
      <c r="Q33" s="147" t="s">
        <v>174</v>
      </c>
      <c r="R33" s="147" t="s">
        <v>174</v>
      </c>
      <c r="S33" s="147" t="s">
        <v>174</v>
      </c>
      <c r="T33" s="151" t="e">
        <f>_xll.qlMidEquivalent($P33,$Q33,$R33,$S33)</f>
        <v>#NUM!</v>
      </c>
      <c r="U33" s="149"/>
      <c r="V33" s="150" t="e">
        <v>#NUM!</v>
      </c>
      <c r="W33" s="149"/>
      <c r="X33" s="209" t="e">
        <v>#NUM!</v>
      </c>
      <c r="Y33" s="146" t="e">
        <f>_xll.qlSimpleQuoteSetValue(F33,X33/100,Trigger)</f>
        <v>#NUM!</v>
      </c>
      <c r="Z33" s="136"/>
    </row>
    <row r="34" spans="1:26" ht="11.25" customHeight="1" x14ac:dyDescent="0.2">
      <c r="A34" s="85"/>
      <c r="B34" s="118"/>
      <c r="C34" s="118" t="s">
        <v>138</v>
      </c>
      <c r="D34" s="364" t="s">
        <v>145</v>
      </c>
      <c r="E34" s="137" t="str">
        <f t="shared" si="0"/>
        <v>AUDOIS33M_Quote</v>
      </c>
      <c r="F34" s="137" t="str">
        <f>_xll.qlSimpleQuote(Currency&amp;$B34&amp;$C34&amp;$D34&amp;QuoteSuffix,,RateTickValue,Permanent,Trigger,ObjectOverwrite)</f>
        <v>AUDOIS33M_Quote#0000</v>
      </c>
      <c r="G34" s="22" t="str">
        <f>_xll.ohRangeRetrieveError(F34)</f>
        <v/>
      </c>
      <c r="H34" s="21"/>
      <c r="J34" s="85"/>
      <c r="K34" s="153" t="s">
        <v>145</v>
      </c>
      <c r="L34" s="192"/>
      <c r="M34" s="192" t="s">
        <v>138</v>
      </c>
      <c r="N34" s="190" t="str">
        <f t="shared" si="1"/>
        <v>AUD33MOIS</v>
      </c>
      <c r="O34" s="190" t="str">
        <v>AUD33MOIS=ICAA</v>
      </c>
      <c r="P34" s="147" t="s">
        <v>174</v>
      </c>
      <c r="Q34" s="147" t="s">
        <v>174</v>
      </c>
      <c r="R34" s="147" t="s">
        <v>174</v>
      </c>
      <c r="S34" s="147" t="s">
        <v>174</v>
      </c>
      <c r="T34" s="151" t="e">
        <f>_xll.qlMidEquivalent($P34,$Q34,$R34,$S34)</f>
        <v>#NUM!</v>
      </c>
      <c r="U34" s="149"/>
      <c r="V34" s="150" t="e">
        <v>#NUM!</v>
      </c>
      <c r="W34" s="149"/>
      <c r="X34" s="209" t="e">
        <v>#NUM!</v>
      </c>
      <c r="Y34" s="146" t="e">
        <f>_xll.qlSimpleQuoteSetValue(F34,X34/100,Trigger)</f>
        <v>#NUM!</v>
      </c>
      <c r="Z34" s="136"/>
    </row>
    <row r="35" spans="1:26" ht="11.25" customHeight="1" x14ac:dyDescent="0.2">
      <c r="A35" s="85"/>
      <c r="B35" s="118"/>
      <c r="C35" s="118" t="s">
        <v>138</v>
      </c>
      <c r="D35" s="364" t="s">
        <v>83</v>
      </c>
      <c r="E35" s="137" t="str">
        <f t="shared" si="0"/>
        <v>AUDOIS3Y_Quote</v>
      </c>
      <c r="F35" s="137" t="str">
        <f>_xll.qlSimpleQuote(Currency&amp;$B35&amp;$C35&amp;$D35&amp;QuoteSuffix,,RateTickValue,Permanent,Trigger,ObjectOverwrite)</f>
        <v>AUDOIS3Y_Quote#0000</v>
      </c>
      <c r="G35" s="22" t="str">
        <f>_xll.ohRangeRetrieveError(F35)</f>
        <v/>
      </c>
      <c r="H35" s="21"/>
      <c r="J35" s="85"/>
      <c r="K35" s="153" t="s">
        <v>83</v>
      </c>
      <c r="L35" s="192"/>
      <c r="M35" s="192" t="s">
        <v>138</v>
      </c>
      <c r="N35" s="190" t="str">
        <f t="shared" si="1"/>
        <v>AUD3YOIS</v>
      </c>
      <c r="O35" s="190" t="str">
        <v>AUD3YOIS=ICAA</v>
      </c>
      <c r="P35" s="147">
        <v>2.87</v>
      </c>
      <c r="Q35" s="147">
        <v>2.92</v>
      </c>
      <c r="R35" s="147">
        <v>0</v>
      </c>
      <c r="S35" s="147">
        <v>0</v>
      </c>
      <c r="T35" s="151">
        <f>_xll.qlMidEquivalent($P35,$Q35,$R35,$S35)</f>
        <v>2.895</v>
      </c>
      <c r="U35" s="149"/>
      <c r="V35" s="150">
        <v>2.9550000000000001</v>
      </c>
      <c r="W35" s="149"/>
      <c r="X35" s="209">
        <v>2.895</v>
      </c>
      <c r="Y35" s="146">
        <f>_xll.qlSimpleQuoteSetValue(F35,X35/100,Trigger)</f>
        <v>-5.9999999999999984E-4</v>
      </c>
      <c r="Z35" s="136"/>
    </row>
    <row r="36" spans="1:26" ht="11.25" customHeight="1" x14ac:dyDescent="0.2">
      <c r="A36" s="85"/>
      <c r="B36" s="118"/>
      <c r="C36" s="118" t="s">
        <v>138</v>
      </c>
      <c r="D36" s="364" t="s">
        <v>144</v>
      </c>
      <c r="E36" s="137" t="str">
        <f t="shared" si="0"/>
        <v>AUDOIS39M_Quote</v>
      </c>
      <c r="F36" s="137" t="str">
        <f>_xll.qlSimpleQuote(Currency&amp;$B36&amp;$C36&amp;$D36&amp;QuoteSuffix,,RateTickValue,Permanent,Trigger,ObjectOverwrite)</f>
        <v>AUDOIS39M_Quote#0000</v>
      </c>
      <c r="G36" s="22" t="str">
        <f>_xll.ohRangeRetrieveError(F36)</f>
        <v/>
      </c>
      <c r="H36" s="21"/>
      <c r="J36" s="85"/>
      <c r="K36" s="153" t="s">
        <v>144</v>
      </c>
      <c r="L36" s="192"/>
      <c r="M36" s="192" t="s">
        <v>138</v>
      </c>
      <c r="N36" s="190" t="str">
        <f t="shared" si="1"/>
        <v>AUD39MOIS</v>
      </c>
      <c r="O36" s="190" t="str">
        <v>AUD39MOIS=ICAA</v>
      </c>
      <c r="P36" s="147" t="s">
        <v>174</v>
      </c>
      <c r="Q36" s="147" t="s">
        <v>174</v>
      </c>
      <c r="R36" s="147" t="s">
        <v>174</v>
      </c>
      <c r="S36" s="147" t="s">
        <v>174</v>
      </c>
      <c r="T36" s="151" t="e">
        <f>_xll.qlMidEquivalent($P36,$Q36,$R36,$S36)</f>
        <v>#NUM!</v>
      </c>
      <c r="U36" s="149"/>
      <c r="V36" s="150" t="e">
        <v>#NUM!</v>
      </c>
      <c r="W36" s="149"/>
      <c r="X36" s="209" t="e">
        <v>#NUM!</v>
      </c>
      <c r="Y36" s="146" t="e">
        <f>_xll.qlSimpleQuoteSetValue(F36,X36/100,Trigger)</f>
        <v>#NUM!</v>
      </c>
      <c r="Z36" s="136"/>
    </row>
    <row r="37" spans="1:26" ht="11.25" customHeight="1" x14ac:dyDescent="0.2">
      <c r="A37" s="85"/>
      <c r="B37" s="118"/>
      <c r="C37" s="118" t="s">
        <v>138</v>
      </c>
      <c r="D37" s="364" t="s">
        <v>143</v>
      </c>
      <c r="E37" s="137" t="str">
        <f t="shared" ref="E37:E58" si="2">Currency&amp;$B37&amp;$C37&amp;$D37&amp;QuoteSuffix</f>
        <v>AUDOIS42M_Quote</v>
      </c>
      <c r="F37" s="137" t="str">
        <f>_xll.qlSimpleQuote(Currency&amp;$B37&amp;$C37&amp;$D37&amp;QuoteSuffix,,RateTickValue,Permanent,Trigger,ObjectOverwrite)</f>
        <v>AUDOIS42M_Quote#0000</v>
      </c>
      <c r="G37" s="22" t="str">
        <f>_xll.ohRangeRetrieveError(F37)</f>
        <v/>
      </c>
      <c r="H37" s="21"/>
      <c r="J37" s="85"/>
      <c r="K37" s="153" t="s">
        <v>143</v>
      </c>
      <c r="L37" s="192"/>
      <c r="M37" s="192" t="s">
        <v>138</v>
      </c>
      <c r="N37" s="190" t="str">
        <f t="shared" ref="N37:N58" si="3">Currency&amp;$K37&amp;$L37&amp;$M37</f>
        <v>AUD42MOIS</v>
      </c>
      <c r="O37" s="190" t="str">
        <v>AUD42MOIS=ICAA</v>
      </c>
      <c r="P37" s="147" t="s">
        <v>174</v>
      </c>
      <c r="Q37" s="147" t="s">
        <v>174</v>
      </c>
      <c r="R37" s="147" t="s">
        <v>174</v>
      </c>
      <c r="S37" s="147" t="s">
        <v>174</v>
      </c>
      <c r="T37" s="151" t="e">
        <f>_xll.qlMidEquivalent($P37,$Q37,$R37,$S37)</f>
        <v>#NUM!</v>
      </c>
      <c r="U37" s="149"/>
      <c r="V37" s="150" t="e">
        <v>#NUM!</v>
      </c>
      <c r="W37" s="149"/>
      <c r="X37" s="209" t="e">
        <v>#NUM!</v>
      </c>
      <c r="Y37" s="146" t="e">
        <f>_xll.qlSimpleQuoteSetValue(F37,X37/100,Trigger)</f>
        <v>#NUM!</v>
      </c>
      <c r="Z37" s="136"/>
    </row>
    <row r="38" spans="1:26" ht="11.25" customHeight="1" x14ac:dyDescent="0.2">
      <c r="A38" s="85"/>
      <c r="B38" s="118"/>
      <c r="C38" s="118" t="s">
        <v>138</v>
      </c>
      <c r="D38" s="364" t="s">
        <v>142</v>
      </c>
      <c r="E38" s="137" t="str">
        <f t="shared" si="2"/>
        <v>AUDOIS45M_Quote</v>
      </c>
      <c r="F38" s="137" t="str">
        <f>_xll.qlSimpleQuote(Currency&amp;$B38&amp;$C38&amp;$D38&amp;QuoteSuffix,,RateTickValue,Permanent,Trigger,ObjectOverwrite)</f>
        <v>AUDOIS45M_Quote#0000</v>
      </c>
      <c r="G38" s="22" t="str">
        <f>_xll.ohRangeRetrieveError(F38)</f>
        <v/>
      </c>
      <c r="H38" s="21"/>
      <c r="J38" s="85"/>
      <c r="K38" s="153" t="s">
        <v>142</v>
      </c>
      <c r="L38" s="192"/>
      <c r="M38" s="192" t="s">
        <v>138</v>
      </c>
      <c r="N38" s="190" t="str">
        <f t="shared" si="3"/>
        <v>AUD45MOIS</v>
      </c>
      <c r="O38" s="190" t="str">
        <v>AUD45MOIS=ICAA</v>
      </c>
      <c r="P38" s="147" t="s">
        <v>174</v>
      </c>
      <c r="Q38" s="147" t="s">
        <v>174</v>
      </c>
      <c r="R38" s="147" t="s">
        <v>174</v>
      </c>
      <c r="S38" s="147" t="s">
        <v>174</v>
      </c>
      <c r="T38" s="151" t="e">
        <f>_xll.qlMidEquivalent($P38,$Q38,$R38,$S38)</f>
        <v>#NUM!</v>
      </c>
      <c r="U38" s="149"/>
      <c r="V38" s="150" t="e">
        <v>#NUM!</v>
      </c>
      <c r="W38" s="149"/>
      <c r="X38" s="209" t="e">
        <v>#NUM!</v>
      </c>
      <c r="Y38" s="146" t="e">
        <f>_xll.qlSimpleQuoteSetValue(F38,X38/100,Trigger)</f>
        <v>#NUM!</v>
      </c>
      <c r="Z38" s="136"/>
    </row>
    <row r="39" spans="1:26" ht="11.25" customHeight="1" x14ac:dyDescent="0.2">
      <c r="A39" s="85"/>
      <c r="B39" s="118"/>
      <c r="C39" s="118" t="s">
        <v>138</v>
      </c>
      <c r="D39" s="364" t="s">
        <v>82</v>
      </c>
      <c r="E39" s="137" t="str">
        <f t="shared" si="2"/>
        <v>AUDOIS4Y_Quote</v>
      </c>
      <c r="F39" s="137" t="str">
        <f>_xll.qlSimpleQuote(Currency&amp;$B39&amp;$C39&amp;$D39&amp;QuoteSuffix,,RateTickValue,Permanent,Trigger,ObjectOverwrite)</f>
        <v>AUDOIS4Y_Quote#0000</v>
      </c>
      <c r="G39" s="22" t="str">
        <f>_xll.ohRangeRetrieveError(F39)</f>
        <v/>
      </c>
      <c r="H39" s="21"/>
      <c r="J39" s="85"/>
      <c r="K39" s="153" t="s">
        <v>82</v>
      </c>
      <c r="L39" s="192"/>
      <c r="M39" s="192" t="s">
        <v>138</v>
      </c>
      <c r="N39" s="190" t="str">
        <f t="shared" si="3"/>
        <v>AUD4YOIS</v>
      </c>
      <c r="O39" s="190" t="str">
        <v>AUD4YOIS=ICAA</v>
      </c>
      <c r="P39" s="147" t="s">
        <v>174</v>
      </c>
      <c r="Q39" s="147" t="s">
        <v>174</v>
      </c>
      <c r="R39" s="147" t="s">
        <v>174</v>
      </c>
      <c r="S39" s="147" t="s">
        <v>174</v>
      </c>
      <c r="T39" s="151" t="e">
        <f>_xll.qlMidEquivalent($P39,$Q39,$R39,$S39)</f>
        <v>#NUM!</v>
      </c>
      <c r="U39" s="149"/>
      <c r="V39" s="150" t="e">
        <v>#NUM!</v>
      </c>
      <c r="W39" s="149"/>
      <c r="X39" s="209" t="e">
        <v>#NUM!</v>
      </c>
      <c r="Y39" s="146" t="e">
        <f>_xll.qlSimpleQuoteSetValue(F39,X39/100,Trigger)</f>
        <v>#NUM!</v>
      </c>
      <c r="Z39" s="136"/>
    </row>
    <row r="40" spans="1:26" ht="11.25" customHeight="1" x14ac:dyDescent="0.2">
      <c r="A40" s="85"/>
      <c r="B40" s="118"/>
      <c r="C40" s="118" t="s">
        <v>138</v>
      </c>
      <c r="D40" s="364" t="s">
        <v>141</v>
      </c>
      <c r="E40" s="137" t="str">
        <f t="shared" si="2"/>
        <v>AUDOIS51M_Quote</v>
      </c>
      <c r="F40" s="137" t="str">
        <f>_xll.qlSimpleQuote(Currency&amp;$B40&amp;$C40&amp;$D40&amp;QuoteSuffix,,RateTickValue,Permanent,Trigger,ObjectOverwrite)</f>
        <v>AUDOIS51M_Quote#0000</v>
      </c>
      <c r="G40" s="22" t="str">
        <f>_xll.ohRangeRetrieveError(F40)</f>
        <v/>
      </c>
      <c r="H40" s="21"/>
      <c r="J40" s="85"/>
      <c r="K40" s="153" t="s">
        <v>141</v>
      </c>
      <c r="L40" s="192"/>
      <c r="M40" s="192" t="s">
        <v>138</v>
      </c>
      <c r="N40" s="190" t="str">
        <f t="shared" si="3"/>
        <v>AUD51MOIS</v>
      </c>
      <c r="O40" s="190" t="str">
        <v>AUD51MOIS=ICAA</v>
      </c>
      <c r="P40" s="147" t="s">
        <v>174</v>
      </c>
      <c r="Q40" s="147" t="s">
        <v>174</v>
      </c>
      <c r="R40" s="147" t="s">
        <v>174</v>
      </c>
      <c r="S40" s="147" t="s">
        <v>174</v>
      </c>
      <c r="T40" s="151" t="e">
        <f>_xll.qlMidEquivalent($P40,$Q40,$R40,$S40)</f>
        <v>#NUM!</v>
      </c>
      <c r="U40" s="149"/>
      <c r="V40" s="150" t="e">
        <v>#NUM!</v>
      </c>
      <c r="W40" s="149"/>
      <c r="X40" s="209" t="e">
        <v>#NUM!</v>
      </c>
      <c r="Y40" s="146" t="e">
        <f>_xll.qlSimpleQuoteSetValue(F40,X40/100,Trigger)</f>
        <v>#NUM!</v>
      </c>
      <c r="Z40" s="136"/>
    </row>
    <row r="41" spans="1:26" ht="11.25" customHeight="1" x14ac:dyDescent="0.2">
      <c r="A41" s="85"/>
      <c r="B41" s="118"/>
      <c r="C41" s="118" t="s">
        <v>138</v>
      </c>
      <c r="D41" s="364" t="s">
        <v>140</v>
      </c>
      <c r="E41" s="137" t="str">
        <f t="shared" si="2"/>
        <v>AUDOIS54M_Quote</v>
      </c>
      <c r="F41" s="137" t="str">
        <f>_xll.qlSimpleQuote(Currency&amp;$B41&amp;$C41&amp;$D41&amp;QuoteSuffix,,RateTickValue,Permanent,Trigger,ObjectOverwrite)</f>
        <v>AUDOIS54M_Quote#0000</v>
      </c>
      <c r="G41" s="22" t="str">
        <f>_xll.ohRangeRetrieveError(F41)</f>
        <v/>
      </c>
      <c r="H41" s="21"/>
      <c r="J41" s="85"/>
      <c r="K41" s="153" t="s">
        <v>140</v>
      </c>
      <c r="L41" s="192"/>
      <c r="M41" s="192" t="s">
        <v>138</v>
      </c>
      <c r="N41" s="190" t="str">
        <f t="shared" si="3"/>
        <v>AUD54MOIS</v>
      </c>
      <c r="O41" s="190" t="str">
        <v>AUD54MOIS=ICAA</v>
      </c>
      <c r="P41" s="147" t="s">
        <v>174</v>
      </c>
      <c r="Q41" s="147" t="s">
        <v>174</v>
      </c>
      <c r="R41" s="147" t="s">
        <v>174</v>
      </c>
      <c r="S41" s="147" t="s">
        <v>174</v>
      </c>
      <c r="T41" s="151" t="e">
        <f>_xll.qlMidEquivalent($P41,$Q41,$R41,$S41)</f>
        <v>#NUM!</v>
      </c>
      <c r="U41" s="149"/>
      <c r="V41" s="150" t="e">
        <v>#NUM!</v>
      </c>
      <c r="W41" s="149"/>
      <c r="X41" s="209" t="e">
        <v>#NUM!</v>
      </c>
      <c r="Y41" s="146" t="e">
        <f>_xll.qlSimpleQuoteSetValue(F41,X41/100,Trigger)</f>
        <v>#NUM!</v>
      </c>
      <c r="Z41" s="136"/>
    </row>
    <row r="42" spans="1:26" ht="11.25" customHeight="1" x14ac:dyDescent="0.2">
      <c r="A42" s="85"/>
      <c r="B42" s="118"/>
      <c r="C42" s="118" t="s">
        <v>138</v>
      </c>
      <c r="D42" s="364" t="s">
        <v>139</v>
      </c>
      <c r="E42" s="137" t="str">
        <f t="shared" si="2"/>
        <v>AUDOIS57M_Quote</v>
      </c>
      <c r="F42" s="137" t="str">
        <f>_xll.qlSimpleQuote(Currency&amp;$B42&amp;$C42&amp;$D42&amp;QuoteSuffix,,RateTickValue,Permanent,Trigger,ObjectOverwrite)</f>
        <v>AUDOIS57M_Quote#0000</v>
      </c>
      <c r="G42" s="22" t="str">
        <f>_xll.ohRangeRetrieveError(F42)</f>
        <v/>
      </c>
      <c r="H42" s="21"/>
      <c r="J42" s="85"/>
      <c r="K42" s="153" t="s">
        <v>139</v>
      </c>
      <c r="L42" s="192"/>
      <c r="M42" s="192" t="s">
        <v>138</v>
      </c>
      <c r="N42" s="190" t="str">
        <f t="shared" si="3"/>
        <v>AUD57MOIS</v>
      </c>
      <c r="O42" s="190" t="str">
        <v>AUD57MOIS=ICAA</v>
      </c>
      <c r="P42" s="147" t="s">
        <v>174</v>
      </c>
      <c r="Q42" s="147" t="s">
        <v>174</v>
      </c>
      <c r="R42" s="147" t="s">
        <v>174</v>
      </c>
      <c r="S42" s="147" t="s">
        <v>174</v>
      </c>
      <c r="T42" s="151" t="e">
        <f>_xll.qlMidEquivalent($P42,$Q42,$R42,$S42)</f>
        <v>#NUM!</v>
      </c>
      <c r="U42" s="149"/>
      <c r="V42" s="150" t="e">
        <v>#NUM!</v>
      </c>
      <c r="W42" s="149"/>
      <c r="X42" s="209" t="e">
        <v>#NUM!</v>
      </c>
      <c r="Y42" s="146" t="e">
        <f>_xll.qlSimpleQuoteSetValue(F42,X42/100,Trigger)</f>
        <v>#NUM!</v>
      </c>
      <c r="Z42" s="136"/>
    </row>
    <row r="43" spans="1:26" ht="11.25" customHeight="1" x14ac:dyDescent="0.2">
      <c r="A43" s="85"/>
      <c r="B43" s="118"/>
      <c r="C43" s="118" t="s">
        <v>138</v>
      </c>
      <c r="D43" s="364" t="s">
        <v>81</v>
      </c>
      <c r="E43" s="137" t="str">
        <f t="shared" si="2"/>
        <v>AUDOIS5Y_Quote</v>
      </c>
      <c r="F43" s="137" t="str">
        <f>_xll.qlSimpleQuote(Currency&amp;$B43&amp;$C43&amp;$D43&amp;QuoteSuffix,,RateTickValue,Permanent,Trigger,ObjectOverwrite)</f>
        <v>AUDOIS5Y_Quote#0000</v>
      </c>
      <c r="G43" s="22" t="str">
        <f>_xll.ohRangeRetrieveError(F43)</f>
        <v/>
      </c>
      <c r="H43" s="21"/>
      <c r="J43" s="85"/>
      <c r="K43" s="153" t="s">
        <v>81</v>
      </c>
      <c r="L43" s="192"/>
      <c r="M43" s="192" t="s">
        <v>138</v>
      </c>
      <c r="N43" s="190" t="str">
        <f t="shared" si="3"/>
        <v>AUD5YOIS</v>
      </c>
      <c r="O43" s="190" t="str">
        <v>AUD5YOIS=ICAA</v>
      </c>
      <c r="P43" s="147" t="s">
        <v>174</v>
      </c>
      <c r="Q43" s="147" t="s">
        <v>174</v>
      </c>
      <c r="R43" s="147" t="s">
        <v>174</v>
      </c>
      <c r="S43" s="147" t="s">
        <v>174</v>
      </c>
      <c r="T43" s="151" t="e">
        <f>_xll.qlMidEquivalent($P43,$Q43,$R43,$S43)</f>
        <v>#NUM!</v>
      </c>
      <c r="U43" s="149"/>
      <c r="V43" s="150" t="e">
        <v>#NUM!</v>
      </c>
      <c r="W43" s="149"/>
      <c r="X43" s="209" t="e">
        <v>#NUM!</v>
      </c>
      <c r="Y43" s="146" t="e">
        <f>_xll.qlSimpleQuoteSetValue(F43,X43/100,Trigger)</f>
        <v>#NUM!</v>
      </c>
      <c r="Z43" s="136"/>
    </row>
    <row r="44" spans="1:26" ht="11.25" customHeight="1" x14ac:dyDescent="0.2">
      <c r="A44" s="85"/>
      <c r="B44" s="118"/>
      <c r="C44" s="118" t="s">
        <v>138</v>
      </c>
      <c r="D44" s="364" t="s">
        <v>80</v>
      </c>
      <c r="E44" s="137" t="str">
        <f t="shared" si="2"/>
        <v>AUDOIS6Y_Quote</v>
      </c>
      <c r="F44" s="137" t="str">
        <f>_xll.qlSimpleQuote(Currency&amp;$B44&amp;$C44&amp;$D44&amp;QuoteSuffix,,RateTickValue,Permanent,Trigger,ObjectOverwrite)</f>
        <v>AUDOIS6Y_Quote#0000</v>
      </c>
      <c r="G44" s="22" t="str">
        <f>_xll.ohRangeRetrieveError(F44)</f>
        <v/>
      </c>
      <c r="H44" s="21"/>
      <c r="J44" s="85"/>
      <c r="K44" s="153" t="s">
        <v>80</v>
      </c>
      <c r="L44" s="192"/>
      <c r="M44" s="192" t="s">
        <v>138</v>
      </c>
      <c r="N44" s="190" t="str">
        <f t="shared" si="3"/>
        <v>AUD6YOIS</v>
      </c>
      <c r="O44" s="190" t="str">
        <v>AUD6YOIS=ICAA</v>
      </c>
      <c r="P44" s="147" t="s">
        <v>174</v>
      </c>
      <c r="Q44" s="147" t="s">
        <v>174</v>
      </c>
      <c r="R44" s="147" t="s">
        <v>174</v>
      </c>
      <c r="S44" s="147" t="s">
        <v>174</v>
      </c>
      <c r="T44" s="151" t="e">
        <f>_xll.qlMidEquivalent($P44,$Q44,$R44,$S44)</f>
        <v>#NUM!</v>
      </c>
      <c r="U44" s="149"/>
      <c r="V44" s="150" t="e">
        <v>#NUM!</v>
      </c>
      <c r="W44" s="149"/>
      <c r="X44" s="209" t="e">
        <v>#NUM!</v>
      </c>
      <c r="Y44" s="146" t="e">
        <f>_xll.qlSimpleQuoteSetValue(F44,X44/100,Trigger)</f>
        <v>#NUM!</v>
      </c>
      <c r="Z44" s="136"/>
    </row>
    <row r="45" spans="1:26" ht="11.25" customHeight="1" x14ac:dyDescent="0.2">
      <c r="A45" s="85"/>
      <c r="B45" s="118"/>
      <c r="C45" s="118" t="s">
        <v>138</v>
      </c>
      <c r="D45" s="364" t="s">
        <v>79</v>
      </c>
      <c r="E45" s="137" t="str">
        <f t="shared" si="2"/>
        <v>AUDOIS7Y_Quote</v>
      </c>
      <c r="F45" s="137" t="str">
        <f>_xll.qlSimpleQuote(Currency&amp;$B45&amp;$C45&amp;$D45&amp;QuoteSuffix,,RateTickValue,Permanent,Trigger,ObjectOverwrite)</f>
        <v>AUDOIS7Y_Quote#0000</v>
      </c>
      <c r="G45" s="22" t="str">
        <f>_xll.ohRangeRetrieveError(F45)</f>
        <v/>
      </c>
      <c r="H45" s="21"/>
      <c r="J45" s="85"/>
      <c r="K45" s="153" t="s">
        <v>79</v>
      </c>
      <c r="L45" s="192"/>
      <c r="M45" s="192" t="s">
        <v>138</v>
      </c>
      <c r="N45" s="190" t="str">
        <f t="shared" si="3"/>
        <v>AUD7YOIS</v>
      </c>
      <c r="O45" s="190" t="str">
        <v>AUD7YOIS=ICAA</v>
      </c>
      <c r="P45" s="147" t="s">
        <v>174</v>
      </c>
      <c r="Q45" s="147" t="s">
        <v>174</v>
      </c>
      <c r="R45" s="147" t="s">
        <v>174</v>
      </c>
      <c r="S45" s="147" t="s">
        <v>174</v>
      </c>
      <c r="T45" s="151" t="e">
        <f>_xll.qlMidEquivalent($P45,$Q45,$R45,$S45)</f>
        <v>#NUM!</v>
      </c>
      <c r="U45" s="149"/>
      <c r="V45" s="150" t="e">
        <v>#NUM!</v>
      </c>
      <c r="W45" s="149"/>
      <c r="X45" s="209" t="e">
        <v>#NUM!</v>
      </c>
      <c r="Y45" s="146" t="e">
        <f>_xll.qlSimpleQuoteSetValue(F45,X45/100,Trigger)</f>
        <v>#NUM!</v>
      </c>
      <c r="Z45" s="136"/>
    </row>
    <row r="46" spans="1:26" ht="11.25" customHeight="1" x14ac:dyDescent="0.2">
      <c r="A46" s="85"/>
      <c r="B46" s="118"/>
      <c r="C46" s="118" t="s">
        <v>138</v>
      </c>
      <c r="D46" s="364" t="s">
        <v>78</v>
      </c>
      <c r="E46" s="137" t="str">
        <f t="shared" si="2"/>
        <v>AUDOIS8Y_Quote</v>
      </c>
      <c r="F46" s="137" t="str">
        <f>_xll.qlSimpleQuote(Currency&amp;$B46&amp;$C46&amp;$D46&amp;QuoteSuffix,,RateTickValue,Permanent,Trigger,ObjectOverwrite)</f>
        <v>AUDOIS8Y_Quote#0000</v>
      </c>
      <c r="G46" s="22" t="str">
        <f>_xll.ohRangeRetrieveError(F46)</f>
        <v/>
      </c>
      <c r="H46" s="21"/>
      <c r="J46" s="85"/>
      <c r="K46" s="153" t="s">
        <v>78</v>
      </c>
      <c r="L46" s="192"/>
      <c r="M46" s="192" t="s">
        <v>138</v>
      </c>
      <c r="N46" s="190" t="str">
        <f t="shared" si="3"/>
        <v>AUD8YOIS</v>
      </c>
      <c r="O46" s="190" t="str">
        <v>AUD8YOIS=ICAA</v>
      </c>
      <c r="P46" s="147" t="s">
        <v>174</v>
      </c>
      <c r="Q46" s="147" t="s">
        <v>174</v>
      </c>
      <c r="R46" s="147" t="s">
        <v>174</v>
      </c>
      <c r="S46" s="147" t="s">
        <v>174</v>
      </c>
      <c r="T46" s="151" t="e">
        <f>_xll.qlMidEquivalent($P46,$Q46,$R46,$S46)</f>
        <v>#NUM!</v>
      </c>
      <c r="U46" s="149"/>
      <c r="V46" s="150" t="e">
        <v>#NUM!</v>
      </c>
      <c r="W46" s="149"/>
      <c r="X46" s="209" t="e">
        <v>#NUM!</v>
      </c>
      <c r="Y46" s="146" t="e">
        <f>_xll.qlSimpleQuoteSetValue(F46,X46/100,Trigger)</f>
        <v>#NUM!</v>
      </c>
      <c r="Z46" s="136"/>
    </row>
    <row r="47" spans="1:26" ht="11.25" customHeight="1" x14ac:dyDescent="0.2">
      <c r="A47" s="85"/>
      <c r="B47" s="118"/>
      <c r="C47" s="118" t="s">
        <v>138</v>
      </c>
      <c r="D47" s="364" t="s">
        <v>77</v>
      </c>
      <c r="E47" s="137" t="str">
        <f t="shared" si="2"/>
        <v>AUDOIS9Y_Quote</v>
      </c>
      <c r="F47" s="137" t="str">
        <f>_xll.qlSimpleQuote(Currency&amp;$B47&amp;$C47&amp;$D47&amp;QuoteSuffix,,RateTickValue,Permanent,Trigger,ObjectOverwrite)</f>
        <v>AUDOIS9Y_Quote#0000</v>
      </c>
      <c r="G47" s="22" t="str">
        <f>_xll.ohRangeRetrieveError(F47)</f>
        <v/>
      </c>
      <c r="H47" s="21"/>
      <c r="J47" s="85"/>
      <c r="K47" s="153" t="s">
        <v>77</v>
      </c>
      <c r="L47" s="192"/>
      <c r="M47" s="192" t="s">
        <v>138</v>
      </c>
      <c r="N47" s="190" t="str">
        <f t="shared" si="3"/>
        <v>AUD9YOIS</v>
      </c>
      <c r="O47" s="190" t="str">
        <v>AUD9YOIS=ICAA</v>
      </c>
      <c r="P47" s="147" t="s">
        <v>174</v>
      </c>
      <c r="Q47" s="147" t="s">
        <v>174</v>
      </c>
      <c r="R47" s="147" t="s">
        <v>174</v>
      </c>
      <c r="S47" s="147" t="s">
        <v>174</v>
      </c>
      <c r="T47" s="151" t="e">
        <f>_xll.qlMidEquivalent($P47,$Q47,$R47,$S47)</f>
        <v>#NUM!</v>
      </c>
      <c r="U47" s="149"/>
      <c r="V47" s="150" t="e">
        <v>#NUM!</v>
      </c>
      <c r="W47" s="149"/>
      <c r="X47" s="209" t="e">
        <v>#NUM!</v>
      </c>
      <c r="Y47" s="146" t="e">
        <f>_xll.qlSimpleQuoteSetValue(F47,X47/100,Trigger)</f>
        <v>#NUM!</v>
      </c>
      <c r="Z47" s="136"/>
    </row>
    <row r="48" spans="1:26" ht="11.25" customHeight="1" x14ac:dyDescent="0.2">
      <c r="A48" s="85"/>
      <c r="B48" s="118"/>
      <c r="C48" s="118" t="s">
        <v>138</v>
      </c>
      <c r="D48" s="364" t="s">
        <v>76</v>
      </c>
      <c r="E48" s="137" t="str">
        <f t="shared" si="2"/>
        <v>AUDOIS10Y_Quote</v>
      </c>
      <c r="F48" s="137" t="str">
        <f>_xll.qlSimpleQuote(Currency&amp;$B48&amp;$C48&amp;$D48&amp;QuoteSuffix,,RateTickValue,Permanent,Trigger,ObjectOverwrite)</f>
        <v>AUDOIS10Y_Quote#0000</v>
      </c>
      <c r="G48" s="22" t="str">
        <f>_xll.ohRangeRetrieveError(F48)</f>
        <v/>
      </c>
      <c r="H48" s="21"/>
      <c r="J48" s="85"/>
      <c r="K48" s="153" t="s">
        <v>76</v>
      </c>
      <c r="L48" s="192"/>
      <c r="M48" s="192" t="s">
        <v>138</v>
      </c>
      <c r="N48" s="190" t="str">
        <f t="shared" si="3"/>
        <v>AUD10YOIS</v>
      </c>
      <c r="O48" s="190" t="str">
        <v>AUD10YOIS=ICAA</v>
      </c>
      <c r="P48" s="147" t="s">
        <v>174</v>
      </c>
      <c r="Q48" s="147" t="s">
        <v>174</v>
      </c>
      <c r="R48" s="147" t="s">
        <v>174</v>
      </c>
      <c r="S48" s="147" t="s">
        <v>174</v>
      </c>
      <c r="T48" s="151" t="e">
        <f>_xll.qlMidEquivalent($P48,$Q48,$R48,$S48)</f>
        <v>#NUM!</v>
      </c>
      <c r="U48" s="149"/>
      <c r="V48" s="150" t="e">
        <v>#NUM!</v>
      </c>
      <c r="W48" s="149"/>
      <c r="X48" s="209" t="e">
        <v>#NUM!</v>
      </c>
      <c r="Y48" s="146" t="e">
        <f>_xll.qlSimpleQuoteSetValue(F48,X48/100,Trigger)</f>
        <v>#NUM!</v>
      </c>
      <c r="Z48" s="136"/>
    </row>
    <row r="49" spans="1:26" ht="11.25" customHeight="1" x14ac:dyDescent="0.2">
      <c r="A49" s="85"/>
      <c r="B49" s="118"/>
      <c r="C49" s="118" t="s">
        <v>138</v>
      </c>
      <c r="D49" s="364" t="s">
        <v>74</v>
      </c>
      <c r="E49" s="137" t="str">
        <f t="shared" si="2"/>
        <v>AUDOIS12Y_Quote</v>
      </c>
      <c r="F49" s="137" t="str">
        <f>_xll.qlSimpleQuote(Currency&amp;$B49&amp;$C49&amp;$D49&amp;QuoteSuffix,,RateTickValue,Permanent,Trigger,ObjectOverwrite)</f>
        <v>AUDOIS12Y_Quote#0000</v>
      </c>
      <c r="G49" s="22" t="str">
        <f>_xll.ohRangeRetrieveError(F49)</f>
        <v/>
      </c>
      <c r="H49" s="21"/>
      <c r="J49" s="85"/>
      <c r="K49" s="153" t="s">
        <v>74</v>
      </c>
      <c r="L49" s="192"/>
      <c r="M49" s="192" t="s">
        <v>138</v>
      </c>
      <c r="N49" s="190" t="str">
        <f t="shared" si="3"/>
        <v>AUD12YOIS</v>
      </c>
      <c r="O49" s="190" t="str">
        <v>AUD12YOIS=ICAA</v>
      </c>
      <c r="P49" s="147" t="s">
        <v>174</v>
      </c>
      <c r="Q49" s="147" t="s">
        <v>174</v>
      </c>
      <c r="R49" s="147" t="s">
        <v>174</v>
      </c>
      <c r="S49" s="147" t="s">
        <v>174</v>
      </c>
      <c r="T49" s="151" t="e">
        <f>_xll.qlMidEquivalent($P49,$Q49,$R49,$S49)</f>
        <v>#NUM!</v>
      </c>
      <c r="U49" s="149"/>
      <c r="V49" s="150" t="e">
        <v>#NUM!</v>
      </c>
      <c r="W49" s="149"/>
      <c r="X49" s="209" t="e">
        <v>#NUM!</v>
      </c>
      <c r="Y49" s="146" t="e">
        <f>_xll.qlSimpleQuoteSetValue(F49,X49/100,Trigger)</f>
        <v>#NUM!</v>
      </c>
      <c r="Z49" s="136"/>
    </row>
    <row r="50" spans="1:26" ht="11.25" customHeight="1" x14ac:dyDescent="0.2">
      <c r="A50" s="85"/>
      <c r="B50" s="118"/>
      <c r="C50" s="118" t="s">
        <v>138</v>
      </c>
      <c r="D50" s="364" t="s">
        <v>71</v>
      </c>
      <c r="E50" s="137" t="str">
        <f t="shared" si="2"/>
        <v>AUDOIS15Y_Quote</v>
      </c>
      <c r="F50" s="137" t="str">
        <f>_xll.qlSimpleQuote(Currency&amp;$B50&amp;$C50&amp;$D50&amp;QuoteSuffix,,RateTickValue,Permanent,Trigger,ObjectOverwrite)</f>
        <v>AUDOIS15Y_Quote#0000</v>
      </c>
      <c r="G50" s="22" t="str">
        <f>_xll.ohRangeRetrieveError(F50)</f>
        <v/>
      </c>
      <c r="H50" s="21"/>
      <c r="J50" s="85"/>
      <c r="K50" s="153" t="s">
        <v>71</v>
      </c>
      <c r="L50" s="192"/>
      <c r="M50" s="192" t="s">
        <v>138</v>
      </c>
      <c r="N50" s="190" t="str">
        <f t="shared" si="3"/>
        <v>AUD15YOIS</v>
      </c>
      <c r="O50" s="190" t="str">
        <v>AUD15YOIS=ICAA</v>
      </c>
      <c r="P50" s="147" t="s">
        <v>174</v>
      </c>
      <c r="Q50" s="147" t="s">
        <v>174</v>
      </c>
      <c r="R50" s="147" t="s">
        <v>174</v>
      </c>
      <c r="S50" s="147" t="s">
        <v>174</v>
      </c>
      <c r="T50" s="151" t="e">
        <f>_xll.qlMidEquivalent($P50,$Q50,$R50,$S50)</f>
        <v>#NUM!</v>
      </c>
      <c r="U50" s="149"/>
      <c r="V50" s="150" t="e">
        <v>#NUM!</v>
      </c>
      <c r="W50" s="149"/>
      <c r="X50" s="209" t="e">
        <v>#NUM!</v>
      </c>
      <c r="Y50" s="146" t="e">
        <f>_xll.qlSimpleQuoteSetValue(F50,X50/100,Trigger)</f>
        <v>#NUM!</v>
      </c>
      <c r="Z50" s="136"/>
    </row>
    <row r="51" spans="1:26" ht="11.25" customHeight="1" x14ac:dyDescent="0.2">
      <c r="A51" s="85"/>
      <c r="B51" s="118"/>
      <c r="C51" s="118" t="s">
        <v>138</v>
      </c>
      <c r="D51" s="364" t="s">
        <v>66</v>
      </c>
      <c r="E51" s="137" t="str">
        <f t="shared" si="2"/>
        <v>AUDOIS20Y_Quote</v>
      </c>
      <c r="F51" s="137" t="str">
        <f>_xll.qlSimpleQuote(Currency&amp;$B51&amp;$C51&amp;$D51&amp;QuoteSuffix,,RateTickValue,Permanent,Trigger,ObjectOverwrite)</f>
        <v>AUDOIS20Y_Quote#0000</v>
      </c>
      <c r="G51" s="22" t="str">
        <f>_xll.ohRangeRetrieveError(F51)</f>
        <v/>
      </c>
      <c r="H51" s="21"/>
      <c r="J51" s="85"/>
      <c r="K51" s="153" t="s">
        <v>66</v>
      </c>
      <c r="L51" s="192"/>
      <c r="M51" s="192" t="s">
        <v>138</v>
      </c>
      <c r="N51" s="190" t="str">
        <f t="shared" si="3"/>
        <v>AUD20YOIS</v>
      </c>
      <c r="O51" s="190" t="str">
        <v>AUD20YOIS=ICAA</v>
      </c>
      <c r="P51" s="147" t="s">
        <v>174</v>
      </c>
      <c r="Q51" s="147" t="s">
        <v>174</v>
      </c>
      <c r="R51" s="147" t="s">
        <v>174</v>
      </c>
      <c r="S51" s="147" t="s">
        <v>174</v>
      </c>
      <c r="T51" s="151" t="e">
        <f>_xll.qlMidEquivalent($P51,$Q51,$R51,$S51)</f>
        <v>#NUM!</v>
      </c>
      <c r="U51" s="149"/>
      <c r="V51" s="150" t="e">
        <v>#NUM!</v>
      </c>
      <c r="W51" s="149"/>
      <c r="X51" s="209" t="e">
        <v>#NUM!</v>
      </c>
      <c r="Y51" s="146" t="e">
        <f>_xll.qlSimpleQuoteSetValue(F51,X51/100,Trigger)</f>
        <v>#NUM!</v>
      </c>
      <c r="Z51" s="136"/>
    </row>
    <row r="52" spans="1:26" ht="11.25" customHeight="1" x14ac:dyDescent="0.2">
      <c r="A52" s="85"/>
      <c r="B52" s="118"/>
      <c r="C52" s="118" t="s">
        <v>138</v>
      </c>
      <c r="D52" s="364" t="s">
        <v>61</v>
      </c>
      <c r="E52" s="137" t="str">
        <f t="shared" si="2"/>
        <v>AUDOIS25Y_Quote</v>
      </c>
      <c r="F52" s="137" t="str">
        <f>_xll.qlSimpleQuote(Currency&amp;$B52&amp;$C52&amp;$D52&amp;QuoteSuffix,,RateTickValue,Permanent,Trigger,ObjectOverwrite)</f>
        <v>AUDOIS25Y_Quote#0000</v>
      </c>
      <c r="G52" s="22" t="str">
        <f>_xll.ohRangeRetrieveError(F52)</f>
        <v/>
      </c>
      <c r="H52" s="21"/>
      <c r="J52" s="85"/>
      <c r="K52" s="153" t="s">
        <v>61</v>
      </c>
      <c r="L52" s="192"/>
      <c r="M52" s="192" t="s">
        <v>138</v>
      </c>
      <c r="N52" s="190" t="str">
        <f t="shared" si="3"/>
        <v>AUD25YOIS</v>
      </c>
      <c r="O52" s="190" t="str">
        <v>AUD25YOIS=ICAA</v>
      </c>
      <c r="P52" s="147" t="s">
        <v>174</v>
      </c>
      <c r="Q52" s="147" t="s">
        <v>174</v>
      </c>
      <c r="R52" s="147" t="s">
        <v>174</v>
      </c>
      <c r="S52" s="147" t="s">
        <v>174</v>
      </c>
      <c r="T52" s="151" t="e">
        <f>_xll.qlMidEquivalent($P52,$Q52,$R52,$S52)</f>
        <v>#NUM!</v>
      </c>
      <c r="U52" s="149"/>
      <c r="V52" s="150" t="e">
        <v>#NUM!</v>
      </c>
      <c r="W52" s="149"/>
      <c r="X52" s="209" t="e">
        <v>#NUM!</v>
      </c>
      <c r="Y52" s="146" t="e">
        <f>_xll.qlSimpleQuoteSetValue(F52,X52/100,Trigger)</f>
        <v>#NUM!</v>
      </c>
      <c r="Z52" s="136"/>
    </row>
    <row r="53" spans="1:26" ht="11.25" customHeight="1" x14ac:dyDescent="0.2">
      <c r="A53" s="85"/>
      <c r="B53" s="118"/>
      <c r="C53" s="118" t="s">
        <v>138</v>
      </c>
      <c r="D53" s="364" t="s">
        <v>59</v>
      </c>
      <c r="E53" s="137" t="str">
        <f t="shared" si="2"/>
        <v>AUDOIS27Y_Quote</v>
      </c>
      <c r="F53" s="137" t="str">
        <f>_xll.qlSimpleQuote(Currency&amp;$B53&amp;$C53&amp;$D53&amp;QuoteSuffix,,RateTickValue,Permanent,Trigger,ObjectOverwrite)</f>
        <v>AUDOIS27Y_Quote#0000</v>
      </c>
      <c r="G53" s="22" t="str">
        <f>_xll.ohRangeRetrieveError(F53)</f>
        <v/>
      </c>
      <c r="H53" s="21"/>
      <c r="J53" s="85"/>
      <c r="K53" s="153" t="s">
        <v>59</v>
      </c>
      <c r="L53" s="192"/>
      <c r="M53" s="192" t="s">
        <v>138</v>
      </c>
      <c r="N53" s="190" t="str">
        <f t="shared" si="3"/>
        <v>AUD27YOIS</v>
      </c>
      <c r="O53" s="190" t="str">
        <v>AUD27YOIS=ICAA</v>
      </c>
      <c r="P53" s="147" t="s">
        <v>174</v>
      </c>
      <c r="Q53" s="147" t="s">
        <v>174</v>
      </c>
      <c r="R53" s="147" t="s">
        <v>174</v>
      </c>
      <c r="S53" s="147" t="s">
        <v>174</v>
      </c>
      <c r="T53" s="151" t="e">
        <f>_xll.qlMidEquivalent($P53,$Q53,$R53,$S53)</f>
        <v>#NUM!</v>
      </c>
      <c r="U53" s="149"/>
      <c r="V53" s="150" t="e">
        <v>#NUM!</v>
      </c>
      <c r="W53" s="149"/>
      <c r="X53" s="209" t="e">
        <v>#NUM!</v>
      </c>
      <c r="Y53" s="146" t="e">
        <f>_xll.qlSimpleQuoteSetValue(F53,X53/100,Trigger)</f>
        <v>#NUM!</v>
      </c>
      <c r="Z53" s="136"/>
    </row>
    <row r="54" spans="1:26" ht="11.25" customHeight="1" x14ac:dyDescent="0.2">
      <c r="A54" s="85"/>
      <c r="B54" s="118"/>
      <c r="C54" s="118" t="s">
        <v>138</v>
      </c>
      <c r="D54" s="364" t="s">
        <v>56</v>
      </c>
      <c r="E54" s="137" t="str">
        <f t="shared" si="2"/>
        <v>AUDOIS30Y_Quote</v>
      </c>
      <c r="F54" s="137" t="str">
        <f>_xll.qlSimpleQuote(Currency&amp;$B54&amp;$C54&amp;$D54&amp;QuoteSuffix,,RateTickValue,Permanent,Trigger,ObjectOverwrite)</f>
        <v>AUDOIS30Y_Quote#0000</v>
      </c>
      <c r="G54" s="22" t="str">
        <f>_xll.ohRangeRetrieveError(F54)</f>
        <v/>
      </c>
      <c r="H54" s="21"/>
      <c r="J54" s="85"/>
      <c r="K54" s="153" t="s">
        <v>56</v>
      </c>
      <c r="L54" s="192"/>
      <c r="M54" s="192" t="s">
        <v>138</v>
      </c>
      <c r="N54" s="190" t="str">
        <f t="shared" si="3"/>
        <v>AUD30YOIS</v>
      </c>
      <c r="O54" s="190" t="str">
        <v>AUD30YOIS=ICAA</v>
      </c>
      <c r="P54" s="147" t="s">
        <v>174</v>
      </c>
      <c r="Q54" s="147" t="s">
        <v>174</v>
      </c>
      <c r="R54" s="147" t="s">
        <v>174</v>
      </c>
      <c r="S54" s="147" t="s">
        <v>174</v>
      </c>
      <c r="T54" s="151" t="e">
        <f>_xll.qlMidEquivalent($P54,$Q54,$R54,$S54)</f>
        <v>#NUM!</v>
      </c>
      <c r="U54" s="149"/>
      <c r="V54" s="150" t="e">
        <v>#NUM!</v>
      </c>
      <c r="W54" s="149"/>
      <c r="X54" s="209" t="e">
        <v>#NUM!</v>
      </c>
      <c r="Y54" s="146" t="e">
        <f>_xll.qlSimpleQuoteSetValue(F54,X54/100,Trigger)</f>
        <v>#NUM!</v>
      </c>
      <c r="Z54" s="136"/>
    </row>
    <row r="55" spans="1:26" ht="11.25" customHeight="1" x14ac:dyDescent="0.2">
      <c r="A55" s="85"/>
      <c r="B55" s="118"/>
      <c r="C55" s="118" t="s">
        <v>138</v>
      </c>
      <c r="D55" s="364" t="s">
        <v>51</v>
      </c>
      <c r="E55" s="137" t="str">
        <f t="shared" si="2"/>
        <v>AUDOIS35Y_Quote</v>
      </c>
      <c r="F55" s="137" t="str">
        <f>_xll.qlSimpleQuote(Currency&amp;$B55&amp;$C55&amp;$D55&amp;QuoteSuffix,,RateTickValue,Permanent,Trigger,ObjectOverwrite)</f>
        <v>AUDOIS35Y_Quote#0000</v>
      </c>
      <c r="G55" s="22" t="str">
        <f>_xll.ohRangeRetrieveError(F55)</f>
        <v/>
      </c>
      <c r="H55" s="21"/>
      <c r="J55" s="85"/>
      <c r="K55" s="153" t="s">
        <v>51</v>
      </c>
      <c r="L55" s="192"/>
      <c r="M55" s="192" t="s">
        <v>138</v>
      </c>
      <c r="N55" s="190" t="str">
        <f t="shared" si="3"/>
        <v>AUD35YOIS</v>
      </c>
      <c r="O55" s="190" t="str">
        <v>AUD35YOIS=ICAA</v>
      </c>
      <c r="P55" s="147" t="s">
        <v>174</v>
      </c>
      <c r="Q55" s="147" t="s">
        <v>174</v>
      </c>
      <c r="R55" s="147" t="s">
        <v>174</v>
      </c>
      <c r="S55" s="147" t="s">
        <v>174</v>
      </c>
      <c r="T55" s="151" t="e">
        <f>_xll.qlMidEquivalent($P55,$Q55,$R55,$S55)</f>
        <v>#NUM!</v>
      </c>
      <c r="U55" s="149"/>
      <c r="V55" s="150" t="e">
        <v>#NUM!</v>
      </c>
      <c r="W55" s="149"/>
      <c r="X55" s="209" t="e">
        <v>#NUM!</v>
      </c>
      <c r="Y55" s="146" t="e">
        <f>_xll.qlSimpleQuoteSetValue(F55,X55/100,Trigger)</f>
        <v>#NUM!</v>
      </c>
      <c r="Z55" s="136"/>
    </row>
    <row r="56" spans="1:26" ht="11.25" customHeight="1" x14ac:dyDescent="0.2">
      <c r="A56" s="85"/>
      <c r="B56" s="118"/>
      <c r="C56" s="118" t="s">
        <v>138</v>
      </c>
      <c r="D56" s="364" t="s">
        <v>46</v>
      </c>
      <c r="E56" s="137" t="str">
        <f t="shared" si="2"/>
        <v>AUDOIS40Y_Quote</v>
      </c>
      <c r="F56" s="137" t="str">
        <f>_xll.qlSimpleQuote(Currency&amp;$B56&amp;$C56&amp;$D56&amp;QuoteSuffix,,RateTickValue,Permanent,Trigger,ObjectOverwrite)</f>
        <v>AUDOIS40Y_Quote#0000</v>
      </c>
      <c r="G56" s="22" t="str">
        <f>_xll.ohRangeRetrieveError(F56)</f>
        <v/>
      </c>
      <c r="H56" s="21"/>
      <c r="J56" s="85"/>
      <c r="K56" s="153" t="s">
        <v>46</v>
      </c>
      <c r="L56" s="192"/>
      <c r="M56" s="192" t="s">
        <v>138</v>
      </c>
      <c r="N56" s="190" t="str">
        <f t="shared" si="3"/>
        <v>AUD40YOIS</v>
      </c>
      <c r="O56" s="190" t="str">
        <v>AUD40YOIS=ICAA</v>
      </c>
      <c r="P56" s="147" t="s">
        <v>174</v>
      </c>
      <c r="Q56" s="147" t="s">
        <v>174</v>
      </c>
      <c r="R56" s="147" t="s">
        <v>174</v>
      </c>
      <c r="S56" s="147" t="s">
        <v>174</v>
      </c>
      <c r="T56" s="151" t="e">
        <f>_xll.qlMidEquivalent($P56,$Q56,$R56,$S56)</f>
        <v>#NUM!</v>
      </c>
      <c r="U56" s="149"/>
      <c r="V56" s="150" t="e">
        <v>#NUM!</v>
      </c>
      <c r="W56" s="149"/>
      <c r="X56" s="209" t="e">
        <v>#NUM!</v>
      </c>
      <c r="Y56" s="146" t="e">
        <f>_xll.qlSimpleQuoteSetValue(F56,X56/100,Trigger)</f>
        <v>#NUM!</v>
      </c>
      <c r="Z56" s="136"/>
    </row>
    <row r="57" spans="1:26" ht="11.25" customHeight="1" x14ac:dyDescent="0.2">
      <c r="A57" s="85"/>
      <c r="B57" s="118"/>
      <c r="C57" s="118" t="s">
        <v>138</v>
      </c>
      <c r="D57" s="364" t="s">
        <v>41</v>
      </c>
      <c r="E57" s="137" t="str">
        <f t="shared" si="2"/>
        <v>AUDOIS45Y_Quote</v>
      </c>
      <c r="F57" s="137" t="str">
        <f>_xll.qlSimpleQuote(Currency&amp;$B57&amp;$C57&amp;$D57&amp;QuoteSuffix,,RateTickValue,Permanent,Trigger,ObjectOverwrite)</f>
        <v>AUDOIS45Y_Quote#0000</v>
      </c>
      <c r="G57" s="22" t="str">
        <f>_xll.ohRangeRetrieveError(F57)</f>
        <v/>
      </c>
      <c r="H57" s="21"/>
      <c r="J57" s="85"/>
      <c r="K57" s="153" t="s">
        <v>41</v>
      </c>
      <c r="L57" s="192"/>
      <c r="M57" s="192" t="s">
        <v>138</v>
      </c>
      <c r="N57" s="190" t="str">
        <f t="shared" si="3"/>
        <v>AUD45YOIS</v>
      </c>
      <c r="O57" s="190" t="str">
        <v>AUD45YOIS=ICAA</v>
      </c>
      <c r="P57" s="147" t="s">
        <v>174</v>
      </c>
      <c r="Q57" s="147" t="s">
        <v>174</v>
      </c>
      <c r="R57" s="147" t="s">
        <v>174</v>
      </c>
      <c r="S57" s="147" t="s">
        <v>174</v>
      </c>
      <c r="T57" s="151" t="e">
        <f>_xll.qlMidEquivalent($P57,$Q57,$R57,$S57)</f>
        <v>#NUM!</v>
      </c>
      <c r="U57" s="149"/>
      <c r="V57" s="150" t="e">
        <v>#NUM!</v>
      </c>
      <c r="W57" s="149"/>
      <c r="X57" s="209" t="e">
        <v>#NUM!</v>
      </c>
      <c r="Y57" s="146" t="e">
        <f>_xll.qlSimpleQuoteSetValue(F57,X57/100,Trigger)</f>
        <v>#NUM!</v>
      </c>
      <c r="Z57" s="136"/>
    </row>
    <row r="58" spans="1:26" ht="11.25" customHeight="1" x14ac:dyDescent="0.2">
      <c r="A58" s="85"/>
      <c r="B58" s="118"/>
      <c r="C58" s="118" t="s">
        <v>138</v>
      </c>
      <c r="D58" s="364" t="s">
        <v>36</v>
      </c>
      <c r="E58" s="137" t="str">
        <f t="shared" si="2"/>
        <v>AUDOIS50Y_Quote</v>
      </c>
      <c r="F58" s="137" t="str">
        <f>_xll.qlSimpleQuote(Currency&amp;$B58&amp;$C58&amp;$D58&amp;QuoteSuffix,,RateTickValue,Permanent,Trigger,ObjectOverwrite)</f>
        <v>AUDOIS50Y_Quote#0000</v>
      </c>
      <c r="G58" s="22" t="str">
        <f>_xll.ohRangeRetrieveError(F58)</f>
        <v/>
      </c>
      <c r="H58" s="21"/>
      <c r="J58" s="85"/>
      <c r="K58" s="164" t="s">
        <v>36</v>
      </c>
      <c r="L58" s="192"/>
      <c r="M58" s="188" t="s">
        <v>138</v>
      </c>
      <c r="N58" s="186" t="str">
        <f t="shared" si="3"/>
        <v>AUD50YOIS</v>
      </c>
      <c r="O58" s="186" t="str">
        <v>AUD50YOIS=ICAA</v>
      </c>
      <c r="P58" s="160" t="s">
        <v>174</v>
      </c>
      <c r="Q58" s="160" t="s">
        <v>174</v>
      </c>
      <c r="R58" s="160" t="s">
        <v>174</v>
      </c>
      <c r="S58" s="160" t="s">
        <v>174</v>
      </c>
      <c r="T58" s="162" t="e">
        <f>_xll.qlMidEquivalent($P58,$Q58,$R58,$S58)</f>
        <v>#NUM!</v>
      </c>
      <c r="U58" s="149"/>
      <c r="V58" s="150" t="e">
        <v>#NUM!</v>
      </c>
      <c r="W58" s="149"/>
      <c r="X58" s="202" t="e">
        <v>#NUM!</v>
      </c>
      <c r="Y58" s="159" t="e">
        <f>_xll.qlSimpleQuoteSetValue(F58,X58/100,Trigger)</f>
        <v>#NUM!</v>
      </c>
      <c r="Z58" s="136"/>
    </row>
    <row r="59" spans="1:26" ht="11.25" customHeight="1" thickBot="1" x14ac:dyDescent="0.25">
      <c r="A59" s="131"/>
      <c r="B59" s="424"/>
      <c r="C59" s="424"/>
      <c r="D59" s="425"/>
      <c r="E59" s="426"/>
      <c r="F59" s="426"/>
      <c r="G59" s="427"/>
      <c r="H59" s="18"/>
      <c r="J59" s="128"/>
      <c r="K59" s="233"/>
      <c r="L59" s="233"/>
      <c r="M59" s="233"/>
      <c r="N59" s="233"/>
      <c r="O59" s="233"/>
      <c r="P59" s="233"/>
      <c r="Q59" s="233"/>
      <c r="R59" s="233"/>
      <c r="S59" s="233"/>
      <c r="T59" s="233"/>
      <c r="U59" s="233"/>
      <c r="V59" s="233"/>
      <c r="W59" s="233"/>
      <c r="X59" s="233"/>
      <c r="Y59" s="233"/>
      <c r="Z59" s="23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workbookViewId="0">
      <selection activeCell="O2" sqref="O2"/>
    </sheetView>
  </sheetViews>
  <sheetFormatPr defaultRowHeight="11.25" x14ac:dyDescent="0.2"/>
  <cols>
    <col min="1" max="1" width="2.7109375" style="12" customWidth="1"/>
    <col min="2" max="3" width="4" style="12" bestFit="1" customWidth="1"/>
    <col min="4" max="4" width="6" style="12" bestFit="1" customWidth="1"/>
    <col min="5" max="5" width="21.42578125" style="12" bestFit="1" customWidth="1"/>
    <col min="6" max="6" width="26.5703125" style="40" bestFit="1" customWidth="1"/>
    <col min="7" max="7" width="38.28515625" style="12" customWidth="1"/>
    <col min="8" max="10" width="2.7109375" style="12" customWidth="1"/>
    <col min="11" max="13" width="9.140625" style="12"/>
    <col min="14" max="14" width="11.42578125" style="12" bestFit="1" customWidth="1"/>
    <col min="15" max="15" width="13.5703125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4" width="10.5703125" style="12" bestFit="1" customWidth="1"/>
    <col min="25" max="25" width="7.7109375" style="12" bestFit="1" customWidth="1"/>
    <col min="26" max="26" width="2.7109375" style="12" customWidth="1"/>
    <col min="27" max="16384" width="9.140625" style="12"/>
  </cols>
  <sheetData>
    <row r="1" spans="1:26" x14ac:dyDescent="0.2">
      <c r="J1" s="200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4"/>
    </row>
    <row r="2" spans="1:26" ht="15.75" thickBot="1" x14ac:dyDescent="0.3">
      <c r="J2" s="181"/>
      <c r="K2" s="88"/>
      <c r="L2" s="88"/>
      <c r="M2" s="88"/>
      <c r="N2" s="88"/>
      <c r="O2" s="95" t="s">
        <v>284</v>
      </c>
      <c r="P2" s="88"/>
      <c r="Q2" s="88"/>
      <c r="R2"/>
      <c r="S2" s="88"/>
      <c r="T2" s="88"/>
      <c r="U2" s="149"/>
      <c r="V2" s="149"/>
      <c r="W2" s="149"/>
      <c r="X2" s="149"/>
      <c r="Y2" s="149"/>
      <c r="Z2" s="21"/>
    </row>
    <row r="3" spans="1:26" x14ac:dyDescent="0.2">
      <c r="A3" s="135"/>
      <c r="B3" s="127"/>
      <c r="C3" s="127"/>
      <c r="D3" s="127"/>
      <c r="E3" s="138"/>
      <c r="F3" s="365"/>
      <c r="G3" s="138"/>
      <c r="H3" s="124"/>
      <c r="J3" s="85"/>
      <c r="K3" s="149"/>
      <c r="L3" s="88"/>
      <c r="M3" s="88"/>
      <c r="N3" s="88"/>
      <c r="O3" s="88"/>
      <c r="P3" s="88"/>
      <c r="Q3" s="88"/>
      <c r="R3" s="88"/>
      <c r="S3" s="88"/>
      <c r="T3" s="88"/>
      <c r="U3" s="149"/>
      <c r="V3" s="149"/>
      <c r="W3" s="149"/>
      <c r="X3" s="88"/>
      <c r="Y3" s="178">
        <f>_xll.ohTrigger(Y5:Y24)</f>
        <v>2</v>
      </c>
      <c r="Z3" s="136"/>
    </row>
    <row r="4" spans="1:26" ht="22.5" x14ac:dyDescent="0.2">
      <c r="A4" s="85"/>
      <c r="B4" s="59"/>
      <c r="C4" s="59"/>
      <c r="D4" s="123"/>
      <c r="E4" s="361" t="str">
        <f>Currency&amp;"_010_"&amp;"OIS.xml"</f>
        <v>AUD_010_OIS.xml</v>
      </c>
      <c r="F4" s="362" t="str">
        <f>IF(Serialize,_xll.ohObjectSave(_xll.ohPack(F5:F95),SerializationPath&amp;E4,FileOverwrite,Serialize),"---")</f>
        <v>---</v>
      </c>
      <c r="G4" s="363" t="str">
        <f>_xll.ohRangeRetrieveError(F4)</f>
        <v/>
      </c>
      <c r="H4" s="21"/>
      <c r="J4" s="85"/>
      <c r="K4" s="258"/>
      <c r="L4" s="87"/>
      <c r="M4" s="87"/>
      <c r="N4" s="87"/>
      <c r="O4" s="230" t="str">
        <f>_xll.RData(O5:O58,P4:S4,"RTFEED:IDN",ReutersRtMode,,P5)</f>
        <v>Paused at 12:08:05</v>
      </c>
      <c r="P4" s="227" t="s">
        <v>163</v>
      </c>
      <c r="Q4" s="227" t="s">
        <v>162</v>
      </c>
      <c r="R4" s="227" t="s">
        <v>179</v>
      </c>
      <c r="S4" s="227" t="s">
        <v>195</v>
      </c>
      <c r="T4" s="229" t="s">
        <v>206</v>
      </c>
      <c r="U4" s="149"/>
      <c r="V4" s="176" t="s">
        <v>192</v>
      </c>
      <c r="W4" s="149"/>
      <c r="X4" s="347" t="s">
        <v>190</v>
      </c>
      <c r="Y4" s="60" t="s">
        <v>189</v>
      </c>
      <c r="Z4" s="136"/>
    </row>
    <row r="5" spans="1:26" x14ac:dyDescent="0.2">
      <c r="A5" s="85"/>
      <c r="B5" s="118" t="s">
        <v>276</v>
      </c>
      <c r="C5" s="118" t="s">
        <v>138</v>
      </c>
      <c r="D5" s="364" t="s">
        <v>22</v>
      </c>
      <c r="E5" s="137" t="str">
        <f t="shared" ref="E5:E58" si="0">Currency&amp;$B5&amp;$C5&amp;$D5&amp;QuoteSuffix</f>
        <v>AUDMTOISSW_Quote</v>
      </c>
      <c r="F5" s="137" t="str">
        <f>_xll.qlSimpleQuote(Currency&amp;$B5&amp;$C5&amp;$D5&amp;QuoteSuffix,,RateTickValue,Permanent,Trigger,ObjectOverwrite)</f>
        <v>AUDMTOISSW_Quote#0000</v>
      </c>
      <c r="G5" s="22" t="str">
        <f>_xll.ohRangeRetrieveError(F5)</f>
        <v/>
      </c>
      <c r="H5" s="21"/>
      <c r="J5" s="85"/>
      <c r="K5" s="170" t="s">
        <v>22</v>
      </c>
      <c r="L5" s="196" t="s">
        <v>276</v>
      </c>
      <c r="M5" s="196" t="s">
        <v>138</v>
      </c>
      <c r="N5" s="194" t="str">
        <f t="shared" ref="N5:N58" si="1">Currency&amp;$K5&amp;$L5&amp;$M5</f>
        <v>AUDSWMTOIS</v>
      </c>
      <c r="O5" s="194" t="str">
        <f t="array" ref="O5:O58">Instruments&amp;"="&amp;"ICAA"</f>
        <v>AUDSWMTOIS=ICAA</v>
      </c>
      <c r="P5" s="166" t="s">
        <v>174</v>
      </c>
      <c r="Q5" s="166" t="s">
        <v>174</v>
      </c>
      <c r="R5" s="166" t="s">
        <v>174</v>
      </c>
      <c r="S5" s="166" t="s">
        <v>174</v>
      </c>
      <c r="T5" s="168" t="e">
        <f>_xll.qlMidEquivalent($P5,$Q5,$R5,$S5)</f>
        <v>#NUM!</v>
      </c>
      <c r="U5" s="149"/>
      <c r="V5" s="167" t="e">
        <v>#NUM!</v>
      </c>
      <c r="W5" s="149"/>
      <c r="X5" s="216" t="e">
        <f t="array" ref="X5:X58">QuoteLive</f>
        <v>#NUM!</v>
      </c>
      <c r="Y5" s="165" t="e">
        <f>_xll.qlSimpleQuoteSetValue(F5,X5/100,Trigger)</f>
        <v>#NUM!</v>
      </c>
      <c r="Z5" s="136"/>
    </row>
    <row r="6" spans="1:26" x14ac:dyDescent="0.2">
      <c r="A6" s="85"/>
      <c r="B6" s="118" t="s">
        <v>276</v>
      </c>
      <c r="C6" s="118" t="s">
        <v>138</v>
      </c>
      <c r="D6" s="364" t="s">
        <v>21</v>
      </c>
      <c r="E6" s="137" t="str">
        <f t="shared" si="0"/>
        <v>AUDMTOIS2W_Quote</v>
      </c>
      <c r="F6" s="137" t="str">
        <f>_xll.qlSimpleQuote(Currency&amp;$B6&amp;$C6&amp;$D6&amp;QuoteSuffix,,RateTickValue,Permanent,Trigger,ObjectOverwrite)</f>
        <v>AUDMTOIS2W_Quote#0000</v>
      </c>
      <c r="G6" s="22" t="str">
        <f>_xll.ohRangeRetrieveError(F6)</f>
        <v/>
      </c>
      <c r="H6" s="21"/>
      <c r="J6" s="85"/>
      <c r="K6" s="153" t="s">
        <v>21</v>
      </c>
      <c r="L6" s="192" t="s">
        <v>276</v>
      </c>
      <c r="M6" s="192" t="s">
        <v>138</v>
      </c>
      <c r="N6" s="190" t="str">
        <f t="shared" si="1"/>
        <v>AUD2WMTOIS</v>
      </c>
      <c r="O6" s="190" t="str">
        <v>AUD2WMTOIS=ICAA</v>
      </c>
      <c r="P6" s="147" t="s">
        <v>174</v>
      </c>
      <c r="Q6" s="147" t="s">
        <v>174</v>
      </c>
      <c r="R6" s="147" t="s">
        <v>174</v>
      </c>
      <c r="S6" s="147" t="s">
        <v>174</v>
      </c>
      <c r="T6" s="151" t="e">
        <f>_xll.qlMidEquivalent($P6,$Q6,$R6,$S6)</f>
        <v>#NUM!</v>
      </c>
      <c r="U6" s="149"/>
      <c r="V6" s="150" t="e">
        <v>#NUM!</v>
      </c>
      <c r="W6" s="149"/>
      <c r="X6" s="209" t="e">
        <v>#NUM!</v>
      </c>
      <c r="Y6" s="146" t="e">
        <f>_xll.qlSimpleQuoteSetValue(F6,X6/100,Trigger)</f>
        <v>#NUM!</v>
      </c>
      <c r="Z6" s="136"/>
    </row>
    <row r="7" spans="1:26" x14ac:dyDescent="0.2">
      <c r="A7" s="85"/>
      <c r="B7" s="118" t="s">
        <v>276</v>
      </c>
      <c r="C7" s="118" t="s">
        <v>138</v>
      </c>
      <c r="D7" s="364" t="s">
        <v>20</v>
      </c>
      <c r="E7" s="137" t="str">
        <f t="shared" si="0"/>
        <v>AUDMTOIS3W_Quote</v>
      </c>
      <c r="F7" s="137" t="str">
        <f>_xll.qlSimpleQuote(Currency&amp;$B7&amp;$C7&amp;$D7&amp;QuoteSuffix,,RateTickValue,Permanent,Trigger,ObjectOverwrite)</f>
        <v>AUDMTOIS3W_Quote#0000</v>
      </c>
      <c r="G7" s="22" t="str">
        <f>_xll.ohRangeRetrieveError(F7)</f>
        <v/>
      </c>
      <c r="H7" s="21"/>
      <c r="J7" s="85"/>
      <c r="K7" s="153" t="s">
        <v>20</v>
      </c>
      <c r="L7" s="192" t="s">
        <v>276</v>
      </c>
      <c r="M7" s="192" t="s">
        <v>138</v>
      </c>
      <c r="N7" s="190" t="str">
        <f t="shared" si="1"/>
        <v>AUD3WMTOIS</v>
      </c>
      <c r="O7" s="190" t="str">
        <v>AUD3WMTOIS=ICAA</v>
      </c>
      <c r="P7" s="147" t="s">
        <v>174</v>
      </c>
      <c r="Q7" s="147" t="s">
        <v>174</v>
      </c>
      <c r="R7" s="147" t="s">
        <v>174</v>
      </c>
      <c r="S7" s="147" t="s">
        <v>174</v>
      </c>
      <c r="T7" s="151" t="e">
        <f>_xll.qlMidEquivalent($P7,$Q7,$R7,$S7)</f>
        <v>#NUM!</v>
      </c>
      <c r="U7" s="149"/>
      <c r="V7" s="150" t="e">
        <v>#NUM!</v>
      </c>
      <c r="W7" s="149"/>
      <c r="X7" s="209" t="e">
        <v>#NUM!</v>
      </c>
      <c r="Y7" s="146" t="e">
        <f>_xll.qlSimpleQuoteSetValue(F7,X7/100,Trigger)</f>
        <v>#NUM!</v>
      </c>
      <c r="Z7" s="136"/>
    </row>
    <row r="8" spans="1:26" x14ac:dyDescent="0.2">
      <c r="A8" s="85"/>
      <c r="B8" s="118" t="s">
        <v>276</v>
      </c>
      <c r="C8" s="118" t="s">
        <v>138</v>
      </c>
      <c r="D8" s="364" t="s">
        <v>19</v>
      </c>
      <c r="E8" s="137" t="str">
        <f t="shared" si="0"/>
        <v>AUDMTOIS1M_Quote</v>
      </c>
      <c r="F8" s="137" t="str">
        <f>_xll.qlSimpleQuote(Currency&amp;$B8&amp;$C8&amp;$D8&amp;QuoteSuffix,,RateTickValue,Permanent,Trigger,ObjectOverwrite)</f>
        <v>AUDMTOIS1M_Quote#0000</v>
      </c>
      <c r="G8" s="22" t="str">
        <f>_xll.ohRangeRetrieveError(F8)</f>
        <v/>
      </c>
      <c r="H8" s="21"/>
      <c r="J8" s="85"/>
      <c r="K8" s="153" t="s">
        <v>19</v>
      </c>
      <c r="L8" s="192" t="s">
        <v>276</v>
      </c>
      <c r="M8" s="192" t="s">
        <v>138</v>
      </c>
      <c r="N8" s="190" t="str">
        <f t="shared" si="1"/>
        <v>AUD1MMTOIS</v>
      </c>
      <c r="O8" s="190" t="str">
        <v>AUD1MMTOIS=ICAA</v>
      </c>
      <c r="P8" s="147" t="s">
        <v>174</v>
      </c>
      <c r="Q8" s="147" t="s">
        <v>174</v>
      </c>
      <c r="R8" s="147" t="s">
        <v>174</v>
      </c>
      <c r="S8" s="147" t="s">
        <v>174</v>
      </c>
      <c r="T8" s="151" t="e">
        <f>_xll.qlMidEquivalent($P8,$Q8,$R8,$S8)</f>
        <v>#NUM!</v>
      </c>
      <c r="U8" s="149"/>
      <c r="V8" s="150" t="e">
        <v>#NUM!</v>
      </c>
      <c r="W8" s="149"/>
      <c r="X8" s="209" t="e">
        <v>#NUM!</v>
      </c>
      <c r="Y8" s="146" t="e">
        <f>_xll.qlSimpleQuoteSetValue(F8,X8/100,Trigger)</f>
        <v>#NUM!</v>
      </c>
      <c r="Z8" s="136"/>
    </row>
    <row r="9" spans="1:26" x14ac:dyDescent="0.2">
      <c r="A9" s="85"/>
      <c r="B9" s="118" t="s">
        <v>276</v>
      </c>
      <c r="C9" s="118" t="s">
        <v>138</v>
      </c>
      <c r="D9" s="364" t="s">
        <v>18</v>
      </c>
      <c r="E9" s="137" t="str">
        <f t="shared" si="0"/>
        <v>AUDMTOIS2M_Quote</v>
      </c>
      <c r="F9" s="137" t="str">
        <f>_xll.qlSimpleQuote(Currency&amp;$B9&amp;$C9&amp;$D9&amp;QuoteSuffix,,RateTickValue,Permanent,Trigger,ObjectOverwrite)</f>
        <v>AUDMTOIS2M_Quote#0000</v>
      </c>
      <c r="G9" s="22" t="str">
        <f>_xll.ohRangeRetrieveError(F9)</f>
        <v/>
      </c>
      <c r="H9" s="21"/>
      <c r="J9" s="85"/>
      <c r="K9" s="153" t="s">
        <v>18</v>
      </c>
      <c r="L9" s="192" t="s">
        <v>276</v>
      </c>
      <c r="M9" s="192" t="s">
        <v>138</v>
      </c>
      <c r="N9" s="190" t="str">
        <f t="shared" si="1"/>
        <v>AUD2MMTOIS</v>
      </c>
      <c r="O9" s="190" t="str">
        <v>AUD2MMTOIS=ICAA</v>
      </c>
      <c r="P9" s="147" t="s">
        <v>174</v>
      </c>
      <c r="Q9" s="147" t="s">
        <v>174</v>
      </c>
      <c r="R9" s="147" t="s">
        <v>174</v>
      </c>
      <c r="S9" s="147" t="s">
        <v>174</v>
      </c>
      <c r="T9" s="151" t="e">
        <f>_xll.qlMidEquivalent($P9,$Q9,$R9,$S9)</f>
        <v>#NUM!</v>
      </c>
      <c r="U9" s="149"/>
      <c r="V9" s="150" t="e">
        <v>#NUM!</v>
      </c>
      <c r="W9" s="149"/>
      <c r="X9" s="209" t="e">
        <v>#NUM!</v>
      </c>
      <c r="Y9" s="146" t="e">
        <f>_xll.qlSimpleQuoteSetValue(F9,X9/100,Trigger)</f>
        <v>#NUM!</v>
      </c>
      <c r="Z9" s="136"/>
    </row>
    <row r="10" spans="1:26" x14ac:dyDescent="0.2">
      <c r="A10" s="85"/>
      <c r="B10" s="118" t="s">
        <v>276</v>
      </c>
      <c r="C10" s="118" t="s">
        <v>138</v>
      </c>
      <c r="D10" s="364" t="s">
        <v>17</v>
      </c>
      <c r="E10" s="137" t="str">
        <f t="shared" si="0"/>
        <v>AUDMTOIS3M_Quote</v>
      </c>
      <c r="F10" s="137" t="str">
        <f>_xll.qlSimpleQuote(Currency&amp;$B10&amp;$C10&amp;$D10&amp;QuoteSuffix,,RateTickValue,Permanent,Trigger,ObjectOverwrite)</f>
        <v>AUDMTOIS3M_Quote#0000</v>
      </c>
      <c r="G10" s="22" t="str">
        <f>_xll.ohRangeRetrieveError(F10)</f>
        <v/>
      </c>
      <c r="H10" s="21"/>
      <c r="J10" s="85"/>
      <c r="K10" s="153" t="s">
        <v>17</v>
      </c>
      <c r="L10" s="192" t="s">
        <v>276</v>
      </c>
      <c r="M10" s="192" t="s">
        <v>138</v>
      </c>
      <c r="N10" s="190" t="str">
        <f t="shared" si="1"/>
        <v>AUD3MMTOIS</v>
      </c>
      <c r="O10" s="190" t="str">
        <v>AUD3MMTOIS=ICAA</v>
      </c>
      <c r="P10" s="147" t="s">
        <v>174</v>
      </c>
      <c r="Q10" s="147" t="s">
        <v>174</v>
      </c>
      <c r="R10" s="147" t="s">
        <v>174</v>
      </c>
      <c r="S10" s="147" t="s">
        <v>174</v>
      </c>
      <c r="T10" s="151" t="e">
        <f>_xll.qlMidEquivalent($P10,$Q10,$R10,$S10)</f>
        <v>#NUM!</v>
      </c>
      <c r="U10" s="149"/>
      <c r="V10" s="150" t="e">
        <v>#NUM!</v>
      </c>
      <c r="W10" s="149"/>
      <c r="X10" s="209" t="e">
        <v>#NUM!</v>
      </c>
      <c r="Y10" s="146" t="e">
        <f>_xll.qlSimpleQuoteSetValue(F10,X10/100,Trigger)</f>
        <v>#NUM!</v>
      </c>
      <c r="Z10" s="136"/>
    </row>
    <row r="11" spans="1:26" x14ac:dyDescent="0.2">
      <c r="A11" s="85"/>
      <c r="B11" s="118" t="s">
        <v>276</v>
      </c>
      <c r="C11" s="118" t="s">
        <v>138</v>
      </c>
      <c r="D11" s="364" t="s">
        <v>16</v>
      </c>
      <c r="E11" s="137" t="str">
        <f t="shared" si="0"/>
        <v>AUDMTOIS4M_Quote</v>
      </c>
      <c r="F11" s="137" t="str">
        <f>_xll.qlSimpleQuote(Currency&amp;$B11&amp;$C11&amp;$D11&amp;QuoteSuffix,,RateTickValue,Permanent,Trigger,ObjectOverwrite)</f>
        <v>AUDMTOIS4M_Quote#0000</v>
      </c>
      <c r="G11" s="22" t="str">
        <f>_xll.ohRangeRetrieveError(F11)</f>
        <v/>
      </c>
      <c r="H11" s="21"/>
      <c r="J11" s="85"/>
      <c r="K11" s="153" t="s">
        <v>16</v>
      </c>
      <c r="L11" s="192" t="s">
        <v>276</v>
      </c>
      <c r="M11" s="192" t="s">
        <v>138</v>
      </c>
      <c r="N11" s="190" t="str">
        <f t="shared" si="1"/>
        <v>AUD4MMTOIS</v>
      </c>
      <c r="O11" s="190" t="str">
        <v>AUD4MMTOIS=ICAA</v>
      </c>
      <c r="P11" s="147" t="s">
        <v>174</v>
      </c>
      <c r="Q11" s="147" t="s">
        <v>174</v>
      </c>
      <c r="R11" s="147" t="s">
        <v>174</v>
      </c>
      <c r="S11" s="147" t="s">
        <v>174</v>
      </c>
      <c r="T11" s="151" t="e">
        <f>_xll.qlMidEquivalent($P11,$Q11,$R11,$S11)</f>
        <v>#NUM!</v>
      </c>
      <c r="U11" s="149"/>
      <c r="V11" s="150" t="e">
        <v>#NUM!</v>
      </c>
      <c r="W11" s="149"/>
      <c r="X11" s="209" t="e">
        <v>#NUM!</v>
      </c>
      <c r="Y11" s="146" t="e">
        <f>_xll.qlSimpleQuoteSetValue(F11,X11/100,Trigger)</f>
        <v>#NUM!</v>
      </c>
      <c r="Z11" s="136"/>
    </row>
    <row r="12" spans="1:26" x14ac:dyDescent="0.2">
      <c r="A12" s="85"/>
      <c r="B12" s="118" t="s">
        <v>276</v>
      </c>
      <c r="C12" s="118" t="s">
        <v>138</v>
      </c>
      <c r="D12" s="364" t="s">
        <v>15</v>
      </c>
      <c r="E12" s="137" t="str">
        <f t="shared" si="0"/>
        <v>AUDMTOIS5M_Quote</v>
      </c>
      <c r="F12" s="137" t="str">
        <f>_xll.qlSimpleQuote(Currency&amp;$B12&amp;$C12&amp;$D12&amp;QuoteSuffix,,RateTickValue,Permanent,Trigger,ObjectOverwrite)</f>
        <v>AUDMTOIS5M_Quote#0000</v>
      </c>
      <c r="G12" s="22" t="str">
        <f>_xll.ohRangeRetrieveError(F12)</f>
        <v/>
      </c>
      <c r="H12" s="21"/>
      <c r="J12" s="85"/>
      <c r="K12" s="153" t="s">
        <v>15</v>
      </c>
      <c r="L12" s="192" t="s">
        <v>276</v>
      </c>
      <c r="M12" s="192" t="s">
        <v>138</v>
      </c>
      <c r="N12" s="190" t="str">
        <f t="shared" si="1"/>
        <v>AUD5MMTOIS</v>
      </c>
      <c r="O12" s="190" t="str">
        <v>AUD5MMTOIS=ICAA</v>
      </c>
      <c r="P12" s="147" t="s">
        <v>174</v>
      </c>
      <c r="Q12" s="147" t="s">
        <v>174</v>
      </c>
      <c r="R12" s="147" t="s">
        <v>174</v>
      </c>
      <c r="S12" s="147" t="s">
        <v>174</v>
      </c>
      <c r="T12" s="151" t="e">
        <f>_xll.qlMidEquivalent($P12,$Q12,$R12,$S12)</f>
        <v>#NUM!</v>
      </c>
      <c r="U12" s="149"/>
      <c r="V12" s="150" t="e">
        <v>#NUM!</v>
      </c>
      <c r="W12" s="149"/>
      <c r="X12" s="209" t="e">
        <v>#NUM!</v>
      </c>
      <c r="Y12" s="146" t="e">
        <f>_xll.qlSimpleQuoteSetValue(F12,X12/100,Trigger)</f>
        <v>#NUM!</v>
      </c>
      <c r="Z12" s="136"/>
    </row>
    <row r="13" spans="1:26" x14ac:dyDescent="0.2">
      <c r="A13" s="85"/>
      <c r="B13" s="118" t="s">
        <v>276</v>
      </c>
      <c r="C13" s="118" t="s">
        <v>138</v>
      </c>
      <c r="D13" s="364" t="s">
        <v>14</v>
      </c>
      <c r="E13" s="137" t="str">
        <f t="shared" si="0"/>
        <v>AUDMTOIS6M_Quote</v>
      </c>
      <c r="F13" s="137" t="str">
        <f>_xll.qlSimpleQuote(Currency&amp;$B13&amp;$C13&amp;$D13&amp;QuoteSuffix,,RateTickValue,Permanent,Trigger,ObjectOverwrite)</f>
        <v>AUDMTOIS6M_Quote#0000</v>
      </c>
      <c r="G13" s="22" t="str">
        <f>_xll.ohRangeRetrieveError(F13)</f>
        <v/>
      </c>
      <c r="H13" s="21"/>
      <c r="J13" s="85"/>
      <c r="K13" s="153" t="s">
        <v>14</v>
      </c>
      <c r="L13" s="192" t="s">
        <v>276</v>
      </c>
      <c r="M13" s="192" t="s">
        <v>138</v>
      </c>
      <c r="N13" s="190" t="str">
        <f t="shared" si="1"/>
        <v>AUD6MMTOIS</v>
      </c>
      <c r="O13" s="190" t="str">
        <v>AUD6MMTOIS=ICAA</v>
      </c>
      <c r="P13" s="147" t="s">
        <v>174</v>
      </c>
      <c r="Q13" s="147" t="s">
        <v>174</v>
      </c>
      <c r="R13" s="147" t="s">
        <v>174</v>
      </c>
      <c r="S13" s="147" t="s">
        <v>174</v>
      </c>
      <c r="T13" s="151" t="e">
        <f>_xll.qlMidEquivalent($P13,$Q13,$R13,$S13)</f>
        <v>#NUM!</v>
      </c>
      <c r="U13" s="149"/>
      <c r="V13" s="150" t="e">
        <v>#NUM!</v>
      </c>
      <c r="W13" s="149"/>
      <c r="X13" s="209" t="e">
        <v>#NUM!</v>
      </c>
      <c r="Y13" s="146" t="e">
        <f>_xll.qlSimpleQuoteSetValue(F13,X13/100,Trigger)</f>
        <v>#NUM!</v>
      </c>
      <c r="Z13" s="136"/>
    </row>
    <row r="14" spans="1:26" x14ac:dyDescent="0.2">
      <c r="A14" s="85"/>
      <c r="B14" s="118" t="s">
        <v>276</v>
      </c>
      <c r="C14" s="118" t="s">
        <v>138</v>
      </c>
      <c r="D14" s="364" t="s">
        <v>13</v>
      </c>
      <c r="E14" s="137" t="str">
        <f t="shared" si="0"/>
        <v>AUDMTOIS7M_Quote</v>
      </c>
      <c r="F14" s="137" t="str">
        <f>_xll.qlSimpleQuote(Currency&amp;$B14&amp;$C14&amp;$D14&amp;QuoteSuffix,,RateTickValue,Permanent,Trigger,ObjectOverwrite)</f>
        <v>AUDMTOIS7M_Quote#0000</v>
      </c>
      <c r="G14" s="22" t="str">
        <f>_xll.ohRangeRetrieveError(F14)</f>
        <v/>
      </c>
      <c r="H14" s="21"/>
      <c r="J14" s="85"/>
      <c r="K14" s="153" t="s">
        <v>13</v>
      </c>
      <c r="L14" s="192" t="s">
        <v>276</v>
      </c>
      <c r="M14" s="192" t="s">
        <v>138</v>
      </c>
      <c r="N14" s="190" t="str">
        <f t="shared" si="1"/>
        <v>AUD7MMTOIS</v>
      </c>
      <c r="O14" s="190" t="str">
        <v>AUD7MMTOIS=ICAA</v>
      </c>
      <c r="P14" s="147" t="s">
        <v>174</v>
      </c>
      <c r="Q14" s="147" t="s">
        <v>174</v>
      </c>
      <c r="R14" s="147" t="s">
        <v>174</v>
      </c>
      <c r="S14" s="147" t="s">
        <v>174</v>
      </c>
      <c r="T14" s="151" t="e">
        <f>_xll.qlMidEquivalent($P14,$Q14,$R14,$S14)</f>
        <v>#NUM!</v>
      </c>
      <c r="U14" s="149"/>
      <c r="V14" s="150" t="e">
        <v>#NUM!</v>
      </c>
      <c r="W14" s="149"/>
      <c r="X14" s="209" t="e">
        <v>#NUM!</v>
      </c>
      <c r="Y14" s="146" t="e">
        <f>_xll.qlSimpleQuoteSetValue(F14,X14/100,Trigger)</f>
        <v>#NUM!</v>
      </c>
      <c r="Z14" s="136"/>
    </row>
    <row r="15" spans="1:26" x14ac:dyDescent="0.2">
      <c r="A15" s="85"/>
      <c r="B15" s="118" t="s">
        <v>276</v>
      </c>
      <c r="C15" s="118" t="s">
        <v>138</v>
      </c>
      <c r="D15" s="364" t="s">
        <v>12</v>
      </c>
      <c r="E15" s="137" t="str">
        <f t="shared" si="0"/>
        <v>AUDMTOIS8M_Quote</v>
      </c>
      <c r="F15" s="137" t="str">
        <f>_xll.qlSimpleQuote(Currency&amp;$B15&amp;$C15&amp;$D15&amp;QuoteSuffix,,RateTickValue,Permanent,Trigger,ObjectOverwrite)</f>
        <v>AUDMTOIS8M_Quote#0000</v>
      </c>
      <c r="G15" s="22" t="str">
        <f>_xll.ohRangeRetrieveError(F15)</f>
        <v/>
      </c>
      <c r="H15" s="21"/>
      <c r="J15" s="85"/>
      <c r="K15" s="153" t="s">
        <v>12</v>
      </c>
      <c r="L15" s="192" t="s">
        <v>276</v>
      </c>
      <c r="M15" s="192" t="s">
        <v>138</v>
      </c>
      <c r="N15" s="190" t="str">
        <f t="shared" si="1"/>
        <v>AUD8MMTOIS</v>
      </c>
      <c r="O15" s="190" t="str">
        <v>AUD8MMTOIS=ICAA</v>
      </c>
      <c r="P15" s="147" t="s">
        <v>174</v>
      </c>
      <c r="Q15" s="147" t="s">
        <v>174</v>
      </c>
      <c r="R15" s="147" t="s">
        <v>174</v>
      </c>
      <c r="S15" s="147" t="s">
        <v>174</v>
      </c>
      <c r="T15" s="151" t="e">
        <f>_xll.qlMidEquivalent($P15,$Q15,$R15,$S15)</f>
        <v>#NUM!</v>
      </c>
      <c r="U15" s="149"/>
      <c r="V15" s="150" t="e">
        <v>#NUM!</v>
      </c>
      <c r="W15" s="149"/>
      <c r="X15" s="209" t="e">
        <v>#NUM!</v>
      </c>
      <c r="Y15" s="146" t="e">
        <f>_xll.qlSimpleQuoteSetValue(F15,X15/100,Trigger)</f>
        <v>#NUM!</v>
      </c>
      <c r="Z15" s="136"/>
    </row>
    <row r="16" spans="1:26" x14ac:dyDescent="0.2">
      <c r="A16" s="85"/>
      <c r="B16" s="118" t="s">
        <v>276</v>
      </c>
      <c r="C16" s="118" t="s">
        <v>138</v>
      </c>
      <c r="D16" s="364" t="s">
        <v>11</v>
      </c>
      <c r="E16" s="137" t="str">
        <f t="shared" si="0"/>
        <v>AUDMTOIS9M_Quote</v>
      </c>
      <c r="F16" s="137" t="str">
        <f>_xll.qlSimpleQuote(Currency&amp;$B16&amp;$C16&amp;$D16&amp;QuoteSuffix,,RateTickValue,Permanent,Trigger,ObjectOverwrite)</f>
        <v>AUDMTOIS9M_Quote#0000</v>
      </c>
      <c r="G16" s="22" t="str">
        <f>_xll.ohRangeRetrieveError(F16)</f>
        <v/>
      </c>
      <c r="H16" s="21"/>
      <c r="J16" s="85"/>
      <c r="K16" s="153" t="s">
        <v>11</v>
      </c>
      <c r="L16" s="192" t="s">
        <v>276</v>
      </c>
      <c r="M16" s="192" t="s">
        <v>138</v>
      </c>
      <c r="N16" s="190" t="str">
        <f t="shared" si="1"/>
        <v>AUD9MMTOIS</v>
      </c>
      <c r="O16" s="190" t="str">
        <v>AUD9MMTOIS=ICAA</v>
      </c>
      <c r="P16" s="147" t="s">
        <v>174</v>
      </c>
      <c r="Q16" s="147" t="s">
        <v>174</v>
      </c>
      <c r="R16" s="147" t="s">
        <v>174</v>
      </c>
      <c r="S16" s="147" t="s">
        <v>174</v>
      </c>
      <c r="T16" s="151" t="e">
        <f>_xll.qlMidEquivalent($P16,$Q16,$R16,$S16)</f>
        <v>#NUM!</v>
      </c>
      <c r="U16" s="149"/>
      <c r="V16" s="150" t="e">
        <v>#NUM!</v>
      </c>
      <c r="W16" s="149"/>
      <c r="X16" s="209" t="e">
        <v>#NUM!</v>
      </c>
      <c r="Y16" s="146" t="e">
        <f>_xll.qlSimpleQuoteSetValue(F16,X16/100,Trigger)</f>
        <v>#NUM!</v>
      </c>
      <c r="Z16" s="136"/>
    </row>
    <row r="17" spans="1:26" x14ac:dyDescent="0.2">
      <c r="A17" s="85"/>
      <c r="B17" s="118" t="s">
        <v>276</v>
      </c>
      <c r="C17" s="118" t="s">
        <v>138</v>
      </c>
      <c r="D17" s="364" t="s">
        <v>10</v>
      </c>
      <c r="E17" s="137" t="str">
        <f t="shared" si="0"/>
        <v>AUDMTOIS10M_Quote</v>
      </c>
      <c r="F17" s="137" t="str">
        <f>_xll.qlSimpleQuote(Currency&amp;$B17&amp;$C17&amp;$D17&amp;QuoteSuffix,,RateTickValue,Permanent,Trigger,ObjectOverwrite)</f>
        <v>AUDMTOIS10M_Quote#0000</v>
      </c>
      <c r="G17" s="22" t="str">
        <f>_xll.ohRangeRetrieveError(F17)</f>
        <v/>
      </c>
      <c r="H17" s="21"/>
      <c r="J17" s="85"/>
      <c r="K17" s="153" t="s">
        <v>10</v>
      </c>
      <c r="L17" s="192" t="s">
        <v>276</v>
      </c>
      <c r="M17" s="192" t="s">
        <v>138</v>
      </c>
      <c r="N17" s="190" t="str">
        <f t="shared" si="1"/>
        <v>AUD10MMTOIS</v>
      </c>
      <c r="O17" s="190" t="str">
        <v>AUD10MMTOIS=ICAA</v>
      </c>
      <c r="P17" s="147" t="s">
        <v>174</v>
      </c>
      <c r="Q17" s="147" t="s">
        <v>174</v>
      </c>
      <c r="R17" s="147" t="s">
        <v>174</v>
      </c>
      <c r="S17" s="147" t="s">
        <v>174</v>
      </c>
      <c r="T17" s="151" t="e">
        <f>_xll.qlMidEquivalent($P17,$Q17,$R17,$S17)</f>
        <v>#NUM!</v>
      </c>
      <c r="U17" s="149"/>
      <c r="V17" s="150" t="e">
        <v>#NUM!</v>
      </c>
      <c r="W17" s="149"/>
      <c r="X17" s="209" t="e">
        <v>#NUM!</v>
      </c>
      <c r="Y17" s="146" t="e">
        <f>_xll.qlSimpleQuoteSetValue(F17,X17/100,Trigger)</f>
        <v>#NUM!</v>
      </c>
      <c r="Z17" s="136"/>
    </row>
    <row r="18" spans="1:26" x14ac:dyDescent="0.2">
      <c r="A18" s="85"/>
      <c r="B18" s="118" t="s">
        <v>276</v>
      </c>
      <c r="C18" s="118" t="s">
        <v>138</v>
      </c>
      <c r="D18" s="364" t="s">
        <v>9</v>
      </c>
      <c r="E18" s="137" t="str">
        <f t="shared" si="0"/>
        <v>AUDMTOIS11M_Quote</v>
      </c>
      <c r="F18" s="137" t="str">
        <f>_xll.qlSimpleQuote(Currency&amp;$B18&amp;$C18&amp;$D18&amp;QuoteSuffix,,RateTickValue,Permanent,Trigger,ObjectOverwrite)</f>
        <v>AUDMTOIS11M_Quote#0000</v>
      </c>
      <c r="G18" s="22" t="str">
        <f>_xll.ohRangeRetrieveError(F18)</f>
        <v/>
      </c>
      <c r="H18" s="21"/>
      <c r="J18" s="85"/>
      <c r="K18" s="153" t="s">
        <v>9</v>
      </c>
      <c r="L18" s="192" t="s">
        <v>276</v>
      </c>
      <c r="M18" s="192" t="s">
        <v>138</v>
      </c>
      <c r="N18" s="190" t="str">
        <f t="shared" si="1"/>
        <v>AUD11MMTOIS</v>
      </c>
      <c r="O18" s="190" t="str">
        <v>AUD11MMTOIS=ICAA</v>
      </c>
      <c r="P18" s="147" t="s">
        <v>174</v>
      </c>
      <c r="Q18" s="147" t="s">
        <v>174</v>
      </c>
      <c r="R18" s="147" t="s">
        <v>174</v>
      </c>
      <c r="S18" s="147" t="s">
        <v>174</v>
      </c>
      <c r="T18" s="151" t="e">
        <f>_xll.qlMidEquivalent($P18,$Q18,$R18,$S18)</f>
        <v>#NUM!</v>
      </c>
      <c r="U18" s="149"/>
      <c r="V18" s="150" t="e">
        <v>#NUM!</v>
      </c>
      <c r="W18" s="149"/>
      <c r="X18" s="209" t="e">
        <v>#NUM!</v>
      </c>
      <c r="Y18" s="146" t="e">
        <f>_xll.qlSimpleQuoteSetValue(F18,X18/100,Trigger)</f>
        <v>#NUM!</v>
      </c>
      <c r="Z18" s="136"/>
    </row>
    <row r="19" spans="1:26" x14ac:dyDescent="0.2">
      <c r="A19" s="85"/>
      <c r="B19" s="118" t="s">
        <v>276</v>
      </c>
      <c r="C19" s="118" t="s">
        <v>138</v>
      </c>
      <c r="D19" s="364" t="s">
        <v>8</v>
      </c>
      <c r="E19" s="137" t="str">
        <f t="shared" si="0"/>
        <v>AUDMTOIS1Y_Quote</v>
      </c>
      <c r="F19" s="137" t="str">
        <f>_xll.qlSimpleQuote(Currency&amp;$B19&amp;$C19&amp;$D19&amp;QuoteSuffix,,RateTickValue,Permanent,Trigger,ObjectOverwrite)</f>
        <v>AUDMTOIS1Y_Quote#0000</v>
      </c>
      <c r="G19" s="22" t="str">
        <f>_xll.ohRangeRetrieveError(F19)</f>
        <v/>
      </c>
      <c r="H19" s="21"/>
      <c r="J19" s="85"/>
      <c r="K19" s="153" t="s">
        <v>8</v>
      </c>
      <c r="L19" s="192" t="s">
        <v>276</v>
      </c>
      <c r="M19" s="192" t="s">
        <v>138</v>
      </c>
      <c r="N19" s="190" t="str">
        <f t="shared" si="1"/>
        <v>AUD1YMTOIS</v>
      </c>
      <c r="O19" s="190" t="str">
        <v>AUD1YMTOIS=ICAA</v>
      </c>
      <c r="P19" s="147">
        <v>2.5</v>
      </c>
      <c r="Q19" s="147">
        <v>2.5499999999999998</v>
      </c>
      <c r="R19" s="147">
        <v>0</v>
      </c>
      <c r="S19" s="147">
        <v>2.5179999999999998</v>
      </c>
      <c r="T19" s="151">
        <f>_xll.qlMidEquivalent($P19,$Q19,$R19,$S19)</f>
        <v>2.5249999999999999</v>
      </c>
      <c r="U19" s="149"/>
      <c r="V19" s="150">
        <v>2.54</v>
      </c>
      <c r="W19" s="149"/>
      <c r="X19" s="209">
        <v>2.5249999999999999</v>
      </c>
      <c r="Y19" s="146">
        <f>_xll.qlSimpleQuoteSetValue(F19,X19/100,Trigger)</f>
        <v>-1.5000000000000083E-4</v>
      </c>
      <c r="Z19" s="136"/>
    </row>
    <row r="20" spans="1:26" x14ac:dyDescent="0.2">
      <c r="A20" s="85"/>
      <c r="B20" s="118" t="s">
        <v>276</v>
      </c>
      <c r="C20" s="118" t="s">
        <v>138</v>
      </c>
      <c r="D20" s="364" t="s">
        <v>155</v>
      </c>
      <c r="E20" s="137" t="str">
        <f t="shared" si="0"/>
        <v>AUDMTOIS13M_Quote</v>
      </c>
      <c r="F20" s="137" t="str">
        <f>_xll.qlSimpleQuote(Currency&amp;$B20&amp;$C20&amp;$D20&amp;QuoteSuffix,,RateTickValue,Permanent,Trigger,ObjectOverwrite)</f>
        <v>AUDMTOIS13M_Quote#0000</v>
      </c>
      <c r="G20" s="22" t="str">
        <f>_xll.ohRangeRetrieveError(F20)</f>
        <v/>
      </c>
      <c r="H20" s="21"/>
      <c r="J20" s="85"/>
      <c r="K20" s="153" t="s">
        <v>155</v>
      </c>
      <c r="L20" s="192" t="s">
        <v>276</v>
      </c>
      <c r="M20" s="192" t="s">
        <v>138</v>
      </c>
      <c r="N20" s="190" t="str">
        <f t="shared" si="1"/>
        <v>AUD13MMTOIS</v>
      </c>
      <c r="O20" s="190" t="str">
        <v>AUD13MMTOIS=ICAA</v>
      </c>
      <c r="P20" s="147" t="s">
        <v>174</v>
      </c>
      <c r="Q20" s="147" t="s">
        <v>174</v>
      </c>
      <c r="R20" s="147" t="s">
        <v>174</v>
      </c>
      <c r="S20" s="147" t="s">
        <v>174</v>
      </c>
      <c r="T20" s="151" t="e">
        <f>_xll.qlMidEquivalent($P20,$Q20,$R20,$S20)</f>
        <v>#NUM!</v>
      </c>
      <c r="U20" s="149"/>
      <c r="V20" s="150" t="e">
        <v>#NUM!</v>
      </c>
      <c r="W20" s="149"/>
      <c r="X20" s="209" t="e">
        <v>#NUM!</v>
      </c>
      <c r="Y20" s="146" t="e">
        <f>_xll.qlSimpleQuoteSetValue(F20,X20/100,Trigger)</f>
        <v>#NUM!</v>
      </c>
      <c r="Z20" s="136"/>
    </row>
    <row r="21" spans="1:26" x14ac:dyDescent="0.2">
      <c r="A21" s="85"/>
      <c r="B21" s="118" t="s">
        <v>276</v>
      </c>
      <c r="C21" s="118" t="s">
        <v>138</v>
      </c>
      <c r="D21" s="364" t="s">
        <v>154</v>
      </c>
      <c r="E21" s="137" t="str">
        <f t="shared" si="0"/>
        <v>AUDMTOIS14M_Quote</v>
      </c>
      <c r="F21" s="137" t="str">
        <f>_xll.qlSimpleQuote(Currency&amp;$B21&amp;$C21&amp;$D21&amp;QuoteSuffix,,RateTickValue,Permanent,Trigger,ObjectOverwrite)</f>
        <v>AUDMTOIS14M_Quote#0000</v>
      </c>
      <c r="G21" s="22" t="str">
        <f>_xll.ohRangeRetrieveError(F21)</f>
        <v/>
      </c>
      <c r="H21" s="21"/>
      <c r="J21" s="85"/>
      <c r="K21" s="153" t="s">
        <v>154</v>
      </c>
      <c r="L21" s="192" t="s">
        <v>276</v>
      </c>
      <c r="M21" s="192" t="s">
        <v>138</v>
      </c>
      <c r="N21" s="190" t="str">
        <f t="shared" si="1"/>
        <v>AUD14MMTOIS</v>
      </c>
      <c r="O21" s="190" t="str">
        <v>AUD14MMTOIS=ICAA</v>
      </c>
      <c r="P21" s="147" t="s">
        <v>174</v>
      </c>
      <c r="Q21" s="147" t="s">
        <v>174</v>
      </c>
      <c r="R21" s="147" t="s">
        <v>174</v>
      </c>
      <c r="S21" s="147" t="s">
        <v>174</v>
      </c>
      <c r="T21" s="151" t="e">
        <f>_xll.qlMidEquivalent($P21,$Q21,$R21,$S21)</f>
        <v>#NUM!</v>
      </c>
      <c r="U21" s="149"/>
      <c r="V21" s="150" t="e">
        <v>#NUM!</v>
      </c>
      <c r="W21" s="149"/>
      <c r="X21" s="209" t="e">
        <v>#NUM!</v>
      </c>
      <c r="Y21" s="146" t="e">
        <f>_xll.qlSimpleQuoteSetValue(F21,X21/100,Trigger)</f>
        <v>#NUM!</v>
      </c>
      <c r="Z21" s="136"/>
    </row>
    <row r="22" spans="1:26" x14ac:dyDescent="0.2">
      <c r="A22" s="85"/>
      <c r="B22" s="118" t="s">
        <v>276</v>
      </c>
      <c r="C22" s="118" t="s">
        <v>138</v>
      </c>
      <c r="D22" s="364" t="s">
        <v>103</v>
      </c>
      <c r="E22" s="137" t="str">
        <f t="shared" si="0"/>
        <v>AUDMTOIS15M_Quote</v>
      </c>
      <c r="F22" s="137" t="str">
        <f>_xll.qlSimpleQuote(Currency&amp;$B22&amp;$C22&amp;$D22&amp;QuoteSuffix,,RateTickValue,Permanent,Trigger,ObjectOverwrite)</f>
        <v>AUDMTOIS15M_Quote#0000</v>
      </c>
      <c r="G22" s="22" t="str">
        <f>_xll.ohRangeRetrieveError(F22)</f>
        <v/>
      </c>
      <c r="H22" s="21"/>
      <c r="J22" s="85"/>
      <c r="K22" s="153" t="s">
        <v>103</v>
      </c>
      <c r="L22" s="192" t="s">
        <v>276</v>
      </c>
      <c r="M22" s="192" t="s">
        <v>138</v>
      </c>
      <c r="N22" s="190" t="str">
        <f t="shared" si="1"/>
        <v>AUD15MMTOIS</v>
      </c>
      <c r="O22" s="190" t="str">
        <v>AUD15MMTOIS=ICAA</v>
      </c>
      <c r="P22" s="147" t="s">
        <v>174</v>
      </c>
      <c r="Q22" s="147" t="s">
        <v>174</v>
      </c>
      <c r="R22" s="147" t="s">
        <v>174</v>
      </c>
      <c r="S22" s="147" t="s">
        <v>174</v>
      </c>
      <c r="T22" s="151" t="e">
        <f>_xll.qlMidEquivalent($P22,$Q22,$R22,$S22)</f>
        <v>#NUM!</v>
      </c>
      <c r="U22" s="149"/>
      <c r="V22" s="150" t="e">
        <v>#NUM!</v>
      </c>
      <c r="W22" s="149"/>
      <c r="X22" s="209" t="e">
        <v>#NUM!</v>
      </c>
      <c r="Y22" s="146" t="e">
        <f>_xll.qlSimpleQuoteSetValue(F22,X22/100,Trigger)</f>
        <v>#NUM!</v>
      </c>
      <c r="Z22" s="136"/>
    </row>
    <row r="23" spans="1:26" x14ac:dyDescent="0.2">
      <c r="A23" s="85"/>
      <c r="B23" s="118" t="s">
        <v>276</v>
      </c>
      <c r="C23" s="118" t="s">
        <v>138</v>
      </c>
      <c r="D23" s="364" t="s">
        <v>153</v>
      </c>
      <c r="E23" s="137" t="str">
        <f t="shared" si="0"/>
        <v>AUDMTOIS16M_Quote</v>
      </c>
      <c r="F23" s="137" t="str">
        <f>_xll.qlSimpleQuote(Currency&amp;$B23&amp;$C23&amp;$D23&amp;QuoteSuffix,,RateTickValue,Permanent,Trigger,ObjectOverwrite)</f>
        <v>AUDMTOIS16M_Quote#0000</v>
      </c>
      <c r="G23" s="22" t="str">
        <f>_xll.ohRangeRetrieveError(F23)</f>
        <v/>
      </c>
      <c r="H23" s="21"/>
      <c r="J23" s="85"/>
      <c r="K23" s="153" t="s">
        <v>153</v>
      </c>
      <c r="L23" s="192" t="s">
        <v>276</v>
      </c>
      <c r="M23" s="192" t="s">
        <v>138</v>
      </c>
      <c r="N23" s="190" t="str">
        <f t="shared" si="1"/>
        <v>AUD16MMTOIS</v>
      </c>
      <c r="O23" s="190" t="str">
        <v>AUD16MMTOIS=ICAA</v>
      </c>
      <c r="P23" s="147" t="s">
        <v>174</v>
      </c>
      <c r="Q23" s="147" t="s">
        <v>174</v>
      </c>
      <c r="R23" s="147" t="s">
        <v>174</v>
      </c>
      <c r="S23" s="147" t="s">
        <v>174</v>
      </c>
      <c r="T23" s="151" t="e">
        <f>_xll.qlMidEquivalent($P23,$Q23,$R23,$S23)</f>
        <v>#NUM!</v>
      </c>
      <c r="U23" s="149"/>
      <c r="V23" s="150" t="e">
        <v>#NUM!</v>
      </c>
      <c r="W23" s="149"/>
      <c r="X23" s="209" t="e">
        <v>#NUM!</v>
      </c>
      <c r="Y23" s="146" t="e">
        <f>_xll.qlSimpleQuoteSetValue(F23,X23/100,Trigger)</f>
        <v>#NUM!</v>
      </c>
      <c r="Z23" s="136"/>
    </row>
    <row r="24" spans="1:26" x14ac:dyDescent="0.2">
      <c r="A24" s="85"/>
      <c r="B24" s="118" t="s">
        <v>276</v>
      </c>
      <c r="C24" s="118" t="s">
        <v>138</v>
      </c>
      <c r="D24" s="364" t="s">
        <v>152</v>
      </c>
      <c r="E24" s="137" t="str">
        <f t="shared" si="0"/>
        <v>AUDMTOIS17M_Quote</v>
      </c>
      <c r="F24" s="137" t="str">
        <f>_xll.qlSimpleQuote(Currency&amp;$B24&amp;$C24&amp;$D24&amp;QuoteSuffix,,RateTickValue,Permanent,Trigger,ObjectOverwrite)</f>
        <v>AUDMTOIS17M_Quote#0000</v>
      </c>
      <c r="G24" s="22" t="str">
        <f>_xll.ohRangeRetrieveError(F24)</f>
        <v/>
      </c>
      <c r="H24" s="21"/>
      <c r="J24" s="85"/>
      <c r="K24" s="153" t="s">
        <v>152</v>
      </c>
      <c r="L24" s="192" t="s">
        <v>276</v>
      </c>
      <c r="M24" s="192" t="s">
        <v>138</v>
      </c>
      <c r="N24" s="190" t="str">
        <f t="shared" si="1"/>
        <v>AUD17MMTOIS</v>
      </c>
      <c r="O24" s="190" t="str">
        <v>AUD17MMTOIS=ICAA</v>
      </c>
      <c r="P24" s="147" t="s">
        <v>174</v>
      </c>
      <c r="Q24" s="147" t="s">
        <v>174</v>
      </c>
      <c r="R24" s="147" t="s">
        <v>174</v>
      </c>
      <c r="S24" s="147" t="s">
        <v>174</v>
      </c>
      <c r="T24" s="151" t="e">
        <f>_xll.qlMidEquivalent($P24,$Q24,$R24,$S24)</f>
        <v>#NUM!</v>
      </c>
      <c r="U24" s="149"/>
      <c r="V24" s="150" t="e">
        <v>#NUM!</v>
      </c>
      <c r="W24" s="149"/>
      <c r="X24" s="209" t="e">
        <v>#NUM!</v>
      </c>
      <c r="Y24" s="146" t="e">
        <f>_xll.qlSimpleQuoteSetValue(F24,X24/100,Trigger)</f>
        <v>#NUM!</v>
      </c>
      <c r="Z24" s="136"/>
    </row>
    <row r="25" spans="1:26" x14ac:dyDescent="0.2">
      <c r="A25" s="85"/>
      <c r="B25" s="118" t="s">
        <v>276</v>
      </c>
      <c r="C25" s="118" t="s">
        <v>138</v>
      </c>
      <c r="D25" s="364" t="s">
        <v>102</v>
      </c>
      <c r="E25" s="137" t="str">
        <f t="shared" si="0"/>
        <v>AUDMTOIS18M_Quote</v>
      </c>
      <c r="F25" s="137" t="str">
        <f>_xll.qlSimpleQuote(Currency&amp;$B25&amp;$C25&amp;$D25&amp;QuoteSuffix,,RateTickValue,Permanent,Trigger,ObjectOverwrite)</f>
        <v>AUDMTOIS18M_Quote#0000</v>
      </c>
      <c r="G25" s="22" t="str">
        <f>_xll.ohRangeRetrieveError(F25)</f>
        <v/>
      </c>
      <c r="H25" s="21"/>
      <c r="J25" s="85"/>
      <c r="K25" s="153" t="s">
        <v>102</v>
      </c>
      <c r="L25" s="192" t="s">
        <v>276</v>
      </c>
      <c r="M25" s="192" t="s">
        <v>138</v>
      </c>
      <c r="N25" s="190" t="str">
        <f t="shared" si="1"/>
        <v>AUD18MMTOIS</v>
      </c>
      <c r="O25" s="190" t="str">
        <v>AUD18MMTOIS=ICAA</v>
      </c>
      <c r="P25" s="147">
        <v>2.5449999999999999</v>
      </c>
      <c r="Q25" s="147">
        <v>2.5950000000000002</v>
      </c>
      <c r="R25" s="147">
        <v>0</v>
      </c>
      <c r="S25" s="147">
        <v>2.5649999999999999</v>
      </c>
      <c r="T25" s="151">
        <f>_xll.qlMidEquivalent($P25,$Q25,$R25,$S25)</f>
        <v>2.5700000000000003</v>
      </c>
      <c r="U25" s="149"/>
      <c r="V25" s="150">
        <v>2.6</v>
      </c>
      <c r="W25" s="149"/>
      <c r="X25" s="209">
        <v>2.5700000000000003</v>
      </c>
      <c r="Y25" s="146">
        <f>_xll.qlSimpleQuoteSetValue(F25,X25/100,Trigger)</f>
        <v>-2.9999999999999818E-4</v>
      </c>
      <c r="Z25" s="136"/>
    </row>
    <row r="26" spans="1:26" x14ac:dyDescent="0.2">
      <c r="A26" s="85"/>
      <c r="B26" s="118" t="s">
        <v>276</v>
      </c>
      <c r="C26" s="118" t="s">
        <v>138</v>
      </c>
      <c r="D26" s="364" t="s">
        <v>151</v>
      </c>
      <c r="E26" s="137" t="str">
        <f t="shared" si="0"/>
        <v>AUDMTOIS19M_Quote</v>
      </c>
      <c r="F26" s="137" t="str">
        <f>_xll.qlSimpleQuote(Currency&amp;$B26&amp;$C26&amp;$D26&amp;QuoteSuffix,,RateTickValue,Permanent,Trigger,ObjectOverwrite)</f>
        <v>AUDMTOIS19M_Quote#0000</v>
      </c>
      <c r="G26" s="22" t="str">
        <f>_xll.ohRangeRetrieveError(F26)</f>
        <v/>
      </c>
      <c r="H26" s="21"/>
      <c r="J26" s="85"/>
      <c r="K26" s="153" t="s">
        <v>151</v>
      </c>
      <c r="L26" s="192" t="s">
        <v>276</v>
      </c>
      <c r="M26" s="192" t="s">
        <v>138</v>
      </c>
      <c r="N26" s="190" t="str">
        <f t="shared" si="1"/>
        <v>AUD19MMTOIS</v>
      </c>
      <c r="O26" s="190" t="str">
        <v>AUD19MMTOIS=ICAA</v>
      </c>
      <c r="P26" s="147" t="s">
        <v>174</v>
      </c>
      <c r="Q26" s="147" t="s">
        <v>174</v>
      </c>
      <c r="R26" s="147" t="s">
        <v>174</v>
      </c>
      <c r="S26" s="147" t="s">
        <v>174</v>
      </c>
      <c r="T26" s="151" t="e">
        <f>_xll.qlMidEquivalent($P26,$Q26,$R26,$S26)</f>
        <v>#NUM!</v>
      </c>
      <c r="U26" s="149"/>
      <c r="V26" s="150" t="e">
        <v>#NUM!</v>
      </c>
      <c r="W26" s="149"/>
      <c r="X26" s="209" t="e">
        <v>#NUM!</v>
      </c>
      <c r="Y26" s="146" t="e">
        <f>_xll.qlSimpleQuoteSetValue(F26,X26/100,Trigger)</f>
        <v>#NUM!</v>
      </c>
      <c r="Z26" s="136"/>
    </row>
    <row r="27" spans="1:26" x14ac:dyDescent="0.2">
      <c r="A27" s="85"/>
      <c r="B27" s="118" t="s">
        <v>276</v>
      </c>
      <c r="C27" s="118" t="s">
        <v>138</v>
      </c>
      <c r="D27" s="364" t="s">
        <v>150</v>
      </c>
      <c r="E27" s="137" t="str">
        <f t="shared" si="0"/>
        <v>AUDMTOIS20M_Quote</v>
      </c>
      <c r="F27" s="137" t="str">
        <f>_xll.qlSimpleQuote(Currency&amp;$B27&amp;$C27&amp;$D27&amp;QuoteSuffix,,RateTickValue,Permanent,Trigger,ObjectOverwrite)</f>
        <v>AUDMTOIS20M_Quote#0000</v>
      </c>
      <c r="G27" s="22" t="str">
        <f>_xll.ohRangeRetrieveError(F27)</f>
        <v/>
      </c>
      <c r="H27" s="21"/>
      <c r="J27" s="85"/>
      <c r="K27" s="153" t="s">
        <v>150</v>
      </c>
      <c r="L27" s="192" t="s">
        <v>276</v>
      </c>
      <c r="M27" s="192" t="s">
        <v>138</v>
      </c>
      <c r="N27" s="190" t="str">
        <f t="shared" si="1"/>
        <v>AUD20MMTOIS</v>
      </c>
      <c r="O27" s="190" t="str">
        <v>AUD20MMTOIS=ICAA</v>
      </c>
      <c r="P27" s="147" t="s">
        <v>174</v>
      </c>
      <c r="Q27" s="147" t="s">
        <v>174</v>
      </c>
      <c r="R27" s="147" t="s">
        <v>174</v>
      </c>
      <c r="S27" s="147" t="s">
        <v>174</v>
      </c>
      <c r="T27" s="151" t="e">
        <f>_xll.qlMidEquivalent($P27,$Q27,$R27,$S27)</f>
        <v>#NUM!</v>
      </c>
      <c r="U27" s="149"/>
      <c r="V27" s="150" t="e">
        <v>#NUM!</v>
      </c>
      <c r="W27" s="149"/>
      <c r="X27" s="209" t="e">
        <v>#NUM!</v>
      </c>
      <c r="Y27" s="146" t="e">
        <f>_xll.qlSimpleQuoteSetValue(F27,X27/100,Trigger)</f>
        <v>#NUM!</v>
      </c>
      <c r="Z27" s="136"/>
    </row>
    <row r="28" spans="1:26" x14ac:dyDescent="0.2">
      <c r="A28" s="85"/>
      <c r="B28" s="118" t="s">
        <v>276</v>
      </c>
      <c r="C28" s="118" t="s">
        <v>138</v>
      </c>
      <c r="D28" s="364" t="s">
        <v>101</v>
      </c>
      <c r="E28" s="137" t="str">
        <f t="shared" si="0"/>
        <v>AUDMTOIS21M_Quote</v>
      </c>
      <c r="F28" s="137" t="str">
        <f>_xll.qlSimpleQuote(Currency&amp;$B28&amp;$C28&amp;$D28&amp;QuoteSuffix,,RateTickValue,Permanent,Trigger,ObjectOverwrite)</f>
        <v>AUDMTOIS21M_Quote#0000</v>
      </c>
      <c r="G28" s="22" t="str">
        <f>_xll.ohRangeRetrieveError(F28)</f>
        <v/>
      </c>
      <c r="H28" s="21"/>
      <c r="J28" s="85"/>
      <c r="K28" s="153" t="s">
        <v>101</v>
      </c>
      <c r="L28" s="192" t="s">
        <v>276</v>
      </c>
      <c r="M28" s="192" t="s">
        <v>138</v>
      </c>
      <c r="N28" s="190" t="str">
        <f t="shared" si="1"/>
        <v>AUD21MMTOIS</v>
      </c>
      <c r="O28" s="190" t="str">
        <v>AUD21MMTOIS=ICAA</v>
      </c>
      <c r="P28" s="147" t="s">
        <v>174</v>
      </c>
      <c r="Q28" s="147" t="s">
        <v>174</v>
      </c>
      <c r="R28" s="147" t="s">
        <v>174</v>
      </c>
      <c r="S28" s="147" t="s">
        <v>174</v>
      </c>
      <c r="T28" s="151" t="e">
        <f>_xll.qlMidEquivalent($P28,$Q28,$R28,$S28)</f>
        <v>#NUM!</v>
      </c>
      <c r="U28" s="149"/>
      <c r="V28" s="150" t="e">
        <v>#NUM!</v>
      </c>
      <c r="W28" s="149"/>
      <c r="X28" s="209" t="e">
        <v>#NUM!</v>
      </c>
      <c r="Y28" s="146" t="e">
        <f>_xll.qlSimpleQuoteSetValue(F28,X28/100,Trigger)</f>
        <v>#NUM!</v>
      </c>
      <c r="Z28" s="136"/>
    </row>
    <row r="29" spans="1:26" x14ac:dyDescent="0.2">
      <c r="A29" s="85"/>
      <c r="B29" s="118" t="s">
        <v>276</v>
      </c>
      <c r="C29" s="118" t="s">
        <v>138</v>
      </c>
      <c r="D29" s="364" t="s">
        <v>149</v>
      </c>
      <c r="E29" s="137" t="str">
        <f t="shared" si="0"/>
        <v>AUDMTOIS22M_Quote</v>
      </c>
      <c r="F29" s="137" t="str">
        <f>_xll.qlSimpleQuote(Currency&amp;$B29&amp;$C29&amp;$D29&amp;QuoteSuffix,,RateTickValue,Permanent,Trigger,ObjectOverwrite)</f>
        <v>AUDMTOIS22M_Quote#0000</v>
      </c>
      <c r="G29" s="22" t="str">
        <f>_xll.ohRangeRetrieveError(F29)</f>
        <v/>
      </c>
      <c r="H29" s="21"/>
      <c r="J29" s="85"/>
      <c r="K29" s="153" t="s">
        <v>149</v>
      </c>
      <c r="L29" s="192" t="s">
        <v>276</v>
      </c>
      <c r="M29" s="192" t="s">
        <v>138</v>
      </c>
      <c r="N29" s="190" t="str">
        <f t="shared" si="1"/>
        <v>AUD22MMTOIS</v>
      </c>
      <c r="O29" s="190" t="str">
        <v>AUD22MMTOIS=ICAA</v>
      </c>
      <c r="P29" s="147" t="s">
        <v>174</v>
      </c>
      <c r="Q29" s="147" t="s">
        <v>174</v>
      </c>
      <c r="R29" s="147" t="s">
        <v>174</v>
      </c>
      <c r="S29" s="147" t="s">
        <v>174</v>
      </c>
      <c r="T29" s="151" t="e">
        <f>_xll.qlMidEquivalent($P29,$Q29,$R29,$S29)</f>
        <v>#NUM!</v>
      </c>
      <c r="U29" s="149"/>
      <c r="V29" s="150" t="e">
        <v>#NUM!</v>
      </c>
      <c r="W29" s="149"/>
      <c r="X29" s="209" t="e">
        <v>#NUM!</v>
      </c>
      <c r="Y29" s="146" t="e">
        <f>_xll.qlSimpleQuoteSetValue(F29,X29/100,Trigger)</f>
        <v>#NUM!</v>
      </c>
      <c r="Z29" s="136"/>
    </row>
    <row r="30" spans="1:26" x14ac:dyDescent="0.2">
      <c r="A30" s="85"/>
      <c r="B30" s="118" t="s">
        <v>276</v>
      </c>
      <c r="C30" s="118" t="s">
        <v>138</v>
      </c>
      <c r="D30" s="364" t="s">
        <v>148</v>
      </c>
      <c r="E30" s="137" t="str">
        <f t="shared" si="0"/>
        <v>AUDMTOIS23M_Quote</v>
      </c>
      <c r="F30" s="137" t="str">
        <f>_xll.qlSimpleQuote(Currency&amp;$B30&amp;$C30&amp;$D30&amp;QuoteSuffix,,RateTickValue,Permanent,Trigger,ObjectOverwrite)</f>
        <v>AUDMTOIS23M_Quote#0000</v>
      </c>
      <c r="G30" s="22" t="str">
        <f>_xll.ohRangeRetrieveError(F30)</f>
        <v/>
      </c>
      <c r="H30" s="21"/>
      <c r="J30" s="85"/>
      <c r="K30" s="153" t="s">
        <v>148</v>
      </c>
      <c r="L30" s="192" t="s">
        <v>276</v>
      </c>
      <c r="M30" s="192" t="s">
        <v>138</v>
      </c>
      <c r="N30" s="190" t="str">
        <f t="shared" si="1"/>
        <v>AUD23MMTOIS</v>
      </c>
      <c r="O30" s="190" t="str">
        <v>AUD23MMTOIS=ICAA</v>
      </c>
      <c r="P30" s="147" t="s">
        <v>174</v>
      </c>
      <c r="Q30" s="147" t="s">
        <v>174</v>
      </c>
      <c r="R30" s="147" t="s">
        <v>174</v>
      </c>
      <c r="S30" s="147" t="s">
        <v>174</v>
      </c>
      <c r="T30" s="151" t="e">
        <f>_xll.qlMidEquivalent($P30,$Q30,$R30,$S30)</f>
        <v>#NUM!</v>
      </c>
      <c r="U30" s="149"/>
      <c r="V30" s="150" t="e">
        <v>#NUM!</v>
      </c>
      <c r="W30" s="149"/>
      <c r="X30" s="209" t="e">
        <v>#NUM!</v>
      </c>
      <c r="Y30" s="146" t="e">
        <f>_xll.qlSimpleQuoteSetValue(F30,X30/100,Trigger)</f>
        <v>#NUM!</v>
      </c>
      <c r="Z30" s="136"/>
    </row>
    <row r="31" spans="1:26" x14ac:dyDescent="0.2">
      <c r="A31" s="85"/>
      <c r="B31" s="118" t="s">
        <v>276</v>
      </c>
      <c r="C31" s="118" t="s">
        <v>138</v>
      </c>
      <c r="D31" s="364" t="s">
        <v>84</v>
      </c>
      <c r="E31" s="137" t="str">
        <f t="shared" si="0"/>
        <v>AUDMTOIS2Y_Quote</v>
      </c>
      <c r="F31" s="137" t="str">
        <f>_xll.qlSimpleQuote(Currency&amp;$B31&amp;$C31&amp;$D31&amp;QuoteSuffix,,RateTickValue,Permanent,Trigger,ObjectOverwrite)</f>
        <v>AUDMTOIS2Y_Quote#0000</v>
      </c>
      <c r="G31" s="22" t="str">
        <f>_xll.ohRangeRetrieveError(F31)</f>
        <v/>
      </c>
      <c r="H31" s="21"/>
      <c r="J31" s="85"/>
      <c r="K31" s="153" t="s">
        <v>84</v>
      </c>
      <c r="L31" s="192" t="s">
        <v>276</v>
      </c>
      <c r="M31" s="192" t="s">
        <v>138</v>
      </c>
      <c r="N31" s="190" t="str">
        <f t="shared" si="1"/>
        <v>AUD2YMTOIS</v>
      </c>
      <c r="O31" s="190" t="str">
        <v>AUD2YMTOIS=ICAA</v>
      </c>
      <c r="P31" s="147">
        <v>2.625</v>
      </c>
      <c r="Q31" s="147">
        <v>2.6749999999999998</v>
      </c>
      <c r="R31" s="147">
        <v>0</v>
      </c>
      <c r="S31" s="147">
        <v>2.645</v>
      </c>
      <c r="T31" s="151">
        <f>_xll.qlMidEquivalent($P31,$Q31,$R31,$S31)</f>
        <v>2.65</v>
      </c>
      <c r="U31" s="149"/>
      <c r="V31" s="150">
        <v>2.69</v>
      </c>
      <c r="W31" s="149"/>
      <c r="X31" s="209">
        <v>2.65</v>
      </c>
      <c r="Y31" s="146">
        <f>_xll.qlSimpleQuoteSetValue(F31,X31/100,Trigger)</f>
        <v>-4.0000000000000105E-4</v>
      </c>
      <c r="Z31" s="136"/>
    </row>
    <row r="32" spans="1:26" x14ac:dyDescent="0.2">
      <c r="A32" s="85"/>
      <c r="B32" s="118" t="s">
        <v>276</v>
      </c>
      <c r="C32" s="118" t="s">
        <v>138</v>
      </c>
      <c r="D32" s="364" t="s">
        <v>147</v>
      </c>
      <c r="E32" s="137" t="str">
        <f t="shared" si="0"/>
        <v>AUDMTOIS27M_Quote</v>
      </c>
      <c r="F32" s="137" t="str">
        <f>_xll.qlSimpleQuote(Currency&amp;$B32&amp;$C32&amp;$D32&amp;QuoteSuffix,,RateTickValue,Permanent,Trigger,ObjectOverwrite)</f>
        <v>AUDMTOIS27M_Quote#0000</v>
      </c>
      <c r="G32" s="22" t="str">
        <f>_xll.ohRangeRetrieveError(F32)</f>
        <v/>
      </c>
      <c r="H32" s="21"/>
      <c r="J32" s="85"/>
      <c r="K32" s="153" t="s">
        <v>147</v>
      </c>
      <c r="L32" s="192" t="s">
        <v>276</v>
      </c>
      <c r="M32" s="192" t="s">
        <v>138</v>
      </c>
      <c r="N32" s="190" t="str">
        <f t="shared" si="1"/>
        <v>AUD27MMTOIS</v>
      </c>
      <c r="O32" s="190" t="str">
        <v>AUD27MMTOIS=ICAA</v>
      </c>
      <c r="P32" s="147" t="s">
        <v>174</v>
      </c>
      <c r="Q32" s="147" t="s">
        <v>174</v>
      </c>
      <c r="R32" s="147" t="s">
        <v>174</v>
      </c>
      <c r="S32" s="147" t="s">
        <v>174</v>
      </c>
      <c r="T32" s="151" t="e">
        <f>_xll.qlMidEquivalent($P32,$Q32,$R32,$S32)</f>
        <v>#NUM!</v>
      </c>
      <c r="U32" s="149"/>
      <c r="V32" s="150" t="e">
        <v>#NUM!</v>
      </c>
      <c r="W32" s="149"/>
      <c r="X32" s="209" t="e">
        <v>#NUM!</v>
      </c>
      <c r="Y32" s="146" t="e">
        <f>_xll.qlSimpleQuoteSetValue(F32,X32/100,Trigger)</f>
        <v>#NUM!</v>
      </c>
      <c r="Z32" s="136"/>
    </row>
    <row r="33" spans="1:26" x14ac:dyDescent="0.2">
      <c r="A33" s="85"/>
      <c r="B33" s="118" t="s">
        <v>276</v>
      </c>
      <c r="C33" s="118" t="s">
        <v>138</v>
      </c>
      <c r="D33" s="364" t="s">
        <v>146</v>
      </c>
      <c r="E33" s="137" t="str">
        <f t="shared" si="0"/>
        <v>AUDMTOIS30M_Quote</v>
      </c>
      <c r="F33" s="137" t="str">
        <f>_xll.qlSimpleQuote(Currency&amp;$B33&amp;$C33&amp;$D33&amp;QuoteSuffix,,RateTickValue,Permanent,Trigger,ObjectOverwrite)</f>
        <v>AUDMTOIS30M_Quote#0000</v>
      </c>
      <c r="G33" s="22" t="str">
        <f>_xll.ohRangeRetrieveError(F33)</f>
        <v/>
      </c>
      <c r="H33" s="21"/>
      <c r="J33" s="85"/>
      <c r="K33" s="153" t="s">
        <v>146</v>
      </c>
      <c r="L33" s="192" t="s">
        <v>276</v>
      </c>
      <c r="M33" s="192" t="s">
        <v>138</v>
      </c>
      <c r="N33" s="190" t="str">
        <f t="shared" si="1"/>
        <v>AUD30MMTOIS</v>
      </c>
      <c r="O33" s="190" t="str">
        <v>AUD30MMTOIS=ICAA</v>
      </c>
      <c r="P33" s="147" t="s">
        <v>174</v>
      </c>
      <c r="Q33" s="147" t="s">
        <v>174</v>
      </c>
      <c r="R33" s="147" t="s">
        <v>174</v>
      </c>
      <c r="S33" s="147" t="s">
        <v>174</v>
      </c>
      <c r="T33" s="151" t="e">
        <f>_xll.qlMidEquivalent($P33,$Q33,$R33,$S33)</f>
        <v>#NUM!</v>
      </c>
      <c r="U33" s="149"/>
      <c r="V33" s="150" t="e">
        <v>#NUM!</v>
      </c>
      <c r="W33" s="149"/>
      <c r="X33" s="209" t="e">
        <v>#NUM!</v>
      </c>
      <c r="Y33" s="146" t="e">
        <f>_xll.qlSimpleQuoteSetValue(F33,X33/100,Trigger)</f>
        <v>#NUM!</v>
      </c>
      <c r="Z33" s="136"/>
    </row>
    <row r="34" spans="1:26" x14ac:dyDescent="0.2">
      <c r="A34" s="85"/>
      <c r="B34" s="118" t="s">
        <v>276</v>
      </c>
      <c r="C34" s="118" t="s">
        <v>138</v>
      </c>
      <c r="D34" s="364" t="s">
        <v>145</v>
      </c>
      <c r="E34" s="137" t="str">
        <f t="shared" si="0"/>
        <v>AUDMTOIS33M_Quote</v>
      </c>
      <c r="F34" s="137" t="str">
        <f>_xll.qlSimpleQuote(Currency&amp;$B34&amp;$C34&amp;$D34&amp;QuoteSuffix,,RateTickValue,Permanent,Trigger,ObjectOverwrite)</f>
        <v>AUDMTOIS33M_Quote#0000</v>
      </c>
      <c r="G34" s="22" t="str">
        <f>_xll.ohRangeRetrieveError(F34)</f>
        <v/>
      </c>
      <c r="H34" s="21"/>
      <c r="J34" s="85"/>
      <c r="K34" s="153" t="s">
        <v>145</v>
      </c>
      <c r="L34" s="192" t="s">
        <v>276</v>
      </c>
      <c r="M34" s="192" t="s">
        <v>138</v>
      </c>
      <c r="N34" s="190" t="str">
        <f t="shared" si="1"/>
        <v>AUD33MMTOIS</v>
      </c>
      <c r="O34" s="190" t="str">
        <v>AUD33MMTOIS=ICAA</v>
      </c>
      <c r="P34" s="147" t="s">
        <v>174</v>
      </c>
      <c r="Q34" s="147" t="s">
        <v>174</v>
      </c>
      <c r="R34" s="147" t="s">
        <v>174</v>
      </c>
      <c r="S34" s="147" t="s">
        <v>174</v>
      </c>
      <c r="T34" s="151" t="e">
        <f>_xll.qlMidEquivalent($P34,$Q34,$R34,$S34)</f>
        <v>#NUM!</v>
      </c>
      <c r="U34" s="149"/>
      <c r="V34" s="150" t="e">
        <v>#NUM!</v>
      </c>
      <c r="W34" s="149"/>
      <c r="X34" s="209" t="e">
        <v>#NUM!</v>
      </c>
      <c r="Y34" s="146" t="e">
        <f>_xll.qlSimpleQuoteSetValue(F34,X34/100,Trigger)</f>
        <v>#NUM!</v>
      </c>
      <c r="Z34" s="136"/>
    </row>
    <row r="35" spans="1:26" x14ac:dyDescent="0.2">
      <c r="A35" s="85"/>
      <c r="B35" s="118" t="s">
        <v>276</v>
      </c>
      <c r="C35" s="118" t="s">
        <v>138</v>
      </c>
      <c r="D35" s="364" t="s">
        <v>83</v>
      </c>
      <c r="E35" s="137" t="str">
        <f t="shared" si="0"/>
        <v>AUDMTOIS3Y_Quote</v>
      </c>
      <c r="F35" s="137" t="str">
        <f>_xll.qlSimpleQuote(Currency&amp;$B35&amp;$C35&amp;$D35&amp;QuoteSuffix,,RateTickValue,Permanent,Trigger,ObjectOverwrite)</f>
        <v>AUDMTOIS3Y_Quote#0000</v>
      </c>
      <c r="G35" s="22" t="str">
        <f>_xll.ohRangeRetrieveError(F35)</f>
        <v/>
      </c>
      <c r="H35" s="21"/>
      <c r="J35" s="85"/>
      <c r="K35" s="153" t="s">
        <v>83</v>
      </c>
      <c r="L35" s="192" t="s">
        <v>276</v>
      </c>
      <c r="M35" s="192" t="s">
        <v>138</v>
      </c>
      <c r="N35" s="190" t="str">
        <f t="shared" si="1"/>
        <v>AUD3YMTOIS</v>
      </c>
      <c r="O35" s="190" t="str">
        <v>AUD3YMTOIS=ICAA</v>
      </c>
      <c r="P35" s="147">
        <v>2.7949999999999999</v>
      </c>
      <c r="Q35" s="147">
        <v>2.8450000000000002</v>
      </c>
      <c r="R35" s="147">
        <v>0</v>
      </c>
      <c r="S35" s="147">
        <v>2.81</v>
      </c>
      <c r="T35" s="151">
        <f>_xll.qlMidEquivalent($P35,$Q35,$R35,$S35)</f>
        <v>2.8200000000000003</v>
      </c>
      <c r="U35" s="149"/>
      <c r="V35" s="150">
        <v>2.87</v>
      </c>
      <c r="W35" s="149"/>
      <c r="X35" s="209">
        <v>2.8200000000000003</v>
      </c>
      <c r="Y35" s="146">
        <f>_xll.qlSimpleQuoteSetValue(F35,X35/100,Trigger)</f>
        <v>-4.9999999999999697E-4</v>
      </c>
      <c r="Z35" s="136"/>
    </row>
    <row r="36" spans="1:26" x14ac:dyDescent="0.2">
      <c r="A36" s="85"/>
      <c r="B36" s="118" t="s">
        <v>276</v>
      </c>
      <c r="C36" s="118" t="s">
        <v>138</v>
      </c>
      <c r="D36" s="364" t="s">
        <v>144</v>
      </c>
      <c r="E36" s="137" t="str">
        <f t="shared" si="0"/>
        <v>AUDMTOIS39M_Quote</v>
      </c>
      <c r="F36" s="137" t="str">
        <f>_xll.qlSimpleQuote(Currency&amp;$B36&amp;$C36&amp;$D36&amp;QuoteSuffix,,RateTickValue,Permanent,Trigger,ObjectOverwrite)</f>
        <v>AUDMTOIS39M_Quote#0000</v>
      </c>
      <c r="G36" s="22" t="str">
        <f>_xll.ohRangeRetrieveError(F36)</f>
        <v/>
      </c>
      <c r="H36" s="21"/>
      <c r="J36" s="85"/>
      <c r="K36" s="153" t="s">
        <v>144</v>
      </c>
      <c r="L36" s="192" t="s">
        <v>276</v>
      </c>
      <c r="M36" s="192" t="s">
        <v>138</v>
      </c>
      <c r="N36" s="190" t="str">
        <f t="shared" si="1"/>
        <v>AUD39MMTOIS</v>
      </c>
      <c r="O36" s="190" t="str">
        <v>AUD39MMTOIS=ICAA</v>
      </c>
      <c r="P36" s="147" t="s">
        <v>174</v>
      </c>
      <c r="Q36" s="147" t="s">
        <v>174</v>
      </c>
      <c r="R36" s="147" t="s">
        <v>174</v>
      </c>
      <c r="S36" s="147" t="s">
        <v>174</v>
      </c>
      <c r="T36" s="151" t="e">
        <f>_xll.qlMidEquivalent($P36,$Q36,$R36,$S36)</f>
        <v>#NUM!</v>
      </c>
      <c r="U36" s="149"/>
      <c r="V36" s="150" t="e">
        <v>#NUM!</v>
      </c>
      <c r="W36" s="149"/>
      <c r="X36" s="209" t="e">
        <v>#NUM!</v>
      </c>
      <c r="Y36" s="146" t="e">
        <f>_xll.qlSimpleQuoteSetValue(F36,X36/100,Trigger)</f>
        <v>#NUM!</v>
      </c>
      <c r="Z36" s="136"/>
    </row>
    <row r="37" spans="1:26" x14ac:dyDescent="0.2">
      <c r="A37" s="85"/>
      <c r="B37" s="118" t="s">
        <v>276</v>
      </c>
      <c r="C37" s="118" t="s">
        <v>138</v>
      </c>
      <c r="D37" s="364" t="s">
        <v>143</v>
      </c>
      <c r="E37" s="137" t="str">
        <f t="shared" si="0"/>
        <v>AUDMTOIS42M_Quote</v>
      </c>
      <c r="F37" s="137" t="str">
        <f>_xll.qlSimpleQuote(Currency&amp;$B37&amp;$C37&amp;$D37&amp;QuoteSuffix,,RateTickValue,Permanent,Trigger,ObjectOverwrite)</f>
        <v>AUDMTOIS42M_Quote#0000</v>
      </c>
      <c r="G37" s="22" t="str">
        <f>_xll.ohRangeRetrieveError(F37)</f>
        <v/>
      </c>
      <c r="H37" s="21"/>
      <c r="J37" s="85"/>
      <c r="K37" s="153" t="s">
        <v>143</v>
      </c>
      <c r="L37" s="192" t="s">
        <v>276</v>
      </c>
      <c r="M37" s="192" t="s">
        <v>138</v>
      </c>
      <c r="N37" s="190" t="str">
        <f t="shared" si="1"/>
        <v>AUD42MMTOIS</v>
      </c>
      <c r="O37" s="190" t="str">
        <v>AUD42MMTOIS=ICAA</v>
      </c>
      <c r="P37" s="147" t="s">
        <v>174</v>
      </c>
      <c r="Q37" s="147" t="s">
        <v>174</v>
      </c>
      <c r="R37" s="147" t="s">
        <v>174</v>
      </c>
      <c r="S37" s="147" t="s">
        <v>174</v>
      </c>
      <c r="T37" s="151" t="e">
        <f>_xll.qlMidEquivalent($P37,$Q37,$R37,$S37)</f>
        <v>#NUM!</v>
      </c>
      <c r="U37" s="149"/>
      <c r="V37" s="150" t="e">
        <v>#NUM!</v>
      </c>
      <c r="W37" s="149"/>
      <c r="X37" s="209" t="e">
        <v>#NUM!</v>
      </c>
      <c r="Y37" s="146" t="e">
        <f>_xll.qlSimpleQuoteSetValue(F37,X37/100,Trigger)</f>
        <v>#NUM!</v>
      </c>
      <c r="Z37" s="136"/>
    </row>
    <row r="38" spans="1:26" x14ac:dyDescent="0.2">
      <c r="A38" s="85"/>
      <c r="B38" s="118" t="s">
        <v>276</v>
      </c>
      <c r="C38" s="118" t="s">
        <v>138</v>
      </c>
      <c r="D38" s="364" t="s">
        <v>142</v>
      </c>
      <c r="E38" s="137" t="str">
        <f t="shared" si="0"/>
        <v>AUDMTOIS45M_Quote</v>
      </c>
      <c r="F38" s="137" t="str">
        <f>_xll.qlSimpleQuote(Currency&amp;$B38&amp;$C38&amp;$D38&amp;QuoteSuffix,,RateTickValue,Permanent,Trigger,ObjectOverwrite)</f>
        <v>AUDMTOIS45M_Quote#0000</v>
      </c>
      <c r="G38" s="22" t="str">
        <f>_xll.ohRangeRetrieveError(F38)</f>
        <v/>
      </c>
      <c r="H38" s="21"/>
      <c r="J38" s="85"/>
      <c r="K38" s="153" t="s">
        <v>142</v>
      </c>
      <c r="L38" s="192" t="s">
        <v>276</v>
      </c>
      <c r="M38" s="192" t="s">
        <v>138</v>
      </c>
      <c r="N38" s="190" t="str">
        <f t="shared" si="1"/>
        <v>AUD45MMTOIS</v>
      </c>
      <c r="O38" s="190" t="str">
        <v>AUD45MMTOIS=ICAA</v>
      </c>
      <c r="P38" s="147" t="s">
        <v>174</v>
      </c>
      <c r="Q38" s="147" t="s">
        <v>174</v>
      </c>
      <c r="R38" s="147" t="s">
        <v>174</v>
      </c>
      <c r="S38" s="147" t="s">
        <v>174</v>
      </c>
      <c r="T38" s="151" t="e">
        <f>_xll.qlMidEquivalent($P38,$Q38,$R38,$S38)</f>
        <v>#NUM!</v>
      </c>
      <c r="U38" s="149"/>
      <c r="V38" s="150" t="e">
        <v>#NUM!</v>
      </c>
      <c r="W38" s="149"/>
      <c r="X38" s="209" t="e">
        <v>#NUM!</v>
      </c>
      <c r="Y38" s="146" t="e">
        <f>_xll.qlSimpleQuoteSetValue(F38,X38/100,Trigger)</f>
        <v>#NUM!</v>
      </c>
      <c r="Z38" s="136"/>
    </row>
    <row r="39" spans="1:26" x14ac:dyDescent="0.2">
      <c r="A39" s="85"/>
      <c r="B39" s="118" t="s">
        <v>276</v>
      </c>
      <c r="C39" s="118" t="s">
        <v>138</v>
      </c>
      <c r="D39" s="364" t="s">
        <v>82</v>
      </c>
      <c r="E39" s="137" t="str">
        <f t="shared" si="0"/>
        <v>AUDMTOIS4Y_Quote</v>
      </c>
      <c r="F39" s="137" t="str">
        <f>_xll.qlSimpleQuote(Currency&amp;$B39&amp;$C39&amp;$D39&amp;QuoteSuffix,,RateTickValue,Permanent,Trigger,ObjectOverwrite)</f>
        <v>AUDMTOIS4Y_Quote#0000</v>
      </c>
      <c r="G39" s="22" t="str">
        <f>_xll.ohRangeRetrieveError(F39)</f>
        <v/>
      </c>
      <c r="H39" s="21"/>
      <c r="J39" s="85"/>
      <c r="K39" s="153" t="s">
        <v>82</v>
      </c>
      <c r="L39" s="192" t="s">
        <v>276</v>
      </c>
      <c r="M39" s="192" t="s">
        <v>138</v>
      </c>
      <c r="N39" s="190" t="str">
        <f t="shared" si="1"/>
        <v>AUD4YMTOIS</v>
      </c>
      <c r="O39" s="190" t="str">
        <v>AUD4YMTOIS=ICAA</v>
      </c>
      <c r="P39" s="147">
        <v>2.9180000000000001</v>
      </c>
      <c r="Q39" s="147">
        <v>2.968</v>
      </c>
      <c r="R39" s="147">
        <v>0</v>
      </c>
      <c r="S39" s="147">
        <v>2.9430000000000001</v>
      </c>
      <c r="T39" s="151">
        <f>_xll.qlMidEquivalent($P39,$Q39,$R39,$S39)</f>
        <v>2.9430000000000001</v>
      </c>
      <c r="U39" s="149"/>
      <c r="V39" s="150">
        <v>3.008</v>
      </c>
      <c r="W39" s="149"/>
      <c r="X39" s="209">
        <v>2.9430000000000001</v>
      </c>
      <c r="Y39" s="146">
        <f>_xll.qlSimpleQuoteSetValue(F39,X39/100,Trigger)</f>
        <v>-6.499999999999978E-4</v>
      </c>
      <c r="Z39" s="136"/>
    </row>
    <row r="40" spans="1:26" x14ac:dyDescent="0.2">
      <c r="A40" s="85"/>
      <c r="B40" s="118" t="s">
        <v>276</v>
      </c>
      <c r="C40" s="118" t="s">
        <v>138</v>
      </c>
      <c r="D40" s="364" t="s">
        <v>141</v>
      </c>
      <c r="E40" s="137" t="str">
        <f t="shared" si="0"/>
        <v>AUDMTOIS51M_Quote</v>
      </c>
      <c r="F40" s="137" t="str">
        <f>_xll.qlSimpleQuote(Currency&amp;$B40&amp;$C40&amp;$D40&amp;QuoteSuffix,,RateTickValue,Permanent,Trigger,ObjectOverwrite)</f>
        <v>AUDMTOIS51M_Quote#0000</v>
      </c>
      <c r="G40" s="22" t="str">
        <f>_xll.ohRangeRetrieveError(F40)</f>
        <v/>
      </c>
      <c r="H40" s="21"/>
      <c r="J40" s="85"/>
      <c r="K40" s="153" t="s">
        <v>141</v>
      </c>
      <c r="L40" s="192" t="s">
        <v>276</v>
      </c>
      <c r="M40" s="192" t="s">
        <v>138</v>
      </c>
      <c r="N40" s="190" t="str">
        <f t="shared" si="1"/>
        <v>AUD51MMTOIS</v>
      </c>
      <c r="O40" s="190" t="str">
        <v>AUD51MMTOIS=ICAA</v>
      </c>
      <c r="P40" s="147" t="s">
        <v>174</v>
      </c>
      <c r="Q40" s="147" t="s">
        <v>174</v>
      </c>
      <c r="R40" s="147" t="s">
        <v>174</v>
      </c>
      <c r="S40" s="147" t="s">
        <v>174</v>
      </c>
      <c r="T40" s="151" t="e">
        <f>_xll.qlMidEquivalent($P40,$Q40,$R40,$S40)</f>
        <v>#NUM!</v>
      </c>
      <c r="U40" s="149"/>
      <c r="V40" s="150" t="e">
        <v>#NUM!</v>
      </c>
      <c r="W40" s="149"/>
      <c r="X40" s="209" t="e">
        <v>#NUM!</v>
      </c>
      <c r="Y40" s="146" t="e">
        <f>_xll.qlSimpleQuoteSetValue(F40,X40/100,Trigger)</f>
        <v>#NUM!</v>
      </c>
      <c r="Z40" s="136"/>
    </row>
    <row r="41" spans="1:26" x14ac:dyDescent="0.2">
      <c r="A41" s="85"/>
      <c r="B41" s="118" t="s">
        <v>276</v>
      </c>
      <c r="C41" s="118" t="s">
        <v>138</v>
      </c>
      <c r="D41" s="364" t="s">
        <v>140</v>
      </c>
      <c r="E41" s="137" t="str">
        <f t="shared" si="0"/>
        <v>AUDMTOIS54M_Quote</v>
      </c>
      <c r="F41" s="137" t="str">
        <f>_xll.qlSimpleQuote(Currency&amp;$B41&amp;$C41&amp;$D41&amp;QuoteSuffix,,RateTickValue,Permanent,Trigger,ObjectOverwrite)</f>
        <v>AUDMTOIS54M_Quote#0000</v>
      </c>
      <c r="G41" s="22" t="str">
        <f>_xll.ohRangeRetrieveError(F41)</f>
        <v/>
      </c>
      <c r="H41" s="21"/>
      <c r="J41" s="85"/>
      <c r="K41" s="153" t="s">
        <v>140</v>
      </c>
      <c r="L41" s="192" t="s">
        <v>276</v>
      </c>
      <c r="M41" s="192" t="s">
        <v>138</v>
      </c>
      <c r="N41" s="190" t="str">
        <f t="shared" si="1"/>
        <v>AUD54MMTOIS</v>
      </c>
      <c r="O41" s="190" t="str">
        <v>AUD54MMTOIS=ICAA</v>
      </c>
      <c r="P41" s="147" t="s">
        <v>174</v>
      </c>
      <c r="Q41" s="147" t="s">
        <v>174</v>
      </c>
      <c r="R41" s="147" t="s">
        <v>174</v>
      </c>
      <c r="S41" s="147" t="s">
        <v>174</v>
      </c>
      <c r="T41" s="151" t="e">
        <f>_xll.qlMidEquivalent($P41,$Q41,$R41,$S41)</f>
        <v>#NUM!</v>
      </c>
      <c r="U41" s="149"/>
      <c r="V41" s="150" t="e">
        <v>#NUM!</v>
      </c>
      <c r="W41" s="149"/>
      <c r="X41" s="209" t="e">
        <v>#NUM!</v>
      </c>
      <c r="Y41" s="146" t="e">
        <f>_xll.qlSimpleQuoteSetValue(F41,X41/100,Trigger)</f>
        <v>#NUM!</v>
      </c>
      <c r="Z41" s="136"/>
    </row>
    <row r="42" spans="1:26" x14ac:dyDescent="0.2">
      <c r="A42" s="85"/>
      <c r="B42" s="118" t="s">
        <v>276</v>
      </c>
      <c r="C42" s="118" t="s">
        <v>138</v>
      </c>
      <c r="D42" s="364" t="s">
        <v>139</v>
      </c>
      <c r="E42" s="137" t="str">
        <f t="shared" si="0"/>
        <v>AUDMTOIS57M_Quote</v>
      </c>
      <c r="F42" s="137" t="str">
        <f>_xll.qlSimpleQuote(Currency&amp;$B42&amp;$C42&amp;$D42&amp;QuoteSuffix,,RateTickValue,Permanent,Trigger,ObjectOverwrite)</f>
        <v>AUDMTOIS57M_Quote#0000</v>
      </c>
      <c r="G42" s="22" t="str">
        <f>_xll.ohRangeRetrieveError(F42)</f>
        <v/>
      </c>
      <c r="H42" s="21"/>
      <c r="J42" s="85"/>
      <c r="K42" s="153" t="s">
        <v>139</v>
      </c>
      <c r="L42" s="192" t="s">
        <v>276</v>
      </c>
      <c r="M42" s="192" t="s">
        <v>138</v>
      </c>
      <c r="N42" s="190" t="str">
        <f t="shared" si="1"/>
        <v>AUD57MMTOIS</v>
      </c>
      <c r="O42" s="190" t="str">
        <v>AUD57MMTOIS=ICAA</v>
      </c>
      <c r="P42" s="147" t="s">
        <v>174</v>
      </c>
      <c r="Q42" s="147" t="s">
        <v>174</v>
      </c>
      <c r="R42" s="147" t="s">
        <v>174</v>
      </c>
      <c r="S42" s="147" t="s">
        <v>174</v>
      </c>
      <c r="T42" s="151" t="e">
        <f>_xll.qlMidEquivalent($P42,$Q42,$R42,$S42)</f>
        <v>#NUM!</v>
      </c>
      <c r="U42" s="149"/>
      <c r="V42" s="150" t="e">
        <v>#NUM!</v>
      </c>
      <c r="W42" s="149"/>
      <c r="X42" s="209" t="e">
        <v>#NUM!</v>
      </c>
      <c r="Y42" s="146" t="e">
        <f>_xll.qlSimpleQuoteSetValue(F42,X42/100,Trigger)</f>
        <v>#NUM!</v>
      </c>
      <c r="Z42" s="136"/>
    </row>
    <row r="43" spans="1:26" x14ac:dyDescent="0.2">
      <c r="A43" s="85"/>
      <c r="B43" s="118" t="s">
        <v>276</v>
      </c>
      <c r="C43" s="118" t="s">
        <v>138</v>
      </c>
      <c r="D43" s="364" t="s">
        <v>81</v>
      </c>
      <c r="E43" s="137" t="str">
        <f t="shared" si="0"/>
        <v>AUDMTOIS5Y_Quote</v>
      </c>
      <c r="F43" s="137" t="str">
        <f>_xll.qlSimpleQuote(Currency&amp;$B43&amp;$C43&amp;$D43&amp;QuoteSuffix,,RateTickValue,Permanent,Trigger,ObjectOverwrite)</f>
        <v>AUDMTOIS5Y_Quote#0000</v>
      </c>
      <c r="G43" s="22" t="str">
        <f>_xll.ohRangeRetrieveError(F43)</f>
        <v/>
      </c>
      <c r="H43" s="21"/>
      <c r="J43" s="85"/>
      <c r="K43" s="153" t="s">
        <v>81</v>
      </c>
      <c r="L43" s="192" t="s">
        <v>276</v>
      </c>
      <c r="M43" s="192" t="s">
        <v>138</v>
      </c>
      <c r="N43" s="190" t="str">
        <f t="shared" si="1"/>
        <v>AUD5YMTOIS</v>
      </c>
      <c r="O43" s="190" t="str">
        <v>AUD5YMTOIS=ICAA</v>
      </c>
      <c r="P43" s="147">
        <v>3.0750000000000002</v>
      </c>
      <c r="Q43" s="147">
        <v>3.125</v>
      </c>
      <c r="R43" s="147">
        <v>0</v>
      </c>
      <c r="S43" s="147">
        <v>3.1</v>
      </c>
      <c r="T43" s="151">
        <f>_xll.qlMidEquivalent($P43,$Q43,$R43,$S43)</f>
        <v>3.1</v>
      </c>
      <c r="U43" s="149"/>
      <c r="V43" s="150">
        <v>3.1630000000000003</v>
      </c>
      <c r="W43" s="149"/>
      <c r="X43" s="209">
        <v>3.1</v>
      </c>
      <c r="Y43" s="146">
        <f>_xll.qlSimpleQuoteSetValue(F43,X43/100,Trigger)</f>
        <v>-6.3000000000000556E-4</v>
      </c>
      <c r="Z43" s="136"/>
    </row>
    <row r="44" spans="1:26" x14ac:dyDescent="0.2">
      <c r="A44" s="85"/>
      <c r="B44" s="118" t="s">
        <v>276</v>
      </c>
      <c r="C44" s="118" t="s">
        <v>138</v>
      </c>
      <c r="D44" s="364" t="s">
        <v>80</v>
      </c>
      <c r="E44" s="137" t="str">
        <f t="shared" si="0"/>
        <v>AUDMTOIS6Y_Quote</v>
      </c>
      <c r="F44" s="137" t="str">
        <f>_xll.qlSimpleQuote(Currency&amp;$B44&amp;$C44&amp;$D44&amp;QuoteSuffix,,RateTickValue,Permanent,Trigger,ObjectOverwrite)</f>
        <v>AUDMTOIS6Y_Quote#0000</v>
      </c>
      <c r="G44" s="22" t="str">
        <f>_xll.ohRangeRetrieveError(F44)</f>
        <v/>
      </c>
      <c r="H44" s="21"/>
      <c r="J44" s="85"/>
      <c r="K44" s="153" t="s">
        <v>80</v>
      </c>
      <c r="L44" s="192" t="s">
        <v>276</v>
      </c>
      <c r="M44" s="192" t="s">
        <v>138</v>
      </c>
      <c r="N44" s="190" t="str">
        <f t="shared" si="1"/>
        <v>AUD6YMTOIS</v>
      </c>
      <c r="O44" s="190" t="str">
        <v>AUD6YMTOIS=ICAA</v>
      </c>
      <c r="P44" s="147">
        <v>3.23</v>
      </c>
      <c r="Q44" s="147">
        <v>3.28</v>
      </c>
      <c r="R44" s="147">
        <v>0</v>
      </c>
      <c r="S44" s="147">
        <v>3.2549999999999999</v>
      </c>
      <c r="T44" s="151">
        <f>_xll.qlMidEquivalent($P44,$Q44,$R44,$S44)</f>
        <v>3.2549999999999999</v>
      </c>
      <c r="U44" s="149"/>
      <c r="V44" s="150">
        <v>3.3149999999999999</v>
      </c>
      <c r="W44" s="149"/>
      <c r="X44" s="209">
        <v>3.2549999999999999</v>
      </c>
      <c r="Y44" s="146">
        <f>_xll.qlSimpleQuoteSetValue(F44,X44/100,Trigger)</f>
        <v>-6.0000000000000331E-4</v>
      </c>
      <c r="Z44" s="136"/>
    </row>
    <row r="45" spans="1:26" x14ac:dyDescent="0.2">
      <c r="A45" s="85"/>
      <c r="B45" s="118" t="s">
        <v>276</v>
      </c>
      <c r="C45" s="118" t="s">
        <v>138</v>
      </c>
      <c r="D45" s="364" t="s">
        <v>79</v>
      </c>
      <c r="E45" s="137" t="str">
        <f t="shared" si="0"/>
        <v>AUDMTOIS7Y_Quote</v>
      </c>
      <c r="F45" s="137" t="str">
        <f>_xll.qlSimpleQuote(Currency&amp;$B45&amp;$C45&amp;$D45&amp;QuoteSuffix,,RateTickValue,Permanent,Trigger,ObjectOverwrite)</f>
        <v>AUDMTOIS7Y_Quote#0000</v>
      </c>
      <c r="G45" s="22" t="str">
        <f>_xll.ohRangeRetrieveError(F45)</f>
        <v/>
      </c>
      <c r="H45" s="21"/>
      <c r="J45" s="85"/>
      <c r="K45" s="153" t="s">
        <v>79</v>
      </c>
      <c r="L45" s="192" t="s">
        <v>276</v>
      </c>
      <c r="M45" s="192" t="s">
        <v>138</v>
      </c>
      <c r="N45" s="190" t="str">
        <f t="shared" si="1"/>
        <v>AUD7YMTOIS</v>
      </c>
      <c r="O45" s="190" t="str">
        <v>AUD7YMTOIS=ICAA</v>
      </c>
      <c r="P45" s="147">
        <v>3.3849999999999998</v>
      </c>
      <c r="Q45" s="147">
        <v>3.4350000000000001</v>
      </c>
      <c r="R45" s="147">
        <v>0</v>
      </c>
      <c r="S45" s="147">
        <v>3.41</v>
      </c>
      <c r="T45" s="151">
        <f>_xll.qlMidEquivalent($P45,$Q45,$R45,$S45)</f>
        <v>3.41</v>
      </c>
      <c r="U45" s="149"/>
      <c r="V45" s="150">
        <v>3.4649999999999999</v>
      </c>
      <c r="W45" s="149"/>
      <c r="X45" s="209">
        <v>3.41</v>
      </c>
      <c r="Y45" s="146">
        <f>_xll.qlSimpleQuoteSetValue(F45,X45/100,Trigger)</f>
        <v>-5.5000000000000188E-4</v>
      </c>
      <c r="Z45" s="136"/>
    </row>
    <row r="46" spans="1:26" x14ac:dyDescent="0.2">
      <c r="A46" s="85"/>
      <c r="B46" s="118" t="s">
        <v>276</v>
      </c>
      <c r="C46" s="118" t="s">
        <v>138</v>
      </c>
      <c r="D46" s="364" t="s">
        <v>78</v>
      </c>
      <c r="E46" s="137" t="str">
        <f t="shared" si="0"/>
        <v>AUDMTOIS8Y_Quote</v>
      </c>
      <c r="F46" s="137" t="str">
        <f>_xll.qlSimpleQuote(Currency&amp;$B46&amp;$C46&amp;$D46&amp;QuoteSuffix,,RateTickValue,Permanent,Trigger,ObjectOverwrite)</f>
        <v>AUDMTOIS8Y_Quote#0000</v>
      </c>
      <c r="G46" s="22" t="str">
        <f>_xll.ohRangeRetrieveError(F46)</f>
        <v/>
      </c>
      <c r="H46" s="21"/>
      <c r="J46" s="85"/>
      <c r="K46" s="153" t="s">
        <v>78</v>
      </c>
      <c r="L46" s="192" t="s">
        <v>276</v>
      </c>
      <c r="M46" s="192" t="s">
        <v>138</v>
      </c>
      <c r="N46" s="190" t="str">
        <f t="shared" si="1"/>
        <v>AUD8YMTOIS</v>
      </c>
      <c r="O46" s="190" t="str">
        <v>AUD8YMTOIS=ICAA</v>
      </c>
      <c r="P46" s="147">
        <v>3.49</v>
      </c>
      <c r="Q46" s="147">
        <v>3.54</v>
      </c>
      <c r="R46" s="147">
        <v>0</v>
      </c>
      <c r="S46" s="147">
        <v>3.5150000000000001</v>
      </c>
      <c r="T46" s="151">
        <f>_xll.qlMidEquivalent($P46,$Q46,$R46,$S46)</f>
        <v>3.5150000000000001</v>
      </c>
      <c r="U46" s="149"/>
      <c r="V46" s="150">
        <v>3.5680000000000001</v>
      </c>
      <c r="W46" s="149"/>
      <c r="X46" s="209">
        <v>3.5150000000000001</v>
      </c>
      <c r="Y46" s="146">
        <f>_xll.qlSimpleQuoteSetValue(F46,X46/100,Trigger)</f>
        <v>-5.3000000000000269E-4</v>
      </c>
      <c r="Z46" s="136"/>
    </row>
    <row r="47" spans="1:26" x14ac:dyDescent="0.2">
      <c r="A47" s="85"/>
      <c r="B47" s="118" t="s">
        <v>276</v>
      </c>
      <c r="C47" s="118" t="s">
        <v>138</v>
      </c>
      <c r="D47" s="364" t="s">
        <v>77</v>
      </c>
      <c r="E47" s="137" t="str">
        <f t="shared" si="0"/>
        <v>AUDMTOIS9Y_Quote</v>
      </c>
      <c r="F47" s="137" t="str">
        <f>_xll.qlSimpleQuote(Currency&amp;$B47&amp;$C47&amp;$D47&amp;QuoteSuffix,,RateTickValue,Permanent,Trigger,ObjectOverwrite)</f>
        <v>AUDMTOIS9Y_Quote#0000</v>
      </c>
      <c r="G47" s="22" t="str">
        <f>_xll.ohRangeRetrieveError(F47)</f>
        <v/>
      </c>
      <c r="H47" s="21"/>
      <c r="J47" s="85"/>
      <c r="K47" s="153" t="s">
        <v>77</v>
      </c>
      <c r="L47" s="192" t="s">
        <v>276</v>
      </c>
      <c r="M47" s="192" t="s">
        <v>138</v>
      </c>
      <c r="N47" s="190" t="str">
        <f t="shared" si="1"/>
        <v>AUD9YMTOIS</v>
      </c>
      <c r="O47" s="190" t="str">
        <v>AUD9YMTOIS=ICAA</v>
      </c>
      <c r="P47" s="147">
        <v>3.5950000000000002</v>
      </c>
      <c r="Q47" s="147">
        <v>3.645</v>
      </c>
      <c r="R47" s="147">
        <v>0</v>
      </c>
      <c r="S47" s="147">
        <v>3.62</v>
      </c>
      <c r="T47" s="151">
        <f>_xll.qlMidEquivalent($P47,$Q47,$R47,$S47)</f>
        <v>3.62</v>
      </c>
      <c r="U47" s="149"/>
      <c r="V47" s="150">
        <v>3.6680000000000001</v>
      </c>
      <c r="W47" s="149"/>
      <c r="X47" s="209">
        <v>3.62</v>
      </c>
      <c r="Y47" s="146">
        <f>_xll.qlSimpleQuoteSetValue(F47,X47/100,Trigger)</f>
        <v>-4.8000000000000126E-4</v>
      </c>
      <c r="Z47" s="136"/>
    </row>
    <row r="48" spans="1:26" x14ac:dyDescent="0.2">
      <c r="A48" s="85"/>
      <c r="B48" s="118" t="s">
        <v>276</v>
      </c>
      <c r="C48" s="118" t="s">
        <v>138</v>
      </c>
      <c r="D48" s="364" t="s">
        <v>76</v>
      </c>
      <c r="E48" s="137" t="str">
        <f t="shared" si="0"/>
        <v>AUDMTOIS10Y_Quote</v>
      </c>
      <c r="F48" s="137" t="str">
        <f>_xll.qlSimpleQuote(Currency&amp;$B48&amp;$C48&amp;$D48&amp;QuoteSuffix,,RateTickValue,Permanent,Trigger,ObjectOverwrite)</f>
        <v>AUDMTOIS10Y_Quote#0000</v>
      </c>
      <c r="G48" s="22" t="str">
        <f>_xll.ohRangeRetrieveError(F48)</f>
        <v/>
      </c>
      <c r="H48" s="21"/>
      <c r="J48" s="85"/>
      <c r="K48" s="153" t="s">
        <v>76</v>
      </c>
      <c r="L48" s="192" t="s">
        <v>276</v>
      </c>
      <c r="M48" s="192" t="s">
        <v>138</v>
      </c>
      <c r="N48" s="190" t="str">
        <f t="shared" si="1"/>
        <v>AUD10YMTOIS</v>
      </c>
      <c r="O48" s="190" t="str">
        <v>AUD10YMTOIS=ICAA</v>
      </c>
      <c r="P48" s="147">
        <v>3.7</v>
      </c>
      <c r="Q48" s="147">
        <v>3.75</v>
      </c>
      <c r="R48" s="147">
        <v>0</v>
      </c>
      <c r="S48" s="147">
        <v>3.7250000000000001</v>
      </c>
      <c r="T48" s="151">
        <f>_xll.qlMidEquivalent($P48,$Q48,$R48,$S48)</f>
        <v>3.7250000000000001</v>
      </c>
      <c r="U48" s="149"/>
      <c r="V48" s="150">
        <v>3.77</v>
      </c>
      <c r="W48" s="149"/>
      <c r="X48" s="209">
        <v>3.7250000000000001</v>
      </c>
      <c r="Y48" s="146">
        <f>_xll.qlSimpleQuoteSetValue(F48,X48/100,Trigger)</f>
        <v>-4.4999999999999901E-4</v>
      </c>
      <c r="Z48" s="136"/>
    </row>
    <row r="49" spans="1:26" x14ac:dyDescent="0.2">
      <c r="A49" s="85"/>
      <c r="B49" s="118" t="s">
        <v>276</v>
      </c>
      <c r="C49" s="118" t="s">
        <v>138</v>
      </c>
      <c r="D49" s="364" t="s">
        <v>74</v>
      </c>
      <c r="E49" s="137" t="str">
        <f t="shared" si="0"/>
        <v>AUDMTOIS12Y_Quote</v>
      </c>
      <c r="F49" s="137" t="str">
        <f>_xll.qlSimpleQuote(Currency&amp;$B49&amp;$C49&amp;$D49&amp;QuoteSuffix,,RateTickValue,Permanent,Trigger,ObjectOverwrite)</f>
        <v>AUDMTOIS12Y_Quote#0000</v>
      </c>
      <c r="G49" s="22" t="str">
        <f>_xll.ohRangeRetrieveError(F49)</f>
        <v/>
      </c>
      <c r="H49" s="21"/>
      <c r="J49" s="85"/>
      <c r="K49" s="153" t="s">
        <v>74</v>
      </c>
      <c r="L49" s="192" t="s">
        <v>276</v>
      </c>
      <c r="M49" s="192" t="s">
        <v>138</v>
      </c>
      <c r="N49" s="190" t="str">
        <f t="shared" si="1"/>
        <v>AUD12YMTOIS</v>
      </c>
      <c r="O49" s="190" t="str">
        <v>AUD12YMTOIS=ICAA</v>
      </c>
      <c r="P49" s="147">
        <v>3.8479999999999999</v>
      </c>
      <c r="Q49" s="147">
        <v>3.8980000000000001</v>
      </c>
      <c r="R49" s="147">
        <v>0</v>
      </c>
      <c r="S49" s="147">
        <v>3.8730000000000002</v>
      </c>
      <c r="T49" s="151">
        <f>_xll.qlMidEquivalent($P49,$Q49,$R49,$S49)</f>
        <v>3.8730000000000002</v>
      </c>
      <c r="U49" s="149"/>
      <c r="V49" s="150">
        <v>3.92</v>
      </c>
      <c r="W49" s="149"/>
      <c r="X49" s="209">
        <v>3.8730000000000002</v>
      </c>
      <c r="Y49" s="146">
        <f>_xll.qlSimpleQuoteSetValue(F49,X49/100,Trigger)</f>
        <v>-4.699999999999982E-4</v>
      </c>
      <c r="Z49" s="136"/>
    </row>
    <row r="50" spans="1:26" x14ac:dyDescent="0.2">
      <c r="A50" s="85"/>
      <c r="B50" s="118" t="s">
        <v>276</v>
      </c>
      <c r="C50" s="118" t="s">
        <v>138</v>
      </c>
      <c r="D50" s="364" t="s">
        <v>71</v>
      </c>
      <c r="E50" s="137" t="str">
        <f t="shared" si="0"/>
        <v>AUDMTOIS15Y_Quote</v>
      </c>
      <c r="F50" s="137" t="str">
        <f>_xll.qlSimpleQuote(Currency&amp;$B50&amp;$C50&amp;$D50&amp;QuoteSuffix,,RateTickValue,Permanent,Trigger,ObjectOverwrite)</f>
        <v>AUDMTOIS15Y_Quote#0000</v>
      </c>
      <c r="G50" s="22" t="str">
        <f>_xll.ohRangeRetrieveError(F50)</f>
        <v/>
      </c>
      <c r="H50" s="21"/>
      <c r="J50" s="85"/>
      <c r="K50" s="153" t="s">
        <v>71</v>
      </c>
      <c r="L50" s="192" t="s">
        <v>276</v>
      </c>
      <c r="M50" s="192" t="s">
        <v>138</v>
      </c>
      <c r="N50" s="190" t="str">
        <f t="shared" si="1"/>
        <v>AUD15YMTOIS</v>
      </c>
      <c r="O50" s="190" t="str">
        <v>AUD15YMTOIS=ICAA</v>
      </c>
      <c r="P50" s="147">
        <v>3.9849999999999999</v>
      </c>
      <c r="Q50" s="147">
        <v>4.0350000000000001</v>
      </c>
      <c r="R50" s="147">
        <v>0</v>
      </c>
      <c r="S50" s="147">
        <v>4.01</v>
      </c>
      <c r="T50" s="151">
        <f>_xll.qlMidEquivalent($P50,$Q50,$R50,$S50)</f>
        <v>4.01</v>
      </c>
      <c r="U50" s="149"/>
      <c r="V50" s="150">
        <v>4.0600000000000005</v>
      </c>
      <c r="W50" s="149"/>
      <c r="X50" s="209">
        <v>4.01</v>
      </c>
      <c r="Y50" s="146">
        <f>_xll.qlSimpleQuoteSetValue(F50,X50/100,Trigger)</f>
        <v>-5.0000000000000738E-4</v>
      </c>
      <c r="Z50" s="136"/>
    </row>
    <row r="51" spans="1:26" x14ac:dyDescent="0.2">
      <c r="A51" s="85"/>
      <c r="B51" s="118" t="s">
        <v>276</v>
      </c>
      <c r="C51" s="118" t="s">
        <v>138</v>
      </c>
      <c r="D51" s="364" t="s">
        <v>66</v>
      </c>
      <c r="E51" s="137" t="str">
        <f t="shared" si="0"/>
        <v>AUDMTOIS20Y_Quote</v>
      </c>
      <c r="F51" s="137" t="str">
        <f>_xll.qlSimpleQuote(Currency&amp;$B51&amp;$C51&amp;$D51&amp;QuoteSuffix,,RateTickValue,Permanent,Trigger,ObjectOverwrite)</f>
        <v>AUDMTOIS20Y_Quote#0000</v>
      </c>
      <c r="G51" s="22" t="str">
        <f>_xll.ohRangeRetrieveError(F51)</f>
        <v/>
      </c>
      <c r="H51" s="21"/>
      <c r="J51" s="85"/>
      <c r="K51" s="153" t="s">
        <v>66</v>
      </c>
      <c r="L51" s="192" t="s">
        <v>276</v>
      </c>
      <c r="M51" s="192" t="s">
        <v>138</v>
      </c>
      <c r="N51" s="190" t="str">
        <f t="shared" si="1"/>
        <v>AUD20YMTOIS</v>
      </c>
      <c r="O51" s="190" t="str">
        <v>AUD20YMTOIS=ICAA</v>
      </c>
      <c r="P51" s="147">
        <v>4.1230000000000002</v>
      </c>
      <c r="Q51" s="147">
        <v>4.173</v>
      </c>
      <c r="R51" s="147">
        <v>0</v>
      </c>
      <c r="S51" s="147">
        <v>4.1479999999999997</v>
      </c>
      <c r="T51" s="151">
        <f>_xll.qlMidEquivalent($P51,$Q51,$R51,$S51)</f>
        <v>4.1479999999999997</v>
      </c>
      <c r="U51" s="149"/>
      <c r="V51" s="150">
        <v>4.1880000000000006</v>
      </c>
      <c r="W51" s="149"/>
      <c r="X51" s="209">
        <v>4.1479999999999997</v>
      </c>
      <c r="Y51" s="146">
        <f>_xll.qlSimpleQuoteSetValue(F51,X51/100,Trigger)</f>
        <v>-4.0000000000001146E-4</v>
      </c>
      <c r="Z51" s="136"/>
    </row>
    <row r="52" spans="1:26" x14ac:dyDescent="0.2">
      <c r="A52" s="85"/>
      <c r="B52" s="118" t="s">
        <v>276</v>
      </c>
      <c r="C52" s="118" t="s">
        <v>138</v>
      </c>
      <c r="D52" s="364" t="s">
        <v>61</v>
      </c>
      <c r="E52" s="137" t="str">
        <f t="shared" si="0"/>
        <v>AUDMTOIS25Y_Quote</v>
      </c>
      <c r="F52" s="137" t="str">
        <f>_xll.qlSimpleQuote(Currency&amp;$B52&amp;$C52&amp;$D52&amp;QuoteSuffix,,RateTickValue,Permanent,Trigger,ObjectOverwrite)</f>
        <v>AUDMTOIS25Y_Quote#0000</v>
      </c>
      <c r="G52" s="22" t="str">
        <f>_xll.ohRangeRetrieveError(F52)</f>
        <v/>
      </c>
      <c r="H52" s="21"/>
      <c r="J52" s="85"/>
      <c r="K52" s="153" t="s">
        <v>61</v>
      </c>
      <c r="L52" s="192" t="s">
        <v>276</v>
      </c>
      <c r="M52" s="192" t="s">
        <v>138</v>
      </c>
      <c r="N52" s="190" t="str">
        <f t="shared" si="1"/>
        <v>AUD25YMTOIS</v>
      </c>
      <c r="O52" s="190" t="str">
        <v>AUD25YMTOIS=ICAA</v>
      </c>
      <c r="P52" s="147">
        <v>4.1779999999999999</v>
      </c>
      <c r="Q52" s="147">
        <v>4.2279999999999998</v>
      </c>
      <c r="R52" s="147">
        <v>0</v>
      </c>
      <c r="S52" s="147">
        <v>4.2030000000000003</v>
      </c>
      <c r="T52" s="151">
        <f>_xll.qlMidEquivalent($P52,$Q52,$R52,$S52)</f>
        <v>4.2029999999999994</v>
      </c>
      <c r="U52" s="149"/>
      <c r="V52" s="150">
        <v>4.2430000000000003</v>
      </c>
      <c r="W52" s="149"/>
      <c r="X52" s="209">
        <v>4.2029999999999994</v>
      </c>
      <c r="Y52" s="146">
        <f>_xll.qlSimpleQuoteSetValue(F52,X52/100,Trigger)</f>
        <v>-4.0000000000001146E-4</v>
      </c>
      <c r="Z52" s="136"/>
    </row>
    <row r="53" spans="1:26" x14ac:dyDescent="0.2">
      <c r="A53" s="85"/>
      <c r="B53" s="118" t="s">
        <v>276</v>
      </c>
      <c r="C53" s="118" t="s">
        <v>138</v>
      </c>
      <c r="D53" s="364" t="s">
        <v>59</v>
      </c>
      <c r="E53" s="137" t="str">
        <f t="shared" si="0"/>
        <v>AUDMTOIS27Y_Quote</v>
      </c>
      <c r="F53" s="137" t="str">
        <f>_xll.qlSimpleQuote(Currency&amp;$B53&amp;$C53&amp;$D53&amp;QuoteSuffix,,RateTickValue,Permanent,Trigger,ObjectOverwrite)</f>
        <v>AUDMTOIS27Y_Quote#0000</v>
      </c>
      <c r="G53" s="22" t="str">
        <f>_xll.ohRangeRetrieveError(F53)</f>
        <v/>
      </c>
      <c r="H53" s="21"/>
      <c r="J53" s="85"/>
      <c r="K53" s="153" t="s">
        <v>59</v>
      </c>
      <c r="L53" s="192" t="s">
        <v>276</v>
      </c>
      <c r="M53" s="192" t="s">
        <v>138</v>
      </c>
      <c r="N53" s="190" t="str">
        <f t="shared" si="1"/>
        <v>AUD27YMTOIS</v>
      </c>
      <c r="O53" s="190" t="str">
        <v>AUD27YMTOIS=ICAA</v>
      </c>
      <c r="P53" s="147" t="s">
        <v>174</v>
      </c>
      <c r="Q53" s="147" t="s">
        <v>174</v>
      </c>
      <c r="R53" s="147" t="s">
        <v>174</v>
      </c>
      <c r="S53" s="147" t="s">
        <v>174</v>
      </c>
      <c r="T53" s="151" t="e">
        <f>_xll.qlMidEquivalent($P53,$Q53,$R53,$S53)</f>
        <v>#NUM!</v>
      </c>
      <c r="U53" s="149"/>
      <c r="V53" s="150" t="e">
        <v>#NUM!</v>
      </c>
      <c r="W53" s="149"/>
      <c r="X53" s="209" t="e">
        <v>#NUM!</v>
      </c>
      <c r="Y53" s="146" t="e">
        <f>_xll.qlSimpleQuoteSetValue(F53,X53/100,Trigger)</f>
        <v>#NUM!</v>
      </c>
      <c r="Z53" s="136"/>
    </row>
    <row r="54" spans="1:26" x14ac:dyDescent="0.2">
      <c r="A54" s="85"/>
      <c r="B54" s="118" t="s">
        <v>276</v>
      </c>
      <c r="C54" s="118" t="s">
        <v>138</v>
      </c>
      <c r="D54" s="364" t="s">
        <v>56</v>
      </c>
      <c r="E54" s="137" t="str">
        <f t="shared" si="0"/>
        <v>AUDMTOIS30Y_Quote</v>
      </c>
      <c r="F54" s="137" t="str">
        <f>_xll.qlSimpleQuote(Currency&amp;$B54&amp;$C54&amp;$D54&amp;QuoteSuffix,,RateTickValue,Permanent,Trigger,ObjectOverwrite)</f>
        <v>AUDMTOIS30Y_Quote#0000</v>
      </c>
      <c r="G54" s="22" t="str">
        <f>_xll.ohRangeRetrieveError(F54)</f>
        <v/>
      </c>
      <c r="H54" s="21"/>
      <c r="J54" s="85"/>
      <c r="K54" s="153" t="s">
        <v>56</v>
      </c>
      <c r="L54" s="192" t="s">
        <v>276</v>
      </c>
      <c r="M54" s="192" t="s">
        <v>138</v>
      </c>
      <c r="N54" s="190" t="str">
        <f t="shared" si="1"/>
        <v>AUD30YMTOIS</v>
      </c>
      <c r="O54" s="190" t="str">
        <v>AUD30YMTOIS=ICAA</v>
      </c>
      <c r="P54" s="147">
        <v>4.2</v>
      </c>
      <c r="Q54" s="147">
        <v>4.25</v>
      </c>
      <c r="R54" s="147">
        <v>0</v>
      </c>
      <c r="S54" s="147">
        <v>4.2249999999999996</v>
      </c>
      <c r="T54" s="151">
        <f>_xll.qlMidEquivalent($P54,$Q54,$R54,$S54)</f>
        <v>4.2249999999999996</v>
      </c>
      <c r="U54" s="149"/>
      <c r="V54" s="150">
        <v>4.2680000000000007</v>
      </c>
      <c r="W54" s="149"/>
      <c r="X54" s="209">
        <v>4.2249999999999996</v>
      </c>
      <c r="Y54" s="146">
        <f>_xll.qlSimpleQuoteSetValue(F54,X54/100,Trigger)</f>
        <v>-4.300000000000137E-4</v>
      </c>
      <c r="Z54" s="136"/>
    </row>
    <row r="55" spans="1:26" x14ac:dyDescent="0.2">
      <c r="A55" s="85"/>
      <c r="B55" s="118" t="s">
        <v>276</v>
      </c>
      <c r="C55" s="118" t="s">
        <v>138</v>
      </c>
      <c r="D55" s="364" t="s">
        <v>51</v>
      </c>
      <c r="E55" s="137" t="str">
        <f t="shared" si="0"/>
        <v>AUDMTOIS35Y_Quote</v>
      </c>
      <c r="F55" s="137" t="str">
        <f>_xll.qlSimpleQuote(Currency&amp;$B55&amp;$C55&amp;$D55&amp;QuoteSuffix,,RateTickValue,Permanent,Trigger,ObjectOverwrite)</f>
        <v>AUDMTOIS35Y_Quote#0000</v>
      </c>
      <c r="G55" s="22" t="str">
        <f>_xll.ohRangeRetrieveError(F55)</f>
        <v/>
      </c>
      <c r="H55" s="21"/>
      <c r="J55" s="85"/>
      <c r="K55" s="153" t="s">
        <v>51</v>
      </c>
      <c r="L55" s="192" t="s">
        <v>276</v>
      </c>
      <c r="M55" s="192" t="s">
        <v>138</v>
      </c>
      <c r="N55" s="190" t="str">
        <f t="shared" si="1"/>
        <v>AUD35YMTOIS</v>
      </c>
      <c r="O55" s="190" t="str">
        <v>AUD35YMTOIS=ICAA</v>
      </c>
      <c r="P55" s="147" t="s">
        <v>174</v>
      </c>
      <c r="Q55" s="147" t="s">
        <v>174</v>
      </c>
      <c r="R55" s="147" t="s">
        <v>174</v>
      </c>
      <c r="S55" s="147" t="s">
        <v>174</v>
      </c>
      <c r="T55" s="151" t="e">
        <f>_xll.qlMidEquivalent($P55,$Q55,$R55,$S55)</f>
        <v>#NUM!</v>
      </c>
      <c r="U55" s="149"/>
      <c r="V55" s="150" t="e">
        <v>#NUM!</v>
      </c>
      <c r="W55" s="149"/>
      <c r="X55" s="209" t="e">
        <v>#NUM!</v>
      </c>
      <c r="Y55" s="146" t="e">
        <f>_xll.qlSimpleQuoteSetValue(F55,X55/100,Trigger)</f>
        <v>#NUM!</v>
      </c>
      <c r="Z55" s="136"/>
    </row>
    <row r="56" spans="1:26" x14ac:dyDescent="0.2">
      <c r="A56" s="85"/>
      <c r="B56" s="118" t="s">
        <v>276</v>
      </c>
      <c r="C56" s="118" t="s">
        <v>138</v>
      </c>
      <c r="D56" s="364" t="s">
        <v>46</v>
      </c>
      <c r="E56" s="137" t="str">
        <f t="shared" si="0"/>
        <v>AUDMTOIS40Y_Quote</v>
      </c>
      <c r="F56" s="137" t="str">
        <f>_xll.qlSimpleQuote(Currency&amp;$B56&amp;$C56&amp;$D56&amp;QuoteSuffix,,RateTickValue,Permanent,Trigger,ObjectOverwrite)</f>
        <v>AUDMTOIS40Y_Quote#0000</v>
      </c>
      <c r="G56" s="22" t="str">
        <f>_xll.ohRangeRetrieveError(F56)</f>
        <v/>
      </c>
      <c r="H56" s="21"/>
      <c r="J56" s="85"/>
      <c r="K56" s="153" t="s">
        <v>46</v>
      </c>
      <c r="L56" s="192" t="s">
        <v>276</v>
      </c>
      <c r="M56" s="192" t="s">
        <v>138</v>
      </c>
      <c r="N56" s="190" t="str">
        <f t="shared" si="1"/>
        <v>AUD40YMTOIS</v>
      </c>
      <c r="O56" s="190" t="str">
        <v>AUD40YMTOIS=ICAA</v>
      </c>
      <c r="P56" s="147" t="s">
        <v>174</v>
      </c>
      <c r="Q56" s="147" t="s">
        <v>174</v>
      </c>
      <c r="R56" s="147" t="s">
        <v>174</v>
      </c>
      <c r="S56" s="147" t="s">
        <v>174</v>
      </c>
      <c r="T56" s="151" t="e">
        <f>_xll.qlMidEquivalent($P56,$Q56,$R56,$S56)</f>
        <v>#NUM!</v>
      </c>
      <c r="U56" s="149"/>
      <c r="V56" s="150" t="e">
        <v>#NUM!</v>
      </c>
      <c r="W56" s="149"/>
      <c r="X56" s="209" t="e">
        <v>#NUM!</v>
      </c>
      <c r="Y56" s="146" t="e">
        <f>_xll.qlSimpleQuoteSetValue(F56,X56/100,Trigger)</f>
        <v>#NUM!</v>
      </c>
      <c r="Z56" s="136"/>
    </row>
    <row r="57" spans="1:26" x14ac:dyDescent="0.2">
      <c r="A57" s="85"/>
      <c r="B57" s="118" t="s">
        <v>276</v>
      </c>
      <c r="C57" s="118" t="s">
        <v>138</v>
      </c>
      <c r="D57" s="364" t="s">
        <v>41</v>
      </c>
      <c r="E57" s="137" t="str">
        <f t="shared" si="0"/>
        <v>AUDMTOIS45Y_Quote</v>
      </c>
      <c r="F57" s="137" t="str">
        <f>_xll.qlSimpleQuote(Currency&amp;$B57&amp;$C57&amp;$D57&amp;QuoteSuffix,,RateTickValue,Permanent,Trigger,ObjectOverwrite)</f>
        <v>AUDMTOIS45Y_Quote#0000</v>
      </c>
      <c r="G57" s="22" t="str">
        <f>_xll.ohRangeRetrieveError(F57)</f>
        <v/>
      </c>
      <c r="H57" s="21"/>
      <c r="J57" s="85"/>
      <c r="K57" s="153" t="s">
        <v>41</v>
      </c>
      <c r="L57" s="192" t="s">
        <v>276</v>
      </c>
      <c r="M57" s="192" t="s">
        <v>138</v>
      </c>
      <c r="N57" s="190" t="str">
        <f t="shared" si="1"/>
        <v>AUD45YMTOIS</v>
      </c>
      <c r="O57" s="190" t="str">
        <v>AUD45YMTOIS=ICAA</v>
      </c>
      <c r="P57" s="147" t="s">
        <v>174</v>
      </c>
      <c r="Q57" s="147" t="s">
        <v>174</v>
      </c>
      <c r="R57" s="147" t="s">
        <v>174</v>
      </c>
      <c r="S57" s="147" t="s">
        <v>174</v>
      </c>
      <c r="T57" s="151" t="e">
        <f>_xll.qlMidEquivalent($P57,$Q57,$R57,$S57)</f>
        <v>#NUM!</v>
      </c>
      <c r="U57" s="149"/>
      <c r="V57" s="150" t="e">
        <v>#NUM!</v>
      </c>
      <c r="W57" s="149"/>
      <c r="X57" s="209" t="e">
        <v>#NUM!</v>
      </c>
      <c r="Y57" s="146" t="e">
        <f>_xll.qlSimpleQuoteSetValue(F57,X57/100,Trigger)</f>
        <v>#NUM!</v>
      </c>
      <c r="Z57" s="136"/>
    </row>
    <row r="58" spans="1:26" x14ac:dyDescent="0.2">
      <c r="A58" s="85"/>
      <c r="B58" s="118" t="s">
        <v>276</v>
      </c>
      <c r="C58" s="118" t="s">
        <v>138</v>
      </c>
      <c r="D58" s="364" t="s">
        <v>36</v>
      </c>
      <c r="E58" s="137" t="str">
        <f t="shared" si="0"/>
        <v>AUDMTOIS50Y_Quote</v>
      </c>
      <c r="F58" s="137" t="str">
        <f>_xll.qlSimpleQuote(Currency&amp;$B58&amp;$C58&amp;$D58&amp;QuoteSuffix,,RateTickValue,Permanent,Trigger,ObjectOverwrite)</f>
        <v>AUDMTOIS50Y_Quote#0000</v>
      </c>
      <c r="G58" s="22" t="str">
        <f>_xll.ohRangeRetrieveError(F58)</f>
        <v/>
      </c>
      <c r="H58" s="21"/>
      <c r="J58" s="85"/>
      <c r="K58" s="164" t="s">
        <v>36</v>
      </c>
      <c r="L58" s="192" t="s">
        <v>276</v>
      </c>
      <c r="M58" s="188" t="s">
        <v>138</v>
      </c>
      <c r="N58" s="186" t="str">
        <f t="shared" si="1"/>
        <v>AUD50YMTOIS</v>
      </c>
      <c r="O58" s="186" t="str">
        <v>AUD50YMTOIS=ICAA</v>
      </c>
      <c r="P58" s="160" t="s">
        <v>174</v>
      </c>
      <c r="Q58" s="160" t="s">
        <v>174</v>
      </c>
      <c r="R58" s="160" t="s">
        <v>174</v>
      </c>
      <c r="S58" s="160" t="s">
        <v>174</v>
      </c>
      <c r="T58" s="162" t="e">
        <f>_xll.qlMidEquivalent($P58,$Q58,$R58,$S58)</f>
        <v>#NUM!</v>
      </c>
      <c r="U58" s="149"/>
      <c r="V58" s="150" t="e">
        <v>#NUM!</v>
      </c>
      <c r="W58" s="149"/>
      <c r="X58" s="202" t="e">
        <v>#NUM!</v>
      </c>
      <c r="Y58" s="159" t="e">
        <f>_xll.qlSimpleQuoteSetValue(F58,X58/100,Trigger)</f>
        <v>#NUM!</v>
      </c>
      <c r="Z58" s="136"/>
    </row>
    <row r="59" spans="1:26" ht="12" thickBot="1" x14ac:dyDescent="0.25">
      <c r="A59" s="131"/>
      <c r="B59" s="424"/>
      <c r="C59" s="424"/>
      <c r="D59" s="425"/>
      <c r="E59" s="426"/>
      <c r="F59" s="426"/>
      <c r="G59" s="427"/>
      <c r="H59" s="18"/>
      <c r="J59" s="128"/>
      <c r="K59" s="233"/>
      <c r="L59" s="233"/>
      <c r="M59" s="233"/>
      <c r="N59" s="233"/>
      <c r="O59" s="233"/>
      <c r="P59" s="233"/>
      <c r="Q59" s="233"/>
      <c r="R59" s="233"/>
      <c r="S59" s="233"/>
      <c r="T59" s="233"/>
      <c r="U59" s="233"/>
      <c r="V59" s="233"/>
      <c r="W59" s="233"/>
      <c r="X59" s="233"/>
      <c r="Y59" s="233"/>
      <c r="Z59" s="23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topLeftCell="C1" workbookViewId="0">
      <selection activeCell="C3" sqref="C3"/>
    </sheetView>
  </sheetViews>
  <sheetFormatPr defaultRowHeight="11.25" x14ac:dyDescent="0.2"/>
  <cols>
    <col min="1" max="1" width="2.7109375" style="70" customWidth="1"/>
    <col min="2" max="2" width="5.140625" style="70" bestFit="1" customWidth="1"/>
    <col min="3" max="3" width="17.85546875" style="70" bestFit="1" customWidth="1"/>
    <col min="4" max="4" width="16.7109375" style="70" bestFit="1" customWidth="1"/>
    <col min="5" max="5" width="36.85546875" style="70" bestFit="1" customWidth="1"/>
    <col min="6" max="8" width="2.7109375" style="70" customWidth="1"/>
    <col min="9" max="9" width="3.85546875" style="70" bestFit="1" customWidth="1"/>
    <col min="10" max="11" width="11.85546875" style="70" customWidth="1"/>
    <col min="12" max="13" width="9.140625" style="70"/>
    <col min="14" max="14" width="2.7109375" style="70" customWidth="1"/>
    <col min="15" max="15" width="5.7109375" style="70" bestFit="1" customWidth="1"/>
    <col min="16" max="16" width="2.7109375" style="70" customWidth="1"/>
    <col min="17" max="17" width="15.7109375" style="70" customWidth="1"/>
    <col min="18" max="18" width="9.140625" style="70"/>
    <col min="19" max="20" width="2.7109375" style="70" customWidth="1"/>
    <col min="21" max="22" width="9.140625" style="70"/>
    <col min="23" max="23" width="9.85546875" style="70" customWidth="1"/>
    <col min="24" max="24" width="8.85546875" style="70" customWidth="1"/>
    <col min="25" max="16384" width="9.140625" style="70"/>
  </cols>
  <sheetData>
    <row r="1" spans="1:25" x14ac:dyDescent="0.2">
      <c r="H1" s="182"/>
      <c r="I1" s="127"/>
      <c r="J1" s="12"/>
      <c r="K1" s="12"/>
      <c r="L1" s="127"/>
      <c r="M1" s="127"/>
      <c r="N1" s="127"/>
      <c r="O1" s="127"/>
      <c r="P1" s="127"/>
      <c r="Q1" s="127"/>
      <c r="R1" s="127"/>
      <c r="S1" s="124"/>
      <c r="T1" s="12"/>
      <c r="U1" s="12"/>
      <c r="V1" s="12"/>
      <c r="W1" s="12"/>
      <c r="X1" s="12"/>
      <c r="Y1" s="12"/>
    </row>
    <row r="2" spans="1:25" ht="12.75" customHeight="1" x14ac:dyDescent="0.2">
      <c r="H2" s="181"/>
      <c r="I2" s="180"/>
      <c r="J2" s="95" t="s">
        <v>173</v>
      </c>
      <c r="K2" s="149"/>
      <c r="L2" s="149"/>
      <c r="M2" s="149"/>
      <c r="N2" s="149"/>
      <c r="O2" s="149"/>
      <c r="P2" s="149"/>
      <c r="Q2" s="149"/>
      <c r="R2" s="149"/>
      <c r="S2" s="21"/>
      <c r="T2" s="12"/>
      <c r="U2" s="12"/>
      <c r="V2" s="12"/>
      <c r="W2" s="12"/>
      <c r="X2" s="12"/>
      <c r="Y2" s="12"/>
    </row>
    <row r="3" spans="1:25" x14ac:dyDescent="0.2">
      <c r="A3" s="116"/>
      <c r="B3" s="79"/>
      <c r="C3" s="79"/>
      <c r="D3" s="79"/>
      <c r="E3" s="79"/>
      <c r="F3" s="78"/>
      <c r="H3" s="85"/>
      <c r="I3" s="149"/>
      <c r="J3" s="149"/>
      <c r="K3" s="149"/>
      <c r="L3" s="149"/>
      <c r="M3" s="149"/>
      <c r="N3" s="149"/>
      <c r="O3" s="149"/>
      <c r="P3" s="149"/>
      <c r="Q3" s="179"/>
      <c r="R3" s="178">
        <f>_xll.ohTrigger(R5:R18)</f>
        <v>2</v>
      </c>
      <c r="S3" s="136"/>
      <c r="T3" s="12"/>
      <c r="U3" s="12"/>
      <c r="V3" s="12"/>
      <c r="W3" s="12"/>
      <c r="X3" s="12"/>
      <c r="Y3" s="12"/>
    </row>
    <row r="4" spans="1:25" ht="22.5" x14ac:dyDescent="0.2">
      <c r="A4" s="51"/>
      <c r="B4" s="77"/>
      <c r="C4" s="58" t="str">
        <f>Currency&amp;"_010_"&amp;"Deposits.xml"</f>
        <v>AUD_010_Deposits.xml</v>
      </c>
      <c r="D4" s="76" t="str">
        <f>IF(Serialize,_xll.ohObjectSave(D5:D22,SerializationPath&amp;C4,FileOverwrite,Serialize),"---")</f>
        <v>---</v>
      </c>
      <c r="E4" s="75" t="str">
        <f>_xll.ohRangeRetrieveError(D4)</f>
        <v/>
      </c>
      <c r="F4" s="71"/>
      <c r="H4" s="85"/>
      <c r="I4" s="175"/>
      <c r="J4" s="144" t="str">
        <f>_xll.RData(J5:J22,K4:L4,,ReutersRtMode,,K5)</f>
        <v>Paused at 12:08:05</v>
      </c>
      <c r="K4" s="144" t="s">
        <v>163</v>
      </c>
      <c r="L4" s="177" t="str">
        <f>VLOOKUP(Contributor,ContributorTable,5,FALSE)</f>
        <v>ASK</v>
      </c>
      <c r="M4" s="177" t="s">
        <v>242</v>
      </c>
      <c r="N4" s="149"/>
      <c r="O4" s="176" t="s">
        <v>192</v>
      </c>
      <c r="P4" s="149"/>
      <c r="Q4" s="175" t="s">
        <v>190</v>
      </c>
      <c r="R4" s="174" t="s">
        <v>189</v>
      </c>
      <c r="S4" s="136"/>
      <c r="T4" s="12"/>
      <c r="U4" s="173" t="s">
        <v>188</v>
      </c>
      <c r="V4" s="172" t="s">
        <v>187</v>
      </c>
      <c r="W4" s="172" t="s">
        <v>186</v>
      </c>
      <c r="X4" s="172" t="s">
        <v>185</v>
      </c>
      <c r="Y4" s="171" t="s">
        <v>184</v>
      </c>
    </row>
    <row r="5" spans="1:25" x14ac:dyDescent="0.2">
      <c r="A5" s="51"/>
      <c r="B5" s="74" t="s">
        <v>127</v>
      </c>
      <c r="C5" s="73" t="str">
        <f t="shared" ref="C5:C22" si="0">Currency&amp;$B5&amp;QuoteSuffix</f>
        <v>AUDOND_Quote</v>
      </c>
      <c r="D5" s="73" t="str">
        <f>_xll.qlSimpleQuote(C5,,RateTickValue,Permanent,Trigger,ObjectOverwrite)</f>
        <v>AUDOND_Quote#0000</v>
      </c>
      <c r="E5" s="72" t="str">
        <f>_xll.ohRangeRetrieveError(D5)</f>
        <v/>
      </c>
      <c r="F5" s="71"/>
      <c r="H5" s="85"/>
      <c r="I5" s="170" t="s">
        <v>157</v>
      </c>
      <c r="J5" s="169" t="str">
        <f t="array" ref="J5:J22">Currency&amp;VLOOKUP(Contributor,ContributorTable,2,FALSE)&amp;I5:I22&amp;VLOOKUP(Contributor,ContributorTable,3,FALSE)&amp;"="&amp;VLOOKUP(Contributor,ContributorTable,4,FALSE)</f>
        <v>AUDOND=TTKL</v>
      </c>
      <c r="K5" s="191" t="s">
        <v>174</v>
      </c>
      <c r="L5" s="168" t="s">
        <v>174</v>
      </c>
      <c r="M5" s="168" t="e">
        <f>_xll.qlMidEquivalent(K5,L5)</f>
        <v>#NUM!</v>
      </c>
      <c r="N5" s="149"/>
      <c r="O5" s="167" t="e">
        <v>#NUM!</v>
      </c>
      <c r="P5" s="149"/>
      <c r="Q5" s="216" t="e">
        <f t="array" ref="Q5:Q22">QuoteLive</f>
        <v>#NUM!</v>
      </c>
      <c r="R5" s="165" t="e">
        <f>_xll.qlSimpleQuoteSetValue(D5,Q5/100,Trigger)</f>
        <v>#NUM!</v>
      </c>
      <c r="S5" s="136"/>
      <c r="T5" s="12"/>
      <c r="U5" s="158" t="s">
        <v>183</v>
      </c>
      <c r="V5" s="53" t="s">
        <v>182</v>
      </c>
      <c r="W5" s="53" t="s">
        <v>166</v>
      </c>
      <c r="X5" s="53" t="str">
        <f>""</f>
        <v/>
      </c>
      <c r="Y5" s="157" t="s">
        <v>179</v>
      </c>
    </row>
    <row r="6" spans="1:25" x14ac:dyDescent="0.2">
      <c r="A6" s="51"/>
      <c r="B6" s="74" t="s">
        <v>126</v>
      </c>
      <c r="C6" s="73" t="str">
        <f t="shared" si="0"/>
        <v>AUDTND_Quote</v>
      </c>
      <c r="D6" s="73" t="str">
        <f>_xll.qlSimpleQuote(C6,,RateTickValue,Permanent,Trigger,ObjectOverwrite)</f>
        <v>AUDTND_Quote#0000</v>
      </c>
      <c r="E6" s="72" t="str">
        <f>_xll.ohRangeRetrieveError(D6)</f>
        <v/>
      </c>
      <c r="F6" s="71"/>
      <c r="H6" s="85"/>
      <c r="I6" s="153" t="s">
        <v>181</v>
      </c>
      <c r="J6" s="152" t="str">
        <v>AUDTND=TTKL</v>
      </c>
      <c r="K6" s="191">
        <v>2.5</v>
      </c>
      <c r="L6" s="151">
        <v>2.75</v>
      </c>
      <c r="M6" s="151">
        <f>_xll.qlMidEquivalent(K6,L6)</f>
        <v>2.625</v>
      </c>
      <c r="N6" s="149"/>
      <c r="O6" s="189">
        <v>2.625</v>
      </c>
      <c r="P6" s="149"/>
      <c r="Q6" s="209">
        <v>2.625</v>
      </c>
      <c r="R6" s="146">
        <f>_xll.qlSimpleQuoteSetValue(D6,Q6/100,Trigger)</f>
        <v>0</v>
      </c>
      <c r="S6" s="136"/>
      <c r="T6" s="12"/>
      <c r="U6" s="158" t="s">
        <v>24</v>
      </c>
      <c r="V6" s="53"/>
      <c r="W6" s="53" t="s">
        <v>180</v>
      </c>
      <c r="X6" s="53"/>
      <c r="Y6" s="157" t="s">
        <v>179</v>
      </c>
    </row>
    <row r="7" spans="1:25" x14ac:dyDescent="0.2">
      <c r="A7" s="51"/>
      <c r="B7" s="74" t="s">
        <v>125</v>
      </c>
      <c r="C7" s="73" t="str">
        <f t="shared" si="0"/>
        <v>AUDSND_Quote</v>
      </c>
      <c r="D7" s="73" t="str">
        <f>_xll.qlSimpleQuote(C7,,RateTickValue,Permanent,Trigger,ObjectOverwrite)</f>
        <v>AUDSND_Quote#0000</v>
      </c>
      <c r="E7" s="72" t="str">
        <f>_xll.ohRangeRetrieveError(D7)</f>
        <v/>
      </c>
      <c r="F7" s="71"/>
      <c r="H7" s="85"/>
      <c r="I7" s="153" t="s">
        <v>178</v>
      </c>
      <c r="J7" s="152" t="str">
        <v>AUDSND=TTKL</v>
      </c>
      <c r="K7" s="191">
        <v>2.5</v>
      </c>
      <c r="L7" s="151">
        <v>2.75</v>
      </c>
      <c r="M7" s="151">
        <f>_xll.qlMidEquivalent(K7,L7)</f>
        <v>2.625</v>
      </c>
      <c r="N7" s="149"/>
      <c r="O7" s="189">
        <v>2.625</v>
      </c>
      <c r="P7" s="149"/>
      <c r="Q7" s="209">
        <v>2.625</v>
      </c>
      <c r="R7" s="146">
        <f>_xll.qlSimpleQuoteSetValue(D7,Q7/100,Trigger)</f>
        <v>0</v>
      </c>
      <c r="S7" s="136"/>
      <c r="T7" s="12"/>
      <c r="U7" s="158" t="s">
        <v>177</v>
      </c>
      <c r="V7" s="53"/>
      <c r="W7" s="53" t="s">
        <v>166</v>
      </c>
      <c r="X7" s="53"/>
      <c r="Y7" s="157" t="s">
        <v>162</v>
      </c>
    </row>
    <row r="8" spans="1:25" x14ac:dyDescent="0.2">
      <c r="A8" s="51"/>
      <c r="B8" s="74" t="s">
        <v>124</v>
      </c>
      <c r="C8" s="73" t="str">
        <f t="shared" si="0"/>
        <v>AUDSWD_Quote</v>
      </c>
      <c r="D8" s="73" t="str">
        <f>_xll.qlSimpleQuote(C8,,RateTickValue,Permanent,Trigger,ObjectOverwrite)</f>
        <v>AUDSWD_Quote#0000</v>
      </c>
      <c r="E8" s="72" t="str">
        <f>_xll.ohRangeRetrieveError(D8)</f>
        <v/>
      </c>
      <c r="F8" s="71"/>
      <c r="H8" s="85"/>
      <c r="I8" s="153" t="s">
        <v>22</v>
      </c>
      <c r="J8" s="152" t="str">
        <v>AUDSWD=TTKL</v>
      </c>
      <c r="K8" s="191">
        <v>2.5</v>
      </c>
      <c r="L8" s="151">
        <v>2.75</v>
      </c>
      <c r="M8" s="151">
        <f>_xll.qlMidEquivalent(K8,L8)</f>
        <v>2.625</v>
      </c>
      <c r="N8" s="149"/>
      <c r="O8" s="189">
        <v>2.625</v>
      </c>
      <c r="P8" s="149"/>
      <c r="Q8" s="209">
        <v>2.625</v>
      </c>
      <c r="R8" s="146">
        <f>_xll.qlSimpleQuoteSetValue(D8,Q8/100,Trigger)</f>
        <v>0</v>
      </c>
      <c r="S8" s="136"/>
      <c r="T8" s="12"/>
      <c r="U8" s="158" t="s">
        <v>164</v>
      </c>
      <c r="V8" s="53"/>
      <c r="W8" s="53" t="s">
        <v>166</v>
      </c>
      <c r="X8" s="53" t="s">
        <v>176</v>
      </c>
      <c r="Y8" s="157" t="s">
        <v>162</v>
      </c>
    </row>
    <row r="9" spans="1:25" x14ac:dyDescent="0.2">
      <c r="A9" s="51"/>
      <c r="B9" s="74" t="s">
        <v>123</v>
      </c>
      <c r="C9" s="73" t="str">
        <f t="shared" si="0"/>
        <v>AUD2WD_Quote</v>
      </c>
      <c r="D9" s="73" t="str">
        <f>_xll.qlSimpleQuote(C9,,RateTickValue,Permanent,Trigger,ObjectOverwrite)</f>
        <v>AUD2WD_Quote#0000</v>
      </c>
      <c r="E9" s="72" t="str">
        <f>_xll.ohRangeRetrieveError(D9)</f>
        <v/>
      </c>
      <c r="F9" s="71"/>
      <c r="H9" s="85"/>
      <c r="I9" s="153" t="s">
        <v>21</v>
      </c>
      <c r="J9" s="152" t="str">
        <v>AUD2WD=TTKL</v>
      </c>
      <c r="K9" s="191">
        <v>2.5</v>
      </c>
      <c r="L9" s="151">
        <v>2.75</v>
      </c>
      <c r="M9" s="151">
        <f>_xll.qlMidEquivalent(K9,L9)</f>
        <v>2.625</v>
      </c>
      <c r="N9" s="149"/>
      <c r="O9" s="189">
        <v>2.625</v>
      </c>
      <c r="P9" s="149"/>
      <c r="Q9" s="209">
        <v>2.625</v>
      </c>
      <c r="R9" s="146">
        <f>_xll.qlSimpleQuoteSetValue(D9,Q9/100,Trigger)</f>
        <v>0</v>
      </c>
      <c r="S9" s="136"/>
      <c r="T9" s="12"/>
      <c r="U9" s="158" t="s">
        <v>175</v>
      </c>
      <c r="V9" s="53"/>
      <c r="W9" s="53" t="s">
        <v>166</v>
      </c>
      <c r="X9" s="53" t="s">
        <v>175</v>
      </c>
      <c r="Y9" s="157" t="s">
        <v>162</v>
      </c>
    </row>
    <row r="10" spans="1:25" x14ac:dyDescent="0.2">
      <c r="A10" s="51"/>
      <c r="B10" s="74" t="s">
        <v>122</v>
      </c>
      <c r="C10" s="73" t="str">
        <f t="shared" si="0"/>
        <v>AUD3WD_Quote</v>
      </c>
      <c r="D10" s="73" t="str">
        <f>_xll.qlSimpleQuote(C10,,RateTickValue,Permanent,Trigger,ObjectOverwrite)</f>
        <v>AUD3WD_Quote#0000</v>
      </c>
      <c r="E10" s="72" t="str">
        <f>_xll.ohRangeRetrieveError(D10)</f>
        <v/>
      </c>
      <c r="F10" s="71"/>
      <c r="H10" s="85"/>
      <c r="I10" s="153" t="s">
        <v>20</v>
      </c>
      <c r="J10" s="152" t="str">
        <v>AUD3WD=TTKL</v>
      </c>
      <c r="K10" s="191">
        <v>2.5</v>
      </c>
      <c r="L10" s="151">
        <v>2.75</v>
      </c>
      <c r="M10" s="151">
        <f>_xll.qlMidEquivalent(K10,L10)</f>
        <v>2.625</v>
      </c>
      <c r="N10" s="149"/>
      <c r="O10" s="150">
        <v>2.625</v>
      </c>
      <c r="P10" s="149"/>
      <c r="Q10" s="209">
        <v>2.625</v>
      </c>
      <c r="R10" s="146">
        <f>_xll.qlSimpleQuoteSetValue(D10,Q10/100,Trigger)</f>
        <v>0</v>
      </c>
      <c r="S10" s="136"/>
      <c r="T10" s="12"/>
      <c r="U10" s="158" t="s">
        <v>173</v>
      </c>
      <c r="V10" s="53"/>
      <c r="W10" s="53" t="s">
        <v>166</v>
      </c>
      <c r="X10" s="53" t="s">
        <v>172</v>
      </c>
      <c r="Y10" s="157" t="s">
        <v>162</v>
      </c>
    </row>
    <row r="11" spans="1:25" x14ac:dyDescent="0.2">
      <c r="A11" s="51"/>
      <c r="B11" s="74" t="s">
        <v>121</v>
      </c>
      <c r="C11" s="73" t="str">
        <f t="shared" si="0"/>
        <v>AUD1MD_Quote</v>
      </c>
      <c r="D11" s="73" t="str">
        <f>_xll.qlSimpleQuote(C11,,RateTickValue,Permanent,Trigger,ObjectOverwrite)</f>
        <v>AUD1MD_Quote#0000</v>
      </c>
      <c r="E11" s="72" t="str">
        <f>_xll.ohRangeRetrieveError(D11)</f>
        <v/>
      </c>
      <c r="F11" s="71"/>
      <c r="H11" s="85"/>
      <c r="I11" s="153" t="s">
        <v>19</v>
      </c>
      <c r="J11" s="152" t="str">
        <v>AUD1MD=TTKL</v>
      </c>
      <c r="K11" s="191">
        <v>2.5</v>
      </c>
      <c r="L11" s="151">
        <v>2.75</v>
      </c>
      <c r="M11" s="151">
        <f>_xll.qlMidEquivalent(K11,L11)</f>
        <v>2.625</v>
      </c>
      <c r="N11" s="149"/>
      <c r="O11" s="150">
        <v>2.625</v>
      </c>
      <c r="P11" s="149"/>
      <c r="Q11" s="209">
        <v>2.625</v>
      </c>
      <c r="R11" s="146">
        <f>_xll.qlSimpleQuoteSetValue(D11,Q11/100,Trigger)</f>
        <v>0</v>
      </c>
      <c r="S11" s="136"/>
      <c r="T11" s="12"/>
      <c r="U11" s="158" t="s">
        <v>171</v>
      </c>
      <c r="V11" s="53"/>
      <c r="W11" s="53" t="s">
        <v>166</v>
      </c>
      <c r="X11" s="53" t="s">
        <v>170</v>
      </c>
      <c r="Y11" s="157" t="s">
        <v>162</v>
      </c>
    </row>
    <row r="12" spans="1:25" x14ac:dyDescent="0.2">
      <c r="A12" s="51"/>
      <c r="B12" s="74" t="s">
        <v>120</v>
      </c>
      <c r="C12" s="73" t="str">
        <f t="shared" si="0"/>
        <v>AUD2MD_Quote</v>
      </c>
      <c r="D12" s="73" t="str">
        <f>_xll.qlSimpleQuote(C12,,RateTickValue,Permanent,Trigger,ObjectOverwrite)</f>
        <v>AUD2MD_Quote#0000</v>
      </c>
      <c r="E12" s="72" t="str">
        <f>_xll.ohRangeRetrieveError(D12)</f>
        <v/>
      </c>
      <c r="F12" s="71"/>
      <c r="H12" s="85"/>
      <c r="I12" s="153" t="s">
        <v>18</v>
      </c>
      <c r="J12" s="152" t="str">
        <v>AUD2MD=TTKL</v>
      </c>
      <c r="K12" s="191">
        <v>2.5</v>
      </c>
      <c r="L12" s="151">
        <v>2.75</v>
      </c>
      <c r="M12" s="151">
        <f>_xll.qlMidEquivalent(K12,L12)</f>
        <v>2.625</v>
      </c>
      <c r="N12" s="149"/>
      <c r="O12" s="150">
        <v>2.625</v>
      </c>
      <c r="P12" s="149"/>
      <c r="Q12" s="209">
        <v>2.625</v>
      </c>
      <c r="R12" s="146">
        <f>_xll.qlSimpleQuoteSetValue(D12,Q12/100,Trigger)</f>
        <v>0</v>
      </c>
      <c r="S12" s="136"/>
      <c r="T12" s="12"/>
      <c r="U12" s="158" t="s">
        <v>169</v>
      </c>
      <c r="V12" s="53"/>
      <c r="W12" s="53" t="s">
        <v>166</v>
      </c>
      <c r="X12" s="53" t="s">
        <v>168</v>
      </c>
      <c r="Y12" s="157" t="s">
        <v>162</v>
      </c>
    </row>
    <row r="13" spans="1:25" x14ac:dyDescent="0.2">
      <c r="A13" s="51"/>
      <c r="B13" s="74" t="s">
        <v>119</v>
      </c>
      <c r="C13" s="73" t="str">
        <f t="shared" si="0"/>
        <v>AUD3MD_Quote</v>
      </c>
      <c r="D13" s="73" t="str">
        <f>_xll.qlSimpleQuote(C13,,RateTickValue,Permanent,Trigger,ObjectOverwrite)</f>
        <v>AUD3MD_Quote#0000</v>
      </c>
      <c r="E13" s="72" t="str">
        <f>_xll.ohRangeRetrieveError(D13)</f>
        <v/>
      </c>
      <c r="F13" s="71"/>
      <c r="H13" s="85"/>
      <c r="I13" s="153" t="s">
        <v>17</v>
      </c>
      <c r="J13" s="152" t="str">
        <v>AUD3MD=TTKL</v>
      </c>
      <c r="K13" s="191">
        <v>2.5499999999999998</v>
      </c>
      <c r="L13" s="151">
        <v>2.8</v>
      </c>
      <c r="M13" s="151">
        <f>_xll.qlMidEquivalent(K13,L13)</f>
        <v>2.6749999999999998</v>
      </c>
      <c r="N13" s="149"/>
      <c r="O13" s="150">
        <v>2.6749999999999998</v>
      </c>
      <c r="P13" s="149"/>
      <c r="Q13" s="209">
        <v>2.6749999999999998</v>
      </c>
      <c r="R13" s="146">
        <f>_xll.qlSimpleQuoteSetValue(D13,Q13/100,Trigger)</f>
        <v>0</v>
      </c>
      <c r="S13" s="136"/>
      <c r="T13" s="12"/>
      <c r="U13" s="156" t="s">
        <v>167</v>
      </c>
      <c r="V13" s="155"/>
      <c r="W13" s="155" t="s">
        <v>166</v>
      </c>
      <c r="X13" s="155" t="s">
        <v>165</v>
      </c>
      <c r="Y13" s="154" t="s">
        <v>162</v>
      </c>
    </row>
    <row r="14" spans="1:25" x14ac:dyDescent="0.2">
      <c r="A14" s="51"/>
      <c r="B14" s="74" t="s">
        <v>118</v>
      </c>
      <c r="C14" s="73" t="str">
        <f t="shared" si="0"/>
        <v>AUD4MD_Quote</v>
      </c>
      <c r="D14" s="73" t="str">
        <f>_xll.qlSimpleQuote(C14,,RateTickValue,Permanent,Trigger,ObjectOverwrite)</f>
        <v>AUD4MD_Quote#0000</v>
      </c>
      <c r="E14" s="72" t="str">
        <f>_xll.ohRangeRetrieveError(D14)</f>
        <v/>
      </c>
      <c r="F14" s="71"/>
      <c r="H14" s="85"/>
      <c r="I14" s="153" t="s">
        <v>16</v>
      </c>
      <c r="J14" s="152" t="str">
        <v>AUD4MD=TTKL</v>
      </c>
      <c r="K14" s="191">
        <v>2.6</v>
      </c>
      <c r="L14" s="151">
        <v>2.85</v>
      </c>
      <c r="M14" s="151">
        <f>_xll.qlMidEquivalent(K14,L14)</f>
        <v>2.7250000000000001</v>
      </c>
      <c r="N14" s="149"/>
      <c r="O14" s="150">
        <v>2.7250000000000001</v>
      </c>
      <c r="P14" s="149"/>
      <c r="Q14" s="209">
        <v>2.7250000000000001</v>
      </c>
      <c r="R14" s="146">
        <f>_xll.qlSimpleQuoteSetValue(D14,Q14/100,Trigger)</f>
        <v>0</v>
      </c>
      <c r="S14" s="136"/>
      <c r="T14" s="12"/>
      <c r="U14" s="12"/>
      <c r="V14" s="12"/>
      <c r="W14" s="12"/>
      <c r="X14" s="12"/>
      <c r="Y14" s="12"/>
    </row>
    <row r="15" spans="1:25" x14ac:dyDescent="0.2">
      <c r="A15" s="51"/>
      <c r="B15" s="74" t="s">
        <v>117</v>
      </c>
      <c r="C15" s="73" t="str">
        <f t="shared" si="0"/>
        <v>AUD5MD_Quote</v>
      </c>
      <c r="D15" s="73" t="str">
        <f>_xll.qlSimpleQuote(C15,,RateTickValue,Permanent,Trigger,ObjectOverwrite)</f>
        <v>AUD5MD_Quote#0000</v>
      </c>
      <c r="E15" s="72" t="str">
        <f>_xll.ohRangeRetrieveError(D15)</f>
        <v/>
      </c>
      <c r="F15" s="71"/>
      <c r="H15" s="85"/>
      <c r="I15" s="153" t="s">
        <v>15</v>
      </c>
      <c r="J15" s="152" t="str">
        <v>AUD5MD=TTKL</v>
      </c>
      <c r="K15" s="191">
        <v>2.6</v>
      </c>
      <c r="L15" s="151">
        <v>2.85</v>
      </c>
      <c r="M15" s="151">
        <f>_xll.qlMidEquivalent(K15,L15)</f>
        <v>2.7250000000000001</v>
      </c>
      <c r="N15" s="149"/>
      <c r="O15" s="150">
        <v>2.7250000000000001</v>
      </c>
      <c r="P15" s="149"/>
      <c r="Q15" s="209">
        <v>2.7250000000000001</v>
      </c>
      <c r="R15" s="146">
        <f>_xll.qlSimpleQuoteSetValue(D15,Q15/100,Trigger)</f>
        <v>0</v>
      </c>
      <c r="S15" s="136"/>
      <c r="T15" s="12"/>
      <c r="U15" s="12"/>
      <c r="V15" s="12"/>
      <c r="W15" s="12"/>
      <c r="X15" s="12"/>
      <c r="Y15" s="12"/>
    </row>
    <row r="16" spans="1:25" x14ac:dyDescent="0.2">
      <c r="A16" s="51"/>
      <c r="B16" s="74" t="s">
        <v>116</v>
      </c>
      <c r="C16" s="73" t="str">
        <f t="shared" si="0"/>
        <v>AUD6MD_Quote</v>
      </c>
      <c r="D16" s="73" t="str">
        <f>_xll.qlSimpleQuote(C16,,RateTickValue,Permanent,Trigger,ObjectOverwrite)</f>
        <v>AUD6MD_Quote#0000</v>
      </c>
      <c r="E16" s="72" t="str">
        <f>_xll.ohRangeRetrieveError(D16)</f>
        <v/>
      </c>
      <c r="F16" s="71"/>
      <c r="H16" s="85"/>
      <c r="I16" s="153" t="s">
        <v>14</v>
      </c>
      <c r="J16" s="152" t="str">
        <v>AUD6MD=TTKL</v>
      </c>
      <c r="K16" s="191">
        <v>2.6</v>
      </c>
      <c r="L16" s="151">
        <v>2.85</v>
      </c>
      <c r="M16" s="151">
        <f>_xll.qlMidEquivalent(K16,L16)</f>
        <v>2.7250000000000001</v>
      </c>
      <c r="N16" s="149"/>
      <c r="O16" s="150">
        <v>2.7250000000000001</v>
      </c>
      <c r="P16" s="149"/>
      <c r="Q16" s="209">
        <v>2.7250000000000001</v>
      </c>
      <c r="R16" s="146">
        <f>_xll.qlSimpleQuoteSetValue(D16,Q16/100,Trigger)</f>
        <v>0</v>
      </c>
      <c r="S16" s="136"/>
      <c r="T16" s="12"/>
      <c r="U16" s="12"/>
      <c r="V16" s="12"/>
      <c r="W16" s="12"/>
      <c r="X16" s="12"/>
      <c r="Y16" s="12"/>
    </row>
    <row r="17" spans="1:26" x14ac:dyDescent="0.2">
      <c r="A17" s="51"/>
      <c r="B17" s="74" t="s">
        <v>115</v>
      </c>
      <c r="C17" s="73" t="str">
        <f t="shared" si="0"/>
        <v>AUD7MD_Quote</v>
      </c>
      <c r="D17" s="73" t="str">
        <f>_xll.qlSimpleQuote(C17,,RateTickValue,Permanent,Trigger,ObjectOverwrite)</f>
        <v>AUD7MD_Quote#0000</v>
      </c>
      <c r="E17" s="72" t="str">
        <f>_xll.ohRangeRetrieveError(D17)</f>
        <v/>
      </c>
      <c r="F17" s="71"/>
      <c r="H17" s="85"/>
      <c r="I17" s="153" t="s">
        <v>13</v>
      </c>
      <c r="J17" s="152" t="str">
        <v>AUD7MD=TTKL</v>
      </c>
      <c r="K17" s="191">
        <v>2.75</v>
      </c>
      <c r="L17" s="151">
        <v>2.9</v>
      </c>
      <c r="M17" s="151">
        <f>_xll.qlMidEquivalent(K17,L17)</f>
        <v>2.8250000000000002</v>
      </c>
      <c r="N17" s="149"/>
      <c r="O17" s="150">
        <v>2.8250000000000002</v>
      </c>
      <c r="P17" s="149"/>
      <c r="Q17" s="209">
        <v>2.8250000000000002</v>
      </c>
      <c r="R17" s="146">
        <f>_xll.qlSimpleQuoteSetValue(D17,Q17/100,Trigger)</f>
        <v>0</v>
      </c>
      <c r="S17" s="136"/>
      <c r="T17" s="12"/>
      <c r="U17" s="12"/>
      <c r="V17" s="12"/>
      <c r="W17" s="12"/>
      <c r="X17" s="12"/>
      <c r="Y17" s="12"/>
    </row>
    <row r="18" spans="1:26" x14ac:dyDescent="0.2">
      <c r="A18" s="51"/>
      <c r="B18" s="74" t="s">
        <v>114</v>
      </c>
      <c r="C18" s="73" t="str">
        <f t="shared" si="0"/>
        <v>AUD8MD_Quote</v>
      </c>
      <c r="D18" s="73" t="str">
        <f>_xll.qlSimpleQuote(C18,,RateTickValue,Permanent,Trigger,ObjectOverwrite)</f>
        <v>AUD8MD_Quote#0000</v>
      </c>
      <c r="E18" s="72" t="str">
        <f>_xll.ohRangeRetrieveError(D18)</f>
        <v/>
      </c>
      <c r="F18" s="71"/>
      <c r="H18" s="85"/>
      <c r="I18" s="153" t="s">
        <v>12</v>
      </c>
      <c r="J18" s="152" t="str">
        <v>AUD8MD=TTKL</v>
      </c>
      <c r="K18" s="191">
        <v>2.75</v>
      </c>
      <c r="L18" s="151">
        <v>2.9</v>
      </c>
      <c r="M18" s="151">
        <f>_xll.qlMidEquivalent(K18,L18)</f>
        <v>2.8250000000000002</v>
      </c>
      <c r="N18" s="149"/>
      <c r="O18" s="150">
        <v>2.8250000000000002</v>
      </c>
      <c r="P18" s="149"/>
      <c r="Q18" s="209">
        <v>2.8250000000000002</v>
      </c>
      <c r="R18" s="146">
        <f>_xll.qlSimpleQuoteSetValue(D18,Q18/100,Trigger)</f>
        <v>0</v>
      </c>
      <c r="S18" s="136"/>
      <c r="T18" s="12"/>
      <c r="U18" s="12"/>
      <c r="V18" s="12"/>
      <c r="W18" s="12"/>
      <c r="X18" s="12"/>
      <c r="Y18" s="12"/>
    </row>
    <row r="19" spans="1:26" x14ac:dyDescent="0.2">
      <c r="A19" s="51"/>
      <c r="B19" s="74" t="s">
        <v>113</v>
      </c>
      <c r="C19" s="73" t="str">
        <f t="shared" si="0"/>
        <v>AUD9MD_Quote</v>
      </c>
      <c r="D19" s="73" t="str">
        <f>_xll.qlSimpleQuote(C19,,RateTickValue,Permanent,Trigger,ObjectOverwrite)</f>
        <v>AUD9MD_Quote#0000</v>
      </c>
      <c r="E19" s="72" t="str">
        <f>_xll.ohRangeRetrieveError(D19)</f>
        <v/>
      </c>
      <c r="F19" s="71"/>
      <c r="H19" s="85"/>
      <c r="I19" s="153" t="s">
        <v>11</v>
      </c>
      <c r="J19" s="152" t="str">
        <v>AUD9MD=TTKL</v>
      </c>
      <c r="K19" s="191">
        <v>2.7</v>
      </c>
      <c r="L19" s="151">
        <v>2.95</v>
      </c>
      <c r="M19" s="151">
        <f>_xll.qlMidEquivalent(K19,L19)</f>
        <v>2.8250000000000002</v>
      </c>
      <c r="N19" s="149"/>
      <c r="O19" s="150">
        <v>2.8250000000000002</v>
      </c>
      <c r="P19" s="149"/>
      <c r="Q19" s="209">
        <v>2.8250000000000002</v>
      </c>
      <c r="R19" s="146">
        <f>_xll.qlSimpleQuoteSetValue(D19,Q19/100,Trigger)</f>
        <v>0</v>
      </c>
      <c r="S19" s="136"/>
      <c r="T19" s="12"/>
      <c r="U19" s="12"/>
      <c r="V19" s="12"/>
      <c r="W19" s="12"/>
      <c r="X19" s="12"/>
      <c r="Y19" s="12"/>
    </row>
    <row r="20" spans="1:26" x14ac:dyDescent="0.2">
      <c r="A20" s="51"/>
      <c r="B20" s="74" t="s">
        <v>112</v>
      </c>
      <c r="C20" s="73" t="str">
        <f t="shared" si="0"/>
        <v>AUD10MD_Quote</v>
      </c>
      <c r="D20" s="73" t="str">
        <f>_xll.qlSimpleQuote(C20,,RateTickValue,Permanent,Trigger,ObjectOverwrite)</f>
        <v>AUD10MD_Quote#0000</v>
      </c>
      <c r="E20" s="72" t="str">
        <f>_xll.ohRangeRetrieveError(D20)</f>
        <v/>
      </c>
      <c r="F20" s="71"/>
      <c r="H20" s="85"/>
      <c r="I20" s="153" t="s">
        <v>10</v>
      </c>
      <c r="J20" s="152" t="str">
        <v>AUD10MD=TTKL</v>
      </c>
      <c r="K20" s="191">
        <v>2.75</v>
      </c>
      <c r="L20" s="151">
        <v>3</v>
      </c>
      <c r="M20" s="151">
        <f>_xll.qlMidEquivalent(K20,L20)</f>
        <v>2.875</v>
      </c>
      <c r="N20" s="149"/>
      <c r="O20" s="150">
        <v>2.875</v>
      </c>
      <c r="P20" s="149"/>
      <c r="Q20" s="209">
        <v>2.875</v>
      </c>
      <c r="R20" s="146">
        <f>_xll.qlSimpleQuoteSetValue(D20,Q20/100,Trigger)</f>
        <v>0</v>
      </c>
      <c r="S20" s="136"/>
      <c r="T20" s="12"/>
      <c r="U20" s="12"/>
      <c r="V20" s="12"/>
      <c r="W20" s="12"/>
      <c r="X20" s="12"/>
      <c r="Y20" s="12"/>
    </row>
    <row r="21" spans="1:26" x14ac:dyDescent="0.2">
      <c r="A21" s="51"/>
      <c r="B21" s="74" t="s">
        <v>111</v>
      </c>
      <c r="C21" s="73" t="str">
        <f t="shared" si="0"/>
        <v>AUD11MD_Quote</v>
      </c>
      <c r="D21" s="73" t="str">
        <f>_xll.qlSimpleQuote(C21,,RateTickValue,Permanent,Trigger,ObjectOverwrite)</f>
        <v>AUD11MD_Quote#0000</v>
      </c>
      <c r="E21" s="72" t="str">
        <f>_xll.ohRangeRetrieveError(D21)</f>
        <v/>
      </c>
      <c r="F21" s="71"/>
      <c r="H21" s="85"/>
      <c r="I21" s="153" t="s">
        <v>9</v>
      </c>
      <c r="J21" s="152" t="str">
        <v>AUD11MD=TTKL</v>
      </c>
      <c r="K21" s="191">
        <v>2.8</v>
      </c>
      <c r="L21" s="151">
        <v>3.05</v>
      </c>
      <c r="M21" s="151">
        <f>_xll.qlMidEquivalent(K21,L21)</f>
        <v>2.9249999999999998</v>
      </c>
      <c r="N21" s="149"/>
      <c r="O21" s="150">
        <v>2.9249999999999998</v>
      </c>
      <c r="P21" s="149"/>
      <c r="Q21" s="209">
        <v>2.9249999999999998</v>
      </c>
      <c r="R21" s="146">
        <f>_xll.qlSimpleQuoteSetValue(D21,Q21/100,Trigger)</f>
        <v>0</v>
      </c>
      <c r="S21" s="136"/>
      <c r="T21" s="12"/>
      <c r="U21" s="12"/>
      <c r="V21" s="12"/>
      <c r="W21" s="12"/>
      <c r="X21" s="12"/>
      <c r="Y21" s="12"/>
    </row>
    <row r="22" spans="1:26" x14ac:dyDescent="0.2">
      <c r="A22" s="51"/>
      <c r="B22" s="74" t="s">
        <v>110</v>
      </c>
      <c r="C22" s="73" t="str">
        <f t="shared" si="0"/>
        <v>AUD1YD_Quote</v>
      </c>
      <c r="D22" s="73" t="str">
        <f>_xll.qlSimpleQuote(C22,,RateTickValue,Permanent,Trigger,ObjectOverwrite)</f>
        <v>AUD1YD_Quote#0000</v>
      </c>
      <c r="E22" s="72" t="str">
        <f>_xll.ohRangeRetrieveError(D22)</f>
        <v/>
      </c>
      <c r="F22" s="71"/>
      <c r="H22" s="85"/>
      <c r="I22" s="153" t="s">
        <v>8</v>
      </c>
      <c r="J22" s="152" t="str">
        <v>AUD1YD=TTKL</v>
      </c>
      <c r="K22" s="191">
        <v>2.85</v>
      </c>
      <c r="L22" s="151">
        <v>3.1</v>
      </c>
      <c r="M22" s="185">
        <f>_xll.qlMidEquivalent(K22,L22)</f>
        <v>2.9750000000000001</v>
      </c>
      <c r="N22" s="149"/>
      <c r="O22" s="150">
        <v>2.9750000000000001</v>
      </c>
      <c r="P22" s="149"/>
      <c r="Q22" s="202">
        <v>2.9750000000000001</v>
      </c>
      <c r="R22" s="159">
        <f>_xll.qlSimpleQuoteSetValue(D22,Q22/100,Trigger)</f>
        <v>0</v>
      </c>
      <c r="S22" s="136"/>
      <c r="T22" s="12"/>
      <c r="U22" s="12"/>
      <c r="V22" s="12"/>
      <c r="W22" s="12"/>
      <c r="X22" s="12"/>
      <c r="Y22" s="12"/>
    </row>
    <row r="23" spans="1:26" ht="12" thickBot="1" x14ac:dyDescent="0.25">
      <c r="A23" s="44"/>
      <c r="B23" s="43"/>
      <c r="C23" s="43"/>
      <c r="D23" s="43"/>
      <c r="E23" s="43"/>
      <c r="F23" s="41"/>
      <c r="H23" s="20"/>
      <c r="I23" s="145"/>
      <c r="J23" s="145"/>
      <c r="K23" s="145"/>
      <c r="L23" s="145"/>
      <c r="M23" s="19"/>
      <c r="N23" s="19"/>
      <c r="O23" s="145"/>
      <c r="P23" s="19"/>
      <c r="Q23" s="145"/>
      <c r="R23" s="145"/>
      <c r="S23" s="18"/>
      <c r="T23" s="12"/>
      <c r="U23" s="12"/>
      <c r="V23" s="12"/>
      <c r="W23" s="12"/>
      <c r="X23" s="12"/>
      <c r="Y23" s="12"/>
    </row>
    <row r="24" spans="1:26" x14ac:dyDescent="0.2"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/>
    </row>
    <row r="25" spans="1:26" x14ac:dyDescent="0.2">
      <c r="P25" s="12"/>
      <c r="Q25" s="12"/>
      <c r="R25" s="12"/>
      <c r="S25" s="12"/>
      <c r="T25" s="12"/>
      <c r="U25" s="12"/>
      <c r="V25" s="12"/>
      <c r="W25" s="12"/>
      <c r="Z25" s="12"/>
    </row>
    <row r="26" spans="1:26" ht="15" x14ac:dyDescent="0.25">
      <c r="I26"/>
      <c r="P26" s="12"/>
      <c r="Q26" s="12"/>
      <c r="R26" s="12"/>
      <c r="S26" s="12"/>
      <c r="T26" s="12"/>
      <c r="U26" s="12"/>
      <c r="V26" s="12"/>
      <c r="W26" s="12"/>
    </row>
    <row r="27" spans="1:26" ht="19.5" customHeight="1" x14ac:dyDescent="0.25">
      <c r="E27"/>
      <c r="J27"/>
      <c r="P27" s="12"/>
      <c r="Q27" s="12"/>
      <c r="R27" s="12"/>
      <c r="S27" s="12"/>
      <c r="T27" s="12"/>
      <c r="U27" s="12"/>
      <c r="V27" s="12"/>
      <c r="W27" s="12"/>
    </row>
    <row r="28" spans="1:26" x14ac:dyDescent="0.2">
      <c r="P28" s="12"/>
      <c r="Q28" s="12"/>
      <c r="R28" s="12"/>
      <c r="S28" s="12"/>
      <c r="T28" s="12"/>
      <c r="U28" s="12"/>
      <c r="V28" s="12"/>
      <c r="W28" s="12"/>
    </row>
    <row r="29" spans="1:26" x14ac:dyDescent="0.2">
      <c r="P29" s="12"/>
      <c r="Q29" s="12"/>
      <c r="R29" s="12"/>
      <c r="S29" s="12"/>
      <c r="T29" s="12"/>
      <c r="U29" s="12"/>
      <c r="V29" s="12"/>
      <c r="W29" s="12"/>
    </row>
    <row r="30" spans="1:26" x14ac:dyDescent="0.2">
      <c r="P30" s="12"/>
      <c r="Q30" s="12"/>
      <c r="R30" s="12"/>
      <c r="S30" s="12"/>
      <c r="T30" s="12"/>
      <c r="U30" s="12"/>
      <c r="V30" s="12"/>
      <c r="W30" s="12"/>
    </row>
  </sheetData>
  <conditionalFormatting sqref="R5:R22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/>
  </sheetViews>
  <sheetFormatPr defaultRowHeight="12.75" x14ac:dyDescent="0.2"/>
  <cols>
    <col min="1" max="1" width="2.28515625" style="11" customWidth="1"/>
    <col min="2" max="2" width="2.7109375" style="11" bestFit="1" customWidth="1"/>
    <col min="3" max="3" width="4.42578125" style="11" bestFit="1" customWidth="1"/>
    <col min="4" max="4" width="14.85546875" style="82" bestFit="1" customWidth="1"/>
    <col min="5" max="5" width="18.85546875" style="11" bestFit="1" customWidth="1"/>
    <col min="6" max="6" width="57.42578125" style="81" customWidth="1"/>
    <col min="7" max="9" width="2.7109375" style="11" customWidth="1"/>
    <col min="10" max="10" width="2.7109375" style="11" bestFit="1" customWidth="1"/>
    <col min="11" max="11" width="2" style="11" bestFit="1" customWidth="1"/>
    <col min="12" max="12" width="2.7109375" style="11" bestFit="1" customWidth="1"/>
    <col min="13" max="13" width="9.42578125" style="11" bestFit="1" customWidth="1"/>
    <col min="14" max="14" width="10.28515625" style="11" bestFit="1" customWidth="1"/>
    <col min="15" max="15" width="9.7109375" style="11" customWidth="1"/>
    <col min="16" max="16" width="9.140625" style="11"/>
    <col min="17" max="17" width="7.5703125" style="11" customWidth="1"/>
    <col min="18" max="18" width="10" style="11" customWidth="1"/>
    <col min="19" max="19" width="9.140625" style="11"/>
    <col min="20" max="20" width="2.7109375" style="11" customWidth="1"/>
    <col min="21" max="21" width="9.140625" style="11"/>
    <col min="22" max="22" width="2.7109375" style="11" customWidth="1"/>
    <col min="23" max="24" width="9.140625" style="11"/>
    <col min="25" max="25" width="2.7109375" style="11" customWidth="1"/>
    <col min="26" max="16384" width="9.140625" style="11"/>
  </cols>
  <sheetData>
    <row r="1" spans="1:27" x14ac:dyDescent="0.2">
      <c r="A1" s="116"/>
      <c r="B1" s="471"/>
      <c r="C1" s="471"/>
      <c r="D1" s="472"/>
      <c r="E1" s="473"/>
      <c r="F1" s="472"/>
      <c r="G1" s="21"/>
      <c r="I1" s="474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4"/>
      <c r="Z1" s="12"/>
      <c r="AA1" s="12"/>
    </row>
    <row r="2" spans="1:27" ht="16.5" customHeight="1" x14ac:dyDescent="0.2">
      <c r="A2" s="85"/>
      <c r="B2" s="471"/>
      <c r="C2" s="471"/>
      <c r="D2" s="472"/>
      <c r="E2" s="473"/>
      <c r="F2" s="472"/>
      <c r="G2" s="21"/>
      <c r="I2" s="474"/>
      <c r="J2" s="12"/>
      <c r="K2" s="88"/>
      <c r="L2" s="88"/>
      <c r="M2" s="88"/>
      <c r="N2" s="95" t="s">
        <v>177</v>
      </c>
      <c r="O2" s="88"/>
      <c r="P2" s="88"/>
      <c r="Q2" s="88"/>
      <c r="R2" s="88"/>
      <c r="S2" s="149"/>
      <c r="T2" s="149"/>
      <c r="U2" s="149"/>
      <c r="V2" s="149"/>
      <c r="W2" s="149"/>
      <c r="X2" s="88"/>
      <c r="Y2" s="21"/>
      <c r="Z2" s="12"/>
      <c r="AA2" s="12"/>
    </row>
    <row r="3" spans="1:27" ht="12" customHeight="1" thickBot="1" x14ac:dyDescent="0.25">
      <c r="A3" s="85"/>
      <c r="B3" s="471"/>
      <c r="C3" s="471"/>
      <c r="D3" s="472"/>
      <c r="E3" s="473"/>
      <c r="F3" s="472"/>
      <c r="G3" s="21"/>
      <c r="I3" s="474"/>
      <c r="J3" s="88"/>
      <c r="K3" s="88"/>
      <c r="L3" s="149"/>
      <c r="M3" s="88"/>
      <c r="N3" s="88"/>
      <c r="O3" s="88"/>
      <c r="P3" s="88"/>
      <c r="Q3" s="88"/>
      <c r="R3" s="88"/>
      <c r="S3" s="88"/>
      <c r="T3" s="149"/>
      <c r="U3" s="149"/>
      <c r="V3" s="149"/>
      <c r="W3" s="88"/>
      <c r="X3" s="178">
        <f>_xll.ohTrigger(X5:X19)</f>
        <v>2</v>
      </c>
      <c r="Y3" s="136"/>
      <c r="Z3" s="12"/>
      <c r="AA3" s="12"/>
    </row>
    <row r="4" spans="1:27" ht="22.5" x14ac:dyDescent="0.2">
      <c r="A4" s="85"/>
      <c r="B4" s="446"/>
      <c r="C4" s="439"/>
      <c r="D4" s="469" t="str">
        <f>Currency&amp;"_010_"&amp;"FRA.xml"</f>
        <v>AUD_010_FRA.xml</v>
      </c>
      <c r="E4" s="470" t="str">
        <f>IF(Serialize,_xll.ohObjectSave(E3:E19,SerializationPath&amp;D4,FileOverwrite,Serialize),"---")</f>
        <v>---</v>
      </c>
      <c r="F4" s="447"/>
      <c r="G4" s="21"/>
      <c r="I4" s="475"/>
      <c r="J4" s="122"/>
      <c r="K4" s="122"/>
      <c r="L4" s="96"/>
      <c r="M4" s="122"/>
      <c r="N4" s="144" t="str">
        <f>_xll.RData(N5:N19,O4:R4,"RTFEED:IDN",ReutersRtMode,,O5)</f>
        <v>Paused at 12:08:05</v>
      </c>
      <c r="O4" s="198" t="s">
        <v>163</v>
      </c>
      <c r="P4" s="198" t="s">
        <v>162</v>
      </c>
      <c r="Q4" s="198" t="s">
        <v>179</v>
      </c>
      <c r="R4" s="198" t="s">
        <v>195</v>
      </c>
      <c r="S4" s="174" t="s">
        <v>194</v>
      </c>
      <c r="T4" s="149"/>
      <c r="U4" s="176" t="s">
        <v>192</v>
      </c>
      <c r="V4" s="149"/>
      <c r="W4" s="347" t="s">
        <v>190</v>
      </c>
      <c r="X4" s="60" t="s">
        <v>189</v>
      </c>
      <c r="Y4" s="136"/>
      <c r="Z4" s="12"/>
      <c r="AA4" s="197"/>
    </row>
    <row r="5" spans="1:27" x14ac:dyDescent="0.2">
      <c r="A5" s="85"/>
      <c r="B5" s="442">
        <v>1</v>
      </c>
      <c r="C5" s="84" t="s">
        <v>133</v>
      </c>
      <c r="D5" s="84" t="str">
        <f t="shared" ref="D5:D19" si="0">Currency&amp;$B5&amp;$C5&amp;QuoteSuffix</f>
        <v>AUD1x4F_Quote</v>
      </c>
      <c r="E5" s="84" t="str">
        <f>_xll.qlSimpleQuote(D5,,RateTickValue,Permanent,Trigger,ObjectOverwrite)</f>
        <v>AUD1x4F_Quote#0000</v>
      </c>
      <c r="F5" s="443" t="str">
        <f>_xll.ohRangeRetrieveError(E5)</f>
        <v/>
      </c>
      <c r="G5" s="21"/>
      <c r="I5" s="475"/>
      <c r="J5" s="192">
        <f t="shared" ref="J5:J19" si="1">B5</f>
        <v>1</v>
      </c>
      <c r="K5" s="196" t="s">
        <v>193</v>
      </c>
      <c r="L5" s="196">
        <f t="shared" ref="L5:L10" si="2">J5+3</f>
        <v>4</v>
      </c>
      <c r="M5" s="190" t="str">
        <f t="shared" ref="M5:M19" si="3">Currency&amp;$J5&amp;$K5&amp;$L5&amp;"F"</f>
        <v>AUD1X4F</v>
      </c>
      <c r="N5" s="190" t="str">
        <f t="array" ref="N5:N19">Instruments&amp;"="&amp;VLOOKUP(ContributorFRA,ContributorTable,2,FALSE)</f>
        <v>AUD1X4F=</v>
      </c>
      <c r="O5" s="191">
        <v>2.66</v>
      </c>
      <c r="P5" s="191">
        <v>2.7</v>
      </c>
      <c r="Q5" s="190">
        <v>0</v>
      </c>
      <c r="R5" s="190">
        <v>2.66</v>
      </c>
      <c r="S5" s="151">
        <f>_xll.qlMidSafe($O5,$P5)</f>
        <v>2.68</v>
      </c>
      <c r="T5" s="149"/>
      <c r="U5" s="193" t="e">
        <v>#NUM!</v>
      </c>
      <c r="V5" s="149"/>
      <c r="W5" s="216">
        <f t="array" ref="W5:W19">QuoteLive</f>
        <v>2.68</v>
      </c>
      <c r="X5" s="165">
        <f>_xll.qlSimpleQuoteSetValue(E5,W5/100,Trigger)</f>
        <v>5.0000000000001432E-5</v>
      </c>
      <c r="Y5" s="136"/>
      <c r="Z5" s="12"/>
      <c r="AA5" s="183"/>
    </row>
    <row r="6" spans="1:27" x14ac:dyDescent="0.2">
      <c r="A6" s="85"/>
      <c r="B6" s="440">
        <v>2</v>
      </c>
      <c r="C6" s="73" t="s">
        <v>132</v>
      </c>
      <c r="D6" s="73" t="str">
        <f t="shared" si="0"/>
        <v>AUD2x5F_Quote</v>
      </c>
      <c r="E6" s="73" t="str">
        <f>_xll.qlSimpleQuote(D6,,RateTickValue,Permanent,Trigger,ObjectOverwrite)</f>
        <v>AUD2x5F_Quote#0000</v>
      </c>
      <c r="F6" s="441" t="str">
        <f>_xll.ohRangeRetrieveError(E6)</f>
        <v/>
      </c>
      <c r="G6" s="21"/>
      <c r="I6" s="475"/>
      <c r="J6" s="192">
        <f t="shared" si="1"/>
        <v>2</v>
      </c>
      <c r="K6" s="192" t="s">
        <v>193</v>
      </c>
      <c r="L6" s="192">
        <f t="shared" si="2"/>
        <v>5</v>
      </c>
      <c r="M6" s="190" t="str">
        <f t="shared" si="3"/>
        <v>AUD2X5F</v>
      </c>
      <c r="N6" s="190" t="str">
        <v>AUD2X5F=</v>
      </c>
      <c r="O6" s="191">
        <v>2.65</v>
      </c>
      <c r="P6" s="191">
        <v>2.69</v>
      </c>
      <c r="Q6" s="190">
        <v>0</v>
      </c>
      <c r="R6" s="190">
        <v>2.65</v>
      </c>
      <c r="S6" s="151">
        <f>_xll.qlMidSafe($O6,$P6)</f>
        <v>2.67</v>
      </c>
      <c r="T6" s="149"/>
      <c r="U6" s="189" t="e">
        <v>#NUM!</v>
      </c>
      <c r="V6" s="149"/>
      <c r="W6" s="209">
        <v>2.67</v>
      </c>
      <c r="X6" s="146">
        <f>_xll.qlSimpleQuoteSetValue(E6,W6/100,Trigger)</f>
        <v>0</v>
      </c>
      <c r="Y6" s="136"/>
      <c r="Z6" s="12"/>
      <c r="AA6" s="183"/>
    </row>
    <row r="7" spans="1:27" x14ac:dyDescent="0.2">
      <c r="A7" s="85"/>
      <c r="B7" s="440">
        <v>3</v>
      </c>
      <c r="C7" s="73" t="s">
        <v>131</v>
      </c>
      <c r="D7" s="73" t="str">
        <f t="shared" si="0"/>
        <v>AUD3x6F_Quote</v>
      </c>
      <c r="E7" s="73" t="str">
        <f>_xll.qlSimpleQuote(D7,,RateTickValue,Permanent,Trigger,ObjectOverwrite)</f>
        <v>AUD3x6F_Quote#0000</v>
      </c>
      <c r="F7" s="441" t="str">
        <f>_xll.ohRangeRetrieveError(E7)</f>
        <v/>
      </c>
      <c r="G7" s="21"/>
      <c r="I7" s="475"/>
      <c r="J7" s="192">
        <f t="shared" si="1"/>
        <v>3</v>
      </c>
      <c r="K7" s="192" t="s">
        <v>193</v>
      </c>
      <c r="L7" s="192">
        <f t="shared" si="2"/>
        <v>6</v>
      </c>
      <c r="M7" s="190" t="str">
        <f t="shared" si="3"/>
        <v>AUD3X6F</v>
      </c>
      <c r="N7" s="190" t="str">
        <v>AUD3X6F=</v>
      </c>
      <c r="O7" s="191">
        <v>2.64</v>
      </c>
      <c r="P7" s="191">
        <v>2.67</v>
      </c>
      <c r="Q7" s="190">
        <v>0</v>
      </c>
      <c r="R7" s="190">
        <v>2.65</v>
      </c>
      <c r="S7" s="151">
        <f>_xll.qlMidSafe($O7,$P7)</f>
        <v>2.6550000000000002</v>
      </c>
      <c r="T7" s="149"/>
      <c r="U7" s="189" t="e">
        <v>#NUM!</v>
      </c>
      <c r="V7" s="149"/>
      <c r="W7" s="209">
        <v>2.6550000000000002</v>
      </c>
      <c r="X7" s="146">
        <f>_xll.qlSimpleQuoteSetValue(E7,W7/100,Trigger)</f>
        <v>-1.4999999999999389E-4</v>
      </c>
      <c r="Y7" s="136"/>
      <c r="Z7" s="12"/>
      <c r="AA7" s="183"/>
    </row>
    <row r="8" spans="1:27" x14ac:dyDescent="0.2">
      <c r="A8" s="85"/>
      <c r="B8" s="440">
        <v>4</v>
      </c>
      <c r="C8" s="73" t="s">
        <v>130</v>
      </c>
      <c r="D8" s="73" t="str">
        <f t="shared" si="0"/>
        <v>AUD4x7F_Quote</v>
      </c>
      <c r="E8" s="73" t="str">
        <f>_xll.qlSimpleQuote(D8,,RateTickValue,Permanent,Trigger,ObjectOverwrite)</f>
        <v>AUD4x7F_Quote#0000</v>
      </c>
      <c r="F8" s="441" t="str">
        <f>_xll.ohRangeRetrieveError(E8)</f>
        <v/>
      </c>
      <c r="G8" s="21"/>
      <c r="I8" s="475"/>
      <c r="J8" s="192">
        <f t="shared" si="1"/>
        <v>4</v>
      </c>
      <c r="K8" s="192" t="s">
        <v>193</v>
      </c>
      <c r="L8" s="192">
        <f t="shared" si="2"/>
        <v>7</v>
      </c>
      <c r="M8" s="190" t="str">
        <f t="shared" si="3"/>
        <v>AUD4X7F</v>
      </c>
      <c r="N8" s="190" t="str">
        <v>AUD4X7F=</v>
      </c>
      <c r="O8" s="191">
        <v>2.64</v>
      </c>
      <c r="P8" s="191">
        <v>2.67</v>
      </c>
      <c r="Q8" s="190">
        <v>0</v>
      </c>
      <c r="R8" s="190">
        <v>2.65</v>
      </c>
      <c r="S8" s="151">
        <f>_xll.qlMidSafe($O8,$P8)</f>
        <v>2.6550000000000002</v>
      </c>
      <c r="T8" s="149"/>
      <c r="U8" s="189" t="e">
        <v>#NUM!</v>
      </c>
      <c r="V8" s="149"/>
      <c r="W8" s="209">
        <v>2.6550000000000002</v>
      </c>
      <c r="X8" s="146">
        <f>_xll.qlSimpleQuoteSetValue(E8,W8/100,Trigger)</f>
        <v>-9.9999999999995925E-5</v>
      </c>
      <c r="Y8" s="136"/>
      <c r="Z8" s="12"/>
      <c r="AA8" s="183"/>
    </row>
    <row r="9" spans="1:27" x14ac:dyDescent="0.2">
      <c r="A9" s="85"/>
      <c r="B9" s="440">
        <v>5</v>
      </c>
      <c r="C9" s="73" t="s">
        <v>129</v>
      </c>
      <c r="D9" s="73" t="str">
        <f t="shared" si="0"/>
        <v>AUD5x8F_Quote</v>
      </c>
      <c r="E9" s="73" t="str">
        <f>_xll.qlSimpleQuote(D9,,RateTickValue,Permanent,Trigger,ObjectOverwrite)</f>
        <v>AUD5x8F_Quote#0000</v>
      </c>
      <c r="F9" s="441" t="str">
        <f>_xll.ohRangeRetrieveError(E9)</f>
        <v/>
      </c>
      <c r="G9" s="21"/>
      <c r="I9" s="475"/>
      <c r="J9" s="192">
        <f t="shared" si="1"/>
        <v>5</v>
      </c>
      <c r="K9" s="192" t="s">
        <v>193</v>
      </c>
      <c r="L9" s="192">
        <f t="shared" si="2"/>
        <v>8</v>
      </c>
      <c r="M9" s="190" t="str">
        <f t="shared" si="3"/>
        <v>AUD5X8F</v>
      </c>
      <c r="N9" s="190" t="str">
        <v>AUD5X8F=</v>
      </c>
      <c r="O9" s="191">
        <v>2.64</v>
      </c>
      <c r="P9" s="191">
        <v>2.67</v>
      </c>
      <c r="Q9" s="190">
        <v>0</v>
      </c>
      <c r="R9" s="190">
        <v>2.66</v>
      </c>
      <c r="S9" s="151">
        <f>_xll.qlMidSafe($O9,$P9)</f>
        <v>2.6550000000000002</v>
      </c>
      <c r="T9" s="149"/>
      <c r="U9" s="189" t="e">
        <v>#NUM!</v>
      </c>
      <c r="V9" s="149"/>
      <c r="W9" s="209">
        <v>2.6550000000000002</v>
      </c>
      <c r="X9" s="146">
        <f>_xll.qlSimpleQuoteSetValue(E9,W9/100,Trigger)</f>
        <v>-1.9999999999999532E-4</v>
      </c>
      <c r="Y9" s="136"/>
      <c r="Z9" s="12"/>
      <c r="AA9" s="183"/>
    </row>
    <row r="10" spans="1:27" ht="13.5" thickBot="1" x14ac:dyDescent="0.25">
      <c r="A10" s="85"/>
      <c r="B10" s="444">
        <v>6</v>
      </c>
      <c r="C10" s="86" t="s">
        <v>128</v>
      </c>
      <c r="D10" s="86" t="str">
        <f t="shared" si="0"/>
        <v>AUD6x9F_Quote</v>
      </c>
      <c r="E10" s="86" t="str">
        <f>_xll.qlSimpleQuote(D10,,RateTickValue,Permanent,Trigger,ObjectOverwrite)</f>
        <v>AUD6x9F_Quote#0000</v>
      </c>
      <c r="F10" s="445" t="str">
        <f>_xll.ohRangeRetrieveError(E10)</f>
        <v/>
      </c>
      <c r="G10" s="21"/>
      <c r="I10" s="475"/>
      <c r="J10" s="188">
        <f t="shared" si="1"/>
        <v>6</v>
      </c>
      <c r="K10" s="188" t="s">
        <v>193</v>
      </c>
      <c r="L10" s="188">
        <f t="shared" si="2"/>
        <v>9</v>
      </c>
      <c r="M10" s="186" t="str">
        <f t="shared" si="3"/>
        <v>AUD6X9F</v>
      </c>
      <c r="N10" s="186" t="str">
        <v>AUD6X9F=</v>
      </c>
      <c r="O10" s="187">
        <v>2.65</v>
      </c>
      <c r="P10" s="187">
        <v>2.68</v>
      </c>
      <c r="Q10" s="186">
        <v>0</v>
      </c>
      <c r="R10" s="186">
        <v>2.67</v>
      </c>
      <c r="S10" s="162">
        <f>_xll.qlMidSafe($O10,$P10)</f>
        <v>2.665</v>
      </c>
      <c r="T10" s="149"/>
      <c r="U10" s="185" t="e">
        <v>#NUM!</v>
      </c>
      <c r="V10" s="149"/>
      <c r="W10" s="202">
        <v>2.665</v>
      </c>
      <c r="X10" s="159">
        <f>_xll.qlSimpleQuoteSetValue(E10,W10/100,Trigger)</f>
        <v>-1.9999999999999879E-4</v>
      </c>
      <c r="Y10" s="136"/>
      <c r="Z10" s="12"/>
      <c r="AA10" s="183"/>
    </row>
    <row r="11" spans="1:27" x14ac:dyDescent="0.2">
      <c r="A11" s="85"/>
      <c r="B11" s="446">
        <v>1</v>
      </c>
      <c r="C11" s="439" t="str">
        <f t="shared" ref="C11:C19" si="4">"x"&amp;B11+6&amp;"F"</f>
        <v>x7F</v>
      </c>
      <c r="D11" s="439" t="str">
        <f t="shared" si="0"/>
        <v>AUD1x7F_Quote</v>
      </c>
      <c r="E11" s="439" t="str">
        <f>_xll.qlSimpleQuote(D11,,RateTickValue,Permanent,Trigger,ObjectOverwrite)</f>
        <v>AUD1x7F_Quote#0000</v>
      </c>
      <c r="F11" s="447" t="str">
        <f>_xll.ohRangeRetrieveError(E11)</f>
        <v/>
      </c>
      <c r="G11" s="21"/>
      <c r="I11" s="475"/>
      <c r="J11" s="196">
        <f t="shared" si="1"/>
        <v>1</v>
      </c>
      <c r="K11" s="196" t="s">
        <v>193</v>
      </c>
      <c r="L11" s="196">
        <f t="shared" ref="L11:L19" si="5">J11+6</f>
        <v>7</v>
      </c>
      <c r="M11" s="194" t="str">
        <f t="shared" si="3"/>
        <v>AUD1X7F</v>
      </c>
      <c r="N11" s="194" t="str">
        <v>AUD1X7F=</v>
      </c>
      <c r="O11" s="195">
        <v>2.67</v>
      </c>
      <c r="P11" s="195">
        <v>2.71</v>
      </c>
      <c r="Q11" s="194">
        <v>0</v>
      </c>
      <c r="R11" s="194">
        <v>2.66</v>
      </c>
      <c r="S11" s="168">
        <f>_xll.qlMidSafe($O11,$P11)</f>
        <v>2.69</v>
      </c>
      <c r="T11" s="149"/>
      <c r="U11" s="193" t="e">
        <v>#NUM!</v>
      </c>
      <c r="V11" s="149"/>
      <c r="W11" s="216">
        <v>2.69</v>
      </c>
      <c r="X11" s="165">
        <f>_xll.qlSimpleQuoteSetValue(E11,W11/100,Trigger)</f>
        <v>9.9999999999999395E-5</v>
      </c>
      <c r="Y11" s="136"/>
      <c r="Z11" s="12"/>
      <c r="AA11" s="183"/>
    </row>
    <row r="12" spans="1:27" x14ac:dyDescent="0.2">
      <c r="A12" s="85"/>
      <c r="B12" s="440">
        <v>2</v>
      </c>
      <c r="C12" s="73" t="str">
        <f t="shared" si="4"/>
        <v>x8F</v>
      </c>
      <c r="D12" s="73" t="str">
        <f t="shared" si="0"/>
        <v>AUD2x8F_Quote</v>
      </c>
      <c r="E12" s="73" t="str">
        <f>_xll.qlSimpleQuote(D12,,RateTickValue,Permanent,Trigger,ObjectOverwrite)</f>
        <v>AUD2x8F_Quote#0000</v>
      </c>
      <c r="F12" s="441" t="str">
        <f>_xll.ohRangeRetrieveError(E12)</f>
        <v/>
      </c>
      <c r="G12" s="21"/>
      <c r="I12" s="475"/>
      <c r="J12" s="192">
        <f t="shared" si="1"/>
        <v>2</v>
      </c>
      <c r="K12" s="192" t="s">
        <v>193</v>
      </c>
      <c r="L12" s="192">
        <f t="shared" si="5"/>
        <v>8</v>
      </c>
      <c r="M12" s="190" t="str">
        <f t="shared" si="3"/>
        <v>AUD2X8F</v>
      </c>
      <c r="N12" s="190" t="str">
        <v>AUD2X8F=</v>
      </c>
      <c r="O12" s="191">
        <v>2.66</v>
      </c>
      <c r="P12" s="191">
        <v>2.7</v>
      </c>
      <c r="Q12" s="190">
        <v>0</v>
      </c>
      <c r="R12" s="190">
        <v>2.66</v>
      </c>
      <c r="S12" s="151">
        <f>_xll.qlMidSafe($O12,$P12)</f>
        <v>2.68</v>
      </c>
      <c r="T12" s="149"/>
      <c r="U12" s="189" t="e">
        <v>#NUM!</v>
      </c>
      <c r="V12" s="149"/>
      <c r="W12" s="209">
        <v>2.68</v>
      </c>
      <c r="X12" s="146">
        <f>_xll.qlSimpleQuoteSetValue(E12,W12/100,Trigger)</f>
        <v>0</v>
      </c>
      <c r="Y12" s="136"/>
      <c r="Z12" s="12"/>
      <c r="AA12" s="183"/>
    </row>
    <row r="13" spans="1:27" x14ac:dyDescent="0.2">
      <c r="A13" s="85"/>
      <c r="B13" s="440">
        <v>3</v>
      </c>
      <c r="C13" s="73" t="str">
        <f t="shared" si="4"/>
        <v>x9F</v>
      </c>
      <c r="D13" s="73" t="str">
        <f t="shared" si="0"/>
        <v>AUD3x9F_Quote</v>
      </c>
      <c r="E13" s="73" t="str">
        <f>_xll.qlSimpleQuote(D13,,RateTickValue,Permanent,Trigger,ObjectOverwrite)</f>
        <v>AUD3x9F_Quote#0000</v>
      </c>
      <c r="F13" s="441" t="str">
        <f>_xll.ohRangeRetrieveError(E13)</f>
        <v/>
      </c>
      <c r="G13" s="21"/>
      <c r="I13" s="475"/>
      <c r="J13" s="192">
        <f t="shared" si="1"/>
        <v>3</v>
      </c>
      <c r="K13" s="192" t="s">
        <v>193</v>
      </c>
      <c r="L13" s="192">
        <f t="shared" si="5"/>
        <v>9</v>
      </c>
      <c r="M13" s="190" t="str">
        <f t="shared" si="3"/>
        <v>AUD3X9F</v>
      </c>
      <c r="N13" s="190" t="str">
        <v>AUD3X9F=</v>
      </c>
      <c r="O13" s="191">
        <v>2.67</v>
      </c>
      <c r="P13" s="191">
        <v>2.71</v>
      </c>
      <c r="Q13" s="190">
        <v>0</v>
      </c>
      <c r="R13" s="190">
        <v>2.67</v>
      </c>
      <c r="S13" s="151">
        <f>_xll.qlMidSafe($O13,$P13)</f>
        <v>2.69</v>
      </c>
      <c r="T13" s="149"/>
      <c r="U13" s="189" t="e">
        <v>#NUM!</v>
      </c>
      <c r="V13" s="149"/>
      <c r="W13" s="209">
        <v>2.69</v>
      </c>
      <c r="X13" s="146">
        <f>_xll.qlSimpleQuoteSetValue(E13,W13/100,Trigger)</f>
        <v>0</v>
      </c>
      <c r="Y13" s="136"/>
      <c r="Z13" s="12"/>
      <c r="AA13" s="183"/>
    </row>
    <row r="14" spans="1:27" x14ac:dyDescent="0.2">
      <c r="A14" s="85"/>
      <c r="B14" s="440">
        <v>4</v>
      </c>
      <c r="C14" s="73" t="str">
        <f t="shared" si="4"/>
        <v>x10F</v>
      </c>
      <c r="D14" s="73" t="str">
        <f t="shared" si="0"/>
        <v>AUD4x10F_Quote</v>
      </c>
      <c r="E14" s="73" t="str">
        <f>_xll.qlSimpleQuote(D14,,RateTickValue,Permanent,Trigger,ObjectOverwrite)</f>
        <v>AUD4x10F_Quote#0000</v>
      </c>
      <c r="F14" s="441" t="str">
        <f>_xll.ohRangeRetrieveError(E14)</f>
        <v/>
      </c>
      <c r="G14" s="21"/>
      <c r="I14" s="475"/>
      <c r="J14" s="192">
        <f t="shared" si="1"/>
        <v>4</v>
      </c>
      <c r="K14" s="192" t="s">
        <v>193</v>
      </c>
      <c r="L14" s="192">
        <f t="shared" si="5"/>
        <v>10</v>
      </c>
      <c r="M14" s="190" t="str">
        <f t="shared" si="3"/>
        <v>AUD4X10F</v>
      </c>
      <c r="N14" s="190" t="str">
        <v>AUD4X10F=</v>
      </c>
      <c r="O14" s="191">
        <v>2.68</v>
      </c>
      <c r="P14" s="191">
        <v>2.72</v>
      </c>
      <c r="Q14" s="190">
        <v>0</v>
      </c>
      <c r="R14" s="190">
        <v>2.68</v>
      </c>
      <c r="S14" s="151">
        <f>_xll.qlMidSafe($O14,$P14)</f>
        <v>2.7</v>
      </c>
      <c r="T14" s="149"/>
      <c r="U14" s="189" t="e">
        <v>#NUM!</v>
      </c>
      <c r="V14" s="149"/>
      <c r="W14" s="209">
        <v>2.7</v>
      </c>
      <c r="X14" s="146">
        <f>_xll.qlSimpleQuoteSetValue(E14,W14/100,Trigger)</f>
        <v>0</v>
      </c>
      <c r="Y14" s="136"/>
      <c r="Z14" s="12"/>
      <c r="AA14" s="183"/>
    </row>
    <row r="15" spans="1:27" x14ac:dyDescent="0.2">
      <c r="A15" s="85"/>
      <c r="B15" s="440">
        <v>5</v>
      </c>
      <c r="C15" s="73" t="str">
        <f t="shared" si="4"/>
        <v>x11F</v>
      </c>
      <c r="D15" s="73" t="str">
        <f t="shared" si="0"/>
        <v>AUD5x11F_Quote</v>
      </c>
      <c r="E15" s="73" t="str">
        <f>_xll.qlSimpleQuote(D15,,RateTickValue,Permanent,Trigger,ObjectOverwrite)</f>
        <v>AUD5x11F_Quote#0000</v>
      </c>
      <c r="F15" s="441" t="str">
        <f>_xll.ohRangeRetrieveError(E15)</f>
        <v/>
      </c>
      <c r="G15" s="21"/>
      <c r="I15" s="475"/>
      <c r="J15" s="192">
        <f t="shared" si="1"/>
        <v>5</v>
      </c>
      <c r="K15" s="192" t="s">
        <v>193</v>
      </c>
      <c r="L15" s="192">
        <f t="shared" si="5"/>
        <v>11</v>
      </c>
      <c r="M15" s="190" t="str">
        <f t="shared" si="3"/>
        <v>AUD5X11F</v>
      </c>
      <c r="N15" s="190" t="str">
        <v>AUD5X11F=</v>
      </c>
      <c r="O15" s="191">
        <v>2.69</v>
      </c>
      <c r="P15" s="191">
        <v>2.73</v>
      </c>
      <c r="Q15" s="190">
        <v>0</v>
      </c>
      <c r="R15" s="190">
        <v>2.69</v>
      </c>
      <c r="S15" s="151">
        <f>_xll.qlMidSafe($O15,$P15)</f>
        <v>2.71</v>
      </c>
      <c r="T15" s="149"/>
      <c r="U15" s="189" t="e">
        <v>#NUM!</v>
      </c>
      <c r="V15" s="149"/>
      <c r="W15" s="209">
        <v>2.71</v>
      </c>
      <c r="X15" s="146">
        <f>_xll.qlSimpleQuoteSetValue(E15,W15/100,Trigger)</f>
        <v>0</v>
      </c>
      <c r="Y15" s="136"/>
      <c r="Z15" s="12"/>
      <c r="AA15" s="183"/>
    </row>
    <row r="16" spans="1:27" x14ac:dyDescent="0.2">
      <c r="A16" s="85"/>
      <c r="B16" s="440">
        <v>6</v>
      </c>
      <c r="C16" s="73" t="str">
        <f t="shared" si="4"/>
        <v>x12F</v>
      </c>
      <c r="D16" s="73" t="str">
        <f t="shared" si="0"/>
        <v>AUD6x12F_Quote</v>
      </c>
      <c r="E16" s="73" t="str">
        <f>_xll.qlSimpleQuote(D16,,RateTickValue,Permanent,Trigger,ObjectOverwrite)</f>
        <v>AUD6x12F_Quote#0000</v>
      </c>
      <c r="F16" s="441" t="str">
        <f>_xll.ohRangeRetrieveError(E16)</f>
        <v/>
      </c>
      <c r="G16" s="21"/>
      <c r="I16" s="475"/>
      <c r="J16" s="192">
        <f t="shared" si="1"/>
        <v>6</v>
      </c>
      <c r="K16" s="192" t="s">
        <v>193</v>
      </c>
      <c r="L16" s="192">
        <f t="shared" si="5"/>
        <v>12</v>
      </c>
      <c r="M16" s="190" t="str">
        <f t="shared" si="3"/>
        <v>AUD6X12F</v>
      </c>
      <c r="N16" s="190" t="str">
        <v>AUD6X12F=</v>
      </c>
      <c r="O16" s="191">
        <v>2.7</v>
      </c>
      <c r="P16" s="191">
        <v>2.74</v>
      </c>
      <c r="Q16" s="190">
        <v>0</v>
      </c>
      <c r="R16" s="190">
        <v>2.71</v>
      </c>
      <c r="S16" s="151">
        <f>_xll.qlMidSafe($O16,$P16)</f>
        <v>2.72</v>
      </c>
      <c r="T16" s="149"/>
      <c r="U16" s="189" t="e">
        <v>#NUM!</v>
      </c>
      <c r="V16" s="149"/>
      <c r="W16" s="209">
        <v>2.72</v>
      </c>
      <c r="X16" s="146">
        <f>_xll.qlSimpleQuoteSetValue(E16,W16/100,Trigger)</f>
        <v>-9.9999999999999395E-5</v>
      </c>
      <c r="Y16" s="136"/>
      <c r="Z16" s="12"/>
      <c r="AA16" s="183"/>
    </row>
    <row r="17" spans="1:27" x14ac:dyDescent="0.2">
      <c r="A17" s="85"/>
      <c r="B17" s="440">
        <v>9</v>
      </c>
      <c r="C17" s="73" t="str">
        <f t="shared" si="4"/>
        <v>x15F</v>
      </c>
      <c r="D17" s="73" t="str">
        <f t="shared" si="0"/>
        <v>AUD9x15F_Quote</v>
      </c>
      <c r="E17" s="73" t="str">
        <f>_xll.qlSimpleQuote(D17,,RateTickValue,Permanent,Trigger,ObjectOverwrite)</f>
        <v>AUD9x15F_Quote#0000</v>
      </c>
      <c r="F17" s="441" t="str">
        <f>_xll.ohRangeRetrieveError(E17)</f>
        <v/>
      </c>
      <c r="G17" s="21"/>
      <c r="I17" s="475"/>
      <c r="J17" s="192">
        <f t="shared" si="1"/>
        <v>9</v>
      </c>
      <c r="K17" s="192" t="s">
        <v>193</v>
      </c>
      <c r="L17" s="192">
        <f t="shared" si="5"/>
        <v>15</v>
      </c>
      <c r="M17" s="190" t="str">
        <f t="shared" si="3"/>
        <v>AUD9X15F</v>
      </c>
      <c r="N17" s="190" t="str">
        <v>AUD9X15F=</v>
      </c>
      <c r="O17" s="191" t="s">
        <v>174</v>
      </c>
      <c r="P17" s="191" t="s">
        <v>174</v>
      </c>
      <c r="Q17" s="190" t="s">
        <v>174</v>
      </c>
      <c r="R17" s="190" t="s">
        <v>174</v>
      </c>
      <c r="S17" s="151" t="e">
        <f>_xll.qlMidSafe($O17,$P17)</f>
        <v>#NUM!</v>
      </c>
      <c r="T17" s="149"/>
      <c r="U17" s="189" t="e">
        <v>#NUM!</v>
      </c>
      <c r="V17" s="149"/>
      <c r="W17" s="209" t="e">
        <v>#NUM!</v>
      </c>
      <c r="X17" s="146" t="e">
        <f>_xll.qlSimpleQuoteSetValue(E17,W17/100,Trigger)</f>
        <v>#NUM!</v>
      </c>
      <c r="Y17" s="136"/>
      <c r="Z17" s="12"/>
      <c r="AA17" s="183"/>
    </row>
    <row r="18" spans="1:27" x14ac:dyDescent="0.2">
      <c r="A18" s="85"/>
      <c r="B18" s="440">
        <v>12</v>
      </c>
      <c r="C18" s="73" t="str">
        <f t="shared" si="4"/>
        <v>x18F</v>
      </c>
      <c r="D18" s="73" t="str">
        <f t="shared" si="0"/>
        <v>AUD12x18F_Quote</v>
      </c>
      <c r="E18" s="73" t="str">
        <f>_xll.qlSimpleQuote(D18,,RateTickValue,Permanent,Trigger,ObjectOverwrite)</f>
        <v>AUD12x18F_Quote#0000</v>
      </c>
      <c r="F18" s="441" t="str">
        <f>_xll.ohRangeRetrieveError(E18)</f>
        <v/>
      </c>
      <c r="G18" s="21"/>
      <c r="I18" s="475"/>
      <c r="J18" s="192">
        <f t="shared" si="1"/>
        <v>12</v>
      </c>
      <c r="K18" s="192" t="s">
        <v>193</v>
      </c>
      <c r="L18" s="192">
        <f t="shared" si="5"/>
        <v>18</v>
      </c>
      <c r="M18" s="190" t="str">
        <f t="shared" si="3"/>
        <v>AUD12X18F</v>
      </c>
      <c r="N18" s="190" t="str">
        <v>AUD12X18F=</v>
      </c>
      <c r="O18" s="191" t="s">
        <v>174</v>
      </c>
      <c r="P18" s="191" t="s">
        <v>174</v>
      </c>
      <c r="Q18" s="190" t="s">
        <v>174</v>
      </c>
      <c r="R18" s="190" t="s">
        <v>174</v>
      </c>
      <c r="S18" s="151" t="e">
        <f>_xll.qlMidSafe($O18,$P18)</f>
        <v>#NUM!</v>
      </c>
      <c r="T18" s="149"/>
      <c r="U18" s="189" t="e">
        <v>#NUM!</v>
      </c>
      <c r="V18" s="149"/>
      <c r="W18" s="209" t="e">
        <v>#NUM!</v>
      </c>
      <c r="X18" s="146" t="e">
        <f>_xll.qlSimpleQuoteSetValue(E18,W18/100,Trigger)</f>
        <v>#NUM!</v>
      </c>
      <c r="Y18" s="136"/>
      <c r="Z18" s="12"/>
      <c r="AA18" s="183"/>
    </row>
    <row r="19" spans="1:27" ht="13.5" thickBot="1" x14ac:dyDescent="0.25">
      <c r="A19" s="85"/>
      <c r="B19" s="444">
        <v>18</v>
      </c>
      <c r="C19" s="86" t="str">
        <f t="shared" si="4"/>
        <v>x24F</v>
      </c>
      <c r="D19" s="86" t="str">
        <f t="shared" si="0"/>
        <v>AUD18x24F_Quote</v>
      </c>
      <c r="E19" s="86" t="str">
        <f>_xll.qlSimpleQuote(D19,,RateTickValue,Permanent,Trigger,ObjectOverwrite)</f>
        <v>AUD18x24F_Quote#0000</v>
      </c>
      <c r="F19" s="445" t="str">
        <f>_xll.ohRangeRetrieveError(E19)</f>
        <v/>
      </c>
      <c r="G19" s="21"/>
      <c r="I19" s="475"/>
      <c r="J19" s="188">
        <f t="shared" si="1"/>
        <v>18</v>
      </c>
      <c r="K19" s="188" t="s">
        <v>193</v>
      </c>
      <c r="L19" s="188">
        <f t="shared" si="5"/>
        <v>24</v>
      </c>
      <c r="M19" s="186" t="str">
        <f t="shared" si="3"/>
        <v>AUD18X24F</v>
      </c>
      <c r="N19" s="186" t="str">
        <v>AUD18X24F=</v>
      </c>
      <c r="O19" s="187" t="s">
        <v>174</v>
      </c>
      <c r="P19" s="187" t="s">
        <v>174</v>
      </c>
      <c r="Q19" s="186" t="s">
        <v>174</v>
      </c>
      <c r="R19" s="186" t="s">
        <v>174</v>
      </c>
      <c r="S19" s="162" t="e">
        <f>_xll.qlMidSafe($O19,$P19)</f>
        <v>#NUM!</v>
      </c>
      <c r="T19" s="149"/>
      <c r="U19" s="185" t="e">
        <v>#NUM!</v>
      </c>
      <c r="V19" s="149"/>
      <c r="W19" s="202" t="e">
        <v>#NUM!</v>
      </c>
      <c r="X19" s="159" t="e">
        <f>_xll.qlSimpleQuoteSetValue(E19,W19/100,Trigger)</f>
        <v>#NUM!</v>
      </c>
      <c r="Y19" s="136"/>
      <c r="Z19" s="12"/>
      <c r="AA19" s="183"/>
    </row>
    <row r="20" spans="1:27" ht="13.5" thickBot="1" x14ac:dyDescent="0.25">
      <c r="A20" s="463"/>
      <c r="B20" s="464"/>
      <c r="C20" s="464"/>
      <c r="D20" s="465"/>
      <c r="E20" s="464"/>
      <c r="F20" s="466"/>
      <c r="G20" s="467"/>
      <c r="I20" s="468"/>
      <c r="J20" s="463"/>
      <c r="K20" s="463"/>
      <c r="L20" s="463"/>
      <c r="M20" s="463"/>
      <c r="N20" s="463"/>
      <c r="O20" s="463"/>
      <c r="P20" s="463"/>
      <c r="Q20" s="463"/>
      <c r="R20" s="463"/>
      <c r="S20" s="463"/>
      <c r="T20" s="463"/>
      <c r="U20" s="463"/>
      <c r="V20" s="463"/>
      <c r="W20" s="463"/>
      <c r="X20" s="463"/>
      <c r="Y20" s="467"/>
    </row>
  </sheetData>
  <conditionalFormatting sqref="X5:X19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>
      <selection activeCell="A4" sqref="A4"/>
    </sheetView>
  </sheetViews>
  <sheetFormatPr defaultRowHeight="11.25" x14ac:dyDescent="0.2"/>
  <cols>
    <col min="1" max="1" width="2.7109375" style="70" customWidth="1"/>
    <col min="2" max="2" width="3.5703125" style="70" bestFit="1" customWidth="1"/>
    <col min="3" max="3" width="5.7109375" style="70" bestFit="1" customWidth="1"/>
    <col min="4" max="4" width="6.140625" style="70" bestFit="1" customWidth="1"/>
    <col min="5" max="5" width="19.140625" style="70" bestFit="1" customWidth="1"/>
    <col min="6" max="6" width="20.140625" style="70" bestFit="1" customWidth="1"/>
    <col min="7" max="7" width="33.85546875" style="70" customWidth="1"/>
    <col min="8" max="10" width="2.7109375" style="70" customWidth="1"/>
    <col min="11" max="13" width="9.140625" style="70"/>
    <col min="14" max="14" width="14.28515625" style="70" bestFit="1" customWidth="1"/>
    <col min="15" max="19" width="9.140625" style="70"/>
    <col min="20" max="20" width="11" style="70" customWidth="1"/>
    <col min="21" max="21" width="9.140625" style="70"/>
    <col min="22" max="22" width="2.7109375" style="70" customWidth="1"/>
    <col min="23" max="23" width="9.140625" style="70"/>
    <col min="24" max="24" width="2.7109375" style="70" customWidth="1"/>
    <col min="25" max="26" width="9.140625" style="70"/>
    <col min="27" max="28" width="2.7109375" style="70" customWidth="1"/>
    <col min="29" max="33" width="9.140625" style="70"/>
    <col min="34" max="34" width="2.7109375" style="70" customWidth="1"/>
    <col min="35" max="37" width="9.140625" style="70"/>
    <col min="38" max="38" width="15.85546875" style="70" bestFit="1" customWidth="1"/>
    <col min="39" max="39" width="25" style="70" bestFit="1" customWidth="1"/>
    <col min="40" max="40" width="26.42578125" style="70" bestFit="1" customWidth="1"/>
    <col min="41" max="41" width="9.140625" style="70"/>
    <col min="42" max="42" width="2.7109375" style="70" customWidth="1"/>
    <col min="43" max="16384" width="9.140625" style="70"/>
  </cols>
  <sheetData>
    <row r="1" spans="1:43" x14ac:dyDescent="0.2">
      <c r="J1" s="182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225"/>
      <c r="W1" s="225"/>
      <c r="X1" s="127"/>
      <c r="Y1" s="127"/>
      <c r="Z1" s="127"/>
      <c r="AA1" s="224"/>
      <c r="AB1" s="12"/>
      <c r="AC1" s="12"/>
      <c r="AD1" s="12"/>
      <c r="AE1" s="12"/>
      <c r="AH1" s="104" t="s">
        <v>161</v>
      </c>
      <c r="AP1" s="223"/>
    </row>
    <row r="2" spans="1:43" x14ac:dyDescent="0.2">
      <c r="J2" s="181"/>
      <c r="K2" s="88"/>
      <c r="L2" s="180"/>
      <c r="M2" s="180"/>
      <c r="N2" s="88"/>
      <c r="O2" s="88"/>
      <c r="P2" s="88"/>
      <c r="Q2" s="88"/>
      <c r="R2" s="88"/>
      <c r="S2" s="88"/>
      <c r="T2" s="88"/>
      <c r="U2" s="88"/>
      <c r="V2" s="149"/>
      <c r="W2" s="149"/>
      <c r="X2" s="88"/>
      <c r="Y2" s="149"/>
      <c r="Z2" s="88"/>
      <c r="AA2" s="223"/>
      <c r="AB2" s="12"/>
      <c r="AC2" s="12"/>
      <c r="AD2" s="12"/>
      <c r="AE2" s="12"/>
      <c r="AF2" s="12"/>
      <c r="AH2" s="104"/>
      <c r="AL2" s="143" t="s">
        <v>160</v>
      </c>
      <c r="AM2" s="142" t="str">
        <f>PROPER(Currency)&amp;"HW_Volatility_Quote"</f>
        <v>AudHW_Volatility_Quote</v>
      </c>
      <c r="AP2" s="223"/>
    </row>
    <row r="3" spans="1:43" ht="12" thickBot="1" x14ac:dyDescent="0.25">
      <c r="J3" s="181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149"/>
      <c r="W3" s="149"/>
      <c r="X3" s="88"/>
      <c r="Y3" s="88"/>
      <c r="Z3" s="88"/>
      <c r="AA3" s="223"/>
      <c r="AB3" s="12"/>
      <c r="AC3" s="12"/>
      <c r="AD3" s="12"/>
      <c r="AE3" s="12"/>
      <c r="AF3" s="12"/>
      <c r="AH3" s="104"/>
      <c r="AL3" s="143" t="s">
        <v>159</v>
      </c>
      <c r="AM3" s="142" t="str">
        <f>PROPER(Currency)&amp;"HW_MeanReversion_Quote"</f>
        <v>AudHW_MeanReversion_Quote</v>
      </c>
      <c r="AP3" s="223"/>
    </row>
    <row r="4" spans="1:43" x14ac:dyDescent="0.2">
      <c r="A4" s="109"/>
      <c r="B4" s="108"/>
      <c r="C4" s="108"/>
      <c r="D4" s="107" t="s">
        <v>137</v>
      </c>
      <c r="E4" s="107" t="s">
        <v>19</v>
      </c>
      <c r="F4" s="106"/>
      <c r="G4" s="106"/>
      <c r="H4" s="105"/>
      <c r="J4" s="181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149"/>
      <c r="W4" s="149"/>
      <c r="X4" s="88"/>
      <c r="Y4" s="88"/>
      <c r="Z4" s="178">
        <f>_xll.ohTrigger(Z6:Z17)</f>
        <v>2</v>
      </c>
      <c r="AA4" s="223"/>
      <c r="AB4" s="12"/>
      <c r="AC4" s="12"/>
      <c r="AD4" s="12"/>
      <c r="AE4" s="12"/>
      <c r="AF4" s="12"/>
      <c r="AH4" s="104"/>
      <c r="AL4" s="143" t="s">
        <v>90</v>
      </c>
      <c r="AM4" s="142" t="str">
        <f>PROPER(Currency)&amp;FamilyName&amp;$AN$4</f>
        <v>AudBBSW1M</v>
      </c>
      <c r="AN4" s="141" t="s">
        <v>19</v>
      </c>
      <c r="AP4" s="223"/>
    </row>
    <row r="5" spans="1:43" ht="22.5" x14ac:dyDescent="0.2">
      <c r="A5" s="104"/>
      <c r="B5" s="59" t="s">
        <v>136</v>
      </c>
      <c r="C5" s="60" t="s">
        <v>135</v>
      </c>
      <c r="D5" s="60" t="s">
        <v>134</v>
      </c>
      <c r="E5" s="58" t="str">
        <f>Currency&amp;"_010_"&amp;$D$4&amp;$E$4&amp;".xml"</f>
        <v>AUD_010_FUT1M.xml</v>
      </c>
      <c r="F5" s="57" t="str">
        <f>IF(Serialize,_xll.ohObjectSave(F6:F17,SerializationPath&amp;E5,FileOverwrite,Serialize),"---")</f>
        <v>---</v>
      </c>
      <c r="G5" s="75" t="str">
        <f>_xll.ohRangeRetrieveError(F5)</f>
        <v/>
      </c>
      <c r="H5" s="92"/>
      <c r="J5" s="181"/>
      <c r="K5" s="222" t="s">
        <v>136</v>
      </c>
      <c r="L5" s="198" t="s">
        <v>135</v>
      </c>
      <c r="M5" s="198" t="s">
        <v>134</v>
      </c>
      <c r="N5" s="198" t="s">
        <v>197</v>
      </c>
      <c r="O5" s="144" t="str">
        <f>_xll.RData(O6:O17,P5:T5,"RTFEED:IDN",ReutersRtMode,,P6)</f>
        <v>Paused at 12:08:05</v>
      </c>
      <c r="P5" s="198" t="s">
        <v>196</v>
      </c>
      <c r="Q5" s="198" t="s">
        <v>163</v>
      </c>
      <c r="R5" s="198" t="s">
        <v>162</v>
      </c>
      <c r="S5" s="198" t="s">
        <v>179</v>
      </c>
      <c r="T5" s="198" t="s">
        <v>195</v>
      </c>
      <c r="U5" s="174" t="s">
        <v>194</v>
      </c>
      <c r="V5" s="149"/>
      <c r="W5" s="176" t="s">
        <v>192</v>
      </c>
      <c r="X5" s="149"/>
      <c r="Y5" s="355" t="s">
        <v>190</v>
      </c>
      <c r="Z5" s="177" t="s">
        <v>189</v>
      </c>
      <c r="AA5" s="21"/>
      <c r="AB5" s="12"/>
      <c r="AC5" s="12"/>
      <c r="AD5" s="12"/>
      <c r="AE5" s="12"/>
      <c r="AF5" s="197"/>
      <c r="AH5" s="104"/>
      <c r="AP5" s="223"/>
    </row>
    <row r="6" spans="1:43" ht="11.25" customHeight="1" x14ac:dyDescent="0.2">
      <c r="A6" s="98"/>
      <c r="B6" s="103">
        <v>1</v>
      </c>
      <c r="C6" s="102" t="b">
        <v>0</v>
      </c>
      <c r="D6" s="101" t="str">
        <f t="array" ref="D6:D17">_xll.qlIMMNextCodes(_xll.qlSettingsEvaluationDate(Trigger)-1,$C6:$C17)</f>
        <v>M4</v>
      </c>
      <c r="E6" s="94" t="str">
        <f t="shared" ref="E6:E17" si="0">Currency&amp;$D$4&amp;$E$4&amp;$D6&amp;QuoteSuffix</f>
        <v>AUDFUT1MM4_Quote</v>
      </c>
      <c r="F6" s="100" t="str">
        <f>_xll.qlSimpleQuote(E6,,PriceTickValue,Permanent,Trigger,ObjectOverwrite)</f>
        <v>AUDFUT1MM4_Quote#0000</v>
      </c>
      <c r="G6" s="99" t="str">
        <f>_xll.ohRangeRetrieveError(F6)</f>
        <v/>
      </c>
      <c r="H6" s="92"/>
      <c r="J6" s="208"/>
      <c r="K6" s="221">
        <v>1</v>
      </c>
      <c r="L6" s="220" t="b">
        <v>0</v>
      </c>
      <c r="M6" s="166" t="str">
        <f t="array" ref="M6:M17">_xll.qlIMMcode(FuturesDates)</f>
        <v>M4</v>
      </c>
      <c r="N6" s="219">
        <f t="array" ref="N6:N17">_xll.qlIMMNextDates(_xll.qlSettingsEvaluationDate(Trigger)-1,$L6:$L17)</f>
        <v>41808</v>
      </c>
      <c r="O6" s="166" t="e">
        <f t="array" ref="O6:O17">VLOOKUP(Currency,LiffeCodes,2)&amp;FuturesCodes</f>
        <v>#N/A</v>
      </c>
      <c r="P6" s="218" t="s">
        <v>253</v>
      </c>
      <c r="Q6" s="166" t="s">
        <v>253</v>
      </c>
      <c r="R6" s="166" t="s">
        <v>253</v>
      </c>
      <c r="S6" s="166" t="s">
        <v>253</v>
      </c>
      <c r="T6" s="166" t="s">
        <v>253</v>
      </c>
      <c r="U6" s="168" t="e">
        <f>_xll.qlMidSafe($Q6,$R6)</f>
        <v>#NUM!</v>
      </c>
      <c r="V6" s="149"/>
      <c r="W6" s="217" t="e">
        <v>#NUM!</v>
      </c>
      <c r="X6" s="149"/>
      <c r="Y6" s="216" t="e">
        <f t="array" ref="Y6:Y17">QuoteLive</f>
        <v>#NUM!</v>
      </c>
      <c r="Z6" s="168" t="e">
        <f>_xll.qlSimpleQuoteSetValue(F6,Y6,Trigger)</f>
        <v>#NUM!</v>
      </c>
      <c r="AA6" s="21"/>
      <c r="AB6" s="12"/>
      <c r="AC6" s="12"/>
      <c r="AD6" s="12"/>
      <c r="AE6" s="12"/>
      <c r="AF6" s="183"/>
      <c r="AH6" s="104"/>
      <c r="AI6" s="59" t="s">
        <v>136</v>
      </c>
      <c r="AJ6" s="123" t="s">
        <v>135</v>
      </c>
      <c r="AK6" s="123" t="s">
        <v>134</v>
      </c>
      <c r="AL6" s="123" t="s">
        <v>158</v>
      </c>
      <c r="AM6" s="58" t="str">
        <f>Currency&amp;"_020_Futures"&amp;AN4&amp;"ConvAdj.xml"</f>
        <v>AUD_020_Futures1MConvAdj.xml</v>
      </c>
      <c r="AN6" s="76" t="str">
        <f>IF(Serialize,_xll.ohObjectSave(AN7:AN18,SerializationPath&amp;AM6,FileOverwrite,Serialize),"---")</f>
        <v>---</v>
      </c>
      <c r="AO6" s="46" t="str">
        <f>_xll.ohRangeRetrieveError(AN6)</f>
        <v/>
      </c>
      <c r="AP6" s="223"/>
    </row>
    <row r="7" spans="1:43" ht="11.25" customHeight="1" x14ac:dyDescent="0.2">
      <c r="A7" s="98"/>
      <c r="B7" s="97">
        <v>2</v>
      </c>
      <c r="C7" s="96" t="b">
        <v>0</v>
      </c>
      <c r="D7" s="95" t="str">
        <v>N4</v>
      </c>
      <c r="E7" s="94" t="str">
        <f t="shared" si="0"/>
        <v>AUDFUT1MN4_Quote</v>
      </c>
      <c r="F7" s="93" t="str">
        <f>_xll.qlSimpleQuote(E7,,PriceTickValue,Permanent,Trigger,ObjectOverwrite)</f>
        <v>AUDFUT1MN4_Quote#0000</v>
      </c>
      <c r="G7" s="72" t="str">
        <f>_xll.ohRangeRetrieveError(F7)</f>
        <v/>
      </c>
      <c r="H7" s="92"/>
      <c r="J7" s="208"/>
      <c r="K7" s="214">
        <v>2</v>
      </c>
      <c r="L7" s="213" t="b">
        <v>0</v>
      </c>
      <c r="M7" s="147" t="str">
        <v>N4</v>
      </c>
      <c r="N7" s="212">
        <v>41836</v>
      </c>
      <c r="O7" s="147" t="e">
        <v>#N/A</v>
      </c>
      <c r="P7" s="211" t="s">
        <v>253</v>
      </c>
      <c r="Q7" s="147" t="s">
        <v>253</v>
      </c>
      <c r="R7" s="147" t="s">
        <v>253</v>
      </c>
      <c r="S7" s="147" t="s">
        <v>253</v>
      </c>
      <c r="T7" s="147" t="s">
        <v>253</v>
      </c>
      <c r="U7" s="151" t="e">
        <f>_xll.qlMidSafe($Q7,$R7)</f>
        <v>#NUM!</v>
      </c>
      <c r="V7" s="149"/>
      <c r="W7" s="215" t="e">
        <v>#NUM!</v>
      </c>
      <c r="X7" s="149"/>
      <c r="Y7" s="209" t="e">
        <v>#NUM!</v>
      </c>
      <c r="Z7" s="151" t="e">
        <f>_xll.qlSimpleQuoteSetValue(F7,Y7,Trigger)</f>
        <v>#NUM!</v>
      </c>
      <c r="AA7" s="21"/>
      <c r="AB7" s="12"/>
      <c r="AC7" s="12"/>
      <c r="AD7" s="12"/>
      <c r="AE7" s="12"/>
      <c r="AF7" s="183"/>
      <c r="AH7" s="98"/>
      <c r="AI7" s="103">
        <v>1</v>
      </c>
      <c r="AJ7" s="101" t="b">
        <v>0</v>
      </c>
      <c r="AK7" s="101" t="str">
        <f t="array" ref="AK7:AK18">_xll.qlIMMNextCodes(_xll.qlSettingsEvaluationDate(Trigger)-1,$AJ7:$AJ126)</f>
        <v>M4</v>
      </c>
      <c r="AL7" s="139" t="str">
        <f t="shared" ref="AL7:AL18" si="1">Currency&amp;"FUT"&amp;$AN$4&amp;$AK7&amp;QuoteSuffix</f>
        <v>AUDFUT1MM4_Quote</v>
      </c>
      <c r="AM7" s="140" t="str">
        <f t="shared" ref="AM7:AM18" si="2">Currency&amp;"FUT"&amp;$AN$4&amp;$AK7&amp;"ConvAdj"&amp;QuoteSuffix</f>
        <v>AUDFUT1MM4ConvAdj_Quote</v>
      </c>
      <c r="AN7" s="139" t="str">
        <f>_xll.qlFuturesConvAdjustmentQuote($AM7,IborIndex,$AK7,$AL7,Volatility,MeanReversion,Permanent,Trigger,ObjectOverwrite)</f>
        <v>AUDFUT1MM4ConvAdj_Quote#0001</v>
      </c>
      <c r="AO7" s="46" t="str">
        <f>_xll.ohRangeRetrieveError(AN7)</f>
        <v/>
      </c>
      <c r="AP7" s="223"/>
    </row>
    <row r="8" spans="1:43" ht="11.25" customHeight="1" x14ac:dyDescent="0.2">
      <c r="A8" s="98"/>
      <c r="B8" s="97">
        <v>3</v>
      </c>
      <c r="C8" s="96" t="b">
        <v>0</v>
      </c>
      <c r="D8" s="95" t="str">
        <v>Q4</v>
      </c>
      <c r="E8" s="94" t="str">
        <f t="shared" si="0"/>
        <v>AUDFUT1MQ4_Quote</v>
      </c>
      <c r="F8" s="93" t="str">
        <f>_xll.qlSimpleQuote(E8,,PriceTickValue,Permanent,Trigger,ObjectOverwrite)</f>
        <v>AUDFUT1MQ4_Quote#0000</v>
      </c>
      <c r="G8" s="72" t="str">
        <f>_xll.ohRangeRetrieveError(F8)</f>
        <v/>
      </c>
      <c r="H8" s="92"/>
      <c r="J8" s="208"/>
      <c r="K8" s="214">
        <v>3</v>
      </c>
      <c r="L8" s="213" t="b">
        <v>0</v>
      </c>
      <c r="M8" s="147" t="str">
        <v>Q4</v>
      </c>
      <c r="N8" s="212">
        <v>41871</v>
      </c>
      <c r="O8" s="147" t="e">
        <v>#N/A</v>
      </c>
      <c r="P8" s="211" t="s">
        <v>253</v>
      </c>
      <c r="Q8" s="147" t="s">
        <v>253</v>
      </c>
      <c r="R8" s="147" t="s">
        <v>253</v>
      </c>
      <c r="S8" s="147" t="s">
        <v>253</v>
      </c>
      <c r="T8" s="147" t="s">
        <v>253</v>
      </c>
      <c r="U8" s="151" t="e">
        <f>_xll.qlMidSafe($Q8,$R8)</f>
        <v>#NUM!</v>
      </c>
      <c r="V8" s="149"/>
      <c r="W8" s="215" t="e">
        <v>#NUM!</v>
      </c>
      <c r="X8" s="149"/>
      <c r="Y8" s="209" t="e">
        <v>#NUM!</v>
      </c>
      <c r="Z8" s="151" t="e">
        <f>_xll.qlSimpleQuoteSetValue(F8,Y8,Trigger)</f>
        <v>#NUM!</v>
      </c>
      <c r="AA8" s="21"/>
      <c r="AB8" s="12"/>
      <c r="AC8" s="12"/>
      <c r="AD8" s="12"/>
      <c r="AE8" s="12"/>
      <c r="AF8" s="183"/>
      <c r="AH8" s="98"/>
      <c r="AI8" s="97">
        <v>2</v>
      </c>
      <c r="AJ8" s="95" t="b">
        <v>0</v>
      </c>
      <c r="AK8" s="95" t="str">
        <v>N4</v>
      </c>
      <c r="AL8" s="139" t="str">
        <f t="shared" si="1"/>
        <v>AUDFUT1MN4_Quote</v>
      </c>
      <c r="AM8" s="140" t="str">
        <f t="shared" si="2"/>
        <v>AUDFUT1MN4ConvAdj_Quote</v>
      </c>
      <c r="AN8" s="139" t="str">
        <f>_xll.qlFuturesConvAdjustmentQuote($AM8,IborIndex,$AK8,$AL8,Volatility,MeanReversion,Permanent,Trigger,ObjectOverwrite)</f>
        <v>AUDFUT1MN4ConvAdj_Quote#0001</v>
      </c>
      <c r="AO8" s="46" t="str">
        <f>_xll.ohRangeRetrieveError(AN8)</f>
        <v/>
      </c>
      <c r="AP8" s="223"/>
    </row>
    <row r="9" spans="1:43" ht="11.25" customHeight="1" x14ac:dyDescent="0.2">
      <c r="A9" s="98"/>
      <c r="B9" s="97">
        <v>4</v>
      </c>
      <c r="C9" s="96" t="b">
        <v>0</v>
      </c>
      <c r="D9" s="95" t="str">
        <v>U4</v>
      </c>
      <c r="E9" s="94" t="str">
        <f t="shared" si="0"/>
        <v>AUDFUT1MU4_Quote</v>
      </c>
      <c r="F9" s="93" t="str">
        <f>_xll.qlSimpleQuote(E9,,PriceTickValue,Permanent,Trigger,ObjectOverwrite)</f>
        <v>AUDFUT1MU4_Quote#0000</v>
      </c>
      <c r="G9" s="72" t="str">
        <f>_xll.ohRangeRetrieveError(F9)</f>
        <v/>
      </c>
      <c r="H9" s="92"/>
      <c r="J9" s="208"/>
      <c r="K9" s="214">
        <v>4</v>
      </c>
      <c r="L9" s="213" t="b">
        <v>0</v>
      </c>
      <c r="M9" s="147" t="str">
        <v>U4</v>
      </c>
      <c r="N9" s="212">
        <v>41899</v>
      </c>
      <c r="O9" s="147" t="e">
        <v>#N/A</v>
      </c>
      <c r="P9" s="211" t="s">
        <v>253</v>
      </c>
      <c r="Q9" s="147" t="s">
        <v>253</v>
      </c>
      <c r="R9" s="147" t="s">
        <v>253</v>
      </c>
      <c r="S9" s="147" t="s">
        <v>253</v>
      </c>
      <c r="T9" s="147" t="s">
        <v>253</v>
      </c>
      <c r="U9" s="151" t="e">
        <f>_xll.qlMidSafe($Q9,$R9)</f>
        <v>#NUM!</v>
      </c>
      <c r="V9" s="149"/>
      <c r="W9" s="215" t="e">
        <v>#NUM!</v>
      </c>
      <c r="X9" s="149"/>
      <c r="Y9" s="209" t="e">
        <v>#NUM!</v>
      </c>
      <c r="Z9" s="151" t="e">
        <f>_xll.qlSimpleQuoteSetValue(F9,Y9,Trigger)</f>
        <v>#NUM!</v>
      </c>
      <c r="AA9" s="21"/>
      <c r="AB9" s="12"/>
      <c r="AC9" s="12"/>
      <c r="AD9" s="12"/>
      <c r="AE9" s="12"/>
      <c r="AF9" s="183"/>
      <c r="AH9" s="98"/>
      <c r="AI9" s="97">
        <v>3</v>
      </c>
      <c r="AJ9" s="95" t="b">
        <v>0</v>
      </c>
      <c r="AK9" s="95" t="str">
        <v>Q4</v>
      </c>
      <c r="AL9" s="139" t="str">
        <f t="shared" si="1"/>
        <v>AUDFUT1MQ4_Quote</v>
      </c>
      <c r="AM9" s="140" t="str">
        <f t="shared" si="2"/>
        <v>AUDFUT1MQ4ConvAdj_Quote</v>
      </c>
      <c r="AN9" s="139" t="str">
        <f>_xll.qlFuturesConvAdjustmentQuote($AM9,IborIndex,$AK9,$AL9,Volatility,MeanReversion,Permanent,Trigger,ObjectOverwrite)</f>
        <v>AUDFUT1MQ4ConvAdj_Quote#0001</v>
      </c>
      <c r="AO9" s="46" t="str">
        <f>_xll.ohRangeRetrieveError(AN9)</f>
        <v/>
      </c>
      <c r="AP9" s="223"/>
      <c r="AQ9" s="351"/>
    </row>
    <row r="10" spans="1:43" ht="11.25" customHeight="1" x14ac:dyDescent="0.2">
      <c r="A10" s="98"/>
      <c r="B10" s="97">
        <v>5</v>
      </c>
      <c r="C10" s="96" t="b">
        <v>0</v>
      </c>
      <c r="D10" s="95" t="str">
        <v>V4</v>
      </c>
      <c r="E10" s="94" t="str">
        <f t="shared" si="0"/>
        <v>AUDFUT1MV4_Quote</v>
      </c>
      <c r="F10" s="93" t="str">
        <f>_xll.qlSimpleQuote(E10,,PriceTickValue,Permanent,Trigger,ObjectOverwrite)</f>
        <v>AUDFUT1MV4_Quote#0000</v>
      </c>
      <c r="G10" s="72" t="str">
        <f>_xll.ohRangeRetrieveError(F10)</f>
        <v/>
      </c>
      <c r="H10" s="92"/>
      <c r="J10" s="208"/>
      <c r="K10" s="214">
        <v>5</v>
      </c>
      <c r="L10" s="213" t="b">
        <v>0</v>
      </c>
      <c r="M10" s="147" t="str">
        <v>V4</v>
      </c>
      <c r="N10" s="212">
        <v>41927</v>
      </c>
      <c r="O10" s="147" t="e">
        <v>#N/A</v>
      </c>
      <c r="P10" s="211" t="s">
        <v>253</v>
      </c>
      <c r="Q10" s="147" t="s">
        <v>253</v>
      </c>
      <c r="R10" s="147" t="s">
        <v>253</v>
      </c>
      <c r="S10" s="147" t="s">
        <v>253</v>
      </c>
      <c r="T10" s="147" t="s">
        <v>253</v>
      </c>
      <c r="U10" s="151" t="e">
        <f>_xll.qlMidSafe($Q10,$R10)</f>
        <v>#NUM!</v>
      </c>
      <c r="V10" s="149"/>
      <c r="W10" s="210" t="e">
        <v>#NUM!</v>
      </c>
      <c r="X10" s="149"/>
      <c r="Y10" s="209" t="e">
        <v>#NUM!</v>
      </c>
      <c r="Z10" s="151" t="e">
        <f>_xll.qlSimpleQuoteSetValue(F10,Y10,Trigger)</f>
        <v>#NUM!</v>
      </c>
      <c r="AA10" s="21"/>
      <c r="AB10" s="12"/>
      <c r="AC10" s="12"/>
      <c r="AD10" s="12"/>
      <c r="AE10" s="12"/>
      <c r="AF10" s="183"/>
      <c r="AH10" s="98"/>
      <c r="AI10" s="97">
        <v>4</v>
      </c>
      <c r="AJ10" s="95" t="b">
        <v>0</v>
      </c>
      <c r="AK10" s="95" t="str">
        <v>U4</v>
      </c>
      <c r="AL10" s="139" t="str">
        <f t="shared" si="1"/>
        <v>AUDFUT1MU4_Quote</v>
      </c>
      <c r="AM10" s="140" t="str">
        <f t="shared" si="2"/>
        <v>AUDFUT1MU4ConvAdj_Quote</v>
      </c>
      <c r="AN10" s="139" t="str">
        <f>_xll.qlFuturesConvAdjustmentQuote($AM10,IborIndex,$AK10,$AL10,Volatility,MeanReversion,Permanent,Trigger,ObjectOverwrite)</f>
        <v>AUDFUT1MU4ConvAdj_Quote#0001</v>
      </c>
      <c r="AO10" s="46" t="str">
        <f>_xll.ohRangeRetrieveError(AN10)</f>
        <v/>
      </c>
      <c r="AP10" s="223"/>
    </row>
    <row r="11" spans="1:43" ht="11.25" customHeight="1" x14ac:dyDescent="0.2">
      <c r="A11" s="98"/>
      <c r="B11" s="97">
        <v>6</v>
      </c>
      <c r="C11" s="96" t="b">
        <v>0</v>
      </c>
      <c r="D11" s="95" t="str">
        <v>X4</v>
      </c>
      <c r="E11" s="94" t="str">
        <f t="shared" si="0"/>
        <v>AUDFUT1MX4_Quote</v>
      </c>
      <c r="F11" s="93" t="str">
        <f>_xll.qlSimpleQuote(E11,,PriceTickValue,Permanent,Trigger,ObjectOverwrite)</f>
        <v>AUDFUT1MX4_Quote#0000</v>
      </c>
      <c r="G11" s="72" t="str">
        <f>_xll.ohRangeRetrieveError(F11)</f>
        <v/>
      </c>
      <c r="H11" s="92"/>
      <c r="J11" s="208"/>
      <c r="K11" s="214">
        <v>6</v>
      </c>
      <c r="L11" s="213" t="b">
        <v>0</v>
      </c>
      <c r="M11" s="147" t="str">
        <v>X4</v>
      </c>
      <c r="N11" s="212">
        <v>41962</v>
      </c>
      <c r="O11" s="147" t="e">
        <v>#N/A</v>
      </c>
      <c r="P11" s="211" t="s">
        <v>253</v>
      </c>
      <c r="Q11" s="147" t="s">
        <v>253</v>
      </c>
      <c r="R11" s="147" t="s">
        <v>253</v>
      </c>
      <c r="S11" s="147" t="s">
        <v>253</v>
      </c>
      <c r="T11" s="147" t="s">
        <v>253</v>
      </c>
      <c r="U11" s="151" t="e">
        <f>_xll.qlMidSafe($Q11,$R11)</f>
        <v>#NUM!</v>
      </c>
      <c r="V11" s="149"/>
      <c r="W11" s="210" t="e">
        <v>#NUM!</v>
      </c>
      <c r="X11" s="149"/>
      <c r="Y11" s="209" t="e">
        <v>#NUM!</v>
      </c>
      <c r="Z11" s="151" t="e">
        <f>_xll.qlSimpleQuoteSetValue(F11,Y11,Trigger)</f>
        <v>#NUM!</v>
      </c>
      <c r="AA11" s="21"/>
      <c r="AB11" s="12"/>
      <c r="AC11" s="12"/>
      <c r="AD11" s="12"/>
      <c r="AE11" s="12"/>
      <c r="AF11" s="183"/>
      <c r="AH11" s="98"/>
      <c r="AI11" s="97">
        <v>5</v>
      </c>
      <c r="AJ11" s="95" t="b">
        <v>0</v>
      </c>
      <c r="AK11" s="95" t="str">
        <v>V4</v>
      </c>
      <c r="AL11" s="139" t="str">
        <f t="shared" si="1"/>
        <v>AUDFUT1MV4_Quote</v>
      </c>
      <c r="AM11" s="140" t="str">
        <f t="shared" si="2"/>
        <v>AUDFUT1MV4ConvAdj_Quote</v>
      </c>
      <c r="AN11" s="139" t="str">
        <f>_xll.qlFuturesConvAdjustmentQuote($AM11,IborIndex,$AK11,$AL11,Volatility,MeanReversion,Permanent,Trigger,ObjectOverwrite)</f>
        <v>AUDFUT1MV4ConvAdj_Quote#0001</v>
      </c>
      <c r="AO11" s="46" t="str">
        <f>_xll.ohRangeRetrieveError(AN11)</f>
        <v/>
      </c>
      <c r="AP11" s="223"/>
    </row>
    <row r="12" spans="1:43" ht="11.25" customHeight="1" x14ac:dyDescent="0.2">
      <c r="A12" s="98"/>
      <c r="B12" s="97">
        <v>7</v>
      </c>
      <c r="C12" s="96" t="b">
        <v>0</v>
      </c>
      <c r="D12" s="95" t="str">
        <v>Z4</v>
      </c>
      <c r="E12" s="94" t="str">
        <f t="shared" si="0"/>
        <v>AUDFUT1MZ4_Quote</v>
      </c>
      <c r="F12" s="93" t="str">
        <f>_xll.qlSimpleQuote(E12,,PriceTickValue,Permanent,Trigger,ObjectOverwrite)</f>
        <v>AUDFUT1MZ4_Quote#0000</v>
      </c>
      <c r="G12" s="72" t="str">
        <f>_xll.ohRangeRetrieveError(F12)</f>
        <v/>
      </c>
      <c r="H12" s="92"/>
      <c r="J12" s="208"/>
      <c r="K12" s="214">
        <v>7</v>
      </c>
      <c r="L12" s="213" t="b">
        <v>0</v>
      </c>
      <c r="M12" s="147" t="str">
        <v>Z4</v>
      </c>
      <c r="N12" s="212">
        <v>41990</v>
      </c>
      <c r="O12" s="147" t="e">
        <v>#N/A</v>
      </c>
      <c r="P12" s="211" t="s">
        <v>253</v>
      </c>
      <c r="Q12" s="147" t="s">
        <v>253</v>
      </c>
      <c r="R12" s="147" t="s">
        <v>253</v>
      </c>
      <c r="S12" s="147" t="s">
        <v>253</v>
      </c>
      <c r="T12" s="147" t="s">
        <v>253</v>
      </c>
      <c r="U12" s="151" t="e">
        <f>_xll.qlMidSafe($Q12,$R12)</f>
        <v>#NUM!</v>
      </c>
      <c r="V12" s="149"/>
      <c r="W12" s="210" t="e">
        <v>#NUM!</v>
      </c>
      <c r="X12" s="149"/>
      <c r="Y12" s="209" t="e">
        <v>#NUM!</v>
      </c>
      <c r="Z12" s="151" t="e">
        <f>_xll.qlSimpleQuoteSetValue(F12,Y12,Trigger)</f>
        <v>#NUM!</v>
      </c>
      <c r="AA12" s="21"/>
      <c r="AB12" s="12"/>
      <c r="AC12" s="12"/>
      <c r="AD12" s="12"/>
      <c r="AE12" s="12"/>
      <c r="AF12" s="183"/>
      <c r="AH12" s="98"/>
      <c r="AI12" s="97">
        <v>6</v>
      </c>
      <c r="AJ12" s="95" t="b">
        <v>0</v>
      </c>
      <c r="AK12" s="95" t="str">
        <v>X4</v>
      </c>
      <c r="AL12" s="139" t="str">
        <f t="shared" si="1"/>
        <v>AUDFUT1MX4_Quote</v>
      </c>
      <c r="AM12" s="140" t="str">
        <f t="shared" si="2"/>
        <v>AUDFUT1MX4ConvAdj_Quote</v>
      </c>
      <c r="AN12" s="139" t="str">
        <f>_xll.qlFuturesConvAdjustmentQuote($AM12,IborIndex,$AK12,$AL12,Volatility,MeanReversion,Permanent,Trigger,ObjectOverwrite)</f>
        <v>AUDFUT1MX4ConvAdj_Quote#0001</v>
      </c>
      <c r="AO12" s="46" t="str">
        <f>_xll.ohRangeRetrieveError(AN12)</f>
        <v/>
      </c>
      <c r="AP12" s="223"/>
    </row>
    <row r="13" spans="1:43" ht="11.25" customHeight="1" x14ac:dyDescent="0.2">
      <c r="A13" s="98"/>
      <c r="B13" s="97">
        <v>8</v>
      </c>
      <c r="C13" s="96" t="b">
        <v>0</v>
      </c>
      <c r="D13" s="95" t="str">
        <v>F5</v>
      </c>
      <c r="E13" s="94" t="str">
        <f t="shared" si="0"/>
        <v>AUDFUT1MF5_Quote</v>
      </c>
      <c r="F13" s="93" t="str">
        <f>_xll.qlSimpleQuote(E13,,PriceTickValue,Permanent,Trigger,ObjectOverwrite)</f>
        <v>AUDFUT1MF5_Quote#0000</v>
      </c>
      <c r="G13" s="72" t="str">
        <f>_xll.ohRangeRetrieveError(F13)</f>
        <v/>
      </c>
      <c r="H13" s="92"/>
      <c r="J13" s="208"/>
      <c r="K13" s="214">
        <v>8</v>
      </c>
      <c r="L13" s="213" t="b">
        <v>0</v>
      </c>
      <c r="M13" s="147" t="str">
        <v>F5</v>
      </c>
      <c r="N13" s="212">
        <v>42025</v>
      </c>
      <c r="O13" s="147" t="e">
        <v>#N/A</v>
      </c>
      <c r="P13" s="211" t="s">
        <v>253</v>
      </c>
      <c r="Q13" s="147" t="s">
        <v>253</v>
      </c>
      <c r="R13" s="147" t="s">
        <v>253</v>
      </c>
      <c r="S13" s="147" t="s">
        <v>253</v>
      </c>
      <c r="T13" s="147" t="s">
        <v>253</v>
      </c>
      <c r="U13" s="151" t="e">
        <f>_xll.qlMidSafe($Q13,$R13)</f>
        <v>#NUM!</v>
      </c>
      <c r="V13" s="149"/>
      <c r="W13" s="210" t="e">
        <v>#NUM!</v>
      </c>
      <c r="X13" s="149"/>
      <c r="Y13" s="209" t="e">
        <v>#NUM!</v>
      </c>
      <c r="Z13" s="151" t="e">
        <f>_xll.qlSimpleQuoteSetValue(F13,Y13,Trigger)</f>
        <v>#NUM!</v>
      </c>
      <c r="AA13" s="21"/>
      <c r="AB13" s="12"/>
      <c r="AC13" s="12"/>
      <c r="AD13" s="12"/>
      <c r="AE13" s="12"/>
      <c r="AF13" s="183"/>
      <c r="AH13" s="98"/>
      <c r="AI13" s="97">
        <v>7</v>
      </c>
      <c r="AJ13" s="95" t="b">
        <v>0</v>
      </c>
      <c r="AK13" s="95" t="str">
        <v>Z4</v>
      </c>
      <c r="AL13" s="139" t="str">
        <f t="shared" si="1"/>
        <v>AUDFUT1MZ4_Quote</v>
      </c>
      <c r="AM13" s="140" t="str">
        <f t="shared" si="2"/>
        <v>AUDFUT1MZ4ConvAdj_Quote</v>
      </c>
      <c r="AN13" s="139" t="str">
        <f>_xll.qlFuturesConvAdjustmentQuote($AM13,IborIndex,$AK13,$AL13,Volatility,MeanReversion,Permanent,Trigger,ObjectOverwrite)</f>
        <v>AUDFUT1MZ4ConvAdj_Quote#0001</v>
      </c>
      <c r="AO13" s="46" t="str">
        <f>_xll.ohRangeRetrieveError(AN13)</f>
        <v/>
      </c>
      <c r="AP13" s="223"/>
    </row>
    <row r="14" spans="1:43" ht="11.25" customHeight="1" x14ac:dyDescent="0.2">
      <c r="A14" s="98"/>
      <c r="B14" s="97">
        <v>9</v>
      </c>
      <c r="C14" s="96" t="b">
        <v>0</v>
      </c>
      <c r="D14" s="95" t="str">
        <v>G5</v>
      </c>
      <c r="E14" s="94" t="str">
        <f t="shared" si="0"/>
        <v>AUDFUT1MG5_Quote</v>
      </c>
      <c r="F14" s="93" t="str">
        <f>_xll.qlSimpleQuote(E14,,PriceTickValue,Permanent,Trigger,ObjectOverwrite)</f>
        <v>AUDFUT1MG5_Quote#0000</v>
      </c>
      <c r="G14" s="72" t="str">
        <f>_xll.ohRangeRetrieveError(F14)</f>
        <v/>
      </c>
      <c r="H14" s="92"/>
      <c r="J14" s="208"/>
      <c r="K14" s="214">
        <v>9</v>
      </c>
      <c r="L14" s="213" t="b">
        <v>0</v>
      </c>
      <c r="M14" s="147" t="str">
        <v>G5</v>
      </c>
      <c r="N14" s="212">
        <v>42053</v>
      </c>
      <c r="O14" s="147" t="e">
        <v>#N/A</v>
      </c>
      <c r="P14" s="211" t="s">
        <v>253</v>
      </c>
      <c r="Q14" s="147" t="s">
        <v>253</v>
      </c>
      <c r="R14" s="147" t="s">
        <v>253</v>
      </c>
      <c r="S14" s="147" t="s">
        <v>253</v>
      </c>
      <c r="T14" s="147" t="s">
        <v>253</v>
      </c>
      <c r="U14" s="151" t="e">
        <f>_xll.qlMidSafe($Q14,$R14)</f>
        <v>#NUM!</v>
      </c>
      <c r="V14" s="149"/>
      <c r="W14" s="210" t="e">
        <v>#NUM!</v>
      </c>
      <c r="X14" s="149"/>
      <c r="Y14" s="209" t="e">
        <v>#NUM!</v>
      </c>
      <c r="Z14" s="151" t="e">
        <f>_xll.qlSimpleQuoteSetValue(F14,Y14,Trigger)</f>
        <v>#NUM!</v>
      </c>
      <c r="AA14" s="21"/>
      <c r="AB14" s="12"/>
      <c r="AC14" s="12"/>
      <c r="AD14" s="12"/>
      <c r="AE14" s="12"/>
      <c r="AF14" s="183"/>
      <c r="AH14" s="98"/>
      <c r="AI14" s="97">
        <v>8</v>
      </c>
      <c r="AJ14" s="95" t="b">
        <v>0</v>
      </c>
      <c r="AK14" s="95" t="str">
        <v>F5</v>
      </c>
      <c r="AL14" s="139" t="str">
        <f t="shared" si="1"/>
        <v>AUDFUT1MF5_Quote</v>
      </c>
      <c r="AM14" s="140" t="str">
        <f t="shared" si="2"/>
        <v>AUDFUT1MF5ConvAdj_Quote</v>
      </c>
      <c r="AN14" s="139" t="str">
        <f>_xll.qlFuturesConvAdjustmentQuote($AM14,IborIndex,$AK14,$AL14,Volatility,MeanReversion,Permanent,Trigger,ObjectOverwrite)</f>
        <v>AUDFUT1MF5ConvAdj_Quote#0001</v>
      </c>
      <c r="AO14" s="46" t="str">
        <f>_xll.ohRangeRetrieveError(AN14)</f>
        <v/>
      </c>
      <c r="AP14" s="223"/>
    </row>
    <row r="15" spans="1:43" ht="11.25" customHeight="1" x14ac:dyDescent="0.2">
      <c r="A15" s="98"/>
      <c r="B15" s="97">
        <v>10</v>
      </c>
      <c r="C15" s="96" t="b">
        <v>0</v>
      </c>
      <c r="D15" s="95" t="str">
        <v>H5</v>
      </c>
      <c r="E15" s="94" t="str">
        <f t="shared" si="0"/>
        <v>AUDFUT1MH5_Quote</v>
      </c>
      <c r="F15" s="93" t="str">
        <f>_xll.qlSimpleQuote(E15,,PriceTickValue,Permanent,Trigger,ObjectOverwrite)</f>
        <v>AUDFUT1MH5_Quote#0000</v>
      </c>
      <c r="G15" s="72" t="str">
        <f>_xll.ohRangeRetrieveError(F15)</f>
        <v/>
      </c>
      <c r="H15" s="92"/>
      <c r="J15" s="208"/>
      <c r="K15" s="214">
        <v>10</v>
      </c>
      <c r="L15" s="213" t="b">
        <v>0</v>
      </c>
      <c r="M15" s="147" t="str">
        <v>H5</v>
      </c>
      <c r="N15" s="212">
        <v>42081</v>
      </c>
      <c r="O15" s="147" t="e">
        <v>#N/A</v>
      </c>
      <c r="P15" s="211" t="s">
        <v>253</v>
      </c>
      <c r="Q15" s="147" t="s">
        <v>253</v>
      </c>
      <c r="R15" s="147" t="s">
        <v>253</v>
      </c>
      <c r="S15" s="147" t="s">
        <v>253</v>
      </c>
      <c r="T15" s="147" t="s">
        <v>253</v>
      </c>
      <c r="U15" s="151" t="e">
        <f>_xll.qlMidSafe($Q15,$R15)</f>
        <v>#NUM!</v>
      </c>
      <c r="V15" s="149"/>
      <c r="W15" s="210" t="e">
        <v>#NUM!</v>
      </c>
      <c r="X15" s="149"/>
      <c r="Y15" s="209" t="e">
        <v>#NUM!</v>
      </c>
      <c r="Z15" s="151" t="e">
        <f>_xll.qlSimpleQuoteSetValue(F15,Y15,Trigger)</f>
        <v>#NUM!</v>
      </c>
      <c r="AA15" s="21"/>
      <c r="AB15" s="12"/>
      <c r="AC15" s="12"/>
      <c r="AD15" s="12"/>
      <c r="AE15" s="12"/>
      <c r="AF15" s="183"/>
      <c r="AH15" s="98"/>
      <c r="AI15" s="97">
        <v>9</v>
      </c>
      <c r="AJ15" s="95" t="b">
        <v>0</v>
      </c>
      <c r="AK15" s="95" t="str">
        <v>G5</v>
      </c>
      <c r="AL15" s="139" t="str">
        <f t="shared" si="1"/>
        <v>AUDFUT1MG5_Quote</v>
      </c>
      <c r="AM15" s="140" t="str">
        <f t="shared" si="2"/>
        <v>AUDFUT1MG5ConvAdj_Quote</v>
      </c>
      <c r="AN15" s="139" t="str">
        <f>_xll.qlFuturesConvAdjustmentQuote($AM15,IborIndex,$AK15,$AL15,Volatility,MeanReversion,Permanent,Trigger,ObjectOverwrite)</f>
        <v>AUDFUT1MG5ConvAdj_Quote#0001</v>
      </c>
      <c r="AO15" s="46" t="str">
        <f>_xll.ohRangeRetrieveError(AN15)</f>
        <v/>
      </c>
      <c r="AP15" s="223"/>
    </row>
    <row r="16" spans="1:43" ht="11.25" customHeight="1" x14ac:dyDescent="0.2">
      <c r="A16" s="98"/>
      <c r="B16" s="97">
        <v>11</v>
      </c>
      <c r="C16" s="96" t="b">
        <v>0</v>
      </c>
      <c r="D16" s="95" t="str">
        <v>J5</v>
      </c>
      <c r="E16" s="94" t="str">
        <f t="shared" si="0"/>
        <v>AUDFUT1MJ5_Quote</v>
      </c>
      <c r="F16" s="93" t="str">
        <f>_xll.qlSimpleQuote(E16,,PriceTickValue,Permanent,Trigger,ObjectOverwrite)</f>
        <v>AUDFUT1MJ5_Quote#0000</v>
      </c>
      <c r="G16" s="72" t="str">
        <f>_xll.ohRangeRetrieveError(F16)</f>
        <v/>
      </c>
      <c r="H16" s="92"/>
      <c r="J16" s="208"/>
      <c r="K16" s="214">
        <v>11</v>
      </c>
      <c r="L16" s="213" t="b">
        <v>0</v>
      </c>
      <c r="M16" s="147" t="str">
        <v>J5</v>
      </c>
      <c r="N16" s="212">
        <v>42109</v>
      </c>
      <c r="O16" s="147" t="e">
        <v>#N/A</v>
      </c>
      <c r="P16" s="211" t="s">
        <v>253</v>
      </c>
      <c r="Q16" s="147" t="s">
        <v>253</v>
      </c>
      <c r="R16" s="147" t="s">
        <v>253</v>
      </c>
      <c r="S16" s="147" t="s">
        <v>253</v>
      </c>
      <c r="T16" s="147" t="s">
        <v>253</v>
      </c>
      <c r="U16" s="151" t="e">
        <f>_xll.qlMidSafe($Q16,$R16)</f>
        <v>#NUM!</v>
      </c>
      <c r="V16" s="149"/>
      <c r="W16" s="210" t="e">
        <v>#NUM!</v>
      </c>
      <c r="X16" s="149"/>
      <c r="Y16" s="209" t="e">
        <v>#NUM!</v>
      </c>
      <c r="Z16" s="151" t="e">
        <f>_xll.qlSimpleQuoteSetValue(F16,Y16,Trigger)</f>
        <v>#NUM!</v>
      </c>
      <c r="AA16" s="21"/>
      <c r="AB16" s="12"/>
      <c r="AC16" s="12"/>
      <c r="AD16" s="12"/>
      <c r="AE16" s="12"/>
      <c r="AF16" s="183"/>
      <c r="AH16" s="98"/>
      <c r="AI16" s="97">
        <v>10</v>
      </c>
      <c r="AJ16" s="95" t="b">
        <v>0</v>
      </c>
      <c r="AK16" s="95" t="str">
        <v>H5</v>
      </c>
      <c r="AL16" s="139" t="str">
        <f t="shared" si="1"/>
        <v>AUDFUT1MH5_Quote</v>
      </c>
      <c r="AM16" s="140" t="str">
        <f t="shared" si="2"/>
        <v>AUDFUT1MH5ConvAdj_Quote</v>
      </c>
      <c r="AN16" s="139" t="str">
        <f>_xll.qlFuturesConvAdjustmentQuote($AM16,IborIndex,$AK16,$AL16,Volatility,MeanReversion,Permanent,Trigger,ObjectOverwrite)</f>
        <v>AUDFUT1MH5ConvAdj_Quote#0001</v>
      </c>
      <c r="AO16" s="46" t="str">
        <f>_xll.ohRangeRetrieveError(AN16)</f>
        <v/>
      </c>
      <c r="AP16" s="223"/>
    </row>
    <row r="17" spans="1:42" ht="11.25" customHeight="1" x14ac:dyDescent="0.2">
      <c r="A17" s="98"/>
      <c r="B17" s="97">
        <v>12</v>
      </c>
      <c r="C17" s="96" t="b">
        <v>0</v>
      </c>
      <c r="D17" s="95" t="str">
        <v>K5</v>
      </c>
      <c r="E17" s="94" t="str">
        <f t="shared" si="0"/>
        <v>AUDFUT1MK5_Quote</v>
      </c>
      <c r="F17" s="93" t="str">
        <f>_xll.qlSimpleQuote(E17,,PriceTickValue,Permanent,Trigger,ObjectOverwrite)</f>
        <v>AUDFUT1MK5_Quote#0000</v>
      </c>
      <c r="G17" s="72" t="str">
        <f>_xll.ohRangeRetrieveError(F17)</f>
        <v/>
      </c>
      <c r="H17" s="92"/>
      <c r="J17" s="208"/>
      <c r="K17" s="207">
        <v>12</v>
      </c>
      <c r="L17" s="206" t="b">
        <v>0</v>
      </c>
      <c r="M17" s="160" t="str">
        <v>K5</v>
      </c>
      <c r="N17" s="205">
        <v>42144</v>
      </c>
      <c r="O17" s="160" t="e">
        <v>#N/A</v>
      </c>
      <c r="P17" s="204" t="s">
        <v>253</v>
      </c>
      <c r="Q17" s="160" t="s">
        <v>253</v>
      </c>
      <c r="R17" s="160" t="s">
        <v>253</v>
      </c>
      <c r="S17" s="160" t="s">
        <v>253</v>
      </c>
      <c r="T17" s="160" t="s">
        <v>253</v>
      </c>
      <c r="U17" s="162" t="e">
        <f>_xll.qlMidSafe($Q17,$R17)</f>
        <v>#NUM!</v>
      </c>
      <c r="V17" s="149"/>
      <c r="W17" s="203" t="e">
        <v>#NUM!</v>
      </c>
      <c r="X17" s="149"/>
      <c r="Y17" s="202" t="e">
        <v>#NUM!</v>
      </c>
      <c r="Z17" s="162" t="e">
        <f>_xll.qlSimpleQuoteSetValue(F17,Y17,Trigger)</f>
        <v>#NUM!</v>
      </c>
      <c r="AA17" s="21"/>
      <c r="AB17" s="12"/>
      <c r="AC17" s="12"/>
      <c r="AD17" s="12"/>
      <c r="AE17" s="12"/>
      <c r="AF17" s="183"/>
      <c r="AH17" s="98"/>
      <c r="AI17" s="97">
        <v>11</v>
      </c>
      <c r="AJ17" s="95" t="b">
        <v>0</v>
      </c>
      <c r="AK17" s="95" t="str">
        <v>J5</v>
      </c>
      <c r="AL17" s="139" t="str">
        <f t="shared" si="1"/>
        <v>AUDFUT1MJ5_Quote</v>
      </c>
      <c r="AM17" s="140" t="str">
        <f t="shared" si="2"/>
        <v>AUDFUT1MJ5ConvAdj_Quote</v>
      </c>
      <c r="AN17" s="139" t="str">
        <f>_xll.qlFuturesConvAdjustmentQuote($AM17,IborIndex,$AK17,$AL17,Volatility,MeanReversion,Permanent,Trigger,ObjectOverwrite)</f>
        <v>AUDFUT1MJ5ConvAdj_Quote#0001</v>
      </c>
      <c r="AO17" s="46" t="str">
        <f>_xll.ohRangeRetrieveError(AN17)</f>
        <v/>
      </c>
      <c r="AP17" s="223"/>
    </row>
    <row r="18" spans="1:42" ht="11.25" customHeight="1" thickBot="1" x14ac:dyDescent="0.25">
      <c r="A18" s="91"/>
      <c r="B18" s="90"/>
      <c r="C18" s="90"/>
      <c r="D18" s="90"/>
      <c r="E18" s="90"/>
      <c r="F18" s="90"/>
      <c r="G18" s="90"/>
      <c r="H18" s="89"/>
      <c r="J18" s="201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8"/>
      <c r="AB18" s="12"/>
      <c r="AC18" s="12"/>
      <c r="AD18" s="12"/>
      <c r="AE18" s="12"/>
      <c r="AF18" s="12"/>
      <c r="AH18" s="98"/>
      <c r="AI18" s="97">
        <v>12</v>
      </c>
      <c r="AJ18" s="95" t="b">
        <v>0</v>
      </c>
      <c r="AK18" s="95" t="str">
        <v>K5</v>
      </c>
      <c r="AL18" s="139" t="str">
        <f t="shared" si="1"/>
        <v>AUDFUT1MK5_Quote</v>
      </c>
      <c r="AM18" s="140" t="str">
        <f t="shared" si="2"/>
        <v>AUDFUT1MK5ConvAdj_Quote</v>
      </c>
      <c r="AN18" s="139" t="str">
        <f>_xll.qlFuturesConvAdjustmentQuote($AM18,IborIndex,$AK18,$AL18,Volatility,MeanReversion,Permanent,Trigger,ObjectOverwrite)</f>
        <v>AUDFUT1MK5ConvAdj_Quote#0001</v>
      </c>
      <c r="AO18" s="46" t="str">
        <f>_xll.ohRangeRetrieveError(AN18)</f>
        <v/>
      </c>
      <c r="AP18" s="223"/>
    </row>
    <row r="19" spans="1:42" ht="12" thickBot="1" x14ac:dyDescent="0.25">
      <c r="AH19" s="201"/>
      <c r="AI19" s="19"/>
      <c r="AJ19" s="19"/>
      <c r="AK19" s="19"/>
      <c r="AL19" s="19"/>
      <c r="AM19" s="19"/>
      <c r="AN19" s="19"/>
      <c r="AO19" s="19"/>
      <c r="AP19" s="18"/>
    </row>
    <row r="21" spans="1:42" x14ac:dyDescent="0.2">
      <c r="K21" s="351"/>
    </row>
  </sheetData>
  <conditionalFormatting sqref="Z6:Z1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8"/>
  <sheetViews>
    <sheetView workbookViewId="0"/>
  </sheetViews>
  <sheetFormatPr defaultRowHeight="11.25" x14ac:dyDescent="0.2"/>
  <cols>
    <col min="1" max="1" width="2.7109375" style="70" customWidth="1"/>
    <col min="2" max="2" width="3.5703125" style="70" bestFit="1" customWidth="1"/>
    <col min="3" max="3" width="5.7109375" style="70" bestFit="1" customWidth="1"/>
    <col min="4" max="4" width="6.140625" style="70" bestFit="1" customWidth="1"/>
    <col min="5" max="5" width="19.140625" style="70" bestFit="1" customWidth="1"/>
    <col min="6" max="6" width="20.140625" style="70" bestFit="1" customWidth="1"/>
    <col min="7" max="7" width="23.85546875" style="70" customWidth="1"/>
    <col min="8" max="10" width="2.7109375" style="70" customWidth="1"/>
    <col min="11" max="13" width="9.140625" style="70"/>
    <col min="14" max="14" width="14.28515625" style="70" bestFit="1" customWidth="1"/>
    <col min="15" max="19" width="9.140625" style="70"/>
    <col min="20" max="20" width="10.140625" style="70" customWidth="1"/>
    <col min="21" max="21" width="9.140625" style="70"/>
    <col min="22" max="22" width="2.7109375" style="70" customWidth="1"/>
    <col min="23" max="23" width="9.140625" style="70"/>
    <col min="24" max="24" width="2.7109375" style="70" customWidth="1"/>
    <col min="25" max="26" width="9.140625" style="70"/>
    <col min="27" max="27" width="2.7109375" style="70" customWidth="1"/>
    <col min="28" max="28" width="6.42578125" style="70" customWidth="1"/>
    <col min="29" max="29" width="2.7109375" style="70" customWidth="1"/>
    <col min="30" max="30" width="2.7109375" style="70" bestFit="1" customWidth="1"/>
    <col min="31" max="31" width="8.42578125" style="70" bestFit="1" customWidth="1"/>
    <col min="32" max="32" width="5.42578125" style="70" bestFit="1" customWidth="1"/>
    <col min="33" max="34" width="27.85546875" style="70" bestFit="1" customWidth="1"/>
    <col min="35" max="35" width="22.140625" style="70" customWidth="1"/>
    <col min="36" max="36" width="2.7109375" style="70" customWidth="1"/>
    <col min="37" max="16384" width="9.140625" style="70"/>
  </cols>
  <sheetData>
    <row r="1" spans="1:36" x14ac:dyDescent="0.2">
      <c r="J1" s="182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225"/>
      <c r="W1" s="225"/>
      <c r="X1" s="127"/>
      <c r="Y1" s="127"/>
      <c r="Z1" s="127"/>
      <c r="AA1" s="224"/>
      <c r="AB1" s="12"/>
      <c r="AC1" s="104"/>
      <c r="AJ1" s="21"/>
    </row>
    <row r="2" spans="1:36" ht="15" x14ac:dyDescent="0.25">
      <c r="J2" s="181"/>
      <c r="K2" s="88"/>
      <c r="L2"/>
      <c r="M2" s="180"/>
      <c r="N2" s="88"/>
      <c r="O2" s="88"/>
      <c r="P2" s="88"/>
      <c r="Q2" s="88"/>
      <c r="R2" s="88"/>
      <c r="S2"/>
      <c r="T2" s="88"/>
      <c r="U2" s="88"/>
      <c r="V2" s="149"/>
      <c r="W2" s="149"/>
      <c r="X2" s="88"/>
      <c r="Y2" s="149"/>
      <c r="Z2" s="88"/>
      <c r="AA2" s="223"/>
      <c r="AB2" s="12"/>
      <c r="AC2" s="104"/>
      <c r="AG2" s="143" t="s">
        <v>160</v>
      </c>
      <c r="AH2" s="142" t="str">
        <f>FuturesHWConvAdj!C5</f>
        <v>AUDHW_Volatility_Quote#0000</v>
      </c>
      <c r="AJ2" s="21"/>
    </row>
    <row r="3" spans="1:36" ht="12" thickBot="1" x14ac:dyDescent="0.25">
      <c r="J3" s="181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149"/>
      <c r="W3" s="149"/>
      <c r="X3" s="88"/>
      <c r="Y3" s="88"/>
      <c r="Z3" s="88"/>
      <c r="AA3" s="223"/>
      <c r="AB3" s="12"/>
      <c r="AC3" s="104"/>
      <c r="AG3" s="143" t="s">
        <v>159</v>
      </c>
      <c r="AH3" s="142" t="str">
        <f>FuturesHWConvAdj!C6</f>
        <v>AUDHW_MeanReversion_Quote#0000</v>
      </c>
      <c r="AJ3" s="21"/>
    </row>
    <row r="4" spans="1:36" x14ac:dyDescent="0.2">
      <c r="A4" s="109"/>
      <c r="B4" s="108"/>
      <c r="C4" s="108"/>
      <c r="D4" s="107" t="s">
        <v>137</v>
      </c>
      <c r="E4" s="107" t="s">
        <v>17</v>
      </c>
      <c r="F4" s="106"/>
      <c r="G4" s="106"/>
      <c r="H4" s="105"/>
      <c r="J4" s="181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149"/>
      <c r="W4" s="149"/>
      <c r="X4" s="88"/>
      <c r="Y4" s="88"/>
      <c r="Z4" s="178">
        <f>_xll.ohTrigger(Z6:Z47)</f>
        <v>2</v>
      </c>
      <c r="AA4" s="223"/>
      <c r="AB4" s="12"/>
      <c r="AC4" s="104"/>
      <c r="AG4" s="143" t="s">
        <v>90</v>
      </c>
      <c r="AH4" s="142" t="e">
        <f>Libor!E10</f>
        <v>#NUM!</v>
      </c>
      <c r="AI4" s="141" t="s">
        <v>17</v>
      </c>
      <c r="AJ4" s="21"/>
    </row>
    <row r="5" spans="1:36" ht="22.5" x14ac:dyDescent="0.2">
      <c r="A5" s="104"/>
      <c r="B5" s="59" t="s">
        <v>136</v>
      </c>
      <c r="C5" s="60" t="s">
        <v>135</v>
      </c>
      <c r="D5" s="60" t="s">
        <v>134</v>
      </c>
      <c r="E5" s="58" t="str">
        <f>Currency&amp;"_010_"&amp;$D$4&amp;$E$4&amp;".xml"</f>
        <v>AUD_010_FUT3M.xml</v>
      </c>
      <c r="F5" s="57" t="str">
        <f>IF(Serialize,_xll.ohObjectSave(F6:F47,SerializationPath&amp;E5,FileOverwrite,Serialize),"---")</f>
        <v>---</v>
      </c>
      <c r="G5" s="75" t="str">
        <f>_xll.ohRangeRetrieveError(F5)</f>
        <v/>
      </c>
      <c r="H5" s="92"/>
      <c r="J5" s="181"/>
      <c r="K5" s="231" t="s">
        <v>136</v>
      </c>
      <c r="L5" s="227" t="s">
        <v>135</v>
      </c>
      <c r="M5" s="227" t="s">
        <v>134</v>
      </c>
      <c r="N5" s="227" t="s">
        <v>197</v>
      </c>
      <c r="O5" s="230" t="str">
        <f>_xll.RData(O6:O47,P5:T5,"RTFEED:IDN",ReutersRtMode,,P6)</f>
        <v>Paused at 12:08:05</v>
      </c>
      <c r="P5" s="227" t="s">
        <v>196</v>
      </c>
      <c r="Q5" s="227" t="s">
        <v>163</v>
      </c>
      <c r="R5" s="227" t="s">
        <v>162</v>
      </c>
      <c r="S5" s="227" t="s">
        <v>179</v>
      </c>
      <c r="T5" s="227" t="s">
        <v>195</v>
      </c>
      <c r="U5" s="229" t="s">
        <v>194</v>
      </c>
      <c r="V5" s="149"/>
      <c r="W5" s="228" t="s">
        <v>192</v>
      </c>
      <c r="X5" s="149"/>
      <c r="Y5" s="231" t="s">
        <v>190</v>
      </c>
      <c r="Z5" s="226" t="s">
        <v>189</v>
      </c>
      <c r="AA5" s="21"/>
      <c r="AB5" s="12"/>
      <c r="AC5" s="104"/>
      <c r="AD5" s="59" t="s">
        <v>136</v>
      </c>
      <c r="AE5" s="123" t="s">
        <v>135</v>
      </c>
      <c r="AF5" s="123" t="s">
        <v>134</v>
      </c>
      <c r="AG5" s="58" t="str">
        <f>Currency&amp;"_020_Futures"&amp;AI4&amp;"ConvAdj.xml"</f>
        <v>AUD_020_Futures3MConvAdj.xml</v>
      </c>
      <c r="AH5" s="76" t="str">
        <f>IF(Serialize,_xll.ohObjectSave(AH6:AH47,SerializationPath&amp;AG5,FileOverwrite,Serialize),"---")</f>
        <v>---</v>
      </c>
      <c r="AI5" s="46" t="str">
        <f>_xll.ohRangeRetrieveError(AH5)</f>
        <v/>
      </c>
      <c r="AJ5" s="21"/>
    </row>
    <row r="6" spans="1:36" x14ac:dyDescent="0.2">
      <c r="A6" s="98"/>
      <c r="B6" s="103">
        <v>1</v>
      </c>
      <c r="C6" s="102" t="b">
        <v>0</v>
      </c>
      <c r="D6" s="101" t="str">
        <f t="array" ref="D6:D47">_xll.qlIMMNextCodes(_xll.qlSettingsEvaluationDate(Trigger)-1,$C6:$C47)</f>
        <v>M4</v>
      </c>
      <c r="E6" s="94" t="str">
        <f t="shared" ref="E6:E37" si="0">Currency&amp;$D$4&amp;$E$4&amp;$D6&amp;QuoteSuffix</f>
        <v>AUDFUT3MM4_Quote</v>
      </c>
      <c r="F6" s="100" t="str">
        <f>_xll.qlSimpleQuote(E6,,PriceTickValue,Permanent,Trigger,ObjectOverwrite)</f>
        <v>AUDFUT3MM4_Quote#0000</v>
      </c>
      <c r="G6" s="99" t="str">
        <f>_xll.ohRangeRetrieveError(F6)</f>
        <v/>
      </c>
      <c r="H6" s="92"/>
      <c r="J6" s="208"/>
      <c r="K6" s="221">
        <v>1</v>
      </c>
      <c r="L6" s="220" t="b">
        <v>0</v>
      </c>
      <c r="M6" s="166" t="str">
        <f t="array" ref="M6:M47">_xll.qlIMMcode(FuturesDates)</f>
        <v>M4</v>
      </c>
      <c r="N6" s="219">
        <f t="array" ref="N6:N47">_xll.qlIMMNextDates(_xll.qlSettingsEvaluationDate(Trigger)-1,$L6:$L47)</f>
        <v>41808</v>
      </c>
      <c r="O6" s="166" t="str">
        <f t="array" ref="O6:O47">"YBA"&amp;FuturesCodes</f>
        <v>YBAM4</v>
      </c>
      <c r="P6" s="218" t="s">
        <v>174</v>
      </c>
      <c r="Q6" s="166" t="s">
        <v>174</v>
      </c>
      <c r="R6" s="166" t="s">
        <v>174</v>
      </c>
      <c r="S6" s="166" t="s">
        <v>174</v>
      </c>
      <c r="T6" s="166" t="s">
        <v>174</v>
      </c>
      <c r="U6" s="168" t="e">
        <f>_xll.qlMidSafe($Q6,$R6)</f>
        <v>#NUM!</v>
      </c>
      <c r="V6" s="149"/>
      <c r="W6" s="217">
        <v>97.3</v>
      </c>
      <c r="X6" s="149"/>
      <c r="Y6" s="216" t="e">
        <f t="array" ref="Y6:Y47">QuoteLive</f>
        <v>#NUM!</v>
      </c>
      <c r="Z6" s="168" t="e">
        <f>_xll.qlSimpleQuoteSetValue(F6,Y6,Trigger)</f>
        <v>#NUM!</v>
      </c>
      <c r="AA6" s="21"/>
      <c r="AB6" s="12"/>
      <c r="AC6" s="98"/>
      <c r="AD6" s="103">
        <v>1</v>
      </c>
      <c r="AE6" s="101" t="b">
        <v>0</v>
      </c>
      <c r="AF6" s="101" t="str">
        <f t="array" ref="AF6:AF47">_xll.qlIMMNextCodes(_xll.qlSettingsEvaluationDate(Trigger)-1,$AE6:$AE47)</f>
        <v>M4</v>
      </c>
      <c r="AG6" s="140" t="str">
        <f t="shared" ref="AG6:AG47" si="1">Currency&amp;"FUT"&amp;$AI$4&amp;$AF6&amp;"ConvAdj"&amp;QuoteSuffix</f>
        <v>AUDFUT3MM4ConvAdj_Quote</v>
      </c>
      <c r="AH6" s="139" t="e">
        <f>_xll.qlFuturesConvAdjustmentQuote(AG6,IborIndex,AF6,F6,Volatility,MeanReversion,Permanent,AND(ISERROR(Z6),ISERROR(FuturesHWConvAdj!Q5:Q6)),ObjectOverwrite)</f>
        <v>#VALUE!</v>
      </c>
      <c r="AI6" s="46" t="str">
        <f ca="1">_xll.ohRangeRetrieveError(AH6)</f>
        <v/>
      </c>
      <c r="AJ6" s="21"/>
    </row>
    <row r="7" spans="1:36" x14ac:dyDescent="0.2">
      <c r="A7" s="98"/>
      <c r="B7" s="97">
        <v>2</v>
      </c>
      <c r="C7" s="96" t="b">
        <v>0</v>
      </c>
      <c r="D7" s="95" t="str">
        <v>N4</v>
      </c>
      <c r="E7" s="94" t="str">
        <f t="shared" si="0"/>
        <v>AUDFUT3MN4_Quote</v>
      </c>
      <c r="F7" s="93" t="str">
        <f>_xll.qlSimpleQuote(E7,,PriceTickValue,Permanent,Trigger,ObjectOverwrite)</f>
        <v>AUDFUT3MN4_Quote#0000</v>
      </c>
      <c r="G7" s="72" t="str">
        <f>_xll.ohRangeRetrieveError(F7)</f>
        <v/>
      </c>
      <c r="H7" s="92"/>
      <c r="J7" s="208"/>
      <c r="K7" s="214">
        <v>2</v>
      </c>
      <c r="L7" s="213" t="b">
        <v>0</v>
      </c>
      <c r="M7" s="147" t="str">
        <v>N4</v>
      </c>
      <c r="N7" s="212">
        <v>41836</v>
      </c>
      <c r="O7" s="147" t="str">
        <v>YBAN4</v>
      </c>
      <c r="P7" s="211" t="s">
        <v>174</v>
      </c>
      <c r="Q7" s="147" t="s">
        <v>174</v>
      </c>
      <c r="R7" s="147" t="s">
        <v>174</v>
      </c>
      <c r="S7" s="147" t="s">
        <v>174</v>
      </c>
      <c r="T7" s="147" t="s">
        <v>174</v>
      </c>
      <c r="U7" s="151" t="e">
        <f>_xll.qlMidSafe($Q7,$R7)</f>
        <v>#NUM!</v>
      </c>
      <c r="V7" s="149"/>
      <c r="W7" s="215" t="e">
        <v>#NUM!</v>
      </c>
      <c r="X7" s="149"/>
      <c r="Y7" s="209" t="e">
        <v>#NUM!</v>
      </c>
      <c r="Z7" s="151" t="e">
        <f>_xll.qlSimpleQuoteSetValue(F7,Y7,Trigger)</f>
        <v>#NUM!</v>
      </c>
      <c r="AA7" s="21"/>
      <c r="AB7" s="12"/>
      <c r="AC7" s="98"/>
      <c r="AD7" s="97">
        <v>2</v>
      </c>
      <c r="AE7" s="95" t="b">
        <v>0</v>
      </c>
      <c r="AF7" s="95" t="str">
        <v>N4</v>
      </c>
      <c r="AG7" s="140" t="str">
        <f t="shared" si="1"/>
        <v>AUDFUT3MN4ConvAdj_Quote</v>
      </c>
      <c r="AH7" s="139" t="e">
        <f>_xll.qlFuturesConvAdjustmentQuote(AG7,IborIndex,AF7,F7,Volatility,MeanReversion,Permanent,AND(ISERROR(Z7),ISERROR(FuturesHWConvAdj!Q6:Q7)),ObjectOverwrite)</f>
        <v>#VALUE!</v>
      </c>
      <c r="AI7" s="46" t="str">
        <f ca="1">_xll.ohRangeRetrieveError(AH7)</f>
        <v/>
      </c>
      <c r="AJ7" s="21"/>
    </row>
    <row r="8" spans="1:36" x14ac:dyDescent="0.2">
      <c r="A8" s="98"/>
      <c r="B8" s="97">
        <v>3</v>
      </c>
      <c r="C8" s="96" t="b">
        <v>0</v>
      </c>
      <c r="D8" s="95" t="str">
        <v>Q4</v>
      </c>
      <c r="E8" s="94" t="str">
        <f t="shared" si="0"/>
        <v>AUDFUT3MQ4_Quote</v>
      </c>
      <c r="F8" s="93" t="str">
        <f>_xll.qlSimpleQuote(E8,,PriceTickValue,Permanent,Trigger,ObjectOverwrite)</f>
        <v>AUDFUT3MQ4_Quote#0000</v>
      </c>
      <c r="G8" s="72" t="str">
        <f>_xll.ohRangeRetrieveError(F8)</f>
        <v/>
      </c>
      <c r="H8" s="92"/>
      <c r="J8" s="208"/>
      <c r="K8" s="214">
        <v>3</v>
      </c>
      <c r="L8" s="213" t="b">
        <v>0</v>
      </c>
      <c r="M8" s="147" t="str">
        <v>Q4</v>
      </c>
      <c r="N8" s="212">
        <v>41871</v>
      </c>
      <c r="O8" s="147" t="str">
        <v>YBAQ4</v>
      </c>
      <c r="P8" s="211" t="s">
        <v>174</v>
      </c>
      <c r="Q8" s="147" t="s">
        <v>174</v>
      </c>
      <c r="R8" s="147" t="s">
        <v>174</v>
      </c>
      <c r="S8" s="147" t="s">
        <v>174</v>
      </c>
      <c r="T8" s="147" t="s">
        <v>174</v>
      </c>
      <c r="U8" s="151" t="e">
        <f>_xll.qlMidSafe($Q8,$R8)</f>
        <v>#NUM!</v>
      </c>
      <c r="V8" s="149"/>
      <c r="W8" s="215" t="e">
        <v>#NUM!</v>
      </c>
      <c r="X8" s="149"/>
      <c r="Y8" s="209" t="e">
        <v>#NUM!</v>
      </c>
      <c r="Z8" s="151" t="e">
        <f>_xll.qlSimpleQuoteSetValue(F8,Y8,Trigger)</f>
        <v>#NUM!</v>
      </c>
      <c r="AA8" s="21"/>
      <c r="AB8" s="12"/>
      <c r="AC8" s="98"/>
      <c r="AD8" s="97">
        <v>3</v>
      </c>
      <c r="AE8" s="95" t="b">
        <v>0</v>
      </c>
      <c r="AF8" s="95" t="str">
        <v>Q4</v>
      </c>
      <c r="AG8" s="140" t="str">
        <f t="shared" si="1"/>
        <v>AUDFUT3MQ4ConvAdj_Quote</v>
      </c>
      <c r="AH8" s="139" t="e">
        <f>_xll.qlFuturesConvAdjustmentQuote(AG8,IborIndex,AF8,F8,Volatility,MeanReversion,Permanent,AND(ISERROR(Z8),ISERROR(FuturesHWConvAdj!Q7:Q8)),ObjectOverwrite)</f>
        <v>#VALUE!</v>
      </c>
      <c r="AI8" s="46" t="str">
        <f ca="1">_xll.ohRangeRetrieveError(AH8)</f>
        <v/>
      </c>
      <c r="AJ8" s="21"/>
    </row>
    <row r="9" spans="1:36" x14ac:dyDescent="0.2">
      <c r="A9" s="98"/>
      <c r="B9" s="97">
        <v>4</v>
      </c>
      <c r="C9" s="96" t="b">
        <v>0</v>
      </c>
      <c r="D9" s="95" t="str">
        <v>U4</v>
      </c>
      <c r="E9" s="94" t="str">
        <f t="shared" si="0"/>
        <v>AUDFUT3MU4_Quote</v>
      </c>
      <c r="F9" s="93" t="str">
        <f>_xll.qlSimpleQuote(E9,,PriceTickValue,Permanent,Trigger,ObjectOverwrite)</f>
        <v>AUDFUT3MU4_Quote#0000</v>
      </c>
      <c r="G9" s="72" t="str">
        <f>_xll.ohRangeRetrieveError(F9)</f>
        <v/>
      </c>
      <c r="H9" s="92"/>
      <c r="J9" s="208"/>
      <c r="K9" s="214">
        <v>4</v>
      </c>
      <c r="L9" s="213" t="b">
        <v>0</v>
      </c>
      <c r="M9" s="147" t="str">
        <v>U4</v>
      </c>
      <c r="N9" s="212">
        <v>41899</v>
      </c>
      <c r="O9" s="147" t="str">
        <v>YBAU4</v>
      </c>
      <c r="P9" s="211">
        <v>41893</v>
      </c>
      <c r="Q9" s="147">
        <v>97.33</v>
      </c>
      <c r="R9" s="147">
        <v>97.34</v>
      </c>
      <c r="S9" s="147">
        <v>97.34</v>
      </c>
      <c r="T9" s="147">
        <v>97.34</v>
      </c>
      <c r="U9" s="151">
        <f>_xll.qlMidSafe($Q9,$R9)</f>
        <v>97.335000000000008</v>
      </c>
      <c r="V9" s="149"/>
      <c r="W9" s="215">
        <v>97.335000000000008</v>
      </c>
      <c r="X9" s="149"/>
      <c r="Y9" s="209">
        <v>97.335000000000008</v>
      </c>
      <c r="Z9" s="151">
        <f>_xll.qlSimpleQuoteSetValue(F9,Y9,Trigger)</f>
        <v>0</v>
      </c>
      <c r="AA9" s="21"/>
      <c r="AB9" s="12"/>
      <c r="AC9" s="98"/>
      <c r="AD9" s="97">
        <v>4</v>
      </c>
      <c r="AE9" s="95" t="b">
        <v>0</v>
      </c>
      <c r="AF9" s="95" t="str">
        <v>U4</v>
      </c>
      <c r="AG9" s="140" t="str">
        <f t="shared" si="1"/>
        <v>AUDFUT3MU4ConvAdj_Quote</v>
      </c>
      <c r="AH9" s="139" t="e">
        <f>_xll.qlFuturesConvAdjustmentQuote(AG9,IborIndex,AF9,F9,Volatility,MeanReversion,Permanent,AND(ISERROR(Z9),ISERROR(FuturesHWConvAdj!Q8:Q9)),ObjectOverwrite)</f>
        <v>#VALUE!</v>
      </c>
      <c r="AI9" s="46" t="str">
        <f ca="1">_xll.ohRangeRetrieveError(AH9)</f>
        <v/>
      </c>
      <c r="AJ9" s="21"/>
    </row>
    <row r="10" spans="1:36" x14ac:dyDescent="0.2">
      <c r="A10" s="98"/>
      <c r="B10" s="97">
        <v>5</v>
      </c>
      <c r="C10" s="96" t="b">
        <v>0</v>
      </c>
      <c r="D10" s="95" t="str">
        <v>V4</v>
      </c>
      <c r="E10" s="94" t="str">
        <f t="shared" si="0"/>
        <v>AUDFUT3MV4_Quote</v>
      </c>
      <c r="F10" s="93" t="str">
        <f>_xll.qlSimpleQuote(E10,,PriceTickValue,Permanent,Trigger,ObjectOverwrite)</f>
        <v>AUDFUT3MV4_Quote#0000</v>
      </c>
      <c r="G10" s="72" t="str">
        <f>_xll.ohRangeRetrieveError(F10)</f>
        <v/>
      </c>
      <c r="H10" s="92"/>
      <c r="I10" s="351"/>
      <c r="J10" s="208"/>
      <c r="K10" s="214">
        <v>5</v>
      </c>
      <c r="L10" s="213" t="b">
        <v>0</v>
      </c>
      <c r="M10" s="147" t="str">
        <v>V4</v>
      </c>
      <c r="N10" s="212">
        <v>41927</v>
      </c>
      <c r="O10" s="147" t="str">
        <v>YBAV4</v>
      </c>
      <c r="P10" s="211" t="s">
        <v>174</v>
      </c>
      <c r="Q10" s="147" t="s">
        <v>174</v>
      </c>
      <c r="R10" s="147" t="s">
        <v>174</v>
      </c>
      <c r="S10" s="147" t="s">
        <v>174</v>
      </c>
      <c r="T10" s="147" t="s">
        <v>174</v>
      </c>
      <c r="U10" s="151" t="e">
        <f>_xll.qlMidSafe($Q10,$R10)</f>
        <v>#NUM!</v>
      </c>
      <c r="V10" s="149"/>
      <c r="W10" s="210" t="e">
        <v>#NUM!</v>
      </c>
      <c r="X10" s="149"/>
      <c r="Y10" s="209" t="e">
        <v>#NUM!</v>
      </c>
      <c r="Z10" s="151" t="e">
        <f>_xll.qlSimpleQuoteSetValue(F10,Y10,Trigger)</f>
        <v>#NUM!</v>
      </c>
      <c r="AA10" s="21"/>
      <c r="AB10" s="12"/>
      <c r="AC10" s="98"/>
      <c r="AD10" s="97">
        <v>5</v>
      </c>
      <c r="AE10" s="95" t="b">
        <v>0</v>
      </c>
      <c r="AF10" s="95" t="str">
        <v>V4</v>
      </c>
      <c r="AG10" s="140" t="str">
        <f t="shared" si="1"/>
        <v>AUDFUT3MV4ConvAdj_Quote</v>
      </c>
      <c r="AH10" s="139" t="e">
        <f>_xll.qlFuturesConvAdjustmentQuote(AG10,IborIndex,AF10,F10,Volatility,MeanReversion,Permanent,AND(ISERROR(Z10),ISERROR(FuturesHWConvAdj!Q9:Q10)),ObjectOverwrite)</f>
        <v>#VALUE!</v>
      </c>
      <c r="AI10" s="46" t="str">
        <f ca="1">_xll.ohRangeRetrieveError(AH10)</f>
        <v/>
      </c>
      <c r="AJ10" s="21"/>
    </row>
    <row r="11" spans="1:36" x14ac:dyDescent="0.2">
      <c r="A11" s="98"/>
      <c r="B11" s="97">
        <v>6</v>
      </c>
      <c r="C11" s="96" t="b">
        <v>0</v>
      </c>
      <c r="D11" s="95" t="str">
        <v>X4</v>
      </c>
      <c r="E11" s="94" t="str">
        <f t="shared" si="0"/>
        <v>AUDFUT3MX4_Quote</v>
      </c>
      <c r="F11" s="93" t="str">
        <f>_xll.qlSimpleQuote(E11,,PriceTickValue,Permanent,Trigger,ObjectOverwrite)</f>
        <v>AUDFUT3MX4_Quote#0000</v>
      </c>
      <c r="G11" s="72" t="str">
        <f>_xll.ohRangeRetrieveError(F11)</f>
        <v/>
      </c>
      <c r="H11" s="92"/>
      <c r="J11" s="208"/>
      <c r="K11" s="214">
        <v>6</v>
      </c>
      <c r="L11" s="213" t="b">
        <v>0</v>
      </c>
      <c r="M11" s="147" t="str">
        <v>X4</v>
      </c>
      <c r="N11" s="212">
        <v>41962</v>
      </c>
      <c r="O11" s="147" t="str">
        <v>YBAX4</v>
      </c>
      <c r="P11" s="211" t="s">
        <v>174</v>
      </c>
      <c r="Q11" s="147" t="s">
        <v>174</v>
      </c>
      <c r="R11" s="147" t="s">
        <v>174</v>
      </c>
      <c r="S11" s="147" t="s">
        <v>174</v>
      </c>
      <c r="T11" s="147" t="s">
        <v>174</v>
      </c>
      <c r="U11" s="151" t="e">
        <f>_xll.qlMidSafe($Q11,$R11)</f>
        <v>#NUM!</v>
      </c>
      <c r="V11" s="149"/>
      <c r="W11" s="210" t="e">
        <v>#NUM!</v>
      </c>
      <c r="X11" s="149"/>
      <c r="Y11" s="209" t="e">
        <v>#NUM!</v>
      </c>
      <c r="Z11" s="151" t="e">
        <f>_xll.qlSimpleQuoteSetValue(F11,Y11,Trigger)</f>
        <v>#NUM!</v>
      </c>
      <c r="AA11" s="21"/>
      <c r="AB11" s="12"/>
      <c r="AC11" s="98"/>
      <c r="AD11" s="97">
        <v>6</v>
      </c>
      <c r="AE11" s="95" t="b">
        <v>0</v>
      </c>
      <c r="AF11" s="95" t="str">
        <v>X4</v>
      </c>
      <c r="AG11" s="140" t="str">
        <f t="shared" si="1"/>
        <v>AUDFUT3MX4ConvAdj_Quote</v>
      </c>
      <c r="AH11" s="139" t="e">
        <f>_xll.qlFuturesConvAdjustmentQuote(AG11,IborIndex,AF11,F11,Volatility,MeanReversion,Permanent,AND(ISERROR(Z11),ISERROR(FuturesHWConvAdj!Q10:Q11)),ObjectOverwrite)</f>
        <v>#VALUE!</v>
      </c>
      <c r="AI11" s="46" t="str">
        <f ca="1">_xll.ohRangeRetrieveError(AH11)</f>
        <v/>
      </c>
      <c r="AJ11" s="21"/>
    </row>
    <row r="12" spans="1:36" x14ac:dyDescent="0.2">
      <c r="A12" s="98"/>
      <c r="B12" s="97">
        <v>7</v>
      </c>
      <c r="C12" s="96" t="b">
        <v>0</v>
      </c>
      <c r="D12" s="95" t="str">
        <v>Z4</v>
      </c>
      <c r="E12" s="94" t="str">
        <f t="shared" si="0"/>
        <v>AUDFUT3MZ4_Quote</v>
      </c>
      <c r="F12" s="93" t="str">
        <f>_xll.qlSimpleQuote(E12,,PriceTickValue,Permanent,Trigger,ObjectOverwrite)</f>
        <v>AUDFUT3MZ4_Quote#0000</v>
      </c>
      <c r="G12" s="72" t="str">
        <f>_xll.ohRangeRetrieveError(F12)</f>
        <v/>
      </c>
      <c r="H12" s="92"/>
      <c r="J12" s="208"/>
      <c r="K12" s="214">
        <v>7</v>
      </c>
      <c r="L12" s="213" t="b">
        <v>0</v>
      </c>
      <c r="M12" s="147" t="str">
        <v>Z4</v>
      </c>
      <c r="N12" s="212">
        <v>41990</v>
      </c>
      <c r="O12" s="147" t="str">
        <v>YBAZ4</v>
      </c>
      <c r="P12" s="211">
        <v>41984</v>
      </c>
      <c r="Q12" s="147">
        <v>97.33</v>
      </c>
      <c r="R12" s="147">
        <v>97.34</v>
      </c>
      <c r="S12" s="147">
        <v>97.33</v>
      </c>
      <c r="T12" s="147">
        <v>97.33</v>
      </c>
      <c r="U12" s="151">
        <f>_xll.qlMidSafe($Q12,$R12)</f>
        <v>97.335000000000008</v>
      </c>
      <c r="V12" s="149"/>
      <c r="W12" s="210">
        <v>97.314999999999998</v>
      </c>
      <c r="X12" s="149"/>
      <c r="Y12" s="209">
        <v>97.335000000000008</v>
      </c>
      <c r="Z12" s="151">
        <f>_xll.qlSimpleQuoteSetValue(F12,Y12,Trigger)</f>
        <v>2.0000000000010232E-2</v>
      </c>
      <c r="AA12" s="21"/>
      <c r="AB12" s="12"/>
      <c r="AC12" s="98"/>
      <c r="AD12" s="97">
        <v>7</v>
      </c>
      <c r="AE12" s="95" t="b">
        <v>0</v>
      </c>
      <c r="AF12" s="95" t="str">
        <v>Z4</v>
      </c>
      <c r="AG12" s="140" t="str">
        <f t="shared" si="1"/>
        <v>AUDFUT3MZ4ConvAdj_Quote</v>
      </c>
      <c r="AH12" s="139" t="e">
        <f>_xll.qlFuturesConvAdjustmentQuote(AG12,IborIndex,AF12,F12,Volatility,MeanReversion,Permanent,AND(ISERROR(Z12),ISERROR(FuturesHWConvAdj!Q11:Q12)),ObjectOverwrite)</f>
        <v>#VALUE!</v>
      </c>
      <c r="AI12" s="46" t="str">
        <f ca="1">_xll.ohRangeRetrieveError(AH12)</f>
        <v/>
      </c>
      <c r="AJ12" s="21"/>
    </row>
    <row r="13" spans="1:36" x14ac:dyDescent="0.2">
      <c r="A13" s="98"/>
      <c r="B13" s="97">
        <v>8</v>
      </c>
      <c r="C13" s="96" t="b">
        <v>0</v>
      </c>
      <c r="D13" s="95" t="str">
        <v>F5</v>
      </c>
      <c r="E13" s="94" t="str">
        <f t="shared" si="0"/>
        <v>AUDFUT3MF5_Quote</v>
      </c>
      <c r="F13" s="93" t="str">
        <f>_xll.qlSimpleQuote(E13,,PriceTickValue,Permanent,Trigger,ObjectOverwrite)</f>
        <v>AUDFUT3MF5_Quote#0000</v>
      </c>
      <c r="G13" s="72" t="str">
        <f>_xll.ohRangeRetrieveError(F13)</f>
        <v/>
      </c>
      <c r="H13" s="92"/>
      <c r="J13" s="208"/>
      <c r="K13" s="214">
        <v>8</v>
      </c>
      <c r="L13" s="213" t="b">
        <v>0</v>
      </c>
      <c r="M13" s="147" t="str">
        <v>F5</v>
      </c>
      <c r="N13" s="212">
        <v>42025</v>
      </c>
      <c r="O13" s="147" t="str">
        <v>YBAF5</v>
      </c>
      <c r="P13" s="211" t="s">
        <v>174</v>
      </c>
      <c r="Q13" s="147" t="s">
        <v>174</v>
      </c>
      <c r="R13" s="147" t="s">
        <v>174</v>
      </c>
      <c r="S13" s="147" t="s">
        <v>174</v>
      </c>
      <c r="T13" s="147" t="s">
        <v>174</v>
      </c>
      <c r="U13" s="151" t="e">
        <f>_xll.qlMidSafe($Q13,$R13)</f>
        <v>#NUM!</v>
      </c>
      <c r="V13" s="149"/>
      <c r="W13" s="210" t="e">
        <v>#NUM!</v>
      </c>
      <c r="X13" s="149"/>
      <c r="Y13" s="209" t="e">
        <v>#NUM!</v>
      </c>
      <c r="Z13" s="151" t="e">
        <f>_xll.qlSimpleQuoteSetValue(F13,Y13,Trigger)</f>
        <v>#NUM!</v>
      </c>
      <c r="AA13" s="21"/>
      <c r="AB13" s="12"/>
      <c r="AC13" s="98"/>
      <c r="AD13" s="97">
        <v>8</v>
      </c>
      <c r="AE13" s="95" t="b">
        <v>0</v>
      </c>
      <c r="AF13" s="95" t="str">
        <v>F5</v>
      </c>
      <c r="AG13" s="140" t="str">
        <f t="shared" si="1"/>
        <v>AUDFUT3MF5ConvAdj_Quote</v>
      </c>
      <c r="AH13" s="139" t="e">
        <f>_xll.qlFuturesConvAdjustmentQuote(AG13,IborIndex,AF13,F13,Volatility,MeanReversion,Permanent,AND(ISERROR(Z13),ISERROR(FuturesHWConvAdj!Q12:Q13)),ObjectOverwrite)</f>
        <v>#VALUE!</v>
      </c>
      <c r="AI13" s="46" t="str">
        <f ca="1">_xll.ohRangeRetrieveError(AH13)</f>
        <v/>
      </c>
      <c r="AJ13" s="21"/>
    </row>
    <row r="14" spans="1:36" x14ac:dyDescent="0.2">
      <c r="A14" s="98"/>
      <c r="B14" s="97">
        <v>9</v>
      </c>
      <c r="C14" s="96" t="b">
        <v>0</v>
      </c>
      <c r="D14" s="95" t="str">
        <v>G5</v>
      </c>
      <c r="E14" s="94" t="str">
        <f t="shared" si="0"/>
        <v>AUDFUT3MG5_Quote</v>
      </c>
      <c r="F14" s="93" t="str">
        <f>_xll.qlSimpleQuote(E14,,PriceTickValue,Permanent,Trigger,ObjectOverwrite)</f>
        <v>AUDFUT3MG5_Quote#0000</v>
      </c>
      <c r="G14" s="72" t="str">
        <f>_xll.ohRangeRetrieveError(F14)</f>
        <v/>
      </c>
      <c r="H14" s="92"/>
      <c r="J14" s="208"/>
      <c r="K14" s="214">
        <v>9</v>
      </c>
      <c r="L14" s="213" t="b">
        <v>0</v>
      </c>
      <c r="M14" s="147" t="str">
        <v>G5</v>
      </c>
      <c r="N14" s="212">
        <v>42053</v>
      </c>
      <c r="O14" s="147" t="str">
        <v>YBAG5</v>
      </c>
      <c r="P14" s="211" t="s">
        <v>174</v>
      </c>
      <c r="Q14" s="147" t="s">
        <v>174</v>
      </c>
      <c r="R14" s="147" t="s">
        <v>174</v>
      </c>
      <c r="S14" s="147" t="s">
        <v>174</v>
      </c>
      <c r="T14" s="147" t="s">
        <v>174</v>
      </c>
      <c r="U14" s="151" t="e">
        <f>_xll.qlMidSafe($Q14,$R14)</f>
        <v>#NUM!</v>
      </c>
      <c r="V14" s="149"/>
      <c r="W14" s="210" t="e">
        <v>#NUM!</v>
      </c>
      <c r="X14" s="149"/>
      <c r="Y14" s="209" t="e">
        <v>#NUM!</v>
      </c>
      <c r="Z14" s="151" t="e">
        <f>_xll.qlSimpleQuoteSetValue(F14,Y14,Trigger)</f>
        <v>#NUM!</v>
      </c>
      <c r="AA14" s="21"/>
      <c r="AB14" s="12"/>
      <c r="AC14" s="98"/>
      <c r="AD14" s="97">
        <v>9</v>
      </c>
      <c r="AE14" s="95" t="b">
        <v>0</v>
      </c>
      <c r="AF14" s="95" t="str">
        <v>G5</v>
      </c>
      <c r="AG14" s="140" t="str">
        <f t="shared" si="1"/>
        <v>AUDFUT3MG5ConvAdj_Quote</v>
      </c>
      <c r="AH14" s="139" t="e">
        <f>_xll.qlFuturesConvAdjustmentQuote(AG14,IborIndex,AF14,F14,Volatility,MeanReversion,Permanent,AND(ISERROR(Z14),ISERROR(FuturesHWConvAdj!Q13:Q14)),ObjectOverwrite)</f>
        <v>#VALUE!</v>
      </c>
      <c r="AI14" s="46" t="str">
        <f ca="1">_xll.ohRangeRetrieveError(AH14)</f>
        <v/>
      </c>
      <c r="AJ14" s="21"/>
    </row>
    <row r="15" spans="1:36" x14ac:dyDescent="0.2">
      <c r="A15" s="98"/>
      <c r="B15" s="97">
        <v>10</v>
      </c>
      <c r="C15" s="96" t="b">
        <v>0</v>
      </c>
      <c r="D15" s="95" t="str">
        <v>H5</v>
      </c>
      <c r="E15" s="94" t="str">
        <f t="shared" si="0"/>
        <v>AUDFUT3MH5_Quote</v>
      </c>
      <c r="F15" s="93" t="str">
        <f>_xll.qlSimpleQuote(E15,,PriceTickValue,Permanent,Trigger,ObjectOverwrite)</f>
        <v>AUDFUT3MH5_Quote#0000</v>
      </c>
      <c r="G15" s="72" t="str">
        <f>_xll.ohRangeRetrieveError(F15)</f>
        <v/>
      </c>
      <c r="H15" s="92"/>
      <c r="J15" s="208"/>
      <c r="K15" s="214">
        <v>10</v>
      </c>
      <c r="L15" s="213" t="b">
        <v>0</v>
      </c>
      <c r="M15" s="147" t="str">
        <v>H5</v>
      </c>
      <c r="N15" s="212">
        <v>42081</v>
      </c>
      <c r="O15" s="147" t="str">
        <v>YBAH5</v>
      </c>
      <c r="P15" s="211">
        <v>42075</v>
      </c>
      <c r="Q15" s="147">
        <v>97.29</v>
      </c>
      <c r="R15" s="147">
        <v>97.3</v>
      </c>
      <c r="S15" s="147">
        <v>97.3</v>
      </c>
      <c r="T15" s="147">
        <v>97.29</v>
      </c>
      <c r="U15" s="151">
        <f>_xll.qlMidSafe($Q15,$R15)</f>
        <v>97.295000000000002</v>
      </c>
      <c r="V15" s="149"/>
      <c r="W15" s="210">
        <v>97.254999999999995</v>
      </c>
      <c r="X15" s="149"/>
      <c r="Y15" s="209">
        <v>97.295000000000002</v>
      </c>
      <c r="Z15" s="151">
        <f>_xll.qlSimpleQuoteSetValue(F15,Y15,Trigger)</f>
        <v>3.0000000000001137E-2</v>
      </c>
      <c r="AA15" s="21"/>
      <c r="AB15" s="12"/>
      <c r="AC15" s="98"/>
      <c r="AD15" s="97">
        <v>10</v>
      </c>
      <c r="AE15" s="95" t="b">
        <v>0</v>
      </c>
      <c r="AF15" s="95" t="str">
        <v>H5</v>
      </c>
      <c r="AG15" s="140" t="str">
        <f t="shared" si="1"/>
        <v>AUDFUT3MH5ConvAdj_Quote</v>
      </c>
      <c r="AH15" s="139" t="e">
        <f>_xll.qlFuturesConvAdjustmentQuote(AG15,IborIndex,AF15,F15,Volatility,MeanReversion,Permanent,AND(ISERROR(Z15),ISERROR(FuturesHWConvAdj!Q14:Q15)),ObjectOverwrite)</f>
        <v>#VALUE!</v>
      </c>
      <c r="AI15" s="46" t="str">
        <f ca="1">_xll.ohRangeRetrieveError(AH15)</f>
        <v/>
      </c>
      <c r="AJ15" s="21"/>
    </row>
    <row r="16" spans="1:36" x14ac:dyDescent="0.2">
      <c r="A16" s="98"/>
      <c r="B16" s="97">
        <v>11</v>
      </c>
      <c r="C16" s="96" t="b">
        <v>0</v>
      </c>
      <c r="D16" s="95" t="str">
        <v>J5</v>
      </c>
      <c r="E16" s="94" t="str">
        <f t="shared" si="0"/>
        <v>AUDFUT3MJ5_Quote</v>
      </c>
      <c r="F16" s="93" t="str">
        <f>_xll.qlSimpleQuote(E16,,PriceTickValue,Permanent,Trigger,ObjectOverwrite)</f>
        <v>AUDFUT3MJ5_Quote#0000</v>
      </c>
      <c r="G16" s="72" t="str">
        <f>_xll.ohRangeRetrieveError(F16)</f>
        <v/>
      </c>
      <c r="H16" s="92"/>
      <c r="J16" s="208"/>
      <c r="K16" s="214">
        <v>11</v>
      </c>
      <c r="L16" s="213" t="b">
        <v>0</v>
      </c>
      <c r="M16" s="147" t="str">
        <v>J5</v>
      </c>
      <c r="N16" s="212">
        <v>42109</v>
      </c>
      <c r="O16" s="147" t="str">
        <v>YBAJ5</v>
      </c>
      <c r="P16" s="211" t="s">
        <v>174</v>
      </c>
      <c r="Q16" s="147" t="s">
        <v>174</v>
      </c>
      <c r="R16" s="147" t="s">
        <v>174</v>
      </c>
      <c r="S16" s="147" t="s">
        <v>174</v>
      </c>
      <c r="T16" s="147" t="s">
        <v>174</v>
      </c>
      <c r="U16" s="151" t="e">
        <f>_xll.qlMidSafe($Q16,$R16)</f>
        <v>#NUM!</v>
      </c>
      <c r="V16" s="149"/>
      <c r="W16" s="210" t="e">
        <v>#NUM!</v>
      </c>
      <c r="X16" s="149"/>
      <c r="Y16" s="209" t="e">
        <v>#NUM!</v>
      </c>
      <c r="Z16" s="151" t="e">
        <f>_xll.qlSimpleQuoteSetValue(F16,Y16,Trigger)</f>
        <v>#NUM!</v>
      </c>
      <c r="AA16" s="21"/>
      <c r="AB16" s="12"/>
      <c r="AC16" s="98"/>
      <c r="AD16" s="97">
        <v>11</v>
      </c>
      <c r="AE16" s="95" t="b">
        <v>0</v>
      </c>
      <c r="AF16" s="95" t="str">
        <v>J5</v>
      </c>
      <c r="AG16" s="140" t="str">
        <f t="shared" si="1"/>
        <v>AUDFUT3MJ5ConvAdj_Quote</v>
      </c>
      <c r="AH16" s="139" t="e">
        <f>_xll.qlFuturesConvAdjustmentQuote(AG16,IborIndex,AF16,F16,Volatility,MeanReversion,Permanent,AND(ISERROR(Z16),ISERROR(FuturesHWConvAdj!Q15:Q16)),ObjectOverwrite)</f>
        <v>#VALUE!</v>
      </c>
      <c r="AI16" s="46" t="str">
        <f ca="1">_xll.ohRangeRetrieveError(AH16)</f>
        <v/>
      </c>
      <c r="AJ16" s="21"/>
    </row>
    <row r="17" spans="1:36" x14ac:dyDescent="0.2">
      <c r="A17" s="98"/>
      <c r="B17" s="97">
        <v>12</v>
      </c>
      <c r="C17" s="96" t="b">
        <v>0</v>
      </c>
      <c r="D17" s="95" t="str">
        <v>K5</v>
      </c>
      <c r="E17" s="94" t="str">
        <f t="shared" si="0"/>
        <v>AUDFUT3MK5_Quote</v>
      </c>
      <c r="F17" s="93" t="str">
        <f>_xll.qlSimpleQuote(E17,,PriceTickValue,Permanent,Trigger,ObjectOverwrite)</f>
        <v>AUDFUT3MK5_Quote#0000</v>
      </c>
      <c r="G17" s="72" t="str">
        <f>_xll.ohRangeRetrieveError(F17)</f>
        <v/>
      </c>
      <c r="H17" s="92"/>
      <c r="J17" s="208"/>
      <c r="K17" s="214">
        <v>12</v>
      </c>
      <c r="L17" s="213" t="b">
        <v>0</v>
      </c>
      <c r="M17" s="147" t="str">
        <v>K5</v>
      </c>
      <c r="N17" s="212">
        <v>42144</v>
      </c>
      <c r="O17" s="147" t="str">
        <v>YBAK5</v>
      </c>
      <c r="P17" s="211" t="s">
        <v>174</v>
      </c>
      <c r="Q17" s="147" t="s">
        <v>174</v>
      </c>
      <c r="R17" s="147" t="s">
        <v>174</v>
      </c>
      <c r="S17" s="147" t="s">
        <v>174</v>
      </c>
      <c r="T17" s="147" t="s">
        <v>174</v>
      </c>
      <c r="U17" s="151" t="e">
        <f>_xll.qlMidSafe($Q17,$R17)</f>
        <v>#NUM!</v>
      </c>
      <c r="V17" s="149"/>
      <c r="W17" s="210" t="e">
        <v>#NUM!</v>
      </c>
      <c r="X17" s="149"/>
      <c r="Y17" s="209" t="e">
        <v>#NUM!</v>
      </c>
      <c r="Z17" s="151" t="e">
        <f>_xll.qlSimpleQuoteSetValue(F17,Y17,Trigger)</f>
        <v>#NUM!</v>
      </c>
      <c r="AA17" s="21"/>
      <c r="AB17" s="12"/>
      <c r="AC17" s="98"/>
      <c r="AD17" s="97">
        <v>12</v>
      </c>
      <c r="AE17" s="95" t="b">
        <v>0</v>
      </c>
      <c r="AF17" s="95" t="str">
        <v>K5</v>
      </c>
      <c r="AG17" s="140" t="str">
        <f t="shared" si="1"/>
        <v>AUDFUT3MK5ConvAdj_Quote</v>
      </c>
      <c r="AH17" s="139" t="e">
        <f>_xll.qlFuturesConvAdjustmentQuote(AG17,IborIndex,AF17,F17,Volatility,MeanReversion,Permanent,AND(ISERROR(Z17),ISERROR(FuturesHWConvAdj!Q16:Q17)),ObjectOverwrite)</f>
        <v>#VALUE!</v>
      </c>
      <c r="AI17" s="46" t="str">
        <f ca="1">_xll.ohRangeRetrieveError(AH17)</f>
        <v/>
      </c>
      <c r="AJ17" s="21"/>
    </row>
    <row r="18" spans="1:36" x14ac:dyDescent="0.2">
      <c r="A18" s="98"/>
      <c r="B18" s="97">
        <v>13</v>
      </c>
      <c r="C18" s="96" t="b">
        <v>1</v>
      </c>
      <c r="D18" s="95" t="str">
        <v>M5</v>
      </c>
      <c r="E18" s="94" t="str">
        <f t="shared" si="0"/>
        <v>AUDFUT3MM5_Quote</v>
      </c>
      <c r="F18" s="93" t="str">
        <f>_xll.qlSimpleQuote(E18,,PriceTickValue,Permanent,Trigger,ObjectOverwrite)</f>
        <v>AUDFUT3MM5_Quote#0000</v>
      </c>
      <c r="G18" s="72" t="str">
        <f>_xll.ohRangeRetrieveError(F18)</f>
        <v/>
      </c>
      <c r="H18" s="92"/>
      <c r="J18" s="208"/>
      <c r="K18" s="214">
        <v>13</v>
      </c>
      <c r="L18" s="213" t="b">
        <v>1</v>
      </c>
      <c r="M18" s="147" t="str">
        <v>M5</v>
      </c>
      <c r="N18" s="212">
        <v>42172</v>
      </c>
      <c r="O18" s="147" t="str">
        <v>YBAM5</v>
      </c>
      <c r="P18" s="211">
        <v>42166</v>
      </c>
      <c r="Q18" s="147">
        <v>97.2</v>
      </c>
      <c r="R18" s="147">
        <v>97.21</v>
      </c>
      <c r="S18" s="147">
        <v>97.21</v>
      </c>
      <c r="T18" s="147">
        <v>97.22</v>
      </c>
      <c r="U18" s="151">
        <f>_xll.qlMidSafe($Q18,$R18)</f>
        <v>97.204999999999998</v>
      </c>
      <c r="V18" s="149"/>
      <c r="W18" s="210">
        <v>97.155000000000001</v>
      </c>
      <c r="X18" s="149"/>
      <c r="Y18" s="209">
        <v>97.204999999999998</v>
      </c>
      <c r="Z18" s="151">
        <f>_xll.qlSimpleQuoteSetValue(F18,Y18,Trigger)</f>
        <v>1.9999999999996021E-2</v>
      </c>
      <c r="AA18" s="21"/>
      <c r="AB18" s="12"/>
      <c r="AC18" s="98"/>
      <c r="AD18" s="97">
        <v>13</v>
      </c>
      <c r="AE18" s="95" t="b">
        <v>1</v>
      </c>
      <c r="AF18" s="95" t="str">
        <v>M5</v>
      </c>
      <c r="AG18" s="140" t="str">
        <f t="shared" si="1"/>
        <v>AUDFUT3MM5ConvAdj_Quote</v>
      </c>
      <c r="AH18" s="139" t="e">
        <f>_xll.qlFuturesConvAdjustmentQuote(AG18,IborIndex,AF18,F18,Volatility,MeanReversion,Permanent,AND(ISERROR(Z18),ISERROR(FuturesHWConvAdj!Q17:Q18)),ObjectOverwrite)</f>
        <v>#VALUE!</v>
      </c>
      <c r="AI18" s="46" t="str">
        <f ca="1">_xll.ohRangeRetrieveError(AH18)</f>
        <v/>
      </c>
      <c r="AJ18" s="21"/>
    </row>
    <row r="19" spans="1:36" x14ac:dyDescent="0.2">
      <c r="A19" s="98"/>
      <c r="B19" s="97">
        <v>14</v>
      </c>
      <c r="C19" s="96" t="b">
        <v>1</v>
      </c>
      <c r="D19" s="95" t="str">
        <v>U5</v>
      </c>
      <c r="E19" s="94" t="str">
        <f t="shared" si="0"/>
        <v>AUDFUT3MU5_Quote</v>
      </c>
      <c r="F19" s="93" t="str">
        <f>_xll.qlSimpleQuote(E19,,PriceTickValue,Permanent,Trigger,ObjectOverwrite)</f>
        <v>AUDFUT3MU5_Quote#0000</v>
      </c>
      <c r="G19" s="72" t="str">
        <f>_xll.ohRangeRetrieveError(F19)</f>
        <v/>
      </c>
      <c r="H19" s="92"/>
      <c r="J19" s="208"/>
      <c r="K19" s="214">
        <v>14</v>
      </c>
      <c r="L19" s="213" t="b">
        <v>1</v>
      </c>
      <c r="M19" s="147" t="str">
        <v>U5</v>
      </c>
      <c r="N19" s="212">
        <v>42263</v>
      </c>
      <c r="O19" s="147" t="str">
        <v>YBAU5</v>
      </c>
      <c r="P19" s="211">
        <v>42257</v>
      </c>
      <c r="Q19" s="147">
        <v>97.1</v>
      </c>
      <c r="R19" s="147">
        <v>97.11</v>
      </c>
      <c r="S19" s="147">
        <v>97.1</v>
      </c>
      <c r="T19" s="147">
        <v>97.11</v>
      </c>
      <c r="U19" s="151">
        <f>_xll.qlMidSafe($Q19,$R19)</f>
        <v>97.10499999999999</v>
      </c>
      <c r="V19" s="149"/>
      <c r="W19" s="210">
        <v>97.034999999999997</v>
      </c>
      <c r="X19" s="149"/>
      <c r="Y19" s="209">
        <v>97.10499999999999</v>
      </c>
      <c r="Z19" s="151">
        <f>_xll.qlSimpleQuoteSetValue(F19,Y19,Trigger)</f>
        <v>2.4999999999991473E-2</v>
      </c>
      <c r="AA19" s="21"/>
      <c r="AB19" s="12"/>
      <c r="AC19" s="98"/>
      <c r="AD19" s="97">
        <v>14</v>
      </c>
      <c r="AE19" s="95" t="b">
        <v>1</v>
      </c>
      <c r="AF19" s="95" t="str">
        <v>U5</v>
      </c>
      <c r="AG19" s="140" t="str">
        <f t="shared" si="1"/>
        <v>AUDFUT3MU5ConvAdj_Quote</v>
      </c>
      <c r="AH19" s="139" t="e">
        <f>_xll.qlFuturesConvAdjustmentQuote(AG19,IborIndex,AF19,F19,Volatility,MeanReversion,Permanent,AND(ISERROR(Z19),ISERROR(FuturesHWConvAdj!Q18:Q19)),ObjectOverwrite)</f>
        <v>#VALUE!</v>
      </c>
      <c r="AI19" s="46" t="str">
        <f ca="1">_xll.ohRangeRetrieveError(AH19)</f>
        <v/>
      </c>
      <c r="AJ19" s="21"/>
    </row>
    <row r="20" spans="1:36" x14ac:dyDescent="0.2">
      <c r="A20" s="98"/>
      <c r="B20" s="97">
        <v>15</v>
      </c>
      <c r="C20" s="96" t="b">
        <v>1</v>
      </c>
      <c r="D20" s="95" t="str">
        <v>Z5</v>
      </c>
      <c r="E20" s="94" t="str">
        <f t="shared" si="0"/>
        <v>AUDFUT3MZ5_Quote</v>
      </c>
      <c r="F20" s="93" t="str">
        <f>_xll.qlSimpleQuote(E20,,PriceTickValue,Permanent,Trigger,ObjectOverwrite)</f>
        <v>AUDFUT3MZ5_Quote#0000</v>
      </c>
      <c r="G20" s="72" t="str">
        <f>_xll.ohRangeRetrieveError(F20)</f>
        <v/>
      </c>
      <c r="H20" s="92"/>
      <c r="J20" s="208"/>
      <c r="K20" s="214">
        <v>15</v>
      </c>
      <c r="L20" s="213" t="b">
        <v>1</v>
      </c>
      <c r="M20" s="147" t="str">
        <v>Z5</v>
      </c>
      <c r="N20" s="212">
        <v>42354</v>
      </c>
      <c r="O20" s="147" t="str">
        <v>YBAZ5</v>
      </c>
      <c r="P20" s="211">
        <v>42348</v>
      </c>
      <c r="Q20" s="147">
        <v>97</v>
      </c>
      <c r="R20" s="147">
        <v>97.01</v>
      </c>
      <c r="S20" s="147">
        <v>97</v>
      </c>
      <c r="T20" s="147">
        <v>97</v>
      </c>
      <c r="U20" s="151">
        <f>_xll.qlMidSafe($Q20,$R20)</f>
        <v>97.004999999999995</v>
      </c>
      <c r="V20" s="149"/>
      <c r="W20" s="210">
        <v>96.91</v>
      </c>
      <c r="X20" s="149"/>
      <c r="Y20" s="209">
        <v>97.004999999999995</v>
      </c>
      <c r="Z20" s="151">
        <f>_xll.qlSimpleQuoteSetValue(F20,Y20,Trigger)</f>
        <v>2.5000000000005684E-2</v>
      </c>
      <c r="AA20" s="21"/>
      <c r="AB20" s="12"/>
      <c r="AC20" s="98"/>
      <c r="AD20" s="97">
        <v>15</v>
      </c>
      <c r="AE20" s="95" t="b">
        <v>1</v>
      </c>
      <c r="AF20" s="95" t="str">
        <v>Z5</v>
      </c>
      <c r="AG20" s="140" t="str">
        <f t="shared" si="1"/>
        <v>AUDFUT3MZ5ConvAdj_Quote</v>
      </c>
      <c r="AH20" s="139" t="e">
        <f>_xll.qlFuturesConvAdjustmentQuote(AG20,IborIndex,AF20,F20,Volatility,MeanReversion,Permanent,AND(ISERROR(Z20),ISERROR(FuturesHWConvAdj!Q19:Q20)),ObjectOverwrite)</f>
        <v>#VALUE!</v>
      </c>
      <c r="AI20" s="46" t="str">
        <f ca="1">_xll.ohRangeRetrieveError(AH20)</f>
        <v/>
      </c>
      <c r="AJ20" s="21"/>
    </row>
    <row r="21" spans="1:36" x14ac:dyDescent="0.2">
      <c r="A21" s="98"/>
      <c r="B21" s="97">
        <v>16</v>
      </c>
      <c r="C21" s="96" t="b">
        <v>1</v>
      </c>
      <c r="D21" s="95" t="str">
        <v>H6</v>
      </c>
      <c r="E21" s="94" t="str">
        <f t="shared" si="0"/>
        <v>AUDFUT3MH6_Quote</v>
      </c>
      <c r="F21" s="93" t="str">
        <f>_xll.qlSimpleQuote(E21,,PriceTickValue,Permanent,Trigger,ObjectOverwrite)</f>
        <v>AUDFUT3MH6_Quote#0000</v>
      </c>
      <c r="G21" s="72" t="str">
        <f>_xll.ohRangeRetrieveError(F21)</f>
        <v/>
      </c>
      <c r="H21" s="92"/>
      <c r="J21" s="208"/>
      <c r="K21" s="214">
        <v>16</v>
      </c>
      <c r="L21" s="213" t="b">
        <v>1</v>
      </c>
      <c r="M21" s="147" t="str">
        <v>H6</v>
      </c>
      <c r="N21" s="212">
        <v>42445</v>
      </c>
      <c r="O21" s="147" t="str">
        <v>YBAH6</v>
      </c>
      <c r="P21" s="211">
        <v>42439</v>
      </c>
      <c r="Q21" s="147">
        <v>96.9</v>
      </c>
      <c r="R21" s="147">
        <v>96.91</v>
      </c>
      <c r="S21" s="147">
        <v>96.91</v>
      </c>
      <c r="T21" s="147">
        <v>96.92</v>
      </c>
      <c r="U21" s="151">
        <f>_xll.qlMidSafe($Q21,$R21)</f>
        <v>96.905000000000001</v>
      </c>
      <c r="V21" s="149"/>
      <c r="W21" s="210">
        <v>96.805000000000007</v>
      </c>
      <c r="X21" s="149"/>
      <c r="Y21" s="209">
        <v>96.905000000000001</v>
      </c>
      <c r="Z21" s="151">
        <f>_xll.qlSimpleQuoteSetValue(F21,Y21,Trigger)</f>
        <v>2.5000000000005684E-2</v>
      </c>
      <c r="AA21" s="21"/>
      <c r="AB21" s="12"/>
      <c r="AC21" s="98"/>
      <c r="AD21" s="97">
        <v>16</v>
      </c>
      <c r="AE21" s="95" t="b">
        <v>1</v>
      </c>
      <c r="AF21" s="95" t="str">
        <v>H6</v>
      </c>
      <c r="AG21" s="140" t="str">
        <f t="shared" si="1"/>
        <v>AUDFUT3MH6ConvAdj_Quote</v>
      </c>
      <c r="AH21" s="139" t="e">
        <f>_xll.qlFuturesConvAdjustmentQuote(AG21,IborIndex,AF21,F21,Volatility,MeanReversion,Permanent,AND(ISERROR(Z21),ISERROR(FuturesHWConvAdj!Q20:Q21)),ObjectOverwrite)</f>
        <v>#VALUE!</v>
      </c>
      <c r="AI21" s="46" t="str">
        <f ca="1">_xll.ohRangeRetrieveError(AH21)</f>
        <v/>
      </c>
      <c r="AJ21" s="21"/>
    </row>
    <row r="22" spans="1:36" x14ac:dyDescent="0.2">
      <c r="A22" s="98"/>
      <c r="B22" s="97">
        <v>17</v>
      </c>
      <c r="C22" s="96" t="b">
        <v>1</v>
      </c>
      <c r="D22" s="95" t="str">
        <v>M6</v>
      </c>
      <c r="E22" s="94" t="str">
        <f t="shared" si="0"/>
        <v>AUDFUT3MM6_Quote</v>
      </c>
      <c r="F22" s="93" t="str">
        <f>_xll.qlSimpleQuote(E22,,PriceTickValue,Permanent,Trigger,ObjectOverwrite)</f>
        <v>AUDFUT3MM6_Quote#0000</v>
      </c>
      <c r="G22" s="72" t="str">
        <f>_xll.ohRangeRetrieveError(F22)</f>
        <v/>
      </c>
      <c r="H22" s="92"/>
      <c r="J22" s="208"/>
      <c r="K22" s="214">
        <v>17</v>
      </c>
      <c r="L22" s="213" t="b">
        <v>1</v>
      </c>
      <c r="M22" s="147" t="str">
        <v>M6</v>
      </c>
      <c r="N22" s="212">
        <v>42536</v>
      </c>
      <c r="O22" s="147" t="str">
        <v>YBAM6</v>
      </c>
      <c r="P22" s="211">
        <v>42530</v>
      </c>
      <c r="Q22" s="147">
        <v>96.81</v>
      </c>
      <c r="R22" s="147">
        <v>96.82</v>
      </c>
      <c r="S22" s="147">
        <v>96.81</v>
      </c>
      <c r="T22" s="147">
        <v>96.82</v>
      </c>
      <c r="U22" s="151">
        <f>_xll.qlMidSafe($Q22,$R22)</f>
        <v>96.814999999999998</v>
      </c>
      <c r="V22" s="149"/>
      <c r="W22" s="210">
        <v>96.710000000000008</v>
      </c>
      <c r="X22" s="149"/>
      <c r="Y22" s="209">
        <v>96.814999999999998</v>
      </c>
      <c r="Z22" s="151">
        <f>_xll.qlSimpleQuoteSetValue(F22,Y22,Trigger)</f>
        <v>3.0000000000001137E-2</v>
      </c>
      <c r="AA22" s="21"/>
      <c r="AB22" s="12"/>
      <c r="AC22" s="98"/>
      <c r="AD22" s="97">
        <v>17</v>
      </c>
      <c r="AE22" s="95" t="b">
        <v>1</v>
      </c>
      <c r="AF22" s="95" t="str">
        <v>M6</v>
      </c>
      <c r="AG22" s="140" t="str">
        <f t="shared" si="1"/>
        <v>AUDFUT3MM6ConvAdj_Quote</v>
      </c>
      <c r="AH22" s="139" t="e">
        <f>_xll.qlFuturesConvAdjustmentQuote(AG22,IborIndex,AF22,F22,Volatility,MeanReversion,Permanent,AND(ISERROR(Z22),ISERROR(FuturesHWConvAdj!Q21:Q22)),ObjectOverwrite)</f>
        <v>#VALUE!</v>
      </c>
      <c r="AI22" s="46" t="str">
        <f ca="1">_xll.ohRangeRetrieveError(AH22)</f>
        <v/>
      </c>
      <c r="AJ22" s="21"/>
    </row>
    <row r="23" spans="1:36" x14ac:dyDescent="0.2">
      <c r="A23" s="98"/>
      <c r="B23" s="97">
        <v>18</v>
      </c>
      <c r="C23" s="96" t="b">
        <v>1</v>
      </c>
      <c r="D23" s="95" t="str">
        <v>U6</v>
      </c>
      <c r="E23" s="94" t="str">
        <f t="shared" si="0"/>
        <v>AUDFUT3MU6_Quote</v>
      </c>
      <c r="F23" s="93" t="str">
        <f>_xll.qlSimpleQuote(E23,,PriceTickValue,Permanent,Trigger,ObjectOverwrite)</f>
        <v>AUDFUT3MU6_Quote#0000</v>
      </c>
      <c r="G23" s="72" t="str">
        <f>_xll.ohRangeRetrieveError(F23)</f>
        <v/>
      </c>
      <c r="H23" s="92"/>
      <c r="J23" s="208"/>
      <c r="K23" s="214">
        <v>18</v>
      </c>
      <c r="L23" s="213" t="b">
        <v>1</v>
      </c>
      <c r="M23" s="147" t="str">
        <v>U6</v>
      </c>
      <c r="N23" s="212">
        <v>42634</v>
      </c>
      <c r="O23" s="147" t="str">
        <v>YBAU6</v>
      </c>
      <c r="P23" s="211">
        <v>42621</v>
      </c>
      <c r="Q23" s="147">
        <v>96.71</v>
      </c>
      <c r="R23" s="147">
        <v>96.74</v>
      </c>
      <c r="S23" s="147">
        <v>0</v>
      </c>
      <c r="T23" s="147">
        <v>96.73</v>
      </c>
      <c r="U23" s="151">
        <f>_xll.qlMidSafe($Q23,$R23)</f>
        <v>96.724999999999994</v>
      </c>
      <c r="V23" s="149"/>
      <c r="W23" s="210">
        <v>96.61</v>
      </c>
      <c r="X23" s="149"/>
      <c r="Y23" s="209">
        <v>96.724999999999994</v>
      </c>
      <c r="Z23" s="151">
        <f>_xll.qlSimpleQuoteSetValue(F23,Y23,Trigger)</f>
        <v>3.4999999999996589E-2</v>
      </c>
      <c r="AA23" s="21"/>
      <c r="AB23" s="12"/>
      <c r="AC23" s="98"/>
      <c r="AD23" s="97">
        <v>18</v>
      </c>
      <c r="AE23" s="95" t="b">
        <v>1</v>
      </c>
      <c r="AF23" s="95" t="str">
        <v>U6</v>
      </c>
      <c r="AG23" s="140" t="str">
        <f t="shared" si="1"/>
        <v>AUDFUT3MU6ConvAdj_Quote</v>
      </c>
      <c r="AH23" s="139" t="e">
        <f>_xll.qlFuturesConvAdjustmentQuote(AG23,IborIndex,AF23,F23,Volatility,MeanReversion,Permanent,AND(ISERROR(Z23),ISERROR(FuturesHWConvAdj!Q22:Q23)),ObjectOverwrite)</f>
        <v>#VALUE!</v>
      </c>
      <c r="AI23" s="46" t="str">
        <f ca="1">_xll.ohRangeRetrieveError(AH23)</f>
        <v/>
      </c>
      <c r="AJ23" s="21"/>
    </row>
    <row r="24" spans="1:36" x14ac:dyDescent="0.2">
      <c r="A24" s="98"/>
      <c r="B24" s="97">
        <v>19</v>
      </c>
      <c r="C24" s="96" t="b">
        <v>1</v>
      </c>
      <c r="D24" s="95" t="str">
        <v>Z6</v>
      </c>
      <c r="E24" s="94" t="str">
        <f t="shared" si="0"/>
        <v>AUDFUT3MZ6_Quote</v>
      </c>
      <c r="F24" s="93" t="str">
        <f>_xll.qlSimpleQuote(E24,,PriceTickValue,Permanent,Trigger,ObjectOverwrite)</f>
        <v>AUDFUT3MZ6_Quote#0000</v>
      </c>
      <c r="G24" s="72" t="str">
        <f>_xll.ohRangeRetrieveError(F24)</f>
        <v/>
      </c>
      <c r="H24" s="92"/>
      <c r="J24" s="208"/>
      <c r="K24" s="214">
        <v>19</v>
      </c>
      <c r="L24" s="213" t="b">
        <v>1</v>
      </c>
      <c r="M24" s="147" t="str">
        <v>Z6</v>
      </c>
      <c r="N24" s="212">
        <v>42725</v>
      </c>
      <c r="O24" s="147" t="str">
        <v>YBAZ6</v>
      </c>
      <c r="P24" s="211">
        <v>42712</v>
      </c>
      <c r="Q24" s="147">
        <v>96.62</v>
      </c>
      <c r="R24" s="147">
        <v>96.64</v>
      </c>
      <c r="S24" s="147">
        <v>0</v>
      </c>
      <c r="T24" s="147">
        <v>96.5</v>
      </c>
      <c r="U24" s="151">
        <f>_xll.qlMidSafe($Q24,$R24)</f>
        <v>96.63</v>
      </c>
      <c r="V24" s="149"/>
      <c r="W24" s="210">
        <v>96.504999999999995</v>
      </c>
      <c r="X24" s="149"/>
      <c r="Y24" s="209">
        <v>96.63</v>
      </c>
      <c r="Z24" s="151">
        <f>_xll.qlSimpleQuoteSetValue(F24,Y24,Trigger)</f>
        <v>3.4999999999996589E-2</v>
      </c>
      <c r="AA24" s="21"/>
      <c r="AB24" s="12"/>
      <c r="AC24" s="98"/>
      <c r="AD24" s="97">
        <v>19</v>
      </c>
      <c r="AE24" s="95" t="b">
        <v>1</v>
      </c>
      <c r="AF24" s="95" t="str">
        <v>Z6</v>
      </c>
      <c r="AG24" s="140" t="str">
        <f t="shared" si="1"/>
        <v>AUDFUT3MZ6ConvAdj_Quote</v>
      </c>
      <c r="AH24" s="139" t="e">
        <f>_xll.qlFuturesConvAdjustmentQuote(AG24,IborIndex,AF24,F24,Volatility,MeanReversion,Permanent,AND(ISERROR(Z24),ISERROR(FuturesHWConvAdj!Q23:Q24)),ObjectOverwrite)</f>
        <v>#VALUE!</v>
      </c>
      <c r="AI24" s="46" t="str">
        <f ca="1">_xll.ohRangeRetrieveError(AH24)</f>
        <v/>
      </c>
      <c r="AJ24" s="21"/>
    </row>
    <row r="25" spans="1:36" x14ac:dyDescent="0.2">
      <c r="A25" s="98"/>
      <c r="B25" s="97">
        <v>20</v>
      </c>
      <c r="C25" s="96" t="b">
        <v>1</v>
      </c>
      <c r="D25" s="95" t="str">
        <v>H7</v>
      </c>
      <c r="E25" s="94" t="str">
        <f t="shared" si="0"/>
        <v>AUDFUT3MH7_Quote</v>
      </c>
      <c r="F25" s="93" t="str">
        <f>_xll.qlSimpleQuote(E25,,PriceTickValue,Permanent,Trigger,ObjectOverwrite)</f>
        <v>AUDFUT3MH7_Quote#0000</v>
      </c>
      <c r="G25" s="72" t="str">
        <f>_xll.ohRangeRetrieveError(F25)</f>
        <v/>
      </c>
      <c r="H25" s="92"/>
      <c r="J25" s="208"/>
      <c r="K25" s="214">
        <v>20</v>
      </c>
      <c r="L25" s="213" t="b">
        <v>1</v>
      </c>
      <c r="M25" s="147" t="str">
        <v>H7</v>
      </c>
      <c r="N25" s="212">
        <v>42809</v>
      </c>
      <c r="O25" s="147" t="str">
        <v>YBAH7</v>
      </c>
      <c r="P25" s="211">
        <v>42803</v>
      </c>
      <c r="Q25" s="147">
        <v>96.52</v>
      </c>
      <c r="R25" s="147">
        <v>96.54</v>
      </c>
      <c r="S25" s="147">
        <v>0</v>
      </c>
      <c r="T25" s="147">
        <v>96.41</v>
      </c>
      <c r="U25" s="151">
        <f>_xll.qlMidSafe($Q25,$R25)</f>
        <v>96.53</v>
      </c>
      <c r="V25" s="149"/>
      <c r="W25" s="210">
        <v>96.405000000000001</v>
      </c>
      <c r="X25" s="149"/>
      <c r="Y25" s="209">
        <v>96.53</v>
      </c>
      <c r="Z25" s="151">
        <f>_xll.qlSimpleQuoteSetValue(F25,Y25,Trigger)</f>
        <v>4.5000000000001705E-2</v>
      </c>
      <c r="AA25" s="21"/>
      <c r="AB25" s="12"/>
      <c r="AC25" s="98"/>
      <c r="AD25" s="97">
        <v>20</v>
      </c>
      <c r="AE25" s="95" t="b">
        <v>1</v>
      </c>
      <c r="AF25" s="95" t="str">
        <v>H7</v>
      </c>
      <c r="AG25" s="140" t="str">
        <f t="shared" si="1"/>
        <v>AUDFUT3MH7ConvAdj_Quote</v>
      </c>
      <c r="AH25" s="139" t="e">
        <f>_xll.qlFuturesConvAdjustmentQuote(AG25,IborIndex,AF25,F25,Volatility,MeanReversion,Permanent,AND(ISERROR(Z25),ISERROR(FuturesHWConvAdj!Q24:Q25)),ObjectOverwrite)</f>
        <v>#VALUE!</v>
      </c>
      <c r="AI25" s="46" t="str">
        <f ca="1">_xll.ohRangeRetrieveError(AH25)</f>
        <v/>
      </c>
      <c r="AJ25" s="21"/>
    </row>
    <row r="26" spans="1:36" x14ac:dyDescent="0.2">
      <c r="A26" s="98"/>
      <c r="B26" s="97">
        <v>21</v>
      </c>
      <c r="C26" s="96" t="b">
        <v>1</v>
      </c>
      <c r="D26" s="95" t="str">
        <v>M7</v>
      </c>
      <c r="E26" s="94" t="str">
        <f t="shared" si="0"/>
        <v>AUDFUT3MM7_Quote</v>
      </c>
      <c r="F26" s="93" t="str">
        <f>_xll.qlSimpleQuote(E26,,PriceTickValue,Permanent,Trigger,ObjectOverwrite)</f>
        <v>AUDFUT3MM7_Quote#0000</v>
      </c>
      <c r="G26" s="72" t="str">
        <f>_xll.ohRangeRetrieveError(F26)</f>
        <v/>
      </c>
      <c r="H26" s="92"/>
      <c r="J26" s="208"/>
      <c r="K26" s="214">
        <v>21</v>
      </c>
      <c r="L26" s="213" t="b">
        <v>1</v>
      </c>
      <c r="M26" s="147" t="str">
        <v>M7</v>
      </c>
      <c r="N26" s="212">
        <v>42907</v>
      </c>
      <c r="O26" s="147" t="str">
        <v>YBAM7</v>
      </c>
      <c r="P26" s="211">
        <v>42894</v>
      </c>
      <c r="Q26" s="147">
        <v>96.38</v>
      </c>
      <c r="R26" s="147">
        <v>96.48</v>
      </c>
      <c r="S26" s="147">
        <v>0</v>
      </c>
      <c r="T26" s="147">
        <v>96.33</v>
      </c>
      <c r="U26" s="151">
        <f>_xll.qlMidSafe($Q26,$R26)</f>
        <v>96.43</v>
      </c>
      <c r="V26" s="149"/>
      <c r="W26" s="210">
        <v>96.305000000000007</v>
      </c>
      <c r="X26" s="149"/>
      <c r="Y26" s="209">
        <v>96.43</v>
      </c>
      <c r="Z26" s="151">
        <f>_xll.qlSimpleQuoteSetValue(F26,Y26,Trigger)</f>
        <v>4.5000000000015916E-2</v>
      </c>
      <c r="AA26" s="21"/>
      <c r="AB26" s="12"/>
      <c r="AC26" s="98"/>
      <c r="AD26" s="97">
        <v>21</v>
      </c>
      <c r="AE26" s="95" t="b">
        <v>1</v>
      </c>
      <c r="AF26" s="95" t="str">
        <v>M7</v>
      </c>
      <c r="AG26" s="140" t="str">
        <f t="shared" si="1"/>
        <v>AUDFUT3MM7ConvAdj_Quote</v>
      </c>
      <c r="AH26" s="139" t="e">
        <f>_xll.qlFuturesConvAdjustmentQuote(AG26,IborIndex,AF26,F26,Volatility,MeanReversion,Permanent,AND(ISERROR(Z26),ISERROR(FuturesHWConvAdj!Q25:Q26)),ObjectOverwrite)</f>
        <v>#VALUE!</v>
      </c>
      <c r="AI26" s="46" t="str">
        <f ca="1">_xll.ohRangeRetrieveError(AH26)</f>
        <v/>
      </c>
      <c r="AJ26" s="21"/>
    </row>
    <row r="27" spans="1:36" x14ac:dyDescent="0.2">
      <c r="A27" s="98"/>
      <c r="B27" s="97">
        <v>22</v>
      </c>
      <c r="C27" s="96" t="b">
        <v>1</v>
      </c>
      <c r="D27" s="95" t="str">
        <v>U7</v>
      </c>
      <c r="E27" s="94" t="str">
        <f t="shared" si="0"/>
        <v>AUDFUT3MU7_Quote</v>
      </c>
      <c r="F27" s="93" t="str">
        <f>_xll.qlSimpleQuote(E27,,PriceTickValue,Permanent,Trigger,ObjectOverwrite)</f>
        <v>AUDFUT3MU7_Quote#0000</v>
      </c>
      <c r="G27" s="72" t="str">
        <f>_xll.ohRangeRetrieveError(F27)</f>
        <v/>
      </c>
      <c r="H27" s="92"/>
      <c r="J27" s="208"/>
      <c r="K27" s="214">
        <v>22</v>
      </c>
      <c r="L27" s="213" t="b">
        <v>1</v>
      </c>
      <c r="M27" s="147" t="str">
        <v>U7</v>
      </c>
      <c r="N27" s="212">
        <v>42998</v>
      </c>
      <c r="O27" s="147" t="str">
        <v>YBAU7</v>
      </c>
      <c r="P27" s="211">
        <v>42985</v>
      </c>
      <c r="Q27" s="147">
        <v>0</v>
      </c>
      <c r="R27" s="147">
        <v>0</v>
      </c>
      <c r="S27" s="147">
        <v>0</v>
      </c>
      <c r="T27" s="147">
        <v>95.76</v>
      </c>
      <c r="U27" s="151" t="e">
        <f>_xll.qlMidSafe($Q27,$R27)</f>
        <v>#NUM!</v>
      </c>
      <c r="V27" s="149"/>
      <c r="W27" s="210">
        <v>96.2</v>
      </c>
      <c r="X27" s="149"/>
      <c r="Y27" s="209" t="e">
        <v>#NUM!</v>
      </c>
      <c r="Z27" s="151" t="e">
        <f>_xll.qlSimpleQuoteSetValue(F27,Y27,Trigger)</f>
        <v>#NUM!</v>
      </c>
      <c r="AA27" s="21"/>
      <c r="AB27" s="12"/>
      <c r="AC27" s="98"/>
      <c r="AD27" s="97">
        <v>22</v>
      </c>
      <c r="AE27" s="95" t="b">
        <v>1</v>
      </c>
      <c r="AF27" s="95" t="str">
        <v>U7</v>
      </c>
      <c r="AG27" s="140" t="str">
        <f t="shared" si="1"/>
        <v>AUDFUT3MU7ConvAdj_Quote</v>
      </c>
      <c r="AH27" s="139" t="e">
        <f>_xll.qlFuturesConvAdjustmentQuote(AG27,IborIndex,AF27,F27,Volatility,MeanReversion,Permanent,AND(ISERROR(Z27),ISERROR(FuturesHWConvAdj!Q26:Q27)),ObjectOverwrite)</f>
        <v>#VALUE!</v>
      </c>
      <c r="AI27" s="46" t="str">
        <f ca="1">_xll.ohRangeRetrieveError(AH27)</f>
        <v/>
      </c>
      <c r="AJ27" s="21"/>
    </row>
    <row r="28" spans="1:36" x14ac:dyDescent="0.2">
      <c r="A28" s="98"/>
      <c r="B28" s="97">
        <v>23</v>
      </c>
      <c r="C28" s="96" t="b">
        <v>1</v>
      </c>
      <c r="D28" s="95" t="str">
        <v>Z7</v>
      </c>
      <c r="E28" s="94" t="str">
        <f t="shared" si="0"/>
        <v>AUDFUT3MZ7_Quote</v>
      </c>
      <c r="F28" s="93" t="str">
        <f>_xll.qlSimpleQuote(E28,,PriceTickValue,Permanent,Trigger,ObjectOverwrite)</f>
        <v>AUDFUT3MZ7_Quote#0000</v>
      </c>
      <c r="G28" s="72" t="str">
        <f>_xll.ohRangeRetrieveError(F28)</f>
        <v/>
      </c>
      <c r="H28" s="92"/>
      <c r="J28" s="208"/>
      <c r="K28" s="214">
        <v>23</v>
      </c>
      <c r="L28" s="213" t="b">
        <v>1</v>
      </c>
      <c r="M28" s="147" t="str">
        <v>Z7</v>
      </c>
      <c r="N28" s="212">
        <v>43089</v>
      </c>
      <c r="O28" s="147" t="str">
        <v>YBAZ7</v>
      </c>
      <c r="P28" s="211">
        <v>43076</v>
      </c>
      <c r="Q28" s="147">
        <v>0</v>
      </c>
      <c r="R28" s="147">
        <v>0</v>
      </c>
      <c r="S28" s="147">
        <v>0</v>
      </c>
      <c r="T28" s="147">
        <v>95.76</v>
      </c>
      <c r="U28" s="151" t="e">
        <f>_xll.qlMidSafe($Q28,$R28)</f>
        <v>#NUM!</v>
      </c>
      <c r="V28" s="149"/>
      <c r="W28" s="210" t="e">
        <v>#NUM!</v>
      </c>
      <c r="X28" s="149"/>
      <c r="Y28" s="209" t="e">
        <v>#NUM!</v>
      </c>
      <c r="Z28" s="151" t="e">
        <f>_xll.qlSimpleQuoteSetValue(F28,Y28,Trigger)</f>
        <v>#NUM!</v>
      </c>
      <c r="AA28" s="21"/>
      <c r="AB28" s="12"/>
      <c r="AC28" s="98"/>
      <c r="AD28" s="97">
        <v>23</v>
      </c>
      <c r="AE28" s="95" t="b">
        <v>1</v>
      </c>
      <c r="AF28" s="95" t="str">
        <v>Z7</v>
      </c>
      <c r="AG28" s="140" t="str">
        <f t="shared" si="1"/>
        <v>AUDFUT3MZ7ConvAdj_Quote</v>
      </c>
      <c r="AH28" s="139" t="e">
        <f>_xll.qlFuturesConvAdjustmentQuote(AG28,IborIndex,AF28,F28,Volatility,MeanReversion,Permanent,AND(ISERROR(Z28),ISERROR(FuturesHWConvAdj!Q27:Q28)),ObjectOverwrite)</f>
        <v>#VALUE!</v>
      </c>
      <c r="AI28" s="46" t="str">
        <f ca="1">_xll.ohRangeRetrieveError(AH28)</f>
        <v/>
      </c>
      <c r="AJ28" s="21"/>
    </row>
    <row r="29" spans="1:36" x14ac:dyDescent="0.2">
      <c r="A29" s="98"/>
      <c r="B29" s="97">
        <v>24</v>
      </c>
      <c r="C29" s="96" t="b">
        <v>1</v>
      </c>
      <c r="D29" s="95" t="str">
        <v>H8</v>
      </c>
      <c r="E29" s="94" t="str">
        <f t="shared" si="0"/>
        <v>AUDFUT3MH8_Quote</v>
      </c>
      <c r="F29" s="93" t="str">
        <f>_xll.qlSimpleQuote(E29,,PriceTickValue,Permanent,Trigger,ObjectOverwrite)</f>
        <v>AUDFUT3MH8_Quote#0000</v>
      </c>
      <c r="G29" s="72" t="str">
        <f>_xll.ohRangeRetrieveError(F29)</f>
        <v/>
      </c>
      <c r="H29" s="92"/>
      <c r="J29" s="208"/>
      <c r="K29" s="214">
        <v>24</v>
      </c>
      <c r="L29" s="213" t="b">
        <v>1</v>
      </c>
      <c r="M29" s="147" t="str">
        <v>H8</v>
      </c>
      <c r="N29" s="212">
        <v>43180</v>
      </c>
      <c r="O29" s="147" t="str">
        <v>YBAH8</v>
      </c>
      <c r="P29" s="211">
        <v>43167</v>
      </c>
      <c r="Q29" s="147">
        <v>0</v>
      </c>
      <c r="R29" s="147">
        <v>0</v>
      </c>
      <c r="S29" s="147">
        <v>0</v>
      </c>
      <c r="T29" s="147">
        <v>95.76</v>
      </c>
      <c r="U29" s="151" t="e">
        <f>_xll.qlMidSafe($Q29,$R29)</f>
        <v>#NUM!</v>
      </c>
      <c r="V29" s="149"/>
      <c r="W29" s="210" t="e">
        <v>#NUM!</v>
      </c>
      <c r="X29" s="149"/>
      <c r="Y29" s="209" t="e">
        <v>#NUM!</v>
      </c>
      <c r="Z29" s="151" t="e">
        <f>_xll.qlSimpleQuoteSetValue(F29,Y29,Trigger)</f>
        <v>#NUM!</v>
      </c>
      <c r="AA29" s="21"/>
      <c r="AB29" s="12"/>
      <c r="AC29" s="98"/>
      <c r="AD29" s="97">
        <v>24</v>
      </c>
      <c r="AE29" s="95" t="b">
        <v>1</v>
      </c>
      <c r="AF29" s="95" t="str">
        <v>H8</v>
      </c>
      <c r="AG29" s="140" t="str">
        <f t="shared" si="1"/>
        <v>AUDFUT3MH8ConvAdj_Quote</v>
      </c>
      <c r="AH29" s="139" t="e">
        <f>_xll.qlFuturesConvAdjustmentQuote(AG29,IborIndex,AF29,F29,Volatility,MeanReversion,Permanent,AND(ISERROR(Z29),ISERROR(FuturesHWConvAdj!Q28:Q29)),ObjectOverwrite)</f>
        <v>#VALUE!</v>
      </c>
      <c r="AI29" s="46" t="str">
        <f ca="1">_xll.ohRangeRetrieveError(AH29)</f>
        <v/>
      </c>
      <c r="AJ29" s="21"/>
    </row>
    <row r="30" spans="1:36" x14ac:dyDescent="0.2">
      <c r="A30" s="98"/>
      <c r="B30" s="97">
        <v>25</v>
      </c>
      <c r="C30" s="96" t="b">
        <v>1</v>
      </c>
      <c r="D30" s="95" t="str">
        <v>M8</v>
      </c>
      <c r="E30" s="94" t="str">
        <f t="shared" si="0"/>
        <v>AUDFUT3MM8_Quote</v>
      </c>
      <c r="F30" s="93" t="str">
        <f>_xll.qlSimpleQuote(E30,,PriceTickValue,Permanent,Trigger,ObjectOverwrite)</f>
        <v>AUDFUT3MM8_Quote#0000</v>
      </c>
      <c r="G30" s="72" t="str">
        <f>_xll.ohRangeRetrieveError(F30)</f>
        <v/>
      </c>
      <c r="H30" s="92"/>
      <c r="J30" s="208"/>
      <c r="K30" s="214">
        <v>25</v>
      </c>
      <c r="L30" s="213" t="b">
        <v>1</v>
      </c>
      <c r="M30" s="147" t="str">
        <v>M8</v>
      </c>
      <c r="N30" s="212">
        <v>43271</v>
      </c>
      <c r="O30" s="147" t="str">
        <v>YBAM8</v>
      </c>
      <c r="P30" s="211">
        <v>43258</v>
      </c>
      <c r="Q30" s="147">
        <v>0</v>
      </c>
      <c r="R30" s="147">
        <v>0</v>
      </c>
      <c r="S30" s="147">
        <v>0</v>
      </c>
      <c r="T30" s="147">
        <v>95.76</v>
      </c>
      <c r="U30" s="151" t="e">
        <f>_xll.qlMidSafe($Q30,$R30)</f>
        <v>#NUM!</v>
      </c>
      <c r="V30" s="149"/>
      <c r="W30" s="210" t="e">
        <v>#NUM!</v>
      </c>
      <c r="X30" s="149"/>
      <c r="Y30" s="209" t="e">
        <v>#NUM!</v>
      </c>
      <c r="Z30" s="151" t="e">
        <f>_xll.qlSimpleQuoteSetValue(F30,Y30,Trigger)</f>
        <v>#NUM!</v>
      </c>
      <c r="AA30" s="21"/>
      <c r="AB30" s="12"/>
      <c r="AC30" s="98"/>
      <c r="AD30" s="97">
        <v>25</v>
      </c>
      <c r="AE30" s="95" t="b">
        <v>1</v>
      </c>
      <c r="AF30" s="95" t="str">
        <v>M8</v>
      </c>
      <c r="AG30" s="140" t="str">
        <f t="shared" si="1"/>
        <v>AUDFUT3MM8ConvAdj_Quote</v>
      </c>
      <c r="AH30" s="139" t="e">
        <f>_xll.qlFuturesConvAdjustmentQuote(AG30,IborIndex,AF30,F30,Volatility,MeanReversion,Permanent,AND(ISERROR(Z30),ISERROR(FuturesHWConvAdj!Q29:Q30)),ObjectOverwrite)</f>
        <v>#VALUE!</v>
      </c>
      <c r="AI30" s="46" t="str">
        <f ca="1">_xll.ohRangeRetrieveError(AH30)</f>
        <v/>
      </c>
      <c r="AJ30" s="21"/>
    </row>
    <row r="31" spans="1:36" x14ac:dyDescent="0.2">
      <c r="A31" s="98"/>
      <c r="B31" s="97">
        <v>26</v>
      </c>
      <c r="C31" s="96" t="b">
        <v>1</v>
      </c>
      <c r="D31" s="95" t="str">
        <v>U8</v>
      </c>
      <c r="E31" s="94" t="str">
        <f t="shared" si="0"/>
        <v>AUDFUT3MU8_Quote</v>
      </c>
      <c r="F31" s="93" t="str">
        <f>_xll.qlSimpleQuote(E31,,PriceTickValue,Permanent,Trigger,ObjectOverwrite)</f>
        <v>AUDFUT3MU8_Quote#0000</v>
      </c>
      <c r="G31" s="72" t="str">
        <f>_xll.ohRangeRetrieveError(F31)</f>
        <v/>
      </c>
      <c r="H31" s="92"/>
      <c r="J31" s="208"/>
      <c r="K31" s="214">
        <v>26</v>
      </c>
      <c r="L31" s="213" t="b">
        <v>1</v>
      </c>
      <c r="M31" s="147" t="str">
        <v>U8</v>
      </c>
      <c r="N31" s="212">
        <v>43362</v>
      </c>
      <c r="O31" s="147" t="str">
        <v>YBAU8</v>
      </c>
      <c r="P31" s="211">
        <v>43356</v>
      </c>
      <c r="Q31" s="147">
        <v>0</v>
      </c>
      <c r="R31" s="147">
        <v>0</v>
      </c>
      <c r="S31" s="147">
        <v>0</v>
      </c>
      <c r="T31" s="147">
        <v>95.76</v>
      </c>
      <c r="U31" s="151" t="e">
        <f>_xll.qlMidSafe($Q31,$R31)</f>
        <v>#NUM!</v>
      </c>
      <c r="V31" s="149"/>
      <c r="W31" s="210" t="e">
        <v>#NUM!</v>
      </c>
      <c r="X31" s="149"/>
      <c r="Y31" s="209" t="e">
        <v>#NUM!</v>
      </c>
      <c r="Z31" s="151" t="e">
        <f>_xll.qlSimpleQuoteSetValue(F31,Y31,Trigger)</f>
        <v>#NUM!</v>
      </c>
      <c r="AA31" s="21"/>
      <c r="AB31" s="12"/>
      <c r="AC31" s="98"/>
      <c r="AD31" s="97">
        <v>26</v>
      </c>
      <c r="AE31" s="95" t="b">
        <v>1</v>
      </c>
      <c r="AF31" s="95" t="str">
        <v>U8</v>
      </c>
      <c r="AG31" s="140" t="str">
        <f t="shared" si="1"/>
        <v>AUDFUT3MU8ConvAdj_Quote</v>
      </c>
      <c r="AH31" s="139" t="e">
        <f>_xll.qlFuturesConvAdjustmentQuote(AG31,IborIndex,AF31,F31,Volatility,MeanReversion,Permanent,AND(ISERROR(Z31),ISERROR(FuturesHWConvAdj!Q30:Q31)),ObjectOverwrite)</f>
        <v>#VALUE!</v>
      </c>
      <c r="AI31" s="46" t="str">
        <f ca="1">_xll.ohRangeRetrieveError(AH31)</f>
        <v/>
      </c>
      <c r="AJ31" s="21"/>
    </row>
    <row r="32" spans="1:36" x14ac:dyDescent="0.2">
      <c r="A32" s="98"/>
      <c r="B32" s="97">
        <v>27</v>
      </c>
      <c r="C32" s="96" t="b">
        <v>1</v>
      </c>
      <c r="D32" s="95" t="str">
        <v>Z8</v>
      </c>
      <c r="E32" s="94" t="str">
        <f t="shared" si="0"/>
        <v>AUDFUT3MZ8_Quote</v>
      </c>
      <c r="F32" s="93" t="str">
        <f>_xll.qlSimpleQuote(E32,,PriceTickValue,Permanent,Trigger,ObjectOverwrite)</f>
        <v>AUDFUT3MZ8_Quote#0000</v>
      </c>
      <c r="G32" s="72" t="str">
        <f>_xll.ohRangeRetrieveError(F32)</f>
        <v/>
      </c>
      <c r="H32" s="92"/>
      <c r="J32" s="208"/>
      <c r="K32" s="214">
        <v>27</v>
      </c>
      <c r="L32" s="213" t="b">
        <v>1</v>
      </c>
      <c r="M32" s="147" t="str">
        <v>Z8</v>
      </c>
      <c r="N32" s="212">
        <v>43453</v>
      </c>
      <c r="O32" s="147" t="str">
        <v>YBAZ8</v>
      </c>
      <c r="P32" s="211">
        <v>43447</v>
      </c>
      <c r="Q32" s="147">
        <v>0</v>
      </c>
      <c r="R32" s="147">
        <v>0</v>
      </c>
      <c r="S32" s="147">
        <v>0</v>
      </c>
      <c r="T32" s="147">
        <v>95.76</v>
      </c>
      <c r="U32" s="151" t="e">
        <f>_xll.qlMidSafe($Q32,$R32)</f>
        <v>#NUM!</v>
      </c>
      <c r="V32" s="149"/>
      <c r="W32" s="210" t="e">
        <v>#NUM!</v>
      </c>
      <c r="X32" s="149"/>
      <c r="Y32" s="209" t="e">
        <v>#NUM!</v>
      </c>
      <c r="Z32" s="151" t="e">
        <f>_xll.qlSimpleQuoteSetValue(F32,Y32,Trigger)</f>
        <v>#NUM!</v>
      </c>
      <c r="AA32" s="21"/>
      <c r="AB32" s="12"/>
      <c r="AC32" s="98"/>
      <c r="AD32" s="97">
        <v>27</v>
      </c>
      <c r="AE32" s="95" t="b">
        <v>1</v>
      </c>
      <c r="AF32" s="95" t="str">
        <v>Z8</v>
      </c>
      <c r="AG32" s="140" t="str">
        <f t="shared" si="1"/>
        <v>AUDFUT3MZ8ConvAdj_Quote</v>
      </c>
      <c r="AH32" s="139" t="e">
        <f>_xll.qlFuturesConvAdjustmentQuote(AG32,IborIndex,AF32,F32,Volatility,MeanReversion,Permanent,AND(ISERROR(Z32),ISERROR(FuturesHWConvAdj!Q31:Q32)),ObjectOverwrite)</f>
        <v>#VALUE!</v>
      </c>
      <c r="AI32" s="46" t="str">
        <f ca="1">_xll.ohRangeRetrieveError(AH32)</f>
        <v/>
      </c>
      <c r="AJ32" s="21"/>
    </row>
    <row r="33" spans="1:36" x14ac:dyDescent="0.2">
      <c r="A33" s="98"/>
      <c r="B33" s="97">
        <v>28</v>
      </c>
      <c r="C33" s="96" t="b">
        <v>1</v>
      </c>
      <c r="D33" s="95" t="str">
        <v>H9</v>
      </c>
      <c r="E33" s="94" t="str">
        <f t="shared" si="0"/>
        <v>AUDFUT3MH9_Quote</v>
      </c>
      <c r="F33" s="93" t="str">
        <f>_xll.qlSimpleQuote(E33,,PriceTickValue,Permanent,Trigger,ObjectOverwrite)</f>
        <v>AUDFUT3MH9_Quote#0000</v>
      </c>
      <c r="G33" s="72" t="str">
        <f>_xll.ohRangeRetrieveError(F33)</f>
        <v/>
      </c>
      <c r="H33" s="92"/>
      <c r="J33" s="208"/>
      <c r="K33" s="214">
        <v>28</v>
      </c>
      <c r="L33" s="213" t="b">
        <v>1</v>
      </c>
      <c r="M33" s="147" t="str">
        <v>H9</v>
      </c>
      <c r="N33" s="212">
        <v>43544</v>
      </c>
      <c r="O33" s="147" t="str">
        <v>YBAH9</v>
      </c>
      <c r="P33" s="211">
        <v>43531</v>
      </c>
      <c r="Q33" s="147">
        <v>0</v>
      </c>
      <c r="R33" s="147">
        <v>0</v>
      </c>
      <c r="S33" s="147">
        <v>0</v>
      </c>
      <c r="T33" s="147">
        <v>0</v>
      </c>
      <c r="U33" s="151" t="e">
        <f>_xll.qlMidSafe($Q33,$R33)</f>
        <v>#NUM!</v>
      </c>
      <c r="V33" s="149"/>
      <c r="W33" s="210" t="e">
        <v>#NUM!</v>
      </c>
      <c r="X33" s="149"/>
      <c r="Y33" s="209" t="e">
        <v>#NUM!</v>
      </c>
      <c r="Z33" s="151" t="e">
        <f>_xll.qlSimpleQuoteSetValue(F33,Y33,Trigger)</f>
        <v>#NUM!</v>
      </c>
      <c r="AA33" s="21"/>
      <c r="AB33" s="12"/>
      <c r="AC33" s="98"/>
      <c r="AD33" s="97">
        <v>28</v>
      </c>
      <c r="AE33" s="95" t="b">
        <v>1</v>
      </c>
      <c r="AF33" s="95" t="str">
        <v>H9</v>
      </c>
      <c r="AG33" s="140" t="str">
        <f t="shared" si="1"/>
        <v>AUDFUT3MH9ConvAdj_Quote</v>
      </c>
      <c r="AH33" s="139" t="e">
        <f>_xll.qlFuturesConvAdjustmentQuote(AG33,IborIndex,AF33,F33,Volatility,MeanReversion,Permanent,AND(ISERROR(Z33),ISERROR(FuturesHWConvAdj!Q32:Q33)),ObjectOverwrite)</f>
        <v>#VALUE!</v>
      </c>
      <c r="AI33" s="46" t="str">
        <f ca="1">_xll.ohRangeRetrieveError(AH33)</f>
        <v/>
      </c>
      <c r="AJ33" s="21"/>
    </row>
    <row r="34" spans="1:36" x14ac:dyDescent="0.2">
      <c r="A34" s="98"/>
      <c r="B34" s="97">
        <v>29</v>
      </c>
      <c r="C34" s="96" t="b">
        <v>1</v>
      </c>
      <c r="D34" s="95" t="str">
        <v>M9</v>
      </c>
      <c r="E34" s="94" t="str">
        <f t="shared" si="0"/>
        <v>AUDFUT3MM9_Quote</v>
      </c>
      <c r="F34" s="93" t="str">
        <f>_xll.qlSimpleQuote(E34,,PriceTickValue,Permanent,Trigger,ObjectOverwrite)</f>
        <v>AUDFUT3MM9_Quote#0000</v>
      </c>
      <c r="G34" s="72" t="str">
        <f>_xll.ohRangeRetrieveError(F34)</f>
        <v/>
      </c>
      <c r="H34" s="92"/>
      <c r="J34" s="208"/>
      <c r="K34" s="214">
        <v>29</v>
      </c>
      <c r="L34" s="213" t="b">
        <v>1</v>
      </c>
      <c r="M34" s="147" t="str">
        <v>M9</v>
      </c>
      <c r="N34" s="212">
        <v>43635</v>
      </c>
      <c r="O34" s="147" t="str">
        <v>YBAM9</v>
      </c>
      <c r="P34" s="211">
        <v>43629</v>
      </c>
      <c r="Q34" s="147">
        <v>0</v>
      </c>
      <c r="R34" s="147">
        <v>0</v>
      </c>
      <c r="S34" s="147">
        <v>0</v>
      </c>
      <c r="T34" s="147">
        <v>0</v>
      </c>
      <c r="U34" s="151" t="e">
        <f>_xll.qlMidSafe($Q34,$R34)</f>
        <v>#NUM!</v>
      </c>
      <c r="V34" s="149"/>
      <c r="W34" s="210" t="e">
        <v>#NUM!</v>
      </c>
      <c r="X34" s="149"/>
      <c r="Y34" s="209" t="e">
        <v>#NUM!</v>
      </c>
      <c r="Z34" s="151" t="e">
        <f>_xll.qlSimpleQuoteSetValue(F34,Y34,Trigger)</f>
        <v>#NUM!</v>
      </c>
      <c r="AA34" s="21"/>
      <c r="AB34" s="12"/>
      <c r="AC34" s="98"/>
      <c r="AD34" s="97">
        <v>29</v>
      </c>
      <c r="AE34" s="95" t="b">
        <v>1</v>
      </c>
      <c r="AF34" s="95" t="str">
        <v>M9</v>
      </c>
      <c r="AG34" s="140" t="str">
        <f t="shared" si="1"/>
        <v>AUDFUT3MM9ConvAdj_Quote</v>
      </c>
      <c r="AH34" s="139" t="e">
        <f>_xll.qlFuturesConvAdjustmentQuote(AG34,IborIndex,AF34,F34,Volatility,MeanReversion,Permanent,AND(ISERROR(Z34),ISERROR(FuturesHWConvAdj!Q33:Q34)),ObjectOverwrite)</f>
        <v>#VALUE!</v>
      </c>
      <c r="AI34" s="46" t="str">
        <f ca="1">_xll.ohRangeRetrieveError(AH34)</f>
        <v/>
      </c>
      <c r="AJ34" s="21"/>
    </row>
    <row r="35" spans="1:36" x14ac:dyDescent="0.2">
      <c r="A35" s="98"/>
      <c r="B35" s="97">
        <v>30</v>
      </c>
      <c r="C35" s="96" t="b">
        <v>1</v>
      </c>
      <c r="D35" s="95" t="str">
        <v>U9</v>
      </c>
      <c r="E35" s="94" t="str">
        <f t="shared" si="0"/>
        <v>AUDFUT3MU9_Quote</v>
      </c>
      <c r="F35" s="93" t="str">
        <f>_xll.qlSimpleQuote(E35,,PriceTickValue,Permanent,Trigger,ObjectOverwrite)</f>
        <v>AUDFUT3MU9_Quote#0000</v>
      </c>
      <c r="G35" s="72" t="str">
        <f>_xll.ohRangeRetrieveError(F35)</f>
        <v/>
      </c>
      <c r="H35" s="92"/>
      <c r="J35" s="208"/>
      <c r="K35" s="214">
        <v>30</v>
      </c>
      <c r="L35" s="213" t="b">
        <v>1</v>
      </c>
      <c r="M35" s="147" t="str">
        <v>U9</v>
      </c>
      <c r="N35" s="212">
        <v>43726</v>
      </c>
      <c r="O35" s="147" t="str">
        <v>YBAU9</v>
      </c>
      <c r="P35" s="211" t="s">
        <v>174</v>
      </c>
      <c r="Q35" s="147" t="s">
        <v>174</v>
      </c>
      <c r="R35" s="147" t="s">
        <v>174</v>
      </c>
      <c r="S35" s="147" t="s">
        <v>174</v>
      </c>
      <c r="T35" s="147" t="s">
        <v>174</v>
      </c>
      <c r="U35" s="151" t="e">
        <f>_xll.qlMidSafe($Q35,$R35)</f>
        <v>#NUM!</v>
      </c>
      <c r="V35" s="149"/>
      <c r="W35" s="210" t="e">
        <v>#NUM!</v>
      </c>
      <c r="X35" s="149"/>
      <c r="Y35" s="209" t="e">
        <v>#NUM!</v>
      </c>
      <c r="Z35" s="151" t="e">
        <f>_xll.qlSimpleQuoteSetValue(F35,Y35,Trigger)</f>
        <v>#NUM!</v>
      </c>
      <c r="AA35" s="21"/>
      <c r="AB35" s="12"/>
      <c r="AC35" s="98"/>
      <c r="AD35" s="97">
        <v>30</v>
      </c>
      <c r="AE35" s="95" t="b">
        <v>1</v>
      </c>
      <c r="AF35" s="95" t="str">
        <v>U9</v>
      </c>
      <c r="AG35" s="140" t="str">
        <f t="shared" si="1"/>
        <v>AUDFUT3MU9ConvAdj_Quote</v>
      </c>
      <c r="AH35" s="139" t="e">
        <f>_xll.qlFuturesConvAdjustmentQuote(AG35,IborIndex,AF35,F35,Volatility,MeanReversion,Permanent,AND(ISERROR(Z35),ISERROR(FuturesHWConvAdj!Q34:Q35)),ObjectOverwrite)</f>
        <v>#VALUE!</v>
      </c>
      <c r="AI35" s="46" t="str">
        <f ca="1">_xll.ohRangeRetrieveError(AH35)</f>
        <v/>
      </c>
      <c r="AJ35" s="21"/>
    </row>
    <row r="36" spans="1:36" x14ac:dyDescent="0.2">
      <c r="A36" s="98"/>
      <c r="B36" s="97">
        <v>31</v>
      </c>
      <c r="C36" s="96" t="b">
        <v>1</v>
      </c>
      <c r="D36" s="95" t="str">
        <v>Z9</v>
      </c>
      <c r="E36" s="94" t="str">
        <f t="shared" si="0"/>
        <v>AUDFUT3MZ9_Quote</v>
      </c>
      <c r="F36" s="93" t="str">
        <f>_xll.qlSimpleQuote(E36,,PriceTickValue,Permanent,Trigger,ObjectOverwrite)</f>
        <v>AUDFUT3MZ9_Quote#0000</v>
      </c>
      <c r="G36" s="72" t="str">
        <f>_xll.ohRangeRetrieveError(F36)</f>
        <v/>
      </c>
      <c r="H36" s="92"/>
      <c r="J36" s="208"/>
      <c r="K36" s="214">
        <v>31</v>
      </c>
      <c r="L36" s="213" t="b">
        <v>1</v>
      </c>
      <c r="M36" s="147" t="str">
        <v>Z9</v>
      </c>
      <c r="N36" s="212">
        <v>43817</v>
      </c>
      <c r="O36" s="147" t="str">
        <v>YBAZ9</v>
      </c>
      <c r="P36" s="211" t="s">
        <v>174</v>
      </c>
      <c r="Q36" s="147" t="s">
        <v>174</v>
      </c>
      <c r="R36" s="147" t="s">
        <v>174</v>
      </c>
      <c r="S36" s="147" t="s">
        <v>174</v>
      </c>
      <c r="T36" s="147" t="s">
        <v>174</v>
      </c>
      <c r="U36" s="151" t="e">
        <f>_xll.qlMidSafe($Q36,$R36)</f>
        <v>#NUM!</v>
      </c>
      <c r="V36" s="149"/>
      <c r="W36" s="210" t="e">
        <v>#NUM!</v>
      </c>
      <c r="X36" s="149"/>
      <c r="Y36" s="209" t="e">
        <v>#NUM!</v>
      </c>
      <c r="Z36" s="151" t="e">
        <f>_xll.qlSimpleQuoteSetValue(F36,Y36,Trigger)</f>
        <v>#NUM!</v>
      </c>
      <c r="AA36" s="21"/>
      <c r="AB36" s="12"/>
      <c r="AC36" s="98"/>
      <c r="AD36" s="97">
        <v>31</v>
      </c>
      <c r="AE36" s="95" t="b">
        <v>1</v>
      </c>
      <c r="AF36" s="95" t="str">
        <v>Z9</v>
      </c>
      <c r="AG36" s="140" t="str">
        <f t="shared" si="1"/>
        <v>AUDFUT3MZ9ConvAdj_Quote</v>
      </c>
      <c r="AH36" s="139" t="e">
        <f>_xll.qlFuturesConvAdjustmentQuote(AG36,IborIndex,AF36,F36,Volatility,MeanReversion,Permanent,AND(ISERROR(Z36),ISERROR(FuturesHWConvAdj!Q35:Q36)),ObjectOverwrite)</f>
        <v>#VALUE!</v>
      </c>
      <c r="AI36" s="46" t="str">
        <f ca="1">_xll.ohRangeRetrieveError(AH36)</f>
        <v/>
      </c>
      <c r="AJ36" s="21"/>
    </row>
    <row r="37" spans="1:36" x14ac:dyDescent="0.2">
      <c r="A37" s="98"/>
      <c r="B37" s="97">
        <v>32</v>
      </c>
      <c r="C37" s="96" t="b">
        <v>1</v>
      </c>
      <c r="D37" s="95" t="str">
        <v>H0</v>
      </c>
      <c r="E37" s="94" t="str">
        <f t="shared" si="0"/>
        <v>AUDFUT3MH0_Quote</v>
      </c>
      <c r="F37" s="93" t="str">
        <f>_xll.qlSimpleQuote(E37,,PriceTickValue,Permanent,Trigger,ObjectOverwrite)</f>
        <v>AUDFUT3MH0_Quote#0000</v>
      </c>
      <c r="G37" s="72" t="str">
        <f>_xll.ohRangeRetrieveError(F37)</f>
        <v/>
      </c>
      <c r="H37" s="92"/>
      <c r="J37" s="208"/>
      <c r="K37" s="214">
        <v>32</v>
      </c>
      <c r="L37" s="213" t="b">
        <v>1</v>
      </c>
      <c r="M37" s="147" t="str">
        <v>H0</v>
      </c>
      <c r="N37" s="212">
        <v>43908</v>
      </c>
      <c r="O37" s="147" t="str">
        <v>YBAH0</v>
      </c>
      <c r="P37" s="211" t="s">
        <v>174</v>
      </c>
      <c r="Q37" s="147" t="s">
        <v>174</v>
      </c>
      <c r="R37" s="147" t="s">
        <v>174</v>
      </c>
      <c r="S37" s="147" t="s">
        <v>174</v>
      </c>
      <c r="T37" s="147" t="s">
        <v>174</v>
      </c>
      <c r="U37" s="151" t="e">
        <f>_xll.qlMidSafe($Q37,$R37)</f>
        <v>#NUM!</v>
      </c>
      <c r="V37" s="149"/>
      <c r="W37" s="210" t="e">
        <v>#NUM!</v>
      </c>
      <c r="X37" s="149"/>
      <c r="Y37" s="209" t="e">
        <v>#NUM!</v>
      </c>
      <c r="Z37" s="151" t="e">
        <f>_xll.qlSimpleQuoteSetValue(F37,Y37,Trigger)</f>
        <v>#NUM!</v>
      </c>
      <c r="AA37" s="21"/>
      <c r="AB37" s="12"/>
      <c r="AC37" s="98"/>
      <c r="AD37" s="97">
        <v>32</v>
      </c>
      <c r="AE37" s="95" t="b">
        <v>1</v>
      </c>
      <c r="AF37" s="95" t="str">
        <v>H0</v>
      </c>
      <c r="AG37" s="140" t="str">
        <f t="shared" si="1"/>
        <v>AUDFUT3MH0ConvAdj_Quote</v>
      </c>
      <c r="AH37" s="139" t="e">
        <f>_xll.qlFuturesConvAdjustmentQuote(AG37,IborIndex,AF37,F37,Volatility,MeanReversion,Permanent,AND(ISERROR(Z37),ISERROR(FuturesHWConvAdj!Q36:Q37)),ObjectOverwrite)</f>
        <v>#VALUE!</v>
      </c>
      <c r="AI37" s="46" t="str">
        <f ca="1">_xll.ohRangeRetrieveError(AH37)</f>
        <v/>
      </c>
      <c r="AJ37" s="21"/>
    </row>
    <row r="38" spans="1:36" x14ac:dyDescent="0.2">
      <c r="A38" s="98"/>
      <c r="B38" s="97">
        <v>33</v>
      </c>
      <c r="C38" s="96" t="b">
        <v>1</v>
      </c>
      <c r="D38" s="95" t="str">
        <v>M0</v>
      </c>
      <c r="E38" s="94" t="str">
        <f t="shared" ref="E38:E47" si="2">Currency&amp;$D$4&amp;$E$4&amp;$D38&amp;QuoteSuffix</f>
        <v>AUDFUT3MM0_Quote</v>
      </c>
      <c r="F38" s="93" t="str">
        <f>_xll.qlSimpleQuote(E38,,PriceTickValue,Permanent,Trigger,ObjectOverwrite)</f>
        <v>AUDFUT3MM0_Quote#0000</v>
      </c>
      <c r="G38" s="72" t="str">
        <f>_xll.ohRangeRetrieveError(F38)</f>
        <v/>
      </c>
      <c r="H38" s="92"/>
      <c r="J38" s="208"/>
      <c r="K38" s="214">
        <v>33</v>
      </c>
      <c r="L38" s="213" t="b">
        <v>1</v>
      </c>
      <c r="M38" s="147" t="str">
        <v>M0</v>
      </c>
      <c r="N38" s="212">
        <v>43999</v>
      </c>
      <c r="O38" s="147" t="str">
        <v>YBAM0</v>
      </c>
      <c r="P38" s="211" t="s">
        <v>174</v>
      </c>
      <c r="Q38" s="147" t="s">
        <v>174</v>
      </c>
      <c r="R38" s="147" t="s">
        <v>174</v>
      </c>
      <c r="S38" s="147" t="s">
        <v>174</v>
      </c>
      <c r="T38" s="147" t="s">
        <v>174</v>
      </c>
      <c r="U38" s="151" t="e">
        <f>_xll.qlMidSafe($Q38,$R38)</f>
        <v>#NUM!</v>
      </c>
      <c r="V38" s="149"/>
      <c r="W38" s="210" t="e">
        <v>#NUM!</v>
      </c>
      <c r="X38" s="149"/>
      <c r="Y38" s="209" t="e">
        <v>#NUM!</v>
      </c>
      <c r="Z38" s="151" t="e">
        <f>_xll.qlSimpleQuoteSetValue(F38,Y38,Trigger)</f>
        <v>#NUM!</v>
      </c>
      <c r="AA38" s="21"/>
      <c r="AB38" s="12"/>
      <c r="AC38" s="98"/>
      <c r="AD38" s="97">
        <v>33</v>
      </c>
      <c r="AE38" s="95" t="b">
        <v>1</v>
      </c>
      <c r="AF38" s="95" t="str">
        <v>M0</v>
      </c>
      <c r="AG38" s="140" t="str">
        <f t="shared" si="1"/>
        <v>AUDFUT3MM0ConvAdj_Quote</v>
      </c>
      <c r="AH38" s="139" t="e">
        <f>_xll.qlFuturesConvAdjustmentQuote(AG38,IborIndex,AF38,F38,Volatility,MeanReversion,Permanent,AND(ISERROR(Z38),ISERROR(FuturesHWConvAdj!Q37:Q38)),ObjectOverwrite)</f>
        <v>#VALUE!</v>
      </c>
      <c r="AI38" s="46" t="str">
        <f ca="1">_xll.ohRangeRetrieveError(AH38)</f>
        <v/>
      </c>
      <c r="AJ38" s="21"/>
    </row>
    <row r="39" spans="1:36" x14ac:dyDescent="0.2">
      <c r="A39" s="98"/>
      <c r="B39" s="97">
        <v>34</v>
      </c>
      <c r="C39" s="96" t="b">
        <v>1</v>
      </c>
      <c r="D39" s="95" t="str">
        <v>U0</v>
      </c>
      <c r="E39" s="94" t="str">
        <f t="shared" si="2"/>
        <v>AUDFUT3MU0_Quote</v>
      </c>
      <c r="F39" s="93" t="str">
        <f>_xll.qlSimpleQuote(E39,,PriceTickValue,Permanent,Trigger,ObjectOverwrite)</f>
        <v>AUDFUT3MU0_Quote#0000</v>
      </c>
      <c r="G39" s="72" t="str">
        <f>_xll.ohRangeRetrieveError(F39)</f>
        <v/>
      </c>
      <c r="H39" s="92"/>
      <c r="J39" s="208"/>
      <c r="K39" s="214">
        <v>34</v>
      </c>
      <c r="L39" s="213" t="b">
        <v>1</v>
      </c>
      <c r="M39" s="147" t="str">
        <v>U0</v>
      </c>
      <c r="N39" s="212">
        <v>44090</v>
      </c>
      <c r="O39" s="147" t="str">
        <v>YBAU0</v>
      </c>
      <c r="P39" s="211" t="s">
        <v>174</v>
      </c>
      <c r="Q39" s="147" t="s">
        <v>174</v>
      </c>
      <c r="R39" s="147" t="s">
        <v>174</v>
      </c>
      <c r="S39" s="147" t="s">
        <v>174</v>
      </c>
      <c r="T39" s="147" t="s">
        <v>174</v>
      </c>
      <c r="U39" s="151" t="e">
        <f>_xll.qlMidSafe($Q39,$R39)</f>
        <v>#NUM!</v>
      </c>
      <c r="V39" s="149"/>
      <c r="W39" s="210" t="e">
        <v>#NUM!</v>
      </c>
      <c r="X39" s="149"/>
      <c r="Y39" s="209" t="e">
        <v>#NUM!</v>
      </c>
      <c r="Z39" s="151" t="e">
        <f>_xll.qlSimpleQuoteSetValue(F39,Y39,Trigger)</f>
        <v>#NUM!</v>
      </c>
      <c r="AA39" s="21"/>
      <c r="AB39" s="12"/>
      <c r="AC39" s="98"/>
      <c r="AD39" s="97">
        <v>34</v>
      </c>
      <c r="AE39" s="95" t="b">
        <v>1</v>
      </c>
      <c r="AF39" s="95" t="str">
        <v>U0</v>
      </c>
      <c r="AG39" s="140" t="str">
        <f t="shared" si="1"/>
        <v>AUDFUT3MU0ConvAdj_Quote</v>
      </c>
      <c r="AH39" s="139" t="e">
        <f>_xll.qlFuturesConvAdjustmentQuote(AG39,IborIndex,AF39,F39,Volatility,MeanReversion,Permanent,AND(ISERROR(Z39),ISERROR(FuturesHWConvAdj!Q38:Q39)),ObjectOverwrite)</f>
        <v>#VALUE!</v>
      </c>
      <c r="AI39" s="46" t="str">
        <f ca="1">_xll.ohRangeRetrieveError(AH39)</f>
        <v/>
      </c>
      <c r="AJ39" s="21"/>
    </row>
    <row r="40" spans="1:36" x14ac:dyDescent="0.2">
      <c r="A40" s="98"/>
      <c r="B40" s="97">
        <v>35</v>
      </c>
      <c r="C40" s="96" t="b">
        <v>1</v>
      </c>
      <c r="D40" s="95" t="str">
        <v>Z0</v>
      </c>
      <c r="E40" s="94" t="str">
        <f t="shared" si="2"/>
        <v>AUDFUT3MZ0_Quote</v>
      </c>
      <c r="F40" s="93" t="str">
        <f>_xll.qlSimpleQuote(E40,,PriceTickValue,Permanent,Trigger,ObjectOverwrite)</f>
        <v>AUDFUT3MZ0_Quote#0000</v>
      </c>
      <c r="G40" s="72" t="str">
        <f>_xll.ohRangeRetrieveError(F40)</f>
        <v/>
      </c>
      <c r="H40" s="92"/>
      <c r="J40" s="208"/>
      <c r="K40" s="214">
        <v>35</v>
      </c>
      <c r="L40" s="213" t="b">
        <v>1</v>
      </c>
      <c r="M40" s="147" t="str">
        <v>Z0</v>
      </c>
      <c r="N40" s="212">
        <v>44181</v>
      </c>
      <c r="O40" s="147" t="str">
        <v>YBAZ0</v>
      </c>
      <c r="P40" s="211" t="s">
        <v>174</v>
      </c>
      <c r="Q40" s="147" t="s">
        <v>174</v>
      </c>
      <c r="R40" s="147" t="s">
        <v>174</v>
      </c>
      <c r="S40" s="147" t="s">
        <v>174</v>
      </c>
      <c r="T40" s="147" t="s">
        <v>174</v>
      </c>
      <c r="U40" s="151" t="e">
        <f>_xll.qlMidSafe($Q40,$R40)</f>
        <v>#NUM!</v>
      </c>
      <c r="V40" s="149"/>
      <c r="W40" s="210" t="e">
        <v>#NUM!</v>
      </c>
      <c r="X40" s="149"/>
      <c r="Y40" s="209" t="e">
        <v>#NUM!</v>
      </c>
      <c r="Z40" s="151" t="e">
        <f>_xll.qlSimpleQuoteSetValue(F40,Y40,Trigger)</f>
        <v>#NUM!</v>
      </c>
      <c r="AA40" s="21"/>
      <c r="AB40" s="12"/>
      <c r="AC40" s="98"/>
      <c r="AD40" s="97">
        <v>35</v>
      </c>
      <c r="AE40" s="95" t="b">
        <v>1</v>
      </c>
      <c r="AF40" s="95" t="str">
        <v>Z0</v>
      </c>
      <c r="AG40" s="140" t="str">
        <f t="shared" si="1"/>
        <v>AUDFUT3MZ0ConvAdj_Quote</v>
      </c>
      <c r="AH40" s="139" t="e">
        <f>_xll.qlFuturesConvAdjustmentQuote(AG40,IborIndex,AF40,F40,Volatility,MeanReversion,Permanent,AND(ISERROR(Z40),ISERROR(FuturesHWConvAdj!Q39:Q40)),ObjectOverwrite)</f>
        <v>#VALUE!</v>
      </c>
      <c r="AI40" s="46" t="str">
        <f ca="1">_xll.ohRangeRetrieveError(AH40)</f>
        <v/>
      </c>
      <c r="AJ40" s="21"/>
    </row>
    <row r="41" spans="1:36" x14ac:dyDescent="0.2">
      <c r="A41" s="98"/>
      <c r="B41" s="97">
        <v>36</v>
      </c>
      <c r="C41" s="96" t="b">
        <v>1</v>
      </c>
      <c r="D41" s="95" t="str">
        <v>H1</v>
      </c>
      <c r="E41" s="94" t="str">
        <f t="shared" si="2"/>
        <v>AUDFUT3MH1_Quote</v>
      </c>
      <c r="F41" s="93" t="str">
        <f>_xll.qlSimpleQuote(E41,,PriceTickValue,Permanent,Trigger,ObjectOverwrite)</f>
        <v>AUDFUT3MH1_Quote#0000</v>
      </c>
      <c r="G41" s="72" t="str">
        <f>_xll.ohRangeRetrieveError(F41)</f>
        <v/>
      </c>
      <c r="H41" s="92"/>
      <c r="J41" s="208"/>
      <c r="K41" s="214">
        <v>36</v>
      </c>
      <c r="L41" s="213" t="b">
        <v>1</v>
      </c>
      <c r="M41" s="147" t="str">
        <v>H1</v>
      </c>
      <c r="N41" s="212">
        <v>44272</v>
      </c>
      <c r="O41" s="147" t="str">
        <v>YBAH1</v>
      </c>
      <c r="P41" s="211" t="s">
        <v>174</v>
      </c>
      <c r="Q41" s="147" t="s">
        <v>174</v>
      </c>
      <c r="R41" s="147" t="s">
        <v>174</v>
      </c>
      <c r="S41" s="147" t="s">
        <v>174</v>
      </c>
      <c r="T41" s="147" t="s">
        <v>174</v>
      </c>
      <c r="U41" s="151" t="e">
        <f>_xll.qlMidSafe($Q41,$R41)</f>
        <v>#NUM!</v>
      </c>
      <c r="V41" s="149"/>
      <c r="W41" s="210" t="e">
        <v>#NUM!</v>
      </c>
      <c r="X41" s="149"/>
      <c r="Y41" s="209" t="e">
        <v>#NUM!</v>
      </c>
      <c r="Z41" s="151" t="e">
        <f>_xll.qlSimpleQuoteSetValue(F41,Y41,Trigger)</f>
        <v>#NUM!</v>
      </c>
      <c r="AA41" s="21"/>
      <c r="AB41" s="12"/>
      <c r="AC41" s="98"/>
      <c r="AD41" s="97">
        <v>36</v>
      </c>
      <c r="AE41" s="95" t="b">
        <v>1</v>
      </c>
      <c r="AF41" s="95" t="str">
        <v>H1</v>
      </c>
      <c r="AG41" s="140" t="str">
        <f t="shared" si="1"/>
        <v>AUDFUT3MH1ConvAdj_Quote</v>
      </c>
      <c r="AH41" s="139" t="e">
        <f>_xll.qlFuturesConvAdjustmentQuote(AG41,IborIndex,AF41,F41,Volatility,MeanReversion,Permanent,AND(ISERROR(Z41),ISERROR(FuturesHWConvAdj!Q40:Q41)),ObjectOverwrite)</f>
        <v>#VALUE!</v>
      </c>
      <c r="AI41" s="46" t="str">
        <f ca="1">_xll.ohRangeRetrieveError(AH41)</f>
        <v/>
      </c>
      <c r="AJ41" s="21"/>
    </row>
    <row r="42" spans="1:36" x14ac:dyDescent="0.2">
      <c r="A42" s="98"/>
      <c r="B42" s="97">
        <v>37</v>
      </c>
      <c r="C42" s="96" t="b">
        <v>1</v>
      </c>
      <c r="D42" s="95" t="str">
        <v>M1</v>
      </c>
      <c r="E42" s="94" t="str">
        <f t="shared" si="2"/>
        <v>AUDFUT3MM1_Quote</v>
      </c>
      <c r="F42" s="93" t="str">
        <f>_xll.qlSimpleQuote(E42,,PriceTickValue,Permanent,Trigger,ObjectOverwrite)</f>
        <v>AUDFUT3MM1_Quote#0000</v>
      </c>
      <c r="G42" s="72" t="str">
        <f>_xll.ohRangeRetrieveError(F42)</f>
        <v/>
      </c>
      <c r="H42" s="92"/>
      <c r="J42" s="208"/>
      <c r="K42" s="214">
        <v>37</v>
      </c>
      <c r="L42" s="213" t="b">
        <v>1</v>
      </c>
      <c r="M42" s="147" t="str">
        <v>M1</v>
      </c>
      <c r="N42" s="212">
        <v>44363</v>
      </c>
      <c r="O42" s="147" t="str">
        <v>YBAM1</v>
      </c>
      <c r="P42" s="211" t="s">
        <v>174</v>
      </c>
      <c r="Q42" s="147" t="s">
        <v>174</v>
      </c>
      <c r="R42" s="147" t="s">
        <v>174</v>
      </c>
      <c r="S42" s="147" t="s">
        <v>174</v>
      </c>
      <c r="T42" s="147" t="s">
        <v>174</v>
      </c>
      <c r="U42" s="151" t="e">
        <f>_xll.qlMidSafe($Q42,$R42)</f>
        <v>#NUM!</v>
      </c>
      <c r="V42" s="149"/>
      <c r="W42" s="210" t="e">
        <v>#NUM!</v>
      </c>
      <c r="X42" s="149"/>
      <c r="Y42" s="209" t="e">
        <v>#NUM!</v>
      </c>
      <c r="Z42" s="151" t="e">
        <f>_xll.qlSimpleQuoteSetValue(F42,Y42,Trigger)</f>
        <v>#NUM!</v>
      </c>
      <c r="AA42" s="21"/>
      <c r="AB42" s="12"/>
      <c r="AC42" s="98"/>
      <c r="AD42" s="97">
        <v>37</v>
      </c>
      <c r="AE42" s="95" t="b">
        <v>1</v>
      </c>
      <c r="AF42" s="95" t="str">
        <v>M1</v>
      </c>
      <c r="AG42" s="140" t="str">
        <f t="shared" si="1"/>
        <v>AUDFUT3MM1ConvAdj_Quote</v>
      </c>
      <c r="AH42" s="139" t="e">
        <f>_xll.qlFuturesConvAdjustmentQuote(AG42,IborIndex,AF42,F42,Volatility,MeanReversion,Permanent,AND(ISERROR(Z42),ISERROR(FuturesHWConvAdj!Q41:Q42)),ObjectOverwrite)</f>
        <v>#VALUE!</v>
      </c>
      <c r="AI42" s="46" t="str">
        <f ca="1">_xll.ohRangeRetrieveError(AH42)</f>
        <v/>
      </c>
      <c r="AJ42" s="21"/>
    </row>
    <row r="43" spans="1:36" x14ac:dyDescent="0.2">
      <c r="A43" s="98"/>
      <c r="B43" s="97">
        <v>38</v>
      </c>
      <c r="C43" s="96" t="b">
        <v>1</v>
      </c>
      <c r="D43" s="95" t="str">
        <v>U1</v>
      </c>
      <c r="E43" s="94" t="str">
        <f t="shared" si="2"/>
        <v>AUDFUT3MU1_Quote</v>
      </c>
      <c r="F43" s="93" t="str">
        <f>_xll.qlSimpleQuote(E43,,PriceTickValue,Permanent,Trigger,ObjectOverwrite)</f>
        <v>AUDFUT3MU1_Quote#0000</v>
      </c>
      <c r="G43" s="72" t="str">
        <f>_xll.ohRangeRetrieveError(F43)</f>
        <v/>
      </c>
      <c r="H43" s="92"/>
      <c r="J43" s="208"/>
      <c r="K43" s="214">
        <v>38</v>
      </c>
      <c r="L43" s="213" t="b">
        <v>1</v>
      </c>
      <c r="M43" s="147" t="str">
        <v>U1</v>
      </c>
      <c r="N43" s="212">
        <v>44454</v>
      </c>
      <c r="O43" s="147" t="str">
        <v>YBAU1</v>
      </c>
      <c r="P43" s="211" t="s">
        <v>174</v>
      </c>
      <c r="Q43" s="147" t="s">
        <v>174</v>
      </c>
      <c r="R43" s="147" t="s">
        <v>174</v>
      </c>
      <c r="S43" s="147" t="s">
        <v>174</v>
      </c>
      <c r="T43" s="147" t="s">
        <v>174</v>
      </c>
      <c r="U43" s="151" t="e">
        <f>_xll.qlMidSafe($Q43,$R43)</f>
        <v>#NUM!</v>
      </c>
      <c r="V43" s="149"/>
      <c r="W43" s="210" t="e">
        <v>#NUM!</v>
      </c>
      <c r="X43" s="149"/>
      <c r="Y43" s="209" t="e">
        <v>#NUM!</v>
      </c>
      <c r="Z43" s="151" t="e">
        <f>_xll.qlSimpleQuoteSetValue(F43,Y43,Trigger)</f>
        <v>#NUM!</v>
      </c>
      <c r="AA43" s="21"/>
      <c r="AB43" s="12"/>
      <c r="AC43" s="98"/>
      <c r="AD43" s="97">
        <v>38</v>
      </c>
      <c r="AE43" s="95" t="b">
        <v>1</v>
      </c>
      <c r="AF43" s="95" t="str">
        <v>U1</v>
      </c>
      <c r="AG43" s="140" t="str">
        <f t="shared" si="1"/>
        <v>AUDFUT3MU1ConvAdj_Quote</v>
      </c>
      <c r="AH43" s="139" t="e">
        <f>_xll.qlFuturesConvAdjustmentQuote(AG43,IborIndex,AF43,F43,Volatility,MeanReversion,Permanent,AND(ISERROR(Z43),ISERROR(FuturesHWConvAdj!Q42:Q43)),ObjectOverwrite)</f>
        <v>#VALUE!</v>
      </c>
      <c r="AI43" s="46" t="str">
        <f ca="1">_xll.ohRangeRetrieveError(AH43)</f>
        <v/>
      </c>
      <c r="AJ43" s="21"/>
    </row>
    <row r="44" spans="1:36" x14ac:dyDescent="0.2">
      <c r="A44" s="98"/>
      <c r="B44" s="97">
        <v>39</v>
      </c>
      <c r="C44" s="96" t="b">
        <v>1</v>
      </c>
      <c r="D44" s="95" t="str">
        <v>Z1</v>
      </c>
      <c r="E44" s="94" t="str">
        <f t="shared" si="2"/>
        <v>AUDFUT3MZ1_Quote</v>
      </c>
      <c r="F44" s="93" t="str">
        <f>_xll.qlSimpleQuote(E44,,PriceTickValue,Permanent,Trigger,ObjectOverwrite)</f>
        <v>AUDFUT3MZ1_Quote#0000</v>
      </c>
      <c r="G44" s="72" t="str">
        <f>_xll.ohRangeRetrieveError(F44)</f>
        <v/>
      </c>
      <c r="H44" s="92"/>
      <c r="J44" s="208"/>
      <c r="K44" s="214">
        <v>39</v>
      </c>
      <c r="L44" s="213" t="b">
        <v>1</v>
      </c>
      <c r="M44" s="147" t="str">
        <v>Z1</v>
      </c>
      <c r="N44" s="212">
        <v>44545</v>
      </c>
      <c r="O44" s="147" t="str">
        <v>YBAZ1</v>
      </c>
      <c r="P44" s="211" t="s">
        <v>174</v>
      </c>
      <c r="Q44" s="147" t="s">
        <v>174</v>
      </c>
      <c r="R44" s="147" t="s">
        <v>174</v>
      </c>
      <c r="S44" s="147" t="s">
        <v>174</v>
      </c>
      <c r="T44" s="147" t="s">
        <v>174</v>
      </c>
      <c r="U44" s="151" t="e">
        <f>_xll.qlMidSafe($Q44,$R44)</f>
        <v>#NUM!</v>
      </c>
      <c r="V44" s="149"/>
      <c r="W44" s="210" t="e">
        <v>#NUM!</v>
      </c>
      <c r="X44" s="149"/>
      <c r="Y44" s="209" t="e">
        <v>#NUM!</v>
      </c>
      <c r="Z44" s="151" t="e">
        <f>_xll.qlSimpleQuoteSetValue(F44,Y44,Trigger)</f>
        <v>#NUM!</v>
      </c>
      <c r="AA44" s="21"/>
      <c r="AB44" s="12"/>
      <c r="AC44" s="98"/>
      <c r="AD44" s="97">
        <v>39</v>
      </c>
      <c r="AE44" s="95" t="b">
        <v>1</v>
      </c>
      <c r="AF44" s="95" t="str">
        <v>Z1</v>
      </c>
      <c r="AG44" s="140" t="str">
        <f t="shared" si="1"/>
        <v>AUDFUT3MZ1ConvAdj_Quote</v>
      </c>
      <c r="AH44" s="139" t="e">
        <f>_xll.qlFuturesConvAdjustmentQuote(AG44,IborIndex,AF44,F44,Volatility,MeanReversion,Permanent,AND(ISERROR(Z44),ISERROR(FuturesHWConvAdj!Q43:Q44)),ObjectOverwrite)</f>
        <v>#VALUE!</v>
      </c>
      <c r="AI44" s="46" t="str">
        <f ca="1">_xll.ohRangeRetrieveError(AH44)</f>
        <v/>
      </c>
      <c r="AJ44" s="21"/>
    </row>
    <row r="45" spans="1:36" x14ac:dyDescent="0.2">
      <c r="A45" s="98"/>
      <c r="B45" s="97">
        <v>40</v>
      </c>
      <c r="C45" s="96" t="b">
        <v>1</v>
      </c>
      <c r="D45" s="95" t="str">
        <v>H2</v>
      </c>
      <c r="E45" s="94" t="str">
        <f t="shared" si="2"/>
        <v>AUDFUT3MH2_Quote</v>
      </c>
      <c r="F45" s="93" t="str">
        <f>_xll.qlSimpleQuote(E45,,PriceTickValue,Permanent,Trigger,ObjectOverwrite)</f>
        <v>AUDFUT3MH2_Quote#0000</v>
      </c>
      <c r="G45" s="72" t="str">
        <f>_xll.ohRangeRetrieveError(F45)</f>
        <v/>
      </c>
      <c r="H45" s="92"/>
      <c r="J45" s="208"/>
      <c r="K45" s="214">
        <v>40</v>
      </c>
      <c r="L45" s="213" t="b">
        <v>1</v>
      </c>
      <c r="M45" s="147" t="str">
        <v>H2</v>
      </c>
      <c r="N45" s="212">
        <v>44636</v>
      </c>
      <c r="O45" s="147" t="str">
        <v>YBAH2</v>
      </c>
      <c r="P45" s="211" t="s">
        <v>174</v>
      </c>
      <c r="Q45" s="147" t="s">
        <v>174</v>
      </c>
      <c r="R45" s="147" t="s">
        <v>174</v>
      </c>
      <c r="S45" s="147" t="s">
        <v>174</v>
      </c>
      <c r="T45" s="147" t="s">
        <v>174</v>
      </c>
      <c r="U45" s="151" t="e">
        <f>_xll.qlMidSafe($Q45,$R45)</f>
        <v>#NUM!</v>
      </c>
      <c r="V45" s="149"/>
      <c r="W45" s="210" t="e">
        <v>#NUM!</v>
      </c>
      <c r="X45" s="149"/>
      <c r="Y45" s="209" t="e">
        <v>#NUM!</v>
      </c>
      <c r="Z45" s="151" t="e">
        <f>_xll.qlSimpleQuoteSetValue(F45,Y45,Trigger)</f>
        <v>#NUM!</v>
      </c>
      <c r="AA45" s="21"/>
      <c r="AB45" s="12"/>
      <c r="AC45" s="98"/>
      <c r="AD45" s="97">
        <v>40</v>
      </c>
      <c r="AE45" s="95" t="b">
        <v>1</v>
      </c>
      <c r="AF45" s="95" t="str">
        <v>H2</v>
      </c>
      <c r="AG45" s="140" t="str">
        <f t="shared" si="1"/>
        <v>AUDFUT3MH2ConvAdj_Quote</v>
      </c>
      <c r="AH45" s="139" t="e">
        <f>_xll.qlFuturesConvAdjustmentQuote(AG45,IborIndex,AF45,F45,Volatility,MeanReversion,Permanent,AND(ISERROR(Z45),ISERROR(FuturesHWConvAdj!Q44:Q45)),ObjectOverwrite)</f>
        <v>#VALUE!</v>
      </c>
      <c r="AI45" s="46" t="str">
        <f ca="1">_xll.ohRangeRetrieveError(AH45)</f>
        <v/>
      </c>
      <c r="AJ45" s="21"/>
    </row>
    <row r="46" spans="1:36" x14ac:dyDescent="0.2">
      <c r="A46" s="98"/>
      <c r="B46" s="97">
        <v>41</v>
      </c>
      <c r="C46" s="96" t="b">
        <v>1</v>
      </c>
      <c r="D46" s="95" t="str">
        <v>M2</v>
      </c>
      <c r="E46" s="94" t="str">
        <f t="shared" si="2"/>
        <v>AUDFUT3MM2_Quote</v>
      </c>
      <c r="F46" s="93" t="str">
        <f>_xll.qlSimpleQuote(E46,,PriceTickValue,Permanent,Trigger,ObjectOverwrite)</f>
        <v>AUDFUT3MM2_Quote#0000</v>
      </c>
      <c r="G46" s="72" t="str">
        <f>_xll.ohRangeRetrieveError(F46)</f>
        <v/>
      </c>
      <c r="H46" s="92"/>
      <c r="J46" s="208"/>
      <c r="K46" s="214">
        <v>41</v>
      </c>
      <c r="L46" s="213" t="b">
        <v>1</v>
      </c>
      <c r="M46" s="147" t="str">
        <v>M2</v>
      </c>
      <c r="N46" s="212">
        <v>44727</v>
      </c>
      <c r="O46" s="147" t="str">
        <v>YBAM2</v>
      </c>
      <c r="P46" s="211" t="s">
        <v>174</v>
      </c>
      <c r="Q46" s="147" t="s">
        <v>174</v>
      </c>
      <c r="R46" s="147" t="s">
        <v>174</v>
      </c>
      <c r="S46" s="147" t="s">
        <v>174</v>
      </c>
      <c r="T46" s="147" t="s">
        <v>174</v>
      </c>
      <c r="U46" s="151" t="e">
        <f>_xll.qlMidSafe($Q46,$R46)</f>
        <v>#NUM!</v>
      </c>
      <c r="V46" s="149"/>
      <c r="W46" s="210" t="e">
        <v>#NUM!</v>
      </c>
      <c r="X46" s="149"/>
      <c r="Y46" s="209" t="e">
        <v>#NUM!</v>
      </c>
      <c r="Z46" s="151" t="e">
        <f>_xll.qlSimpleQuoteSetValue(F46,Y46,Trigger)</f>
        <v>#NUM!</v>
      </c>
      <c r="AA46" s="21"/>
      <c r="AB46" s="12"/>
      <c r="AC46" s="98"/>
      <c r="AD46" s="97">
        <v>41</v>
      </c>
      <c r="AE46" s="95" t="b">
        <v>1</v>
      </c>
      <c r="AF46" s="95" t="str">
        <v>M2</v>
      </c>
      <c r="AG46" s="140" t="str">
        <f t="shared" si="1"/>
        <v>AUDFUT3MM2ConvAdj_Quote</v>
      </c>
      <c r="AH46" s="139" t="e">
        <f>_xll.qlFuturesConvAdjustmentQuote(AG46,IborIndex,AF46,F46,Volatility,MeanReversion,Permanent,AND(ISERROR(Z46),ISERROR(FuturesHWConvAdj!Q45:Q46)),ObjectOverwrite)</f>
        <v>#VALUE!</v>
      </c>
      <c r="AI46" s="46" t="str">
        <f ca="1">_xll.ohRangeRetrieveError(AH46)</f>
        <v/>
      </c>
      <c r="AJ46" s="21"/>
    </row>
    <row r="47" spans="1:36" x14ac:dyDescent="0.2">
      <c r="A47" s="98"/>
      <c r="B47" s="97">
        <v>42</v>
      </c>
      <c r="C47" s="96" t="b">
        <v>1</v>
      </c>
      <c r="D47" s="95" t="str">
        <v>U2</v>
      </c>
      <c r="E47" s="94" t="str">
        <f t="shared" si="2"/>
        <v>AUDFUT3MU2_Quote</v>
      </c>
      <c r="F47" s="93" t="str">
        <f>_xll.qlSimpleQuote(E47,,PriceTickValue,Permanent,Trigger,ObjectOverwrite)</f>
        <v>AUDFUT3MU2_Quote#0000</v>
      </c>
      <c r="G47" s="72" t="str">
        <f>_xll.ohRangeRetrieveError(F47)</f>
        <v/>
      </c>
      <c r="H47" s="92"/>
      <c r="J47" s="208"/>
      <c r="K47" s="207">
        <v>42</v>
      </c>
      <c r="L47" s="206" t="b">
        <v>1</v>
      </c>
      <c r="M47" s="160" t="str">
        <v>U2</v>
      </c>
      <c r="N47" s="205">
        <v>44825</v>
      </c>
      <c r="O47" s="160" t="str">
        <v>YBAU2</v>
      </c>
      <c r="P47" s="204" t="s">
        <v>174</v>
      </c>
      <c r="Q47" s="160" t="s">
        <v>174</v>
      </c>
      <c r="R47" s="160" t="s">
        <v>174</v>
      </c>
      <c r="S47" s="160" t="s">
        <v>174</v>
      </c>
      <c r="T47" s="160" t="s">
        <v>174</v>
      </c>
      <c r="U47" s="162" t="e">
        <f>_xll.qlMidSafe($Q47,$R47)</f>
        <v>#NUM!</v>
      </c>
      <c r="V47" s="149"/>
      <c r="W47" s="203" t="e">
        <v>#NUM!</v>
      </c>
      <c r="X47" s="149"/>
      <c r="Y47" s="202" t="e">
        <v>#NUM!</v>
      </c>
      <c r="Z47" s="162" t="e">
        <f>_xll.qlSimpleQuoteSetValue(F47,Y47,Trigger)</f>
        <v>#NUM!</v>
      </c>
      <c r="AA47" s="21"/>
      <c r="AB47" s="12"/>
      <c r="AC47" s="98"/>
      <c r="AD47" s="97">
        <v>42</v>
      </c>
      <c r="AE47" s="95" t="b">
        <v>1</v>
      </c>
      <c r="AF47" s="95" t="str">
        <v>U2</v>
      </c>
      <c r="AG47" s="140" t="str">
        <f t="shared" si="1"/>
        <v>AUDFUT3MU2ConvAdj_Quote</v>
      </c>
      <c r="AH47" s="139" t="e">
        <f>_xll.qlFuturesConvAdjustmentQuote(AG47,IborIndex,AF47,F47,Volatility,MeanReversion,Permanent,AND(ISERROR(Z47),ISERROR(FuturesHWConvAdj!Q46:Q47)),ObjectOverwrite)</f>
        <v>#VALUE!</v>
      </c>
      <c r="AI47" s="46" t="str">
        <f ca="1">_xll.ohRangeRetrieveError(AH47)</f>
        <v/>
      </c>
      <c r="AJ47" s="21"/>
    </row>
    <row r="48" spans="1:36" ht="12" thickBot="1" x14ac:dyDescent="0.25">
      <c r="A48" s="91"/>
      <c r="B48" s="90"/>
      <c r="C48" s="90"/>
      <c r="D48" s="90"/>
      <c r="E48" s="90"/>
      <c r="F48" s="90"/>
      <c r="G48" s="90"/>
      <c r="H48" s="89"/>
      <c r="J48" s="201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8"/>
      <c r="AB48" s="12"/>
      <c r="AC48" s="91"/>
      <c r="AD48" s="90"/>
      <c r="AE48" s="90"/>
      <c r="AF48" s="90"/>
      <c r="AG48" s="90"/>
      <c r="AH48" s="90"/>
      <c r="AI48" s="90"/>
      <c r="AJ48" s="18"/>
    </row>
  </sheetData>
  <conditionalFormatting sqref="Z6:Z47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70" customWidth="1"/>
    <col min="2" max="2" width="25.5703125" style="70" bestFit="1" customWidth="1"/>
    <col min="3" max="3" width="27.7109375" style="70" bestFit="1" customWidth="1"/>
    <col min="4" max="4" width="23.28515625" style="70" customWidth="1"/>
    <col min="5" max="7" width="2.7109375" style="70" customWidth="1"/>
    <col min="8" max="8" width="14.140625" style="70" bestFit="1" customWidth="1"/>
    <col min="9" max="9" width="9.140625" style="70"/>
    <col min="10" max="10" width="2.7109375" style="70" customWidth="1"/>
    <col min="11" max="11" width="11.7109375" style="70" bestFit="1" customWidth="1"/>
    <col min="12" max="12" width="9.140625" style="70"/>
    <col min="13" max="13" width="2.7109375" style="70" customWidth="1"/>
    <col min="14" max="14" width="9.140625" style="70"/>
    <col min="15" max="15" width="2.7109375" style="70" customWidth="1"/>
    <col min="16" max="17" width="9.140625" style="70"/>
    <col min="18" max="19" width="2.7109375" style="70" customWidth="1"/>
    <col min="20" max="16384" width="9.140625" style="70"/>
  </cols>
  <sheetData>
    <row r="1" spans="1:22" x14ac:dyDescent="0.2">
      <c r="G1" s="182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4"/>
      <c r="S1" s="12"/>
      <c r="T1" s="12"/>
      <c r="U1" s="12"/>
      <c r="V1" s="12"/>
    </row>
    <row r="2" spans="1:22" x14ac:dyDescent="0.2">
      <c r="G2" s="181"/>
      <c r="H2" s="95" t="s">
        <v>175</v>
      </c>
      <c r="I2" s="88"/>
      <c r="J2" s="88"/>
      <c r="K2" s="88"/>
      <c r="L2" s="88"/>
      <c r="M2" s="88"/>
      <c r="N2" s="88"/>
      <c r="O2" s="88"/>
      <c r="P2" s="88"/>
      <c r="Q2" s="88"/>
      <c r="R2" s="21"/>
      <c r="S2" s="12"/>
      <c r="T2" s="12"/>
      <c r="U2" s="12"/>
      <c r="V2" s="12"/>
    </row>
    <row r="3" spans="1:22" x14ac:dyDescent="0.2">
      <c r="A3" s="80"/>
      <c r="B3" s="79"/>
      <c r="C3" s="79"/>
      <c r="D3" s="79"/>
      <c r="E3" s="78"/>
      <c r="G3" s="181"/>
      <c r="H3" s="88"/>
      <c r="I3" s="88"/>
      <c r="J3" s="88"/>
      <c r="K3" s="88"/>
      <c r="L3" s="88"/>
      <c r="M3" s="88"/>
      <c r="N3" s="88"/>
      <c r="O3" s="88"/>
      <c r="P3" s="88"/>
      <c r="Q3" s="178">
        <f>_xll.ohTrigger(Q5:Q9)</f>
        <v>2</v>
      </c>
      <c r="R3" s="21"/>
      <c r="S3" s="12"/>
      <c r="T3" s="12"/>
      <c r="U3" s="12" t="s">
        <v>82</v>
      </c>
      <c r="V3" s="12"/>
    </row>
    <row r="4" spans="1:22" ht="13.5" thickBot="1" x14ac:dyDescent="0.25">
      <c r="A4" s="115"/>
      <c r="B4" s="16" t="str">
        <f>Currency&amp;"_010_"&amp;"FuturesHWConvAdj.xml"</f>
        <v>AUD_010_FuturesHWConvAdj.xml</v>
      </c>
      <c r="C4" s="6" t="str">
        <f>IF(Serialize,_xll.ohObjectSave(C5:C6,SerializationPath&amp;B4,FileOverwrite,Serialize),"---")</f>
        <v>---</v>
      </c>
      <c r="D4" s="72" t="str">
        <f>_xll.ohRangeRetrieveError(C4)</f>
        <v/>
      </c>
      <c r="E4" s="113"/>
      <c r="G4" s="181"/>
      <c r="H4" s="222" t="str">
        <f>_xll.RData(H5,I4,"RTFEED:IDN",ReutersRtMode,,I5)</f>
        <v>#N/A</v>
      </c>
      <c r="I4" s="249" t="s">
        <v>163</v>
      </c>
      <c r="J4" s="240"/>
      <c r="K4" s="476" t="s">
        <v>205</v>
      </c>
      <c r="L4" s="477"/>
      <c r="M4" s="240"/>
      <c r="N4" s="176" t="s">
        <v>192</v>
      </c>
      <c r="O4" s="238"/>
      <c r="P4" s="352" t="s">
        <v>190</v>
      </c>
      <c r="Q4" s="177" t="s">
        <v>189</v>
      </c>
      <c r="R4" s="21"/>
      <c r="S4" s="12"/>
      <c r="T4" s="12"/>
      <c r="U4" s="12"/>
      <c r="V4" s="12"/>
    </row>
    <row r="5" spans="1:22" x14ac:dyDescent="0.2">
      <c r="A5" s="115"/>
      <c r="B5" s="114" t="str">
        <f>Currency&amp;"HW_Volatility"&amp;QuoteSuffix</f>
        <v>AUDHW_Volatility_Quote</v>
      </c>
      <c r="C5" s="114" t="str">
        <f>_xll.qlSimpleQuote(B5,,,Permanent,Trigger,ObjectOverwrite)</f>
        <v>AUDHW_Volatility_Quote#0000</v>
      </c>
      <c r="D5" s="72" t="str">
        <f>_xll.ohRangeRetrieveError(C5)</f>
        <v/>
      </c>
      <c r="E5" s="113"/>
      <c r="G5" s="181"/>
      <c r="H5" s="248" t="e">
        <f>VLOOKUP(Currency,$T$5:$V$9,2)&amp;U3&amp;VLOOKUP(Currency,$T$5:$V$9,3)&amp;"ATM="&amp;VLOOKUP(Contributor,ContributorTable,2,FALSE)</f>
        <v>#N/A</v>
      </c>
      <c r="I5" s="247"/>
      <c r="J5" s="240"/>
      <c r="K5" s="246" t="s">
        <v>204</v>
      </c>
      <c r="L5" s="244">
        <f>I5/100*IF(ISNUMBER(Swap3M4Y),Swap3M4Y/100,Swap6M4Y/100)*0</f>
        <v>0</v>
      </c>
      <c r="M5" s="240"/>
      <c r="N5" s="245">
        <v>0</v>
      </c>
      <c r="O5" s="238"/>
      <c r="P5" s="353">
        <f t="array" ref="P5:P6">QuoteLive</f>
        <v>0</v>
      </c>
      <c r="Q5" s="244">
        <f>_xll.qlSimpleQuoteSetValue(C5,P5,Trigger)</f>
        <v>0</v>
      </c>
      <c r="R5" s="21"/>
      <c r="S5" s="12"/>
      <c r="T5" s="55" t="s">
        <v>100</v>
      </c>
      <c r="U5" s="138" t="s">
        <v>203</v>
      </c>
      <c r="V5" s="243" t="s">
        <v>96</v>
      </c>
    </row>
    <row r="6" spans="1:22" x14ac:dyDescent="0.2">
      <c r="A6" s="115"/>
      <c r="B6" s="114" t="str">
        <f>Currency&amp;"HW_MeanReversion"&amp;QuoteSuffix</f>
        <v>AUDHW_MeanReversion_Quote</v>
      </c>
      <c r="C6" s="114" t="str">
        <f>_xll.qlSimpleQuote(B6,,,Permanent,Trigger,ObjectOverwrite)</f>
        <v>AUDHW_MeanReversion_Quote#0000</v>
      </c>
      <c r="D6" s="72" t="str">
        <f>_xll.ohRangeRetrieveError(C6)</f>
        <v/>
      </c>
      <c r="E6" s="113"/>
      <c r="G6" s="181"/>
      <c r="H6" s="237"/>
      <c r="I6" s="242"/>
      <c r="J6" s="240"/>
      <c r="K6" s="241" t="s">
        <v>202</v>
      </c>
      <c r="L6" s="236">
        <v>0.03</v>
      </c>
      <c r="M6" s="240"/>
      <c r="N6" s="239">
        <v>0.03</v>
      </c>
      <c r="O6" s="238"/>
      <c r="P6" s="354">
        <v>0.03</v>
      </c>
      <c r="Q6" s="236">
        <f>_xll.qlSimpleQuoteSetValue(C6,P6,Trigger)</f>
        <v>0</v>
      </c>
      <c r="R6" s="21"/>
      <c r="S6" s="12"/>
      <c r="T6" s="54" t="s">
        <v>99</v>
      </c>
      <c r="U6" s="235" t="s">
        <v>201</v>
      </c>
      <c r="V6" s="234" t="s">
        <v>96</v>
      </c>
    </row>
    <row r="7" spans="1:22" ht="12" thickBot="1" x14ac:dyDescent="0.25">
      <c r="A7" s="112"/>
      <c r="B7" s="111"/>
      <c r="C7" s="111"/>
      <c r="D7" s="111"/>
      <c r="E7" s="110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8"/>
      <c r="S7" s="12"/>
      <c r="T7" s="54" t="s">
        <v>98</v>
      </c>
      <c r="U7" s="235" t="s">
        <v>200</v>
      </c>
      <c r="V7" s="234" t="s">
        <v>95</v>
      </c>
    </row>
    <row r="8" spans="1:22" x14ac:dyDescent="0.2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54" t="s">
        <v>97</v>
      </c>
      <c r="U8" s="235" t="s">
        <v>199</v>
      </c>
      <c r="V8" s="234" t="s">
        <v>96</v>
      </c>
    </row>
    <row r="9" spans="1:22" ht="12" thickBot="1" x14ac:dyDescent="0.25"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52" t="s">
        <v>93</v>
      </c>
      <c r="U9" s="233" t="s">
        <v>198</v>
      </c>
      <c r="V9" s="232" t="s">
        <v>95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1"/>
  <sheetViews>
    <sheetView workbookViewId="0">
      <selection activeCell="A2" sqref="A2"/>
    </sheetView>
  </sheetViews>
  <sheetFormatPr defaultRowHeight="12.75" x14ac:dyDescent="0.2"/>
  <cols>
    <col min="1" max="1" width="2.7109375" style="11" customWidth="1"/>
    <col min="2" max="2" width="4.85546875" style="82" bestFit="1" customWidth="1"/>
    <col min="3" max="3" width="2.7109375" style="11" bestFit="1" customWidth="1"/>
    <col min="4" max="4" width="3.85546875" style="11" bestFit="1" customWidth="1"/>
    <col min="5" max="5" width="16.140625" style="11" bestFit="1" customWidth="1"/>
    <col min="6" max="6" width="18" style="81" bestFit="1" customWidth="1"/>
    <col min="7" max="7" width="38.28515625" style="11" customWidth="1"/>
    <col min="8" max="10" width="2.7109375" style="11" customWidth="1"/>
    <col min="11" max="14" width="9.140625" style="11"/>
    <col min="15" max="15" width="12.7109375" style="11" bestFit="1" customWidth="1"/>
    <col min="16" max="18" width="9.140625" style="11"/>
    <col min="19" max="19" width="10.5703125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5" width="9.140625" style="11"/>
    <col min="26" max="26" width="2.7109375" style="11" customWidth="1"/>
    <col min="27" max="16384" width="9.140625" style="11"/>
  </cols>
  <sheetData>
    <row r="1" spans="1:28" x14ac:dyDescent="0.2">
      <c r="J1" s="200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4"/>
    </row>
    <row r="2" spans="1:28" ht="13.5" thickBot="1" x14ac:dyDescent="0.25">
      <c r="J2" s="181"/>
      <c r="K2" s="149"/>
      <c r="L2" s="149"/>
      <c r="M2" s="149"/>
      <c r="N2" s="149"/>
      <c r="O2" s="95" t="s">
        <v>284</v>
      </c>
      <c r="P2" s="149"/>
      <c r="Q2" s="149"/>
      <c r="R2" s="149"/>
      <c r="S2" s="149"/>
      <c r="T2" s="88"/>
      <c r="U2" s="149"/>
      <c r="V2" s="149"/>
      <c r="W2" s="149"/>
      <c r="X2" s="149"/>
      <c r="Y2" s="88"/>
      <c r="Z2" s="21"/>
    </row>
    <row r="3" spans="1:28" x14ac:dyDescent="0.2">
      <c r="A3" s="135"/>
      <c r="B3" s="127"/>
      <c r="C3" s="127"/>
      <c r="D3" s="127"/>
      <c r="E3" s="125"/>
      <c r="F3" s="126"/>
      <c r="G3" s="125"/>
      <c r="H3" s="124"/>
      <c r="J3" s="85"/>
      <c r="K3" s="149"/>
      <c r="L3" s="88"/>
      <c r="M3" s="88"/>
      <c r="N3" s="88"/>
      <c r="O3" s="88"/>
      <c r="P3" s="88"/>
      <c r="Q3" s="88"/>
      <c r="R3" s="88"/>
      <c r="S3" s="88"/>
      <c r="T3" s="88"/>
      <c r="U3" s="149"/>
      <c r="V3" s="149"/>
      <c r="W3" s="149"/>
      <c r="X3" s="88"/>
      <c r="Y3" s="178">
        <f>_xll.ohTrigger(Y5:Y15)</f>
        <v>2</v>
      </c>
      <c r="Z3" s="136"/>
    </row>
    <row r="4" spans="1:28" ht="22.5" x14ac:dyDescent="0.2">
      <c r="A4" s="85"/>
      <c r="B4" s="123"/>
      <c r="C4" s="122"/>
      <c r="D4" s="59"/>
      <c r="E4" s="58" t="str">
        <f>Currency&amp;"_010_Sw"&amp;"1M.xml"</f>
        <v>AUD_010_Sw1M.xml</v>
      </c>
      <c r="F4" s="57" t="str">
        <f>IF(Serialize,_xll.ohObjectSave(F5:F15,SerializationPath&amp;E4,FileOverwrite,Serialize),"---")</f>
        <v>---</v>
      </c>
      <c r="G4" s="46" t="str">
        <f>_xll.ohRangeRetrieveError(F4)</f>
        <v/>
      </c>
      <c r="H4" s="21"/>
      <c r="J4" s="85"/>
      <c r="K4" s="199"/>
      <c r="L4" s="122"/>
      <c r="M4" s="122"/>
      <c r="N4" s="122"/>
      <c r="O4" s="144" t="str">
        <f>_xll.RData(O5:O18,P4:S4,"RTFEED:IDN",ReutersRtMode,,P5)</f>
        <v>Paused at 12:08:05</v>
      </c>
      <c r="P4" s="198" t="s">
        <v>163</v>
      </c>
      <c r="Q4" s="198" t="s">
        <v>162</v>
      </c>
      <c r="R4" s="198" t="s">
        <v>179</v>
      </c>
      <c r="S4" s="198" t="s">
        <v>195</v>
      </c>
      <c r="T4" s="174" t="s">
        <v>194</v>
      </c>
      <c r="U4" s="149"/>
      <c r="V4" s="176" t="s">
        <v>192</v>
      </c>
      <c r="W4" s="149"/>
      <c r="X4" s="347" t="s">
        <v>190</v>
      </c>
      <c r="Y4" s="60" t="s">
        <v>189</v>
      </c>
      <c r="Z4" s="136"/>
      <c r="AB4" s="197"/>
    </row>
    <row r="5" spans="1:28" x14ac:dyDescent="0.2">
      <c r="A5" s="85"/>
      <c r="B5" s="121"/>
      <c r="C5" s="49">
        <v>2</v>
      </c>
      <c r="D5" s="48" t="s">
        <v>156</v>
      </c>
      <c r="E5" s="47" t="str">
        <f t="shared" ref="E5:E15" si="0">Currency&amp;$C5&amp;$D5&amp;$B5&amp;QuoteSuffix</f>
        <v>AUD2X1S_Quote</v>
      </c>
      <c r="F5" s="47" t="str">
        <f>_xll.qlSimpleQuote(Currency&amp;$C5&amp;$D5&amp;$B5&amp;QuoteSuffix,,RateTickValue,Permanent,Trigger,ObjectOverwrite)</f>
        <v>AUD2X1S_Quote#0000</v>
      </c>
      <c r="G5" s="15" t="str">
        <f>_xll.ohRangeRetrieveError(F5)</f>
        <v/>
      </c>
      <c r="H5" s="21"/>
      <c r="J5" s="85"/>
      <c r="K5" s="148"/>
      <c r="L5" s="192"/>
      <c r="M5" s="192" t="s">
        <v>259</v>
      </c>
      <c r="N5" s="152" t="str">
        <f t="shared" ref="N5:N18" si="1">Currency&amp;$L5&amp;$M5&amp;$K5</f>
        <v>AUDIRSS</v>
      </c>
      <c r="O5" s="152" t="str">
        <f t="array" ref="O5:O18">Instruments&amp;"="&amp;VLOOKUP(Contributor,ContributorTable,2,FALSE)</f>
        <v>AUDIRSS=ICAA</v>
      </c>
      <c r="P5" s="147" t="s">
        <v>280</v>
      </c>
      <c r="Q5" s="147" t="s">
        <v>280</v>
      </c>
      <c r="R5" s="147" t="s">
        <v>280</v>
      </c>
      <c r="S5" s="147" t="s">
        <v>280</v>
      </c>
      <c r="T5" s="151" t="e">
        <f>_xll.qlMidSafe($P5,$Q5)</f>
        <v>#NUM!</v>
      </c>
      <c r="U5" s="149"/>
      <c r="V5" s="150">
        <v>0.151</v>
      </c>
      <c r="W5" s="149"/>
      <c r="X5" s="209" t="e">
        <f t="array" ref="X5:X18">QuoteLive</f>
        <v>#NUM!</v>
      </c>
      <c r="Y5" s="146" t="e">
        <f>_xll.qlSimpleQuoteSetValue(F5,X5/100,Trigger)</f>
        <v>#NUM!</v>
      </c>
      <c r="Z5" s="136"/>
      <c r="AB5" s="183"/>
    </row>
    <row r="6" spans="1:28" x14ac:dyDescent="0.2">
      <c r="A6" s="85"/>
      <c r="B6" s="120"/>
      <c r="C6" s="119">
        <v>3</v>
      </c>
      <c r="D6" s="118" t="s">
        <v>156</v>
      </c>
      <c r="E6" s="47" t="str">
        <f t="shared" si="0"/>
        <v>AUD3X1S_Quote</v>
      </c>
      <c r="F6" s="47" t="str">
        <f>_xll.qlSimpleQuote(Currency&amp;$C6&amp;$D6&amp;$B6&amp;QuoteSuffix,,RateTickValue,Permanent,Trigger,ObjectOverwrite)</f>
        <v>AUD3X1S_Quote#0000</v>
      </c>
      <c r="G6" s="117" t="str">
        <f>_xll.ohRangeRetrieveError(F6)</f>
        <v/>
      </c>
      <c r="H6" s="21"/>
      <c r="J6" s="85"/>
      <c r="K6" s="148"/>
      <c r="L6" s="192"/>
      <c r="M6" s="192" t="s">
        <v>259</v>
      </c>
      <c r="N6" s="152" t="str">
        <f t="shared" si="1"/>
        <v>AUDIRSS</v>
      </c>
      <c r="O6" s="152" t="str">
        <v>AUDIRSS=ICAA</v>
      </c>
      <c r="P6" s="147" t="s">
        <v>280</v>
      </c>
      <c r="Q6" s="147" t="s">
        <v>280</v>
      </c>
      <c r="R6" s="147" t="s">
        <v>280</v>
      </c>
      <c r="S6" s="147" t="s">
        <v>280</v>
      </c>
      <c r="T6" s="151" t="e">
        <f>_xll.qlMidSafe($P6,$Q6)</f>
        <v>#NUM!</v>
      </c>
      <c r="U6" s="149"/>
      <c r="V6" s="150">
        <v>0.151</v>
      </c>
      <c r="W6" s="149"/>
      <c r="X6" s="209" t="e">
        <v>#NUM!</v>
      </c>
      <c r="Y6" s="146" t="e">
        <f>_xll.qlSimpleQuoteSetValue(F6,X6/100,Trigger)</f>
        <v>#NUM!</v>
      </c>
      <c r="Z6" s="136"/>
      <c r="AB6" s="183"/>
    </row>
    <row r="7" spans="1:28" x14ac:dyDescent="0.2">
      <c r="A7" s="85"/>
      <c r="B7" s="120"/>
      <c r="C7" s="119">
        <v>4</v>
      </c>
      <c r="D7" s="118" t="s">
        <v>156</v>
      </c>
      <c r="E7" s="47" t="str">
        <f t="shared" si="0"/>
        <v>AUD4X1S_Quote</v>
      </c>
      <c r="F7" s="47" t="str">
        <f>_xll.qlSimpleQuote(Currency&amp;$C7&amp;$D7&amp;$B7&amp;QuoteSuffix,,RateTickValue,Permanent,Trigger,ObjectOverwrite)</f>
        <v>AUD4X1S_Quote#0000</v>
      </c>
      <c r="G7" s="117" t="str">
        <f>_xll.ohRangeRetrieveError(F7)</f>
        <v/>
      </c>
      <c r="H7" s="21"/>
      <c r="J7" s="85"/>
      <c r="K7" s="148"/>
      <c r="L7" s="192"/>
      <c r="M7" s="192" t="s">
        <v>259</v>
      </c>
      <c r="N7" s="152" t="str">
        <f t="shared" si="1"/>
        <v>AUDIRSS</v>
      </c>
      <c r="O7" s="152" t="str">
        <v>AUDIRSS=ICAA</v>
      </c>
      <c r="P7" s="147" t="s">
        <v>280</v>
      </c>
      <c r="Q7" s="147" t="s">
        <v>280</v>
      </c>
      <c r="R7" s="147" t="s">
        <v>280</v>
      </c>
      <c r="S7" s="147" t="s">
        <v>280</v>
      </c>
      <c r="T7" s="151" t="e">
        <f>_xll.qlMidSafe($P7,$Q7)</f>
        <v>#NUM!</v>
      </c>
      <c r="U7" s="149"/>
      <c r="V7" s="150">
        <v>0.15</v>
      </c>
      <c r="W7" s="149"/>
      <c r="X7" s="209" t="e">
        <v>#NUM!</v>
      </c>
      <c r="Y7" s="146" t="e">
        <f>_xll.qlSimpleQuoteSetValue(F7,X7/100,Trigger)</f>
        <v>#NUM!</v>
      </c>
      <c r="Z7" s="136"/>
      <c r="AB7" s="183"/>
    </row>
    <row r="8" spans="1:28" x14ac:dyDescent="0.2">
      <c r="A8" s="85"/>
      <c r="B8" s="120"/>
      <c r="C8" s="119">
        <v>5</v>
      </c>
      <c r="D8" s="118" t="s">
        <v>156</v>
      </c>
      <c r="E8" s="47" t="str">
        <f t="shared" si="0"/>
        <v>AUD5X1S_Quote</v>
      </c>
      <c r="F8" s="47" t="str">
        <f>_xll.qlSimpleQuote(Currency&amp;$C8&amp;$D8&amp;$B8&amp;QuoteSuffix,,RateTickValue,Permanent,Trigger,ObjectOverwrite)</f>
        <v>AUD5X1S_Quote#0000</v>
      </c>
      <c r="G8" s="117" t="str">
        <f>_xll.ohRangeRetrieveError(F8)</f>
        <v/>
      </c>
      <c r="H8" s="21"/>
      <c r="J8" s="85"/>
      <c r="K8" s="148"/>
      <c r="L8" s="192"/>
      <c r="M8" s="192" t="s">
        <v>259</v>
      </c>
      <c r="N8" s="152" t="str">
        <f t="shared" si="1"/>
        <v>AUDIRSS</v>
      </c>
      <c r="O8" s="152" t="str">
        <v>AUDIRSS=ICAA</v>
      </c>
      <c r="P8" s="147" t="s">
        <v>280</v>
      </c>
      <c r="Q8" s="147" t="s">
        <v>280</v>
      </c>
      <c r="R8" s="147" t="s">
        <v>280</v>
      </c>
      <c r="S8" s="147" t="s">
        <v>280</v>
      </c>
      <c r="T8" s="151" t="e">
        <f>_xll.qlMidSafe($P8,$Q8)</f>
        <v>#NUM!</v>
      </c>
      <c r="U8" s="149"/>
      <c r="V8" s="150">
        <v>0.151</v>
      </c>
      <c r="W8" s="149"/>
      <c r="X8" s="209" t="e">
        <v>#NUM!</v>
      </c>
      <c r="Y8" s="146" t="e">
        <f>_xll.qlSimpleQuoteSetValue(F8,X8/100,Trigger)</f>
        <v>#NUM!</v>
      </c>
      <c r="Z8" s="136"/>
      <c r="AB8" s="183"/>
    </row>
    <row r="9" spans="1:28" x14ac:dyDescent="0.2">
      <c r="A9" s="85"/>
      <c r="B9" s="120"/>
      <c r="C9" s="119">
        <v>6</v>
      </c>
      <c r="D9" s="118" t="s">
        <v>156</v>
      </c>
      <c r="E9" s="47" t="str">
        <f t="shared" si="0"/>
        <v>AUD6X1S_Quote</v>
      </c>
      <c r="F9" s="47" t="str">
        <f>_xll.qlSimpleQuote(Currency&amp;$C9&amp;$D9&amp;$B9&amp;QuoteSuffix,,RateTickValue,Permanent,Trigger,ObjectOverwrite)</f>
        <v>AUD6X1S_Quote#0000</v>
      </c>
      <c r="G9" s="117" t="str">
        <f>_xll.ohRangeRetrieveError(F9)</f>
        <v/>
      </c>
      <c r="H9" s="21"/>
      <c r="J9" s="85"/>
      <c r="K9" s="148"/>
      <c r="L9" s="192"/>
      <c r="M9" s="192" t="s">
        <v>259</v>
      </c>
      <c r="N9" s="152" t="str">
        <f t="shared" si="1"/>
        <v>AUDIRSS</v>
      </c>
      <c r="O9" s="152" t="str">
        <v>AUDIRSS=ICAA</v>
      </c>
      <c r="P9" s="147" t="s">
        <v>280</v>
      </c>
      <c r="Q9" s="147" t="s">
        <v>280</v>
      </c>
      <c r="R9" s="147" t="s">
        <v>280</v>
      </c>
      <c r="S9" s="147" t="s">
        <v>280</v>
      </c>
      <c r="T9" s="151" t="e">
        <f>_xll.qlMidSafe($P9,$Q9)</f>
        <v>#NUM!</v>
      </c>
      <c r="U9" s="149"/>
      <c r="V9" s="150">
        <v>0.152</v>
      </c>
      <c r="W9" s="149"/>
      <c r="X9" s="209" t="e">
        <v>#NUM!</v>
      </c>
      <c r="Y9" s="146" t="e">
        <f>_xll.qlSimpleQuoteSetValue(F9,X9/100,Trigger)</f>
        <v>#NUM!</v>
      </c>
      <c r="Z9" s="136"/>
      <c r="AB9" s="183"/>
    </row>
    <row r="10" spans="1:28" x14ac:dyDescent="0.2">
      <c r="A10" s="85"/>
      <c r="B10" s="120"/>
      <c r="C10" s="119">
        <v>7</v>
      </c>
      <c r="D10" s="118" t="s">
        <v>156</v>
      </c>
      <c r="E10" s="47" t="str">
        <f t="shared" si="0"/>
        <v>AUD7X1S_Quote</v>
      </c>
      <c r="F10" s="47" t="str">
        <f>_xll.qlSimpleQuote(Currency&amp;$C10&amp;$D10&amp;$B10&amp;QuoteSuffix,,RateTickValue,Permanent,Trigger,ObjectOverwrite)</f>
        <v>AUD7X1S_Quote#0000</v>
      </c>
      <c r="G10" s="117" t="str">
        <f>_xll.ohRangeRetrieveError(F10)</f>
        <v/>
      </c>
      <c r="H10" s="21"/>
      <c r="J10" s="85"/>
      <c r="K10" s="148"/>
      <c r="L10" s="192"/>
      <c r="M10" s="192" t="s">
        <v>259</v>
      </c>
      <c r="N10" s="152" t="str">
        <f t="shared" si="1"/>
        <v>AUDIRSS</v>
      </c>
      <c r="O10" s="152" t="str">
        <v>AUDIRSS=ICAA</v>
      </c>
      <c r="P10" s="147" t="s">
        <v>280</v>
      </c>
      <c r="Q10" s="147" t="s">
        <v>280</v>
      </c>
      <c r="R10" s="147" t="s">
        <v>280</v>
      </c>
      <c r="S10" s="147" t="s">
        <v>280</v>
      </c>
      <c r="T10" s="151" t="e">
        <f>_xll.qlMidSafe($P10,$Q10)</f>
        <v>#NUM!</v>
      </c>
      <c r="U10" s="149"/>
      <c r="V10" s="150">
        <v>0.153</v>
      </c>
      <c r="W10" s="149"/>
      <c r="X10" s="209" t="e">
        <v>#NUM!</v>
      </c>
      <c r="Y10" s="146" t="e">
        <f>_xll.qlSimpleQuoteSetValue(F10,X10/100,Trigger)</f>
        <v>#NUM!</v>
      </c>
      <c r="Z10" s="136"/>
      <c r="AB10" s="183"/>
    </row>
    <row r="11" spans="1:28" x14ac:dyDescent="0.2">
      <c r="A11" s="85"/>
      <c r="B11" s="120"/>
      <c r="C11" s="119">
        <v>8</v>
      </c>
      <c r="D11" s="118" t="s">
        <v>156</v>
      </c>
      <c r="E11" s="47" t="str">
        <f t="shared" si="0"/>
        <v>AUD8X1S_Quote</v>
      </c>
      <c r="F11" s="47" t="str">
        <f>_xll.qlSimpleQuote(Currency&amp;$C11&amp;$D11&amp;$B11&amp;QuoteSuffix,,RateTickValue,Permanent,Trigger,ObjectOverwrite)</f>
        <v>AUD8X1S_Quote#0000</v>
      </c>
      <c r="G11" s="117" t="str">
        <f>_xll.ohRangeRetrieveError(F11)</f>
        <v/>
      </c>
      <c r="H11" s="21"/>
      <c r="J11" s="85"/>
      <c r="K11" s="148"/>
      <c r="L11" s="192"/>
      <c r="M11" s="192" t="s">
        <v>259</v>
      </c>
      <c r="N11" s="152" t="str">
        <f t="shared" si="1"/>
        <v>AUDIRSS</v>
      </c>
      <c r="O11" s="152" t="str">
        <v>AUDIRSS=ICAA</v>
      </c>
      <c r="P11" s="147" t="s">
        <v>280</v>
      </c>
      <c r="Q11" s="147" t="s">
        <v>280</v>
      </c>
      <c r="R11" s="147" t="s">
        <v>280</v>
      </c>
      <c r="S11" s="147" t="s">
        <v>280</v>
      </c>
      <c r="T11" s="151" t="e">
        <f>_xll.qlMidSafe($P11,$Q11)</f>
        <v>#NUM!</v>
      </c>
      <c r="U11" s="149"/>
      <c r="V11" s="150">
        <v>0.154</v>
      </c>
      <c r="W11" s="149"/>
      <c r="X11" s="209" t="e">
        <v>#NUM!</v>
      </c>
      <c r="Y11" s="146" t="e">
        <f>_xll.qlSimpleQuoteSetValue(F11,X11/100,Trigger)</f>
        <v>#NUM!</v>
      </c>
      <c r="Z11" s="136"/>
      <c r="AB11" s="183"/>
    </row>
    <row r="12" spans="1:28" x14ac:dyDescent="0.2">
      <c r="A12" s="85"/>
      <c r="B12" s="120"/>
      <c r="C12" s="119">
        <v>9</v>
      </c>
      <c r="D12" s="118" t="s">
        <v>156</v>
      </c>
      <c r="E12" s="47" t="str">
        <f t="shared" si="0"/>
        <v>AUD9X1S_Quote</v>
      </c>
      <c r="F12" s="47" t="str">
        <f>_xll.qlSimpleQuote(Currency&amp;$C12&amp;$D12&amp;$B12&amp;QuoteSuffix,,RateTickValue,Permanent,Trigger,ObjectOverwrite)</f>
        <v>AUD9X1S_Quote#0000</v>
      </c>
      <c r="G12" s="117" t="str">
        <f>_xll.ohRangeRetrieveError(F12)</f>
        <v/>
      </c>
      <c r="H12" s="21"/>
      <c r="J12" s="85"/>
      <c r="K12" s="148"/>
      <c r="L12" s="192"/>
      <c r="M12" s="192" t="s">
        <v>259</v>
      </c>
      <c r="N12" s="152" t="str">
        <f t="shared" si="1"/>
        <v>AUDIRSS</v>
      </c>
      <c r="O12" s="152" t="str">
        <v>AUDIRSS=ICAA</v>
      </c>
      <c r="P12" s="147" t="s">
        <v>280</v>
      </c>
      <c r="Q12" s="147" t="s">
        <v>280</v>
      </c>
      <c r="R12" s="147" t="s">
        <v>280</v>
      </c>
      <c r="S12" s="147" t="s">
        <v>280</v>
      </c>
      <c r="T12" s="151" t="e">
        <f>_xll.qlMidSafe($P12,$Q12)</f>
        <v>#NUM!</v>
      </c>
      <c r="U12" s="149"/>
      <c r="V12" s="150">
        <v>0.157</v>
      </c>
      <c r="W12" s="149"/>
      <c r="X12" s="209" t="e">
        <v>#NUM!</v>
      </c>
      <c r="Y12" s="146" t="e">
        <f>_xll.qlSimpleQuoteSetValue(F12,X12/100,Trigger)</f>
        <v>#NUM!</v>
      </c>
      <c r="Z12" s="136"/>
      <c r="AB12" s="183"/>
    </row>
    <row r="13" spans="1:28" x14ac:dyDescent="0.2">
      <c r="A13" s="85"/>
      <c r="B13" s="120"/>
      <c r="C13" s="119">
        <v>10</v>
      </c>
      <c r="D13" s="118" t="s">
        <v>156</v>
      </c>
      <c r="E13" s="47" t="str">
        <f t="shared" si="0"/>
        <v>AUD10X1S_Quote</v>
      </c>
      <c r="F13" s="47" t="str">
        <f>_xll.qlSimpleQuote(Currency&amp;$C13&amp;$D13&amp;$B13&amp;QuoteSuffix,,RateTickValue,Permanent,Trigger,ObjectOverwrite)</f>
        <v>AUD10X1S_Quote#0000</v>
      </c>
      <c r="G13" s="117" t="str">
        <f>_xll.ohRangeRetrieveError(F13)</f>
        <v/>
      </c>
      <c r="H13" s="21"/>
      <c r="J13" s="85"/>
      <c r="K13" s="148"/>
      <c r="L13" s="192"/>
      <c r="M13" s="192" t="s">
        <v>259</v>
      </c>
      <c r="N13" s="152" t="str">
        <f t="shared" si="1"/>
        <v>AUDIRSS</v>
      </c>
      <c r="O13" s="152" t="str">
        <v>AUDIRSS=ICAA</v>
      </c>
      <c r="P13" s="147" t="s">
        <v>280</v>
      </c>
      <c r="Q13" s="147" t="s">
        <v>280</v>
      </c>
      <c r="R13" s="147" t="s">
        <v>280</v>
      </c>
      <c r="S13" s="147" t="s">
        <v>280</v>
      </c>
      <c r="T13" s="151" t="e">
        <f>_xll.qlMidSafe($P13,$Q13)</f>
        <v>#NUM!</v>
      </c>
      <c r="U13" s="149"/>
      <c r="V13" s="150">
        <v>0.16200000000000001</v>
      </c>
      <c r="W13" s="149"/>
      <c r="X13" s="209" t="e">
        <v>#NUM!</v>
      </c>
      <c r="Y13" s="146" t="e">
        <f>_xll.qlSimpleQuoteSetValue(F13,X13/100,Trigger)</f>
        <v>#NUM!</v>
      </c>
      <c r="Z13" s="136"/>
      <c r="AB13" s="183"/>
    </row>
    <row r="14" spans="1:28" x14ac:dyDescent="0.2">
      <c r="A14" s="85"/>
      <c r="B14" s="120"/>
      <c r="C14" s="119">
        <v>11</v>
      </c>
      <c r="D14" s="118" t="s">
        <v>156</v>
      </c>
      <c r="E14" s="47" t="str">
        <f t="shared" si="0"/>
        <v>AUD11X1S_Quote</v>
      </c>
      <c r="F14" s="47" t="str">
        <f>_xll.qlSimpleQuote(Currency&amp;$C14&amp;$D14&amp;$B14&amp;QuoteSuffix,,RateTickValue,Permanent,Trigger,ObjectOverwrite)</f>
        <v>AUD11X1S_Quote#0000</v>
      </c>
      <c r="G14" s="117" t="str">
        <f>_xll.ohRangeRetrieveError(F14)</f>
        <v/>
      </c>
      <c r="H14" s="21"/>
      <c r="J14" s="85"/>
      <c r="K14" s="148"/>
      <c r="L14" s="192"/>
      <c r="M14" s="192" t="s">
        <v>259</v>
      </c>
      <c r="N14" s="152" t="str">
        <f t="shared" si="1"/>
        <v>AUDIRSS</v>
      </c>
      <c r="O14" s="152" t="str">
        <v>AUDIRSS=ICAA</v>
      </c>
      <c r="P14" s="147" t="s">
        <v>280</v>
      </c>
      <c r="Q14" s="147" t="s">
        <v>280</v>
      </c>
      <c r="R14" s="147" t="s">
        <v>280</v>
      </c>
      <c r="S14" s="147" t="s">
        <v>280</v>
      </c>
      <c r="T14" s="151" t="e">
        <f>_xll.qlMidSafe($P14,$Q14)</f>
        <v>#NUM!</v>
      </c>
      <c r="U14" s="149"/>
      <c r="V14" s="150">
        <v>0.16799999999999998</v>
      </c>
      <c r="W14" s="149"/>
      <c r="X14" s="209" t="e">
        <v>#NUM!</v>
      </c>
      <c r="Y14" s="146" t="e">
        <f>_xll.qlSimpleQuoteSetValue(F14,X14/100,Trigger)</f>
        <v>#NUM!</v>
      </c>
      <c r="Z14" s="136"/>
      <c r="AB14" s="183"/>
    </row>
    <row r="15" spans="1:28" x14ac:dyDescent="0.2">
      <c r="A15" s="85"/>
      <c r="B15" s="120"/>
      <c r="C15" s="119">
        <v>12</v>
      </c>
      <c r="D15" s="118" t="s">
        <v>156</v>
      </c>
      <c r="E15" s="47" t="str">
        <f t="shared" si="0"/>
        <v>AUD12X1S_Quote</v>
      </c>
      <c r="F15" s="47" t="str">
        <f>_xll.qlSimpleQuote(Currency&amp;$C15&amp;$D15&amp;$B15&amp;QuoteSuffix,,RateTickValue,Permanent,Trigger,ObjectOverwrite)</f>
        <v>AUD12X1S_Quote#0000</v>
      </c>
      <c r="G15" s="117" t="str">
        <f>_xll.ohRangeRetrieveError(F15)</f>
        <v/>
      </c>
      <c r="H15" s="21"/>
      <c r="J15" s="85"/>
      <c r="K15" s="148"/>
      <c r="L15" s="192"/>
      <c r="M15" s="192" t="s">
        <v>259</v>
      </c>
      <c r="N15" s="152" t="str">
        <f t="shared" si="1"/>
        <v>AUDIRSS</v>
      </c>
      <c r="O15" s="152" t="str">
        <v>AUDIRSS=ICAA</v>
      </c>
      <c r="P15" s="147" t="s">
        <v>280</v>
      </c>
      <c r="Q15" s="147" t="s">
        <v>280</v>
      </c>
      <c r="R15" s="147" t="s">
        <v>280</v>
      </c>
      <c r="S15" s="147" t="s">
        <v>280</v>
      </c>
      <c r="T15" s="151" t="e">
        <f>_xll.qlMidSafe($P15,$Q15)</f>
        <v>#NUM!</v>
      </c>
      <c r="U15" s="149"/>
      <c r="V15" s="150">
        <v>0.17699999999999999</v>
      </c>
      <c r="W15" s="149"/>
      <c r="X15" s="209" t="e">
        <v>#NUM!</v>
      </c>
      <c r="Y15" s="146" t="e">
        <f>_xll.qlSimpleQuoteSetValue(F15,X15/100,Trigger)</f>
        <v>#NUM!</v>
      </c>
      <c r="Z15" s="136"/>
      <c r="AB15" s="183"/>
    </row>
    <row r="16" spans="1:28" ht="13.5" thickBot="1" x14ac:dyDescent="0.25">
      <c r="A16" s="20"/>
      <c r="B16" s="19"/>
      <c r="C16" s="19"/>
      <c r="D16" s="19"/>
      <c r="E16" s="19"/>
      <c r="F16" s="83"/>
      <c r="G16" s="83"/>
      <c r="H16" s="18"/>
      <c r="J16" s="85"/>
      <c r="K16" s="148"/>
      <c r="L16" s="192"/>
      <c r="M16" s="192" t="s">
        <v>259</v>
      </c>
      <c r="N16" s="152" t="str">
        <f t="shared" si="1"/>
        <v>AUDIRSS</v>
      </c>
      <c r="O16" s="152" t="str">
        <v>AUDIRSS=ICAA</v>
      </c>
      <c r="P16" s="147" t="s">
        <v>280</v>
      </c>
      <c r="Q16" s="147" t="s">
        <v>280</v>
      </c>
      <c r="R16" s="147" t="s">
        <v>280</v>
      </c>
      <c r="S16" s="147" t="s">
        <v>280</v>
      </c>
      <c r="T16" s="151" t="e">
        <f>_xll.qlMidSafe($P16,$Q16)</f>
        <v>#NUM!</v>
      </c>
      <c r="U16" s="149"/>
      <c r="V16" s="150">
        <v>0.22</v>
      </c>
      <c r="W16" s="149"/>
      <c r="X16" s="209" t="e">
        <v>#NUM!</v>
      </c>
      <c r="Y16" s="146" t="e">
        <f>_xll.qlSimpleQuoteSetValue(F16,X16/100,Trigger)</f>
        <v>#NUM!</v>
      </c>
      <c r="Z16" s="136"/>
    </row>
    <row r="17" spans="10:26" x14ac:dyDescent="0.2">
      <c r="J17" s="85"/>
      <c r="K17" s="148"/>
      <c r="L17" s="192"/>
      <c r="M17" s="192" t="s">
        <v>259</v>
      </c>
      <c r="N17" s="152" t="str">
        <f t="shared" si="1"/>
        <v>AUDIRSS</v>
      </c>
      <c r="O17" s="152" t="str">
        <v>AUDIRSS=ICAA</v>
      </c>
      <c r="P17" s="147" t="s">
        <v>280</v>
      </c>
      <c r="Q17" s="147" t="s">
        <v>280</v>
      </c>
      <c r="R17" s="147" t="s">
        <v>280</v>
      </c>
      <c r="S17" s="147" t="s">
        <v>280</v>
      </c>
      <c r="T17" s="151" t="e">
        <f>_xll.qlMidSafe($P17,$Q17)</f>
        <v>#NUM!</v>
      </c>
      <c r="U17" s="149"/>
      <c r="V17" s="150">
        <v>0.27900000000000003</v>
      </c>
      <c r="W17" s="149"/>
      <c r="X17" s="209" t="e">
        <v>#NUM!</v>
      </c>
      <c r="Y17" s="146" t="e">
        <f>_xll.qlSimpleQuoteSetValue(F17,X17/100,Trigger)</f>
        <v>#NUM!</v>
      </c>
      <c r="Z17" s="136"/>
    </row>
    <row r="18" spans="10:26" x14ac:dyDescent="0.2">
      <c r="J18" s="85"/>
      <c r="K18" s="148"/>
      <c r="L18" s="192"/>
      <c r="M18" s="192" t="s">
        <v>259</v>
      </c>
      <c r="N18" s="152" t="str">
        <f t="shared" si="1"/>
        <v>AUDIRSS</v>
      </c>
      <c r="O18" s="152" t="str">
        <v>AUDIRSS=ICAA</v>
      </c>
      <c r="P18" s="147" t="s">
        <v>280</v>
      </c>
      <c r="Q18" s="147" t="s">
        <v>280</v>
      </c>
      <c r="R18" s="147" t="s">
        <v>280</v>
      </c>
      <c r="S18" s="147" t="s">
        <v>280</v>
      </c>
      <c r="T18" s="151" t="e">
        <f>_xll.qlMidSafe($P18,$Q18)</f>
        <v>#NUM!</v>
      </c>
      <c r="U18" s="149"/>
      <c r="V18" s="161">
        <v>0.439</v>
      </c>
      <c r="W18" s="149"/>
      <c r="X18" s="202" t="e">
        <v>#NUM!</v>
      </c>
      <c r="Y18" s="159" t="e">
        <f>_xll.qlSimpleQuoteSetValue(F18,X18/100,Trigger)</f>
        <v>#NUM!</v>
      </c>
      <c r="Z18" s="136"/>
    </row>
    <row r="19" spans="10:26" ht="13.5" thickBot="1" x14ac:dyDescent="0.25">
      <c r="J19" s="20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9"/>
      <c r="V19" s="145"/>
      <c r="W19" s="19"/>
      <c r="X19" s="145"/>
      <c r="Y19" s="145"/>
      <c r="Z19" s="184"/>
    </row>
    <row r="21" spans="10:26" ht="15" x14ac:dyDescent="0.25">
      <c r="K21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workbookViewId="0">
      <selection activeCell="S2" sqref="S2"/>
    </sheetView>
  </sheetViews>
  <sheetFormatPr defaultRowHeight="12.75" x14ac:dyDescent="0.2"/>
  <cols>
    <col min="1" max="1" width="2.7109375" style="11" customWidth="1"/>
    <col min="2" max="2" width="6.5703125" style="82" bestFit="1" customWidth="1"/>
    <col min="3" max="3" width="3.28515625" style="11" bestFit="1" customWidth="1"/>
    <col min="4" max="4" width="4" style="11" bestFit="1" customWidth="1"/>
    <col min="5" max="5" width="19.42578125" style="11" bestFit="1" customWidth="1"/>
    <col min="6" max="6" width="20.140625" style="81" bestFit="1" customWidth="1"/>
    <col min="7" max="7" width="38.28515625" style="11" customWidth="1"/>
    <col min="8" max="9" width="2.7109375" style="11" customWidth="1"/>
    <col min="10" max="10" width="4.140625" style="11" bestFit="1" customWidth="1"/>
    <col min="11" max="11" width="3.28515625" style="11" bestFit="1" customWidth="1"/>
    <col min="12" max="12" width="9.5703125" style="11" bestFit="1" customWidth="1"/>
    <col min="13" max="14" width="2.7109375" style="11" customWidth="1"/>
    <col min="15" max="17" width="9.140625" style="348"/>
    <col min="18" max="18" width="10.85546875" style="11" bestFit="1" customWidth="1"/>
    <col min="19" max="19" width="16.5703125" style="11" customWidth="1"/>
    <col min="20" max="24" width="9.140625" style="11"/>
    <col min="25" max="25" width="2.7109375" style="11" customWidth="1"/>
    <col min="26" max="26" width="9.140625" style="11"/>
    <col min="27" max="27" width="2.7109375" style="11" customWidth="1"/>
    <col min="28" max="29" width="9.140625" style="11"/>
    <col min="30" max="31" width="2.7109375" style="11" customWidth="1"/>
    <col min="32" max="16384" width="9.140625" style="11"/>
  </cols>
  <sheetData>
    <row r="1" spans="1:36" x14ac:dyDescent="0.2">
      <c r="N1" s="200"/>
      <c r="O1" s="225"/>
      <c r="P1" s="225"/>
      <c r="Q1" s="225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4"/>
      <c r="AE1" s="12"/>
      <c r="AF1" s="12"/>
      <c r="AG1" s="12"/>
      <c r="AH1" s="12"/>
      <c r="AI1" s="12"/>
      <c r="AJ1" s="12"/>
    </row>
    <row r="2" spans="1:36" ht="15" x14ac:dyDescent="0.25">
      <c r="N2" s="181"/>
      <c r="O2" s="149"/>
      <c r="P2" s="149"/>
      <c r="Q2" s="149"/>
      <c r="R2" s="149"/>
      <c r="S2" s="95" t="s">
        <v>284</v>
      </c>
      <c r="T2" s="149"/>
      <c r="U2" s="149"/>
      <c r="V2" s="149"/>
      <c r="W2"/>
      <c r="X2" s="88"/>
      <c r="Y2" s="149"/>
      <c r="Z2"/>
      <c r="AA2" s="149"/>
      <c r="AB2" s="149"/>
      <c r="AC2" s="88"/>
      <c r="AD2" s="21"/>
      <c r="AE2" s="12"/>
      <c r="AF2" s="12"/>
      <c r="AG2" s="12"/>
      <c r="AH2" s="12"/>
      <c r="AI2" s="12"/>
      <c r="AJ2" s="12"/>
    </row>
    <row r="3" spans="1:36" ht="13.5" thickBot="1" x14ac:dyDescent="0.25">
      <c r="N3" s="85"/>
      <c r="O3" s="149"/>
      <c r="P3" s="149"/>
      <c r="Q3" s="149"/>
      <c r="R3" s="88"/>
      <c r="S3" s="88"/>
      <c r="T3" s="88"/>
      <c r="U3" s="88"/>
      <c r="V3" s="88"/>
      <c r="W3" s="88"/>
      <c r="X3" s="88"/>
      <c r="Y3" s="149"/>
      <c r="Z3" s="149"/>
      <c r="AA3" s="149"/>
      <c r="AB3" s="88"/>
      <c r="AC3" s="178">
        <f>_xll.ohTrigger(AC5:AC42)</f>
        <v>2</v>
      </c>
      <c r="AD3" s="136"/>
      <c r="AE3" s="12"/>
      <c r="AF3" s="12"/>
      <c r="AG3" s="12"/>
      <c r="AH3" s="12"/>
      <c r="AI3" s="12"/>
      <c r="AJ3" s="12"/>
    </row>
    <row r="4" spans="1:36" ht="22.5" x14ac:dyDescent="0.2">
      <c r="A4" s="135"/>
      <c r="B4" s="127"/>
      <c r="C4" s="127"/>
      <c r="D4" s="127"/>
      <c r="E4" s="125"/>
      <c r="F4" s="126"/>
      <c r="G4" s="125"/>
      <c r="H4" s="124"/>
      <c r="N4" s="85"/>
      <c r="O4" s="199"/>
      <c r="P4" s="122"/>
      <c r="Q4" s="122"/>
      <c r="R4" s="122"/>
      <c r="S4" s="144" t="str">
        <f>_xll.RData(S5:S42,T4:W4,"RTFEED:IDN",ReutersRtMode,,T5)</f>
        <v>Paused at 12:08:05</v>
      </c>
      <c r="T4" s="198" t="s">
        <v>163</v>
      </c>
      <c r="U4" s="198" t="s">
        <v>162</v>
      </c>
      <c r="V4" s="198" t="s">
        <v>179</v>
      </c>
      <c r="W4" s="198" t="s">
        <v>195</v>
      </c>
      <c r="X4" s="174" t="s">
        <v>194</v>
      </c>
      <c r="Y4" s="149"/>
      <c r="Z4" s="176" t="s">
        <v>192</v>
      </c>
      <c r="AA4" s="149"/>
      <c r="AB4" s="347" t="s">
        <v>190</v>
      </c>
      <c r="AC4" s="60" t="s">
        <v>189</v>
      </c>
      <c r="AD4" s="136"/>
      <c r="AE4" s="12"/>
      <c r="AF4" s="12"/>
      <c r="AG4" s="12"/>
      <c r="AH4" s="12"/>
      <c r="AI4" s="12"/>
      <c r="AJ4" s="197"/>
    </row>
    <row r="5" spans="1:36" x14ac:dyDescent="0.2">
      <c r="A5" s="85"/>
      <c r="B5" s="59" t="s">
        <v>104</v>
      </c>
      <c r="C5" s="59"/>
      <c r="D5" s="59"/>
      <c r="E5" s="58" t="str">
        <f>Currency&amp;"_010_Sw"&amp;$C$6&amp;$D$6&amp;".xml"</f>
        <v>AUD_010_SwQM3AB.xml</v>
      </c>
      <c r="F5" s="57" t="str">
        <f>IF(Serialize,_xll.ohObjectSave(F6:F42,SerializationPath&amp;E5,FileOverwrite,Serialize),"---")</f>
        <v>---</v>
      </c>
      <c r="G5" s="46" t="str">
        <f>_xll.ohRangeRetrieveError(F5)</f>
        <v/>
      </c>
      <c r="H5" s="21"/>
      <c r="N5" s="85"/>
      <c r="O5" s="153" t="s">
        <v>14</v>
      </c>
      <c r="P5" s="192" t="s">
        <v>255</v>
      </c>
      <c r="Q5" s="192" t="s">
        <v>256</v>
      </c>
      <c r="R5" s="190" t="str">
        <f t="shared" ref="R5:R42" si="0">Currency&amp;$P5&amp;$Q5&amp;$O5</f>
        <v>AUDQM3AB6M</v>
      </c>
      <c r="S5" s="190" t="str">
        <f t="array" ref="S5:S42">Instruments&amp;"="&amp;VLOOKUP(Contributor,ContributorTable,2,FALSE)</f>
        <v>AUDQM3AB6M=ICAA</v>
      </c>
      <c r="T5" s="147" t="s">
        <v>174</v>
      </c>
      <c r="U5" s="147" t="s">
        <v>174</v>
      </c>
      <c r="V5" s="147" t="s">
        <v>174</v>
      </c>
      <c r="W5" s="147" t="s">
        <v>174</v>
      </c>
      <c r="X5" s="151" t="e">
        <f>_xll.qlMidSafe($T5,$U5)</f>
        <v>#NUM!</v>
      </c>
      <c r="Y5" s="149"/>
      <c r="Z5" s="150" t="e">
        <v>#NUM!</v>
      </c>
      <c r="AA5" s="149"/>
      <c r="AB5" s="209" t="e">
        <f t="array" ref="AB5:AB42">QuoteLive</f>
        <v>#NUM!</v>
      </c>
      <c r="AC5" s="146" t="e">
        <f>_xll.qlSimpleQuoteSetValue(F5,AB5/100,Trigger)</f>
        <v>#NUM!</v>
      </c>
      <c r="AD5" s="136"/>
      <c r="AE5" s="12"/>
      <c r="AF5" s="12"/>
      <c r="AG5" s="12"/>
      <c r="AH5" s="12"/>
      <c r="AI5" s="12"/>
      <c r="AJ5" s="183"/>
    </row>
    <row r="6" spans="1:36" x14ac:dyDescent="0.2">
      <c r="A6" s="85"/>
      <c r="B6" s="121" t="s">
        <v>8</v>
      </c>
      <c r="C6" s="49" t="s">
        <v>255</v>
      </c>
      <c r="D6" s="49" t="s">
        <v>256</v>
      </c>
      <c r="E6" s="47" t="str">
        <f t="shared" ref="E6:E42" si="1">Currency&amp;$C6&amp;$D6&amp;$B6&amp;QuoteSuffix</f>
        <v>AUDQM3AB1Y_Quote</v>
      </c>
      <c r="F6" s="47" t="str">
        <f>_xll.qlSimpleQuote(Currency&amp;$C6&amp;$D6&amp;$B6&amp;QuoteSuffix,,RateTickValue,Permanent,Trigger,ObjectOverwrite)</f>
        <v>AUDQM3AB1Y_Quote#0000</v>
      </c>
      <c r="G6" s="15" t="str">
        <f>_xll.ohRangeRetrieveError(F6)</f>
        <v/>
      </c>
      <c r="H6" s="21"/>
      <c r="N6" s="85"/>
      <c r="O6" s="153" t="s">
        <v>8</v>
      </c>
      <c r="P6" s="192" t="s">
        <v>255</v>
      </c>
      <c r="Q6" s="192" t="s">
        <v>256</v>
      </c>
      <c r="R6" s="190" t="str">
        <f t="shared" si="0"/>
        <v>AUDQM3AB1Y</v>
      </c>
      <c r="S6" s="190" t="str">
        <v>AUDQM3AB1Y=ICAA</v>
      </c>
      <c r="T6" s="147">
        <v>2.6575000000000002</v>
      </c>
      <c r="U6" s="147">
        <v>2.7075</v>
      </c>
      <c r="V6" s="147">
        <v>0</v>
      </c>
      <c r="W6" s="147">
        <v>0</v>
      </c>
      <c r="X6" s="151">
        <f>_xll.qlMidSafe($T6,$U6)</f>
        <v>2.6825000000000001</v>
      </c>
      <c r="Y6" s="149"/>
      <c r="Z6" s="150">
        <v>2.7075</v>
      </c>
      <c r="AA6" s="149"/>
      <c r="AB6" s="209">
        <v>2.6825000000000001</v>
      </c>
      <c r="AC6" s="146">
        <f>_xll.qlSimpleQuoteSetValue(F6,AB6/100,Trigger)</f>
        <v>-1.7500000000000154E-4</v>
      </c>
      <c r="AD6" s="136"/>
      <c r="AE6" s="12"/>
      <c r="AF6" s="12"/>
      <c r="AG6" s="12"/>
      <c r="AH6" s="12"/>
      <c r="AI6" s="12"/>
      <c r="AJ6" s="183"/>
    </row>
    <row r="7" spans="1:36" x14ac:dyDescent="0.2">
      <c r="A7" s="85"/>
      <c r="B7" s="120" t="s">
        <v>103</v>
      </c>
      <c r="C7" s="49" t="s">
        <v>255</v>
      </c>
      <c r="D7" s="49" t="s">
        <v>256</v>
      </c>
      <c r="E7" s="47" t="str">
        <f t="shared" si="1"/>
        <v>AUDQM3AB15M_Quote</v>
      </c>
      <c r="F7" s="47" t="str">
        <f>_xll.qlSimpleQuote(Currency&amp;$C7&amp;$D7&amp;$B7&amp;QuoteSuffix,,RateTickValue,Permanent,Trigger,ObjectOverwrite)</f>
        <v>AUDQM3AB15M_Quote#0000</v>
      </c>
      <c r="G7" s="117" t="str">
        <f>_xll.ohRangeRetrieveError(F7)</f>
        <v/>
      </c>
      <c r="H7" s="21"/>
      <c r="N7" s="85"/>
      <c r="O7" s="153" t="s">
        <v>103</v>
      </c>
      <c r="P7" s="192" t="s">
        <v>255</v>
      </c>
      <c r="Q7" s="192" t="s">
        <v>256</v>
      </c>
      <c r="R7" s="190" t="str">
        <f t="shared" si="0"/>
        <v>AUDQM3AB15M</v>
      </c>
      <c r="S7" s="190" t="str">
        <v>AUDQM3AB15M=ICAA</v>
      </c>
      <c r="T7" s="147" t="s">
        <v>174</v>
      </c>
      <c r="U7" s="147" t="s">
        <v>174</v>
      </c>
      <c r="V7" s="147" t="s">
        <v>174</v>
      </c>
      <c r="W7" s="147" t="s">
        <v>174</v>
      </c>
      <c r="X7" s="151" t="e">
        <f>_xll.qlMidSafe($T7,$U7)</f>
        <v>#NUM!</v>
      </c>
      <c r="Y7" s="149"/>
      <c r="Z7" s="150" t="e">
        <v>#NUM!</v>
      </c>
      <c r="AA7" s="149"/>
      <c r="AB7" s="209" t="e">
        <v>#NUM!</v>
      </c>
      <c r="AC7" s="146" t="e">
        <f>_xll.qlSimpleQuoteSetValue(F7,AB7/100,Trigger)</f>
        <v>#NUM!</v>
      </c>
      <c r="AD7" s="136"/>
      <c r="AE7" s="12"/>
      <c r="AF7" s="12"/>
      <c r="AG7" s="12"/>
      <c r="AH7" s="12"/>
      <c r="AI7" s="12"/>
      <c r="AJ7" s="183"/>
    </row>
    <row r="8" spans="1:36" x14ac:dyDescent="0.2">
      <c r="A8" s="85"/>
      <c r="B8" s="120" t="s">
        <v>102</v>
      </c>
      <c r="C8" s="49" t="s">
        <v>255</v>
      </c>
      <c r="D8" s="49" t="s">
        <v>256</v>
      </c>
      <c r="E8" s="47" t="str">
        <f t="shared" si="1"/>
        <v>AUDQM3AB18M_Quote</v>
      </c>
      <c r="F8" s="47" t="str">
        <f>_xll.qlSimpleQuote(Currency&amp;$C8&amp;$D8&amp;$B8&amp;QuoteSuffix,,RateTickValue,Permanent,Trigger,ObjectOverwrite)</f>
        <v>AUDQM3AB18M_Quote#0000</v>
      </c>
      <c r="G8" s="117" t="str">
        <f>_xll.ohRangeRetrieveError(F8)</f>
        <v/>
      </c>
      <c r="H8" s="21"/>
      <c r="N8" s="85"/>
      <c r="O8" s="153" t="s">
        <v>102</v>
      </c>
      <c r="P8" s="192" t="s">
        <v>255</v>
      </c>
      <c r="Q8" s="192" t="s">
        <v>256</v>
      </c>
      <c r="R8" s="190" t="str">
        <f t="shared" si="0"/>
        <v>AUDQM3AB18M</v>
      </c>
      <c r="S8" s="190" t="str">
        <v>AUDQM3AB18M=ICAA</v>
      </c>
      <c r="T8" s="147" t="s">
        <v>174</v>
      </c>
      <c r="U8" s="147" t="s">
        <v>174</v>
      </c>
      <c r="V8" s="147" t="s">
        <v>174</v>
      </c>
      <c r="W8" s="147" t="s">
        <v>174</v>
      </c>
      <c r="X8" s="151" t="e">
        <f>_xll.qlMidSafe($T8,$U8)</f>
        <v>#NUM!</v>
      </c>
      <c r="Y8" s="149"/>
      <c r="Z8" s="150" t="e">
        <v>#NUM!</v>
      </c>
      <c r="AA8" s="149"/>
      <c r="AB8" s="209" t="e">
        <v>#NUM!</v>
      </c>
      <c r="AC8" s="146" t="e">
        <f>_xll.qlSimpleQuoteSetValue(F8,AB8/100,Trigger)</f>
        <v>#NUM!</v>
      </c>
      <c r="AD8" s="136"/>
      <c r="AE8" s="12"/>
      <c r="AF8" s="12"/>
      <c r="AG8" s="12"/>
      <c r="AH8" s="12"/>
      <c r="AI8" s="12"/>
      <c r="AJ8" s="183"/>
    </row>
    <row r="9" spans="1:36" x14ac:dyDescent="0.2">
      <c r="A9" s="85"/>
      <c r="B9" s="120" t="s">
        <v>101</v>
      </c>
      <c r="C9" s="49" t="s">
        <v>255</v>
      </c>
      <c r="D9" s="49" t="s">
        <v>256</v>
      </c>
      <c r="E9" s="47" t="str">
        <f t="shared" si="1"/>
        <v>AUDQM3AB21M_Quote</v>
      </c>
      <c r="F9" s="47" t="str">
        <f>_xll.qlSimpleQuote(Currency&amp;$C9&amp;$D9&amp;$B9&amp;QuoteSuffix,,RateTickValue,Permanent,Trigger,ObjectOverwrite)</f>
        <v>AUDQM3AB21M_Quote#0000</v>
      </c>
      <c r="G9" s="117" t="str">
        <f>_xll.ohRangeRetrieveError(F9)</f>
        <v/>
      </c>
      <c r="H9" s="21"/>
      <c r="N9" s="85"/>
      <c r="O9" s="153" t="s">
        <v>101</v>
      </c>
      <c r="P9" s="192" t="s">
        <v>255</v>
      </c>
      <c r="Q9" s="192" t="s">
        <v>256</v>
      </c>
      <c r="R9" s="190" t="str">
        <f t="shared" si="0"/>
        <v>AUDQM3AB21M</v>
      </c>
      <c r="S9" s="190" t="str">
        <v>AUDQM3AB21M=ICAA</v>
      </c>
      <c r="T9" s="147" t="s">
        <v>174</v>
      </c>
      <c r="U9" s="147" t="s">
        <v>174</v>
      </c>
      <c r="V9" s="147" t="s">
        <v>174</v>
      </c>
      <c r="W9" s="147" t="s">
        <v>174</v>
      </c>
      <c r="X9" s="151" t="e">
        <f>_xll.qlMidSafe($T9,$U9)</f>
        <v>#NUM!</v>
      </c>
      <c r="Y9" s="149"/>
      <c r="Z9" s="150" t="e">
        <v>#NUM!</v>
      </c>
      <c r="AA9" s="149"/>
      <c r="AB9" s="209" t="e">
        <v>#NUM!</v>
      </c>
      <c r="AC9" s="146" t="e">
        <f>_xll.qlSimpleQuoteSetValue(F9,AB9/100,Trigger)</f>
        <v>#NUM!</v>
      </c>
      <c r="AD9" s="136"/>
      <c r="AE9" s="12"/>
      <c r="AF9" s="12"/>
      <c r="AG9" s="12"/>
      <c r="AH9" s="12"/>
      <c r="AI9" s="12"/>
      <c r="AJ9" s="183"/>
    </row>
    <row r="10" spans="1:36" x14ac:dyDescent="0.2">
      <c r="A10" s="85"/>
      <c r="B10" s="120" t="s">
        <v>84</v>
      </c>
      <c r="C10" s="49" t="s">
        <v>255</v>
      </c>
      <c r="D10" s="49" t="s">
        <v>256</v>
      </c>
      <c r="E10" s="47" t="str">
        <f t="shared" si="1"/>
        <v>AUDQM3AB2Y_Quote</v>
      </c>
      <c r="F10" s="47" t="str">
        <f>_xll.qlSimpleQuote(Currency&amp;$C10&amp;$D10&amp;$B10&amp;QuoteSuffix,,RateTickValue,Permanent,Trigger,ObjectOverwrite)</f>
        <v>AUDQM3AB2Y_Quote#0000</v>
      </c>
      <c r="G10" s="117" t="str">
        <f>_xll.ohRangeRetrieveError(F10)</f>
        <v/>
      </c>
      <c r="H10" s="21"/>
      <c r="N10" s="85"/>
      <c r="O10" s="153" t="s">
        <v>84</v>
      </c>
      <c r="P10" s="192" t="s">
        <v>255</v>
      </c>
      <c r="Q10" s="192" t="s">
        <v>256</v>
      </c>
      <c r="R10" s="190" t="str">
        <f t="shared" si="0"/>
        <v>AUDQM3AB2Y</v>
      </c>
      <c r="S10" s="190" t="str">
        <v>AUDQM3AB2Y=ICAA</v>
      </c>
      <c r="T10" s="147">
        <v>2.78</v>
      </c>
      <c r="U10" s="147">
        <v>2.84</v>
      </c>
      <c r="V10" s="147">
        <v>0</v>
      </c>
      <c r="W10" s="147">
        <v>0</v>
      </c>
      <c r="X10" s="151">
        <f>_xll.qlMidSafe($T10,$U10)</f>
        <v>2.8099999999999996</v>
      </c>
      <c r="Y10" s="149"/>
      <c r="Z10" s="150">
        <v>2.8525</v>
      </c>
      <c r="AA10" s="149"/>
      <c r="AB10" s="209">
        <v>2.8099999999999996</v>
      </c>
      <c r="AC10" s="146">
        <f>_xll.qlSimpleQuoteSetValue(F10,AB10/100,Trigger)</f>
        <v>-4.5000000000000248E-4</v>
      </c>
      <c r="AD10" s="136"/>
      <c r="AE10" s="12"/>
      <c r="AF10" s="12"/>
      <c r="AG10" s="12"/>
      <c r="AH10" s="12"/>
      <c r="AI10" s="12"/>
      <c r="AJ10" s="183"/>
    </row>
    <row r="11" spans="1:36" x14ac:dyDescent="0.2">
      <c r="A11" s="85"/>
      <c r="B11" s="120" t="s">
        <v>83</v>
      </c>
      <c r="C11" s="49" t="s">
        <v>255</v>
      </c>
      <c r="D11" s="49" t="s">
        <v>256</v>
      </c>
      <c r="E11" s="47" t="str">
        <f t="shared" si="1"/>
        <v>AUDQM3AB3Y_Quote</v>
      </c>
      <c r="F11" s="47" t="str">
        <f>_xll.qlSimpleQuote(Currency&amp;$C11&amp;$D11&amp;$B11&amp;QuoteSuffix,,RateTickValue,Permanent,Trigger,ObjectOverwrite)</f>
        <v>AUDQM3AB3Y_Quote#0000</v>
      </c>
      <c r="G11" s="117" t="str">
        <f>_xll.ohRangeRetrieveError(F11)</f>
        <v/>
      </c>
      <c r="H11" s="21"/>
      <c r="N11" s="85"/>
      <c r="O11" s="153" t="s">
        <v>83</v>
      </c>
      <c r="P11" s="192" t="s">
        <v>255</v>
      </c>
      <c r="Q11" s="192" t="s">
        <v>256</v>
      </c>
      <c r="R11" s="190" t="str">
        <f t="shared" si="0"/>
        <v>AUDQM3AB3Y</v>
      </c>
      <c r="S11" s="190" t="str">
        <v>AUDQM3AB3Y=ICAA</v>
      </c>
      <c r="T11" s="147">
        <v>2.9275000000000002</v>
      </c>
      <c r="U11" s="147">
        <v>2.9874999999999998</v>
      </c>
      <c r="V11" s="147">
        <v>0</v>
      </c>
      <c r="W11" s="147">
        <v>0</v>
      </c>
      <c r="X11" s="151">
        <f>_xll.qlMidSafe($T11,$U11)</f>
        <v>2.9575</v>
      </c>
      <c r="Y11" s="149"/>
      <c r="Z11" s="150">
        <v>3.0350000000000001</v>
      </c>
      <c r="AA11" s="149"/>
      <c r="AB11" s="209">
        <v>2.9575</v>
      </c>
      <c r="AC11" s="146">
        <f>_xll.qlSimpleQuoteSetValue(F11,AB11/100,Trigger)</f>
        <v>-5.7499999999999565E-4</v>
      </c>
      <c r="AD11" s="136"/>
      <c r="AE11" s="12"/>
      <c r="AF11" s="12"/>
      <c r="AG11" s="12"/>
      <c r="AH11" s="12"/>
      <c r="AI11" s="12"/>
      <c r="AJ11" s="183"/>
    </row>
    <row r="12" spans="1:36" x14ac:dyDescent="0.2">
      <c r="A12" s="85"/>
      <c r="B12" s="120" t="s">
        <v>82</v>
      </c>
      <c r="C12" s="49" t="s">
        <v>255</v>
      </c>
      <c r="D12" s="49" t="s">
        <v>256</v>
      </c>
      <c r="E12" s="47" t="str">
        <f t="shared" si="1"/>
        <v>AUDQM3AB4Y_Quote</v>
      </c>
      <c r="F12" s="47" t="str">
        <f>_xll.qlSimpleQuote(Currency&amp;$C12&amp;$D12&amp;$B12&amp;QuoteSuffix,,RateTickValue,Permanent,Trigger,ObjectOverwrite)</f>
        <v>AUDQM3AB4Y_Quote#0000</v>
      </c>
      <c r="G12" s="117" t="str">
        <f>_xll.ohRangeRetrieveError(F12)</f>
        <v/>
      </c>
      <c r="H12" s="21"/>
      <c r="N12" s="85"/>
      <c r="O12" s="153" t="s">
        <v>82</v>
      </c>
      <c r="P12" s="192" t="s">
        <v>255</v>
      </c>
      <c r="Q12" s="192" t="s">
        <v>256</v>
      </c>
      <c r="R12" s="190" t="str">
        <f t="shared" si="0"/>
        <v>AUDQM3AB4Y</v>
      </c>
      <c r="S12" s="190" t="str">
        <v>AUDQM3AB4Y=ICAA</v>
      </c>
      <c r="T12" s="147" t="s">
        <v>174</v>
      </c>
      <c r="U12" s="147" t="s">
        <v>174</v>
      </c>
      <c r="V12" s="147" t="s">
        <v>174</v>
      </c>
      <c r="W12" s="147" t="s">
        <v>174</v>
      </c>
      <c r="X12" s="151" t="e">
        <f>_xll.qlMidSafe($T12,$U12)</f>
        <v>#NUM!</v>
      </c>
      <c r="Y12" s="149"/>
      <c r="Z12" s="150" t="e">
        <v>#NUM!</v>
      </c>
      <c r="AA12" s="149"/>
      <c r="AB12" s="209" t="e">
        <v>#NUM!</v>
      </c>
      <c r="AC12" s="146" t="e">
        <f>_xll.qlSimpleQuoteSetValue(F12,AB12/100,Trigger)</f>
        <v>#NUM!</v>
      </c>
      <c r="AD12" s="136"/>
      <c r="AE12" s="12"/>
      <c r="AF12" s="12"/>
      <c r="AG12" s="12"/>
      <c r="AH12" s="12"/>
      <c r="AI12" s="12"/>
      <c r="AJ12" s="183"/>
    </row>
    <row r="13" spans="1:36" x14ac:dyDescent="0.2">
      <c r="A13" s="85"/>
      <c r="B13" s="120" t="s">
        <v>81</v>
      </c>
      <c r="C13" s="49" t="s">
        <v>255</v>
      </c>
      <c r="D13" s="49" t="s">
        <v>256</v>
      </c>
      <c r="E13" s="47" t="str">
        <f t="shared" si="1"/>
        <v>AUDQM3AB5Y_Quote</v>
      </c>
      <c r="F13" s="47" t="str">
        <f>_xll.qlSimpleQuote(Currency&amp;$C13&amp;$D13&amp;$B13&amp;QuoteSuffix,,RateTickValue,Permanent,Trigger,ObjectOverwrite)</f>
        <v>AUDQM3AB5Y_Quote#0000</v>
      </c>
      <c r="G13" s="117" t="str">
        <f>_xll.ohRangeRetrieveError(F13)</f>
        <v/>
      </c>
      <c r="H13" s="21"/>
      <c r="N13" s="85"/>
      <c r="O13" s="153" t="s">
        <v>81</v>
      </c>
      <c r="P13" s="192" t="s">
        <v>255</v>
      </c>
      <c r="Q13" s="192" t="s">
        <v>256</v>
      </c>
      <c r="R13" s="190" t="str">
        <f t="shared" si="0"/>
        <v>AUDQM3AB5Y</v>
      </c>
      <c r="S13" s="190" t="str">
        <v>AUDQM3AB5Y=ICAA</v>
      </c>
      <c r="T13" s="147" t="s">
        <v>174</v>
      </c>
      <c r="U13" s="147" t="s">
        <v>174</v>
      </c>
      <c r="V13" s="147" t="s">
        <v>174</v>
      </c>
      <c r="W13" s="147" t="s">
        <v>174</v>
      </c>
      <c r="X13" s="151" t="e">
        <f>_xll.qlMidSafe($T13,$U13)</f>
        <v>#NUM!</v>
      </c>
      <c r="Y13" s="149"/>
      <c r="Z13" s="150" t="e">
        <v>#NUM!</v>
      </c>
      <c r="AA13" s="149"/>
      <c r="AB13" s="209" t="e">
        <v>#NUM!</v>
      </c>
      <c r="AC13" s="146" t="e">
        <f>_xll.qlSimpleQuoteSetValue(F13,AB13/100,Trigger)</f>
        <v>#NUM!</v>
      </c>
      <c r="AD13" s="136"/>
      <c r="AE13" s="12"/>
      <c r="AF13" s="12"/>
      <c r="AG13" s="12"/>
      <c r="AH13" s="12"/>
      <c r="AI13" s="12"/>
      <c r="AJ13" s="183"/>
    </row>
    <row r="14" spans="1:36" x14ac:dyDescent="0.2">
      <c r="A14" s="85"/>
      <c r="B14" s="120" t="s">
        <v>80</v>
      </c>
      <c r="C14" s="49" t="s">
        <v>255</v>
      </c>
      <c r="D14" s="49" t="s">
        <v>256</v>
      </c>
      <c r="E14" s="47" t="str">
        <f t="shared" si="1"/>
        <v>AUDQM3AB6Y_Quote</v>
      </c>
      <c r="F14" s="47" t="str">
        <f>_xll.qlSimpleQuote(Currency&amp;$C14&amp;$D14&amp;$B14&amp;QuoteSuffix,,RateTickValue,Permanent,Trigger,ObjectOverwrite)</f>
        <v>AUDQM3AB6Y_Quote#0000</v>
      </c>
      <c r="G14" s="117" t="str">
        <f>_xll.ohRangeRetrieveError(F14)</f>
        <v/>
      </c>
      <c r="H14" s="21"/>
      <c r="N14" s="85"/>
      <c r="O14" s="153" t="s">
        <v>80</v>
      </c>
      <c r="P14" s="192" t="s">
        <v>255</v>
      </c>
      <c r="Q14" s="192" t="s">
        <v>256</v>
      </c>
      <c r="R14" s="190" t="str">
        <f t="shared" si="0"/>
        <v>AUDQM3AB6Y</v>
      </c>
      <c r="S14" s="190" t="str">
        <v>AUDQM3AB6Y=ICAA</v>
      </c>
      <c r="T14" s="147" t="s">
        <v>174</v>
      </c>
      <c r="U14" s="147" t="s">
        <v>174</v>
      </c>
      <c r="V14" s="147" t="s">
        <v>174</v>
      </c>
      <c r="W14" s="147" t="s">
        <v>174</v>
      </c>
      <c r="X14" s="151" t="e">
        <f>_xll.qlMidSafe($T14,$U14)</f>
        <v>#NUM!</v>
      </c>
      <c r="Y14" s="149"/>
      <c r="Z14" s="150" t="e">
        <v>#NUM!</v>
      </c>
      <c r="AA14" s="149"/>
      <c r="AB14" s="209" t="e">
        <v>#NUM!</v>
      </c>
      <c r="AC14" s="146" t="e">
        <f>_xll.qlSimpleQuoteSetValue(F14,AB14/100,Trigger)</f>
        <v>#NUM!</v>
      </c>
      <c r="AD14" s="136"/>
      <c r="AE14" s="12"/>
      <c r="AF14" s="12"/>
      <c r="AG14" s="12"/>
      <c r="AH14" s="12"/>
      <c r="AI14" s="12"/>
      <c r="AJ14" s="183"/>
    </row>
    <row r="15" spans="1:36" x14ac:dyDescent="0.2">
      <c r="A15" s="85"/>
      <c r="B15" s="120" t="s">
        <v>79</v>
      </c>
      <c r="C15" s="49" t="s">
        <v>255</v>
      </c>
      <c r="D15" s="49" t="s">
        <v>256</v>
      </c>
      <c r="E15" s="47" t="str">
        <f t="shared" si="1"/>
        <v>AUDQM3AB7Y_Quote</v>
      </c>
      <c r="F15" s="47" t="str">
        <f>_xll.qlSimpleQuote(Currency&amp;$C15&amp;$D15&amp;$B15&amp;QuoteSuffix,,RateTickValue,Permanent,Trigger,ObjectOverwrite)</f>
        <v>AUDQM3AB7Y_Quote#0000</v>
      </c>
      <c r="G15" s="117" t="str">
        <f>_xll.ohRangeRetrieveError(F15)</f>
        <v/>
      </c>
      <c r="H15" s="21"/>
      <c r="N15" s="85"/>
      <c r="O15" s="153" t="s">
        <v>79</v>
      </c>
      <c r="P15" s="192" t="s">
        <v>255</v>
      </c>
      <c r="Q15" s="192" t="s">
        <v>256</v>
      </c>
      <c r="R15" s="190" t="str">
        <f t="shared" si="0"/>
        <v>AUDQM3AB7Y</v>
      </c>
      <c r="S15" s="190" t="str">
        <v>AUDQM3AB7Y=ICAA</v>
      </c>
      <c r="T15" s="147" t="s">
        <v>174</v>
      </c>
      <c r="U15" s="147" t="s">
        <v>174</v>
      </c>
      <c r="V15" s="147" t="s">
        <v>174</v>
      </c>
      <c r="W15" s="147" t="s">
        <v>174</v>
      </c>
      <c r="X15" s="151" t="e">
        <f>_xll.qlMidSafe($T15,$U15)</f>
        <v>#NUM!</v>
      </c>
      <c r="Y15" s="149"/>
      <c r="Z15" s="150" t="e">
        <v>#NUM!</v>
      </c>
      <c r="AA15" s="149"/>
      <c r="AB15" s="209" t="e">
        <v>#NUM!</v>
      </c>
      <c r="AC15" s="146" t="e">
        <f>_xll.qlSimpleQuoteSetValue(F15,AB15/100,Trigger)</f>
        <v>#NUM!</v>
      </c>
      <c r="AD15" s="136"/>
      <c r="AE15" s="12"/>
      <c r="AF15" s="12"/>
      <c r="AG15" s="12"/>
      <c r="AH15" s="12"/>
      <c r="AI15" s="12"/>
      <c r="AJ15" s="183"/>
    </row>
    <row r="16" spans="1:36" x14ac:dyDescent="0.2">
      <c r="A16" s="85"/>
      <c r="B16" s="120" t="s">
        <v>78</v>
      </c>
      <c r="C16" s="49" t="s">
        <v>255</v>
      </c>
      <c r="D16" s="49" t="s">
        <v>256</v>
      </c>
      <c r="E16" s="47" t="str">
        <f t="shared" si="1"/>
        <v>AUDQM3AB8Y_Quote</v>
      </c>
      <c r="F16" s="47" t="str">
        <f>_xll.qlSimpleQuote(Currency&amp;$C16&amp;$D16&amp;$B16&amp;QuoteSuffix,,RateTickValue,Permanent,Trigger,ObjectOverwrite)</f>
        <v>AUDQM3AB8Y_Quote#0000</v>
      </c>
      <c r="G16" s="117" t="str">
        <f>_xll.ohRangeRetrieveError(F16)</f>
        <v/>
      </c>
      <c r="H16" s="21"/>
      <c r="N16" s="85"/>
      <c r="O16" s="153" t="s">
        <v>78</v>
      </c>
      <c r="P16" s="192" t="s">
        <v>255</v>
      </c>
      <c r="Q16" s="192" t="s">
        <v>256</v>
      </c>
      <c r="R16" s="190" t="str">
        <f t="shared" si="0"/>
        <v>AUDQM3AB8Y</v>
      </c>
      <c r="S16" s="190" t="str">
        <v>AUDQM3AB8Y=ICAA</v>
      </c>
      <c r="T16" s="147" t="s">
        <v>174</v>
      </c>
      <c r="U16" s="147" t="s">
        <v>174</v>
      </c>
      <c r="V16" s="147" t="s">
        <v>174</v>
      </c>
      <c r="W16" s="147" t="s">
        <v>174</v>
      </c>
      <c r="X16" s="151" t="e">
        <f>_xll.qlMidSafe($T16,$U16)</f>
        <v>#NUM!</v>
      </c>
      <c r="Y16" s="149"/>
      <c r="Z16" s="150" t="e">
        <v>#NUM!</v>
      </c>
      <c r="AA16" s="149"/>
      <c r="AB16" s="209" t="e">
        <v>#NUM!</v>
      </c>
      <c r="AC16" s="146" t="e">
        <f>_xll.qlSimpleQuoteSetValue(F16,AB16/100,Trigger)</f>
        <v>#NUM!</v>
      </c>
      <c r="AD16" s="136"/>
      <c r="AE16" s="12"/>
      <c r="AF16" s="12"/>
      <c r="AG16" s="12"/>
      <c r="AH16" s="12"/>
      <c r="AI16" s="12"/>
      <c r="AJ16" s="183"/>
    </row>
    <row r="17" spans="1:36" x14ac:dyDescent="0.2">
      <c r="A17" s="85"/>
      <c r="B17" s="120" t="s">
        <v>77</v>
      </c>
      <c r="C17" s="49" t="s">
        <v>255</v>
      </c>
      <c r="D17" s="49" t="s">
        <v>256</v>
      </c>
      <c r="E17" s="47" t="str">
        <f t="shared" si="1"/>
        <v>AUDQM3AB9Y_Quote</v>
      </c>
      <c r="F17" s="47" t="str">
        <f>_xll.qlSimpleQuote(Currency&amp;$C17&amp;$D17&amp;$B17&amp;QuoteSuffix,,RateTickValue,Permanent,Trigger,ObjectOverwrite)</f>
        <v>AUDQM3AB9Y_Quote#0000</v>
      </c>
      <c r="G17" s="117" t="str">
        <f>_xll.ohRangeRetrieveError(F17)</f>
        <v/>
      </c>
      <c r="H17" s="21"/>
      <c r="N17" s="85"/>
      <c r="O17" s="153" t="s">
        <v>77</v>
      </c>
      <c r="P17" s="192" t="s">
        <v>255</v>
      </c>
      <c r="Q17" s="192" t="s">
        <v>256</v>
      </c>
      <c r="R17" s="190" t="str">
        <f t="shared" si="0"/>
        <v>AUDQM3AB9Y</v>
      </c>
      <c r="S17" s="190" t="str">
        <v>AUDQM3AB9Y=ICAA</v>
      </c>
      <c r="T17" s="147" t="s">
        <v>174</v>
      </c>
      <c r="U17" s="147" t="s">
        <v>174</v>
      </c>
      <c r="V17" s="147" t="s">
        <v>174</v>
      </c>
      <c r="W17" s="147" t="s">
        <v>174</v>
      </c>
      <c r="X17" s="151" t="e">
        <f>_xll.qlMidSafe($T17,$U17)</f>
        <v>#NUM!</v>
      </c>
      <c r="Y17" s="149"/>
      <c r="Z17" s="150" t="e">
        <v>#NUM!</v>
      </c>
      <c r="AA17" s="149"/>
      <c r="AB17" s="209" t="e">
        <v>#NUM!</v>
      </c>
      <c r="AC17" s="146" t="e">
        <f>_xll.qlSimpleQuoteSetValue(F17,AB17/100,Trigger)</f>
        <v>#NUM!</v>
      </c>
      <c r="AD17" s="136"/>
      <c r="AE17" s="12"/>
      <c r="AF17" s="12"/>
      <c r="AG17" s="12"/>
      <c r="AH17" s="12"/>
      <c r="AI17" s="12"/>
      <c r="AJ17" s="183"/>
    </row>
    <row r="18" spans="1:36" x14ac:dyDescent="0.2">
      <c r="A18" s="85"/>
      <c r="B18" s="120" t="s">
        <v>76</v>
      </c>
      <c r="C18" s="49" t="s">
        <v>255</v>
      </c>
      <c r="D18" s="49" t="s">
        <v>256</v>
      </c>
      <c r="E18" s="47" t="str">
        <f t="shared" si="1"/>
        <v>AUDQM3AB10Y_Quote</v>
      </c>
      <c r="F18" s="47" t="str">
        <f>_xll.qlSimpleQuote(Currency&amp;$C18&amp;$D18&amp;$B18&amp;QuoteSuffix,,RateTickValue,Permanent,Trigger,ObjectOverwrite)</f>
        <v>AUDQM3AB10Y_Quote#0000</v>
      </c>
      <c r="G18" s="117" t="str">
        <f>_xll.ohRangeRetrieveError(F18)</f>
        <v/>
      </c>
      <c r="H18" s="21"/>
      <c r="N18" s="85"/>
      <c r="O18" s="153" t="s">
        <v>76</v>
      </c>
      <c r="P18" s="192" t="s">
        <v>255</v>
      </c>
      <c r="Q18" s="192" t="s">
        <v>256</v>
      </c>
      <c r="R18" s="190" t="str">
        <f t="shared" si="0"/>
        <v>AUDQM3AB10Y</v>
      </c>
      <c r="S18" s="190" t="str">
        <v>AUDQM3AB10Y=ICAA</v>
      </c>
      <c r="T18" s="147" t="s">
        <v>174</v>
      </c>
      <c r="U18" s="147" t="s">
        <v>174</v>
      </c>
      <c r="V18" s="147" t="s">
        <v>174</v>
      </c>
      <c r="W18" s="147" t="s">
        <v>174</v>
      </c>
      <c r="X18" s="151" t="e">
        <f>_xll.qlMidSafe($T18,$U18)</f>
        <v>#NUM!</v>
      </c>
      <c r="Y18" s="149"/>
      <c r="Z18" s="150" t="e">
        <v>#NUM!</v>
      </c>
      <c r="AA18" s="149"/>
      <c r="AB18" s="209" t="e">
        <v>#NUM!</v>
      </c>
      <c r="AC18" s="146" t="e">
        <f>_xll.qlSimpleQuoteSetValue(F18,AB18/100,Trigger)</f>
        <v>#NUM!</v>
      </c>
      <c r="AD18" s="136"/>
      <c r="AE18" s="12"/>
      <c r="AF18" s="12"/>
      <c r="AG18" s="12"/>
      <c r="AH18" s="12"/>
      <c r="AI18" s="12"/>
      <c r="AJ18" s="183"/>
    </row>
    <row r="19" spans="1:36" x14ac:dyDescent="0.2">
      <c r="A19" s="85"/>
      <c r="B19" s="120" t="s">
        <v>75</v>
      </c>
      <c r="C19" s="49" t="s">
        <v>255</v>
      </c>
      <c r="D19" s="49" t="s">
        <v>256</v>
      </c>
      <c r="E19" s="47" t="str">
        <f t="shared" si="1"/>
        <v>AUDQM3AB11Y_Quote</v>
      </c>
      <c r="F19" s="47" t="str">
        <f>_xll.qlSimpleQuote(Currency&amp;$C19&amp;$D19&amp;$B19&amp;QuoteSuffix,,RateTickValue,Permanent,Trigger,ObjectOverwrite)</f>
        <v>AUDQM3AB11Y_Quote#0000</v>
      </c>
      <c r="G19" s="117" t="str">
        <f>_xll.ohRangeRetrieveError(F19)</f>
        <v/>
      </c>
      <c r="H19" s="21"/>
      <c r="N19" s="85"/>
      <c r="O19" s="153" t="s">
        <v>75</v>
      </c>
      <c r="P19" s="192" t="s">
        <v>255</v>
      </c>
      <c r="Q19" s="192" t="s">
        <v>256</v>
      </c>
      <c r="R19" s="190" t="str">
        <f t="shared" si="0"/>
        <v>AUDQM3AB11Y</v>
      </c>
      <c r="S19" s="190" t="str">
        <v>AUDQM3AB11Y=ICAA</v>
      </c>
      <c r="T19" s="147" t="s">
        <v>174</v>
      </c>
      <c r="U19" s="147" t="s">
        <v>174</v>
      </c>
      <c r="V19" s="147" t="s">
        <v>174</v>
      </c>
      <c r="W19" s="147" t="s">
        <v>174</v>
      </c>
      <c r="X19" s="151" t="e">
        <f>_xll.qlMidSafe($T19,$U19)</f>
        <v>#NUM!</v>
      </c>
      <c r="Y19" s="149"/>
      <c r="Z19" s="150" t="e">
        <v>#NUM!</v>
      </c>
      <c r="AA19" s="149"/>
      <c r="AB19" s="209" t="e">
        <v>#NUM!</v>
      </c>
      <c r="AC19" s="146" t="e">
        <f>_xll.qlSimpleQuoteSetValue(F19,AB19/100,Trigger)</f>
        <v>#NUM!</v>
      </c>
      <c r="AD19" s="136"/>
      <c r="AE19" s="12"/>
      <c r="AF19" s="12"/>
      <c r="AG19" s="12"/>
      <c r="AH19" s="12"/>
      <c r="AI19" s="12"/>
      <c r="AJ19" s="183"/>
    </row>
    <row r="20" spans="1:36" x14ac:dyDescent="0.2">
      <c r="A20" s="85"/>
      <c r="B20" s="120" t="s">
        <v>74</v>
      </c>
      <c r="C20" s="49" t="s">
        <v>255</v>
      </c>
      <c r="D20" s="49" t="s">
        <v>256</v>
      </c>
      <c r="E20" s="47" t="str">
        <f t="shared" si="1"/>
        <v>AUDQM3AB12Y_Quote</v>
      </c>
      <c r="F20" s="47" t="str">
        <f>_xll.qlSimpleQuote(Currency&amp;$C20&amp;$D20&amp;$B20&amp;QuoteSuffix,,RateTickValue,Permanent,Trigger,ObjectOverwrite)</f>
        <v>AUDQM3AB12Y_Quote#0000</v>
      </c>
      <c r="G20" s="117" t="str">
        <f>_xll.ohRangeRetrieveError(F20)</f>
        <v/>
      </c>
      <c r="H20" s="21"/>
      <c r="N20" s="85"/>
      <c r="O20" s="153" t="s">
        <v>74</v>
      </c>
      <c r="P20" s="192" t="s">
        <v>255</v>
      </c>
      <c r="Q20" s="192" t="s">
        <v>256</v>
      </c>
      <c r="R20" s="190" t="str">
        <f t="shared" si="0"/>
        <v>AUDQM3AB12Y</v>
      </c>
      <c r="S20" s="190" t="str">
        <v>AUDQM3AB12Y=ICAA</v>
      </c>
      <c r="T20" s="147" t="s">
        <v>174</v>
      </c>
      <c r="U20" s="147" t="s">
        <v>174</v>
      </c>
      <c r="V20" s="147" t="s">
        <v>174</v>
      </c>
      <c r="W20" s="147" t="s">
        <v>174</v>
      </c>
      <c r="X20" s="151" t="e">
        <f>_xll.qlMidSafe($T20,$U20)</f>
        <v>#NUM!</v>
      </c>
      <c r="Y20" s="149"/>
      <c r="Z20" s="150" t="e">
        <v>#NUM!</v>
      </c>
      <c r="AA20" s="149"/>
      <c r="AB20" s="209" t="e">
        <v>#NUM!</v>
      </c>
      <c r="AC20" s="146" t="e">
        <f>_xll.qlSimpleQuoteSetValue(F20,AB20/100,Trigger)</f>
        <v>#NUM!</v>
      </c>
      <c r="AD20" s="136"/>
      <c r="AE20" s="12"/>
      <c r="AF20" s="12"/>
      <c r="AG20" s="12"/>
      <c r="AH20" s="12"/>
      <c r="AI20" s="12"/>
      <c r="AJ20" s="183"/>
    </row>
    <row r="21" spans="1:36" x14ac:dyDescent="0.2">
      <c r="A21" s="85"/>
      <c r="B21" s="120" t="s">
        <v>73</v>
      </c>
      <c r="C21" s="49" t="s">
        <v>255</v>
      </c>
      <c r="D21" s="49" t="s">
        <v>256</v>
      </c>
      <c r="E21" s="47" t="str">
        <f t="shared" si="1"/>
        <v>AUDQM3AB13Y_Quote</v>
      </c>
      <c r="F21" s="47" t="str">
        <f>_xll.qlSimpleQuote(Currency&amp;$C21&amp;$D21&amp;$B21&amp;QuoteSuffix,,RateTickValue,Permanent,Trigger,ObjectOverwrite)</f>
        <v>AUDQM3AB13Y_Quote#0000</v>
      </c>
      <c r="G21" s="117" t="str">
        <f>_xll.ohRangeRetrieveError(F21)</f>
        <v/>
      </c>
      <c r="H21" s="21"/>
      <c r="N21" s="85"/>
      <c r="O21" s="153" t="s">
        <v>73</v>
      </c>
      <c r="P21" s="192" t="s">
        <v>255</v>
      </c>
      <c r="Q21" s="192" t="s">
        <v>256</v>
      </c>
      <c r="R21" s="190" t="str">
        <f t="shared" si="0"/>
        <v>AUDQM3AB13Y</v>
      </c>
      <c r="S21" s="190" t="str">
        <v>AUDQM3AB13Y=ICAA</v>
      </c>
      <c r="T21" s="147" t="s">
        <v>174</v>
      </c>
      <c r="U21" s="147" t="s">
        <v>174</v>
      </c>
      <c r="V21" s="147" t="s">
        <v>174</v>
      </c>
      <c r="W21" s="147" t="s">
        <v>174</v>
      </c>
      <c r="X21" s="151" t="e">
        <f>_xll.qlMidSafe($T21,$U21)</f>
        <v>#NUM!</v>
      </c>
      <c r="Y21" s="149"/>
      <c r="Z21" s="150" t="e">
        <v>#NUM!</v>
      </c>
      <c r="AA21" s="149"/>
      <c r="AB21" s="209" t="e">
        <v>#NUM!</v>
      </c>
      <c r="AC21" s="146" t="e">
        <f>_xll.qlSimpleQuoteSetValue(F21,AB21/100,Trigger)</f>
        <v>#NUM!</v>
      </c>
      <c r="AD21" s="136"/>
      <c r="AE21" s="12"/>
      <c r="AF21" s="12"/>
      <c r="AG21" s="12"/>
      <c r="AH21" s="12"/>
      <c r="AI21" s="12"/>
      <c r="AJ21" s="183"/>
    </row>
    <row r="22" spans="1:36" x14ac:dyDescent="0.2">
      <c r="A22" s="85"/>
      <c r="B22" s="120" t="s">
        <v>72</v>
      </c>
      <c r="C22" s="49" t="s">
        <v>255</v>
      </c>
      <c r="D22" s="49" t="s">
        <v>256</v>
      </c>
      <c r="E22" s="47" t="str">
        <f t="shared" si="1"/>
        <v>AUDQM3AB14Y_Quote</v>
      </c>
      <c r="F22" s="47" t="str">
        <f>_xll.qlSimpleQuote(Currency&amp;$C22&amp;$D22&amp;$B22&amp;QuoteSuffix,,RateTickValue,Permanent,Trigger,ObjectOverwrite)</f>
        <v>AUDQM3AB14Y_Quote#0000</v>
      </c>
      <c r="G22" s="117" t="str">
        <f>_xll.ohRangeRetrieveError(F22)</f>
        <v/>
      </c>
      <c r="H22" s="21"/>
      <c r="N22" s="85"/>
      <c r="O22" s="153" t="s">
        <v>72</v>
      </c>
      <c r="P22" s="192" t="s">
        <v>255</v>
      </c>
      <c r="Q22" s="192" t="s">
        <v>256</v>
      </c>
      <c r="R22" s="190" t="str">
        <f t="shared" si="0"/>
        <v>AUDQM3AB14Y</v>
      </c>
      <c r="S22" s="190" t="str">
        <v>AUDQM3AB14Y=ICAA</v>
      </c>
      <c r="T22" s="147" t="s">
        <v>174</v>
      </c>
      <c r="U22" s="147" t="s">
        <v>174</v>
      </c>
      <c r="V22" s="147" t="s">
        <v>174</v>
      </c>
      <c r="W22" s="147" t="s">
        <v>174</v>
      </c>
      <c r="X22" s="151" t="e">
        <f>_xll.qlMidSafe($T22,$U22)</f>
        <v>#NUM!</v>
      </c>
      <c r="Y22" s="149"/>
      <c r="Z22" s="150" t="e">
        <v>#NUM!</v>
      </c>
      <c r="AA22" s="149"/>
      <c r="AB22" s="209" t="e">
        <v>#NUM!</v>
      </c>
      <c r="AC22" s="146" t="e">
        <f>_xll.qlSimpleQuoteSetValue(F22,AB22/100,Trigger)</f>
        <v>#NUM!</v>
      </c>
      <c r="AD22" s="136"/>
      <c r="AE22" s="12"/>
      <c r="AF22" s="12"/>
      <c r="AG22" s="12"/>
      <c r="AH22" s="12"/>
      <c r="AI22" s="12"/>
      <c r="AJ22" s="183"/>
    </row>
    <row r="23" spans="1:36" x14ac:dyDescent="0.2">
      <c r="A23" s="85"/>
      <c r="B23" s="120" t="s">
        <v>71</v>
      </c>
      <c r="C23" s="49" t="s">
        <v>255</v>
      </c>
      <c r="D23" s="49" t="s">
        <v>256</v>
      </c>
      <c r="E23" s="47" t="str">
        <f t="shared" si="1"/>
        <v>AUDQM3AB15Y_Quote</v>
      </c>
      <c r="F23" s="47" t="str">
        <f>_xll.qlSimpleQuote(Currency&amp;$C23&amp;$D23&amp;$B23&amp;QuoteSuffix,,RateTickValue,Permanent,Trigger,ObjectOverwrite)</f>
        <v>AUDQM3AB15Y_Quote#0000</v>
      </c>
      <c r="G23" s="117" t="str">
        <f>_xll.ohRangeRetrieveError(F23)</f>
        <v/>
      </c>
      <c r="H23" s="21"/>
      <c r="N23" s="85"/>
      <c r="O23" s="153" t="s">
        <v>71</v>
      </c>
      <c r="P23" s="192" t="s">
        <v>255</v>
      </c>
      <c r="Q23" s="192" t="s">
        <v>256</v>
      </c>
      <c r="R23" s="190" t="str">
        <f t="shared" si="0"/>
        <v>AUDQM3AB15Y</v>
      </c>
      <c r="S23" s="190" t="str">
        <v>AUDQM3AB15Y=ICAA</v>
      </c>
      <c r="T23" s="147" t="s">
        <v>174</v>
      </c>
      <c r="U23" s="147" t="s">
        <v>174</v>
      </c>
      <c r="V23" s="147" t="s">
        <v>174</v>
      </c>
      <c r="W23" s="147" t="s">
        <v>174</v>
      </c>
      <c r="X23" s="151" t="e">
        <f>_xll.qlMidSafe($T23,$U23)</f>
        <v>#NUM!</v>
      </c>
      <c r="Y23" s="149"/>
      <c r="Z23" s="150" t="e">
        <v>#NUM!</v>
      </c>
      <c r="AA23" s="149"/>
      <c r="AB23" s="209" t="e">
        <v>#NUM!</v>
      </c>
      <c r="AC23" s="146" t="e">
        <f>_xll.qlSimpleQuoteSetValue(F23,AB23/100,Trigger)</f>
        <v>#NUM!</v>
      </c>
      <c r="AD23" s="136"/>
      <c r="AE23" s="12"/>
      <c r="AF23" s="12"/>
      <c r="AG23" s="12"/>
      <c r="AH23" s="12"/>
      <c r="AI23" s="12"/>
      <c r="AJ23" s="183"/>
    </row>
    <row r="24" spans="1:36" x14ac:dyDescent="0.2">
      <c r="A24" s="85"/>
      <c r="B24" s="120" t="s">
        <v>70</v>
      </c>
      <c r="C24" s="49" t="s">
        <v>255</v>
      </c>
      <c r="D24" s="49" t="s">
        <v>256</v>
      </c>
      <c r="E24" s="47" t="str">
        <f t="shared" si="1"/>
        <v>AUDQM3AB16Y_Quote</v>
      </c>
      <c r="F24" s="47" t="str">
        <f>_xll.qlSimpleQuote(Currency&amp;$C24&amp;$D24&amp;$B24&amp;QuoteSuffix,,RateTickValue,Permanent,Trigger,ObjectOverwrite)</f>
        <v>AUDQM3AB16Y_Quote#0000</v>
      </c>
      <c r="G24" s="117" t="str">
        <f>_xll.ohRangeRetrieveError(F24)</f>
        <v/>
      </c>
      <c r="H24" s="21"/>
      <c r="N24" s="85"/>
      <c r="O24" s="153" t="s">
        <v>70</v>
      </c>
      <c r="P24" s="192" t="s">
        <v>255</v>
      </c>
      <c r="Q24" s="192" t="s">
        <v>256</v>
      </c>
      <c r="R24" s="190" t="str">
        <f t="shared" si="0"/>
        <v>AUDQM3AB16Y</v>
      </c>
      <c r="S24" s="190" t="str">
        <v>AUDQM3AB16Y=ICAA</v>
      </c>
      <c r="T24" s="147" t="s">
        <v>174</v>
      </c>
      <c r="U24" s="147" t="s">
        <v>174</v>
      </c>
      <c r="V24" s="147" t="s">
        <v>174</v>
      </c>
      <c r="W24" s="147" t="s">
        <v>174</v>
      </c>
      <c r="X24" s="151" t="e">
        <f>_xll.qlMidSafe($T24,$U24)</f>
        <v>#NUM!</v>
      </c>
      <c r="Y24" s="149"/>
      <c r="Z24" s="150" t="e">
        <v>#NUM!</v>
      </c>
      <c r="AA24" s="149"/>
      <c r="AB24" s="209" t="e">
        <v>#NUM!</v>
      </c>
      <c r="AC24" s="146" t="e">
        <f>_xll.qlSimpleQuoteSetValue(F24,AB24/100,Trigger)</f>
        <v>#NUM!</v>
      </c>
      <c r="AD24" s="136"/>
      <c r="AE24" s="12"/>
      <c r="AF24" s="12"/>
      <c r="AG24" s="12"/>
      <c r="AH24" s="12"/>
      <c r="AI24" s="12"/>
      <c r="AJ24" s="183"/>
    </row>
    <row r="25" spans="1:36" x14ac:dyDescent="0.2">
      <c r="A25" s="85"/>
      <c r="B25" s="120" t="s">
        <v>69</v>
      </c>
      <c r="C25" s="49" t="s">
        <v>255</v>
      </c>
      <c r="D25" s="49" t="s">
        <v>256</v>
      </c>
      <c r="E25" s="47" t="str">
        <f t="shared" si="1"/>
        <v>AUDQM3AB17Y_Quote</v>
      </c>
      <c r="F25" s="47" t="str">
        <f>_xll.qlSimpleQuote(Currency&amp;$C25&amp;$D25&amp;$B25&amp;QuoteSuffix,,RateTickValue,Permanent,Trigger,ObjectOverwrite)</f>
        <v>AUDQM3AB17Y_Quote#0000</v>
      </c>
      <c r="G25" s="117" t="str">
        <f>_xll.ohRangeRetrieveError(F25)</f>
        <v/>
      </c>
      <c r="H25" s="21"/>
      <c r="N25" s="85"/>
      <c r="O25" s="153" t="s">
        <v>69</v>
      </c>
      <c r="P25" s="192" t="s">
        <v>255</v>
      </c>
      <c r="Q25" s="192" t="s">
        <v>256</v>
      </c>
      <c r="R25" s="190" t="str">
        <f t="shared" si="0"/>
        <v>AUDQM3AB17Y</v>
      </c>
      <c r="S25" s="190" t="str">
        <v>AUDQM3AB17Y=ICAA</v>
      </c>
      <c r="T25" s="147" t="s">
        <v>174</v>
      </c>
      <c r="U25" s="147" t="s">
        <v>174</v>
      </c>
      <c r="V25" s="147" t="s">
        <v>174</v>
      </c>
      <c r="W25" s="147" t="s">
        <v>174</v>
      </c>
      <c r="X25" s="151" t="e">
        <f>_xll.qlMidSafe($T25,$U25)</f>
        <v>#NUM!</v>
      </c>
      <c r="Y25" s="149"/>
      <c r="Z25" s="150" t="e">
        <v>#NUM!</v>
      </c>
      <c r="AA25" s="149"/>
      <c r="AB25" s="209" t="e">
        <v>#NUM!</v>
      </c>
      <c r="AC25" s="146" t="e">
        <f>_xll.qlSimpleQuoteSetValue(F25,AB25/100,Trigger)</f>
        <v>#NUM!</v>
      </c>
      <c r="AD25" s="136"/>
      <c r="AE25" s="12"/>
      <c r="AF25" s="12"/>
      <c r="AG25" s="12"/>
      <c r="AH25" s="12"/>
      <c r="AI25" s="12"/>
      <c r="AJ25" s="183"/>
    </row>
    <row r="26" spans="1:36" x14ac:dyDescent="0.2">
      <c r="A26" s="85"/>
      <c r="B26" s="120" t="s">
        <v>68</v>
      </c>
      <c r="C26" s="49" t="s">
        <v>255</v>
      </c>
      <c r="D26" s="49" t="s">
        <v>256</v>
      </c>
      <c r="E26" s="47" t="str">
        <f t="shared" si="1"/>
        <v>AUDQM3AB18Y_Quote</v>
      </c>
      <c r="F26" s="47" t="str">
        <f>_xll.qlSimpleQuote(Currency&amp;$C26&amp;$D26&amp;$B26&amp;QuoteSuffix,,RateTickValue,Permanent,Trigger,ObjectOverwrite)</f>
        <v>AUDQM3AB18Y_Quote#0000</v>
      </c>
      <c r="G26" s="117" t="str">
        <f>_xll.ohRangeRetrieveError(F26)</f>
        <v/>
      </c>
      <c r="H26" s="21"/>
      <c r="N26" s="85"/>
      <c r="O26" s="153" t="s">
        <v>68</v>
      </c>
      <c r="P26" s="192" t="s">
        <v>255</v>
      </c>
      <c r="Q26" s="192" t="s">
        <v>256</v>
      </c>
      <c r="R26" s="190" t="str">
        <f t="shared" si="0"/>
        <v>AUDQM3AB18Y</v>
      </c>
      <c r="S26" s="190" t="str">
        <v>AUDQM3AB18Y=ICAA</v>
      </c>
      <c r="T26" s="147" t="s">
        <v>174</v>
      </c>
      <c r="U26" s="147" t="s">
        <v>174</v>
      </c>
      <c r="V26" s="147" t="s">
        <v>174</v>
      </c>
      <c r="W26" s="147" t="s">
        <v>174</v>
      </c>
      <c r="X26" s="151" t="e">
        <f>_xll.qlMidSafe($T26,$U26)</f>
        <v>#NUM!</v>
      </c>
      <c r="Y26" s="149"/>
      <c r="Z26" s="150" t="e">
        <v>#NUM!</v>
      </c>
      <c r="AA26" s="149"/>
      <c r="AB26" s="209" t="e">
        <v>#NUM!</v>
      </c>
      <c r="AC26" s="146" t="e">
        <f>_xll.qlSimpleQuoteSetValue(F26,AB26/100,Trigger)</f>
        <v>#NUM!</v>
      </c>
      <c r="AD26" s="136"/>
      <c r="AE26" s="12"/>
      <c r="AF26" s="12"/>
      <c r="AG26" s="12"/>
      <c r="AH26" s="12"/>
      <c r="AI26" s="12"/>
      <c r="AJ26" s="183"/>
    </row>
    <row r="27" spans="1:36" x14ac:dyDescent="0.2">
      <c r="A27" s="85"/>
      <c r="B27" s="120" t="s">
        <v>67</v>
      </c>
      <c r="C27" s="49" t="s">
        <v>255</v>
      </c>
      <c r="D27" s="49" t="s">
        <v>256</v>
      </c>
      <c r="E27" s="47" t="str">
        <f t="shared" si="1"/>
        <v>AUDQM3AB19Y_Quote</v>
      </c>
      <c r="F27" s="47" t="str">
        <f>_xll.qlSimpleQuote(Currency&amp;$C27&amp;$D27&amp;$B27&amp;QuoteSuffix,,RateTickValue,Permanent,Trigger,ObjectOverwrite)</f>
        <v>AUDQM3AB19Y_Quote#0000</v>
      </c>
      <c r="G27" s="117" t="str">
        <f>_xll.ohRangeRetrieveError(F27)</f>
        <v/>
      </c>
      <c r="H27" s="21"/>
      <c r="N27" s="85"/>
      <c r="O27" s="153" t="s">
        <v>67</v>
      </c>
      <c r="P27" s="192" t="s">
        <v>255</v>
      </c>
      <c r="Q27" s="192" t="s">
        <v>256</v>
      </c>
      <c r="R27" s="190" t="str">
        <f t="shared" si="0"/>
        <v>AUDQM3AB19Y</v>
      </c>
      <c r="S27" s="190" t="str">
        <v>AUDQM3AB19Y=ICAA</v>
      </c>
      <c r="T27" s="147" t="s">
        <v>174</v>
      </c>
      <c r="U27" s="147" t="s">
        <v>174</v>
      </c>
      <c r="V27" s="147" t="s">
        <v>174</v>
      </c>
      <c r="W27" s="147" t="s">
        <v>174</v>
      </c>
      <c r="X27" s="151" t="e">
        <f>_xll.qlMidSafe($T27,$U27)</f>
        <v>#NUM!</v>
      </c>
      <c r="Y27" s="149"/>
      <c r="Z27" s="150" t="e">
        <v>#NUM!</v>
      </c>
      <c r="AA27" s="149"/>
      <c r="AB27" s="209" t="e">
        <v>#NUM!</v>
      </c>
      <c r="AC27" s="146" t="e">
        <f>_xll.qlSimpleQuoteSetValue(F27,AB27/100,Trigger)</f>
        <v>#NUM!</v>
      </c>
      <c r="AD27" s="136"/>
      <c r="AE27" s="12"/>
      <c r="AF27" s="12"/>
      <c r="AG27" s="12"/>
      <c r="AH27" s="12"/>
      <c r="AI27" s="12"/>
      <c r="AJ27" s="183"/>
    </row>
    <row r="28" spans="1:36" x14ac:dyDescent="0.2">
      <c r="A28" s="85"/>
      <c r="B28" s="120" t="s">
        <v>66</v>
      </c>
      <c r="C28" s="49" t="s">
        <v>255</v>
      </c>
      <c r="D28" s="49" t="s">
        <v>256</v>
      </c>
      <c r="E28" s="47" t="str">
        <f t="shared" si="1"/>
        <v>AUDQM3AB20Y_Quote</v>
      </c>
      <c r="F28" s="47" t="str">
        <f>_xll.qlSimpleQuote(Currency&amp;$C28&amp;$D28&amp;$B28&amp;QuoteSuffix,,RateTickValue,Permanent,Trigger,ObjectOverwrite)</f>
        <v>AUDQM3AB20Y_Quote#0000</v>
      </c>
      <c r="G28" s="117" t="str">
        <f>_xll.ohRangeRetrieveError(F28)</f>
        <v/>
      </c>
      <c r="H28" s="21"/>
      <c r="N28" s="85"/>
      <c r="O28" s="153" t="s">
        <v>66</v>
      </c>
      <c r="P28" s="192" t="s">
        <v>255</v>
      </c>
      <c r="Q28" s="192" t="s">
        <v>256</v>
      </c>
      <c r="R28" s="190" t="str">
        <f t="shared" si="0"/>
        <v>AUDQM3AB20Y</v>
      </c>
      <c r="S28" s="190" t="str">
        <v>AUDQM3AB20Y=ICAA</v>
      </c>
      <c r="T28" s="147" t="s">
        <v>174</v>
      </c>
      <c r="U28" s="147" t="s">
        <v>174</v>
      </c>
      <c r="V28" s="147" t="s">
        <v>174</v>
      </c>
      <c r="W28" s="147" t="s">
        <v>174</v>
      </c>
      <c r="X28" s="151" t="e">
        <f>_xll.qlMidSafe($T28,$U28)</f>
        <v>#NUM!</v>
      </c>
      <c r="Y28" s="149"/>
      <c r="Z28" s="150" t="e">
        <v>#NUM!</v>
      </c>
      <c r="AA28" s="149"/>
      <c r="AB28" s="209" t="e">
        <v>#NUM!</v>
      </c>
      <c r="AC28" s="146" t="e">
        <f>_xll.qlSimpleQuoteSetValue(F28,AB28/100,Trigger)</f>
        <v>#NUM!</v>
      </c>
      <c r="AD28" s="136"/>
      <c r="AE28" s="12"/>
      <c r="AF28" s="12"/>
      <c r="AG28" s="12"/>
      <c r="AH28" s="12"/>
      <c r="AI28" s="12"/>
      <c r="AJ28" s="183"/>
    </row>
    <row r="29" spans="1:36" x14ac:dyDescent="0.2">
      <c r="A29" s="85"/>
      <c r="B29" s="120" t="s">
        <v>65</v>
      </c>
      <c r="C29" s="49" t="s">
        <v>255</v>
      </c>
      <c r="D29" s="49" t="s">
        <v>256</v>
      </c>
      <c r="E29" s="47" t="str">
        <f t="shared" si="1"/>
        <v>AUDQM3AB21Y_Quote</v>
      </c>
      <c r="F29" s="47" t="str">
        <f>_xll.qlSimpleQuote(Currency&amp;$C29&amp;$D29&amp;$B29&amp;QuoteSuffix,,RateTickValue,Permanent,Trigger,ObjectOverwrite)</f>
        <v>AUDQM3AB21Y_Quote#0000</v>
      </c>
      <c r="G29" s="117" t="str">
        <f>_xll.ohRangeRetrieveError(F29)</f>
        <v/>
      </c>
      <c r="H29" s="21"/>
      <c r="N29" s="85"/>
      <c r="O29" s="153" t="s">
        <v>65</v>
      </c>
      <c r="P29" s="192" t="s">
        <v>255</v>
      </c>
      <c r="Q29" s="192" t="s">
        <v>256</v>
      </c>
      <c r="R29" s="190" t="str">
        <f t="shared" si="0"/>
        <v>AUDQM3AB21Y</v>
      </c>
      <c r="S29" s="190" t="str">
        <v>AUDQM3AB21Y=ICAA</v>
      </c>
      <c r="T29" s="147" t="s">
        <v>174</v>
      </c>
      <c r="U29" s="147" t="s">
        <v>174</v>
      </c>
      <c r="V29" s="147" t="s">
        <v>174</v>
      </c>
      <c r="W29" s="147" t="s">
        <v>174</v>
      </c>
      <c r="X29" s="151" t="e">
        <f>_xll.qlMidSafe($T29,$U29)</f>
        <v>#NUM!</v>
      </c>
      <c r="Y29" s="149"/>
      <c r="Z29" s="150" t="e">
        <v>#NUM!</v>
      </c>
      <c r="AA29" s="149"/>
      <c r="AB29" s="209" t="e">
        <v>#NUM!</v>
      </c>
      <c r="AC29" s="146" t="e">
        <f>_xll.qlSimpleQuoteSetValue(F29,AB29/100,Trigger)</f>
        <v>#NUM!</v>
      </c>
      <c r="AD29" s="136"/>
      <c r="AE29" s="12"/>
      <c r="AF29" s="12"/>
      <c r="AG29" s="12"/>
      <c r="AH29" s="12"/>
      <c r="AI29" s="12"/>
      <c r="AJ29" s="183"/>
    </row>
    <row r="30" spans="1:36" x14ac:dyDescent="0.2">
      <c r="A30" s="85"/>
      <c r="B30" s="120" t="s">
        <v>64</v>
      </c>
      <c r="C30" s="49" t="s">
        <v>255</v>
      </c>
      <c r="D30" s="49" t="s">
        <v>256</v>
      </c>
      <c r="E30" s="47" t="str">
        <f t="shared" si="1"/>
        <v>AUDQM3AB22Y_Quote</v>
      </c>
      <c r="F30" s="47" t="str">
        <f>_xll.qlSimpleQuote(Currency&amp;$C30&amp;$D30&amp;$B30&amp;QuoteSuffix,,RateTickValue,Permanent,Trigger,ObjectOverwrite)</f>
        <v>AUDQM3AB22Y_Quote#0000</v>
      </c>
      <c r="G30" s="117" t="str">
        <f>_xll.ohRangeRetrieveError(F30)</f>
        <v/>
      </c>
      <c r="H30" s="21"/>
      <c r="N30" s="85"/>
      <c r="O30" s="153" t="s">
        <v>64</v>
      </c>
      <c r="P30" s="192" t="s">
        <v>255</v>
      </c>
      <c r="Q30" s="192" t="s">
        <v>256</v>
      </c>
      <c r="R30" s="190" t="str">
        <f t="shared" si="0"/>
        <v>AUDQM3AB22Y</v>
      </c>
      <c r="S30" s="190" t="str">
        <v>AUDQM3AB22Y=ICAA</v>
      </c>
      <c r="T30" s="147" t="s">
        <v>174</v>
      </c>
      <c r="U30" s="147" t="s">
        <v>174</v>
      </c>
      <c r="V30" s="147" t="s">
        <v>174</v>
      </c>
      <c r="W30" s="147" t="s">
        <v>174</v>
      </c>
      <c r="X30" s="151" t="e">
        <f>_xll.qlMidSafe($T30,$U30)</f>
        <v>#NUM!</v>
      </c>
      <c r="Y30" s="149"/>
      <c r="Z30" s="150" t="e">
        <v>#NUM!</v>
      </c>
      <c r="AA30" s="149"/>
      <c r="AB30" s="209" t="e">
        <v>#NUM!</v>
      </c>
      <c r="AC30" s="146" t="e">
        <f>_xll.qlSimpleQuoteSetValue(F30,AB30/100,Trigger)</f>
        <v>#NUM!</v>
      </c>
      <c r="AD30" s="136"/>
      <c r="AE30" s="12"/>
      <c r="AF30" s="12"/>
      <c r="AG30" s="12"/>
      <c r="AH30" s="12"/>
      <c r="AI30" s="12"/>
      <c r="AJ30" s="183"/>
    </row>
    <row r="31" spans="1:36" x14ac:dyDescent="0.2">
      <c r="A31" s="85"/>
      <c r="B31" s="120" t="s">
        <v>63</v>
      </c>
      <c r="C31" s="49" t="s">
        <v>255</v>
      </c>
      <c r="D31" s="49" t="s">
        <v>256</v>
      </c>
      <c r="E31" s="47" t="str">
        <f t="shared" si="1"/>
        <v>AUDQM3AB23Y_Quote</v>
      </c>
      <c r="F31" s="47" t="str">
        <f>_xll.qlSimpleQuote(Currency&amp;$C31&amp;$D31&amp;$B31&amp;QuoteSuffix,,RateTickValue,Permanent,Trigger,ObjectOverwrite)</f>
        <v>AUDQM3AB23Y_Quote#0000</v>
      </c>
      <c r="G31" s="117" t="str">
        <f>_xll.ohRangeRetrieveError(F31)</f>
        <v/>
      </c>
      <c r="H31" s="21"/>
      <c r="N31" s="85"/>
      <c r="O31" s="153" t="s">
        <v>63</v>
      </c>
      <c r="P31" s="192" t="s">
        <v>255</v>
      </c>
      <c r="Q31" s="192" t="s">
        <v>256</v>
      </c>
      <c r="R31" s="190" t="str">
        <f t="shared" si="0"/>
        <v>AUDQM3AB23Y</v>
      </c>
      <c r="S31" s="190" t="str">
        <v>AUDQM3AB23Y=ICAA</v>
      </c>
      <c r="T31" s="147" t="s">
        <v>174</v>
      </c>
      <c r="U31" s="147" t="s">
        <v>174</v>
      </c>
      <c r="V31" s="147" t="s">
        <v>174</v>
      </c>
      <c r="W31" s="147" t="s">
        <v>174</v>
      </c>
      <c r="X31" s="151" t="e">
        <f>_xll.qlMidSafe($T31,$U31)</f>
        <v>#NUM!</v>
      </c>
      <c r="Y31" s="149"/>
      <c r="Z31" s="150" t="e">
        <v>#NUM!</v>
      </c>
      <c r="AA31" s="149"/>
      <c r="AB31" s="209" t="e">
        <v>#NUM!</v>
      </c>
      <c r="AC31" s="146" t="e">
        <f>_xll.qlSimpleQuoteSetValue(F31,AB31/100,Trigger)</f>
        <v>#NUM!</v>
      </c>
      <c r="AD31" s="136"/>
      <c r="AE31" s="12"/>
      <c r="AF31" s="12"/>
      <c r="AG31" s="12"/>
      <c r="AH31" s="12"/>
      <c r="AI31" s="12"/>
      <c r="AJ31" s="183"/>
    </row>
    <row r="32" spans="1:36" x14ac:dyDescent="0.2">
      <c r="A32" s="85"/>
      <c r="B32" s="120" t="s">
        <v>62</v>
      </c>
      <c r="C32" s="49" t="s">
        <v>255</v>
      </c>
      <c r="D32" s="49" t="s">
        <v>256</v>
      </c>
      <c r="E32" s="47" t="str">
        <f t="shared" si="1"/>
        <v>AUDQM3AB24Y_Quote</v>
      </c>
      <c r="F32" s="47" t="str">
        <f>_xll.qlSimpleQuote(Currency&amp;$C32&amp;$D32&amp;$B32&amp;QuoteSuffix,,RateTickValue,Permanent,Trigger,ObjectOverwrite)</f>
        <v>AUDQM3AB24Y_Quote#0000</v>
      </c>
      <c r="G32" s="117" t="str">
        <f>_xll.ohRangeRetrieveError(F32)</f>
        <v/>
      </c>
      <c r="H32" s="21"/>
      <c r="N32" s="85"/>
      <c r="O32" s="153" t="s">
        <v>62</v>
      </c>
      <c r="P32" s="192" t="s">
        <v>255</v>
      </c>
      <c r="Q32" s="192" t="s">
        <v>256</v>
      </c>
      <c r="R32" s="190" t="str">
        <f t="shared" si="0"/>
        <v>AUDQM3AB24Y</v>
      </c>
      <c r="S32" s="190" t="str">
        <v>AUDQM3AB24Y=ICAA</v>
      </c>
      <c r="T32" s="147" t="s">
        <v>174</v>
      </c>
      <c r="U32" s="147" t="s">
        <v>174</v>
      </c>
      <c r="V32" s="147" t="s">
        <v>174</v>
      </c>
      <c r="W32" s="147" t="s">
        <v>174</v>
      </c>
      <c r="X32" s="151" t="e">
        <f>_xll.qlMidSafe($T32,$U32)</f>
        <v>#NUM!</v>
      </c>
      <c r="Y32" s="149"/>
      <c r="Z32" s="150" t="e">
        <v>#NUM!</v>
      </c>
      <c r="AA32" s="149"/>
      <c r="AB32" s="209" t="e">
        <v>#NUM!</v>
      </c>
      <c r="AC32" s="146" t="e">
        <f>_xll.qlSimpleQuoteSetValue(F32,AB32/100,Trigger)</f>
        <v>#NUM!</v>
      </c>
      <c r="AD32" s="136"/>
      <c r="AE32" s="12"/>
      <c r="AF32" s="12"/>
      <c r="AG32" s="12"/>
      <c r="AH32" s="12"/>
      <c r="AI32" s="12"/>
      <c r="AJ32" s="183"/>
    </row>
    <row r="33" spans="1:36" x14ac:dyDescent="0.2">
      <c r="A33" s="85"/>
      <c r="B33" s="120" t="s">
        <v>61</v>
      </c>
      <c r="C33" s="49" t="s">
        <v>255</v>
      </c>
      <c r="D33" s="49" t="s">
        <v>256</v>
      </c>
      <c r="E33" s="47" t="str">
        <f t="shared" si="1"/>
        <v>AUDQM3AB25Y_Quote</v>
      </c>
      <c r="F33" s="47" t="str">
        <f>_xll.qlSimpleQuote(Currency&amp;$C33&amp;$D33&amp;$B33&amp;QuoteSuffix,,RateTickValue,Permanent,Trigger,ObjectOverwrite)</f>
        <v>AUDQM3AB25Y_Quote#0000</v>
      </c>
      <c r="G33" s="117" t="str">
        <f>_xll.ohRangeRetrieveError(F33)</f>
        <v/>
      </c>
      <c r="H33" s="21"/>
      <c r="N33" s="85"/>
      <c r="O33" s="153" t="s">
        <v>61</v>
      </c>
      <c r="P33" s="192" t="s">
        <v>255</v>
      </c>
      <c r="Q33" s="192" t="s">
        <v>256</v>
      </c>
      <c r="R33" s="190" t="str">
        <f t="shared" si="0"/>
        <v>AUDQM3AB25Y</v>
      </c>
      <c r="S33" s="190" t="str">
        <v>AUDQM3AB25Y=ICAA</v>
      </c>
      <c r="T33" s="147" t="s">
        <v>174</v>
      </c>
      <c r="U33" s="147" t="s">
        <v>174</v>
      </c>
      <c r="V33" s="147" t="s">
        <v>174</v>
      </c>
      <c r="W33" s="147" t="s">
        <v>174</v>
      </c>
      <c r="X33" s="151" t="e">
        <f>_xll.qlMidSafe($T33,$U33)</f>
        <v>#NUM!</v>
      </c>
      <c r="Y33" s="149"/>
      <c r="Z33" s="150" t="e">
        <v>#NUM!</v>
      </c>
      <c r="AA33" s="149"/>
      <c r="AB33" s="209" t="e">
        <v>#NUM!</v>
      </c>
      <c r="AC33" s="146" t="e">
        <f>_xll.qlSimpleQuoteSetValue(F33,AB33/100,Trigger)</f>
        <v>#NUM!</v>
      </c>
      <c r="AD33" s="136"/>
      <c r="AE33" s="12"/>
      <c r="AF33" s="12"/>
      <c r="AG33" s="12"/>
      <c r="AH33" s="12"/>
      <c r="AI33" s="12"/>
      <c r="AJ33" s="183"/>
    </row>
    <row r="34" spans="1:36" x14ac:dyDescent="0.2">
      <c r="A34" s="85"/>
      <c r="B34" s="120" t="s">
        <v>60</v>
      </c>
      <c r="C34" s="49" t="s">
        <v>255</v>
      </c>
      <c r="D34" s="49" t="s">
        <v>256</v>
      </c>
      <c r="E34" s="47" t="str">
        <f t="shared" si="1"/>
        <v>AUDQM3AB26Y_Quote</v>
      </c>
      <c r="F34" s="47" t="str">
        <f>_xll.qlSimpleQuote(Currency&amp;$C34&amp;$D34&amp;$B34&amp;QuoteSuffix,,RateTickValue,Permanent,Trigger,ObjectOverwrite)</f>
        <v>AUDQM3AB26Y_Quote#0000</v>
      </c>
      <c r="G34" s="117" t="str">
        <f>_xll.ohRangeRetrieveError(F34)</f>
        <v/>
      </c>
      <c r="H34" s="21"/>
      <c r="N34" s="85"/>
      <c r="O34" s="153" t="s">
        <v>60</v>
      </c>
      <c r="P34" s="192" t="s">
        <v>255</v>
      </c>
      <c r="Q34" s="192" t="s">
        <v>256</v>
      </c>
      <c r="R34" s="190" t="str">
        <f t="shared" si="0"/>
        <v>AUDQM3AB26Y</v>
      </c>
      <c r="S34" s="190" t="str">
        <v>AUDQM3AB26Y=ICAA</v>
      </c>
      <c r="T34" s="147" t="s">
        <v>174</v>
      </c>
      <c r="U34" s="147" t="s">
        <v>174</v>
      </c>
      <c r="V34" s="147" t="s">
        <v>174</v>
      </c>
      <c r="W34" s="147" t="s">
        <v>174</v>
      </c>
      <c r="X34" s="151" t="e">
        <f>_xll.qlMidSafe($T34,$U34)</f>
        <v>#NUM!</v>
      </c>
      <c r="Y34" s="149"/>
      <c r="Z34" s="150" t="e">
        <v>#NUM!</v>
      </c>
      <c r="AA34" s="149"/>
      <c r="AB34" s="209" t="e">
        <v>#NUM!</v>
      </c>
      <c r="AC34" s="146" t="e">
        <f>_xll.qlSimpleQuoteSetValue(F34,AB34/100,Trigger)</f>
        <v>#NUM!</v>
      </c>
      <c r="AD34" s="136"/>
      <c r="AE34" s="12"/>
      <c r="AF34" s="12"/>
      <c r="AG34" s="12"/>
      <c r="AH34" s="12"/>
      <c r="AI34" s="12"/>
      <c r="AJ34" s="183"/>
    </row>
    <row r="35" spans="1:36" x14ac:dyDescent="0.2">
      <c r="A35" s="85"/>
      <c r="B35" s="120" t="s">
        <v>59</v>
      </c>
      <c r="C35" s="49" t="s">
        <v>255</v>
      </c>
      <c r="D35" s="49" t="s">
        <v>256</v>
      </c>
      <c r="E35" s="47" t="str">
        <f t="shared" si="1"/>
        <v>AUDQM3AB27Y_Quote</v>
      </c>
      <c r="F35" s="47" t="str">
        <f>_xll.qlSimpleQuote(Currency&amp;$C35&amp;$D35&amp;$B35&amp;QuoteSuffix,,RateTickValue,Permanent,Trigger,ObjectOverwrite)</f>
        <v>AUDQM3AB27Y_Quote#0000</v>
      </c>
      <c r="G35" s="117" t="str">
        <f>_xll.ohRangeRetrieveError(F35)</f>
        <v/>
      </c>
      <c r="H35" s="21"/>
      <c r="N35" s="85"/>
      <c r="O35" s="153" t="s">
        <v>59</v>
      </c>
      <c r="P35" s="192" t="s">
        <v>255</v>
      </c>
      <c r="Q35" s="192" t="s">
        <v>256</v>
      </c>
      <c r="R35" s="190" t="str">
        <f t="shared" si="0"/>
        <v>AUDQM3AB27Y</v>
      </c>
      <c r="S35" s="190" t="str">
        <v>AUDQM3AB27Y=ICAA</v>
      </c>
      <c r="T35" s="147" t="s">
        <v>174</v>
      </c>
      <c r="U35" s="147" t="s">
        <v>174</v>
      </c>
      <c r="V35" s="147" t="s">
        <v>174</v>
      </c>
      <c r="W35" s="147" t="s">
        <v>174</v>
      </c>
      <c r="X35" s="151" t="e">
        <f>_xll.qlMidSafe($T35,$U35)</f>
        <v>#NUM!</v>
      </c>
      <c r="Y35" s="149"/>
      <c r="Z35" s="150" t="e">
        <v>#NUM!</v>
      </c>
      <c r="AA35" s="149"/>
      <c r="AB35" s="209" t="e">
        <v>#NUM!</v>
      </c>
      <c r="AC35" s="146" t="e">
        <f>_xll.qlSimpleQuoteSetValue(F35,AB35/100,Trigger)</f>
        <v>#NUM!</v>
      </c>
      <c r="AD35" s="136"/>
      <c r="AE35" s="12"/>
      <c r="AF35" s="12"/>
      <c r="AG35" s="12"/>
      <c r="AH35" s="12"/>
      <c r="AI35" s="12"/>
      <c r="AJ35" s="183"/>
    </row>
    <row r="36" spans="1:36" x14ac:dyDescent="0.2">
      <c r="A36" s="85"/>
      <c r="B36" s="120" t="s">
        <v>58</v>
      </c>
      <c r="C36" s="49" t="s">
        <v>255</v>
      </c>
      <c r="D36" s="49" t="s">
        <v>256</v>
      </c>
      <c r="E36" s="47" t="str">
        <f t="shared" si="1"/>
        <v>AUDQM3AB28Y_Quote</v>
      </c>
      <c r="F36" s="47" t="str">
        <f>_xll.qlSimpleQuote(Currency&amp;$C36&amp;$D36&amp;$B36&amp;QuoteSuffix,,RateTickValue,Permanent,Trigger,ObjectOverwrite)</f>
        <v>AUDQM3AB28Y_Quote#0000</v>
      </c>
      <c r="G36" s="117" t="str">
        <f>_xll.ohRangeRetrieveError(F36)</f>
        <v/>
      </c>
      <c r="H36" s="21"/>
      <c r="N36" s="85"/>
      <c r="O36" s="153" t="s">
        <v>58</v>
      </c>
      <c r="P36" s="192" t="s">
        <v>255</v>
      </c>
      <c r="Q36" s="192" t="s">
        <v>256</v>
      </c>
      <c r="R36" s="190" t="str">
        <f t="shared" si="0"/>
        <v>AUDQM3AB28Y</v>
      </c>
      <c r="S36" s="190" t="str">
        <v>AUDQM3AB28Y=ICAA</v>
      </c>
      <c r="T36" s="147" t="s">
        <v>174</v>
      </c>
      <c r="U36" s="147" t="s">
        <v>174</v>
      </c>
      <c r="V36" s="147" t="s">
        <v>174</v>
      </c>
      <c r="W36" s="147" t="s">
        <v>174</v>
      </c>
      <c r="X36" s="151" t="e">
        <f>_xll.qlMidSafe($T36,$U36)</f>
        <v>#NUM!</v>
      </c>
      <c r="Y36" s="149"/>
      <c r="Z36" s="150" t="e">
        <v>#NUM!</v>
      </c>
      <c r="AA36" s="149"/>
      <c r="AB36" s="209" t="e">
        <v>#NUM!</v>
      </c>
      <c r="AC36" s="146" t="e">
        <f>_xll.qlSimpleQuoteSetValue(F36,AB36/100,Trigger)</f>
        <v>#NUM!</v>
      </c>
      <c r="AD36" s="136"/>
      <c r="AE36" s="12"/>
      <c r="AF36" s="12"/>
      <c r="AG36" s="12"/>
      <c r="AH36" s="12"/>
      <c r="AI36" s="12"/>
      <c r="AJ36" s="183"/>
    </row>
    <row r="37" spans="1:36" x14ac:dyDescent="0.2">
      <c r="A37" s="85"/>
      <c r="B37" s="120" t="s">
        <v>57</v>
      </c>
      <c r="C37" s="49" t="s">
        <v>255</v>
      </c>
      <c r="D37" s="49" t="s">
        <v>256</v>
      </c>
      <c r="E37" s="47" t="str">
        <f t="shared" si="1"/>
        <v>AUDQM3AB29Y_Quote</v>
      </c>
      <c r="F37" s="47" t="str">
        <f>_xll.qlSimpleQuote(Currency&amp;$C37&amp;$D37&amp;$B37&amp;QuoteSuffix,,RateTickValue,Permanent,Trigger,ObjectOverwrite)</f>
        <v>AUDQM3AB29Y_Quote#0000</v>
      </c>
      <c r="G37" s="117" t="str">
        <f>_xll.ohRangeRetrieveError(F37)</f>
        <v/>
      </c>
      <c r="H37" s="21"/>
      <c r="N37" s="85"/>
      <c r="O37" s="153" t="s">
        <v>57</v>
      </c>
      <c r="P37" s="192" t="s">
        <v>255</v>
      </c>
      <c r="Q37" s="192" t="s">
        <v>256</v>
      </c>
      <c r="R37" s="190" t="str">
        <f t="shared" si="0"/>
        <v>AUDQM3AB29Y</v>
      </c>
      <c r="S37" s="190" t="str">
        <v>AUDQM3AB29Y=ICAA</v>
      </c>
      <c r="T37" s="147" t="s">
        <v>174</v>
      </c>
      <c r="U37" s="147" t="s">
        <v>174</v>
      </c>
      <c r="V37" s="147" t="s">
        <v>174</v>
      </c>
      <c r="W37" s="147" t="s">
        <v>174</v>
      </c>
      <c r="X37" s="151" t="e">
        <f>_xll.qlMidSafe($T37,$U37)</f>
        <v>#NUM!</v>
      </c>
      <c r="Y37" s="149"/>
      <c r="Z37" s="150" t="e">
        <v>#NUM!</v>
      </c>
      <c r="AA37" s="149"/>
      <c r="AB37" s="209" t="e">
        <v>#NUM!</v>
      </c>
      <c r="AC37" s="146" t="e">
        <f>_xll.qlSimpleQuoteSetValue(F37,AB37/100,Trigger)</f>
        <v>#NUM!</v>
      </c>
      <c r="AD37" s="136"/>
      <c r="AE37" s="12"/>
      <c r="AF37" s="12"/>
      <c r="AG37" s="12"/>
      <c r="AH37" s="12"/>
      <c r="AI37" s="12"/>
      <c r="AJ37" s="183"/>
    </row>
    <row r="38" spans="1:36" x14ac:dyDescent="0.2">
      <c r="A38" s="85"/>
      <c r="B38" s="120" t="s">
        <v>56</v>
      </c>
      <c r="C38" s="49" t="s">
        <v>255</v>
      </c>
      <c r="D38" s="49" t="s">
        <v>256</v>
      </c>
      <c r="E38" s="47" t="str">
        <f t="shared" si="1"/>
        <v>AUDQM3AB30Y_Quote</v>
      </c>
      <c r="F38" s="47" t="str">
        <f>_xll.qlSimpleQuote(Currency&amp;$C38&amp;$D38&amp;$B38&amp;QuoteSuffix,,RateTickValue,Permanent,Trigger,ObjectOverwrite)</f>
        <v>AUDQM3AB30Y_Quote#0000</v>
      </c>
      <c r="G38" s="117" t="str">
        <f>_xll.ohRangeRetrieveError(F38)</f>
        <v/>
      </c>
      <c r="H38" s="21"/>
      <c r="N38" s="85"/>
      <c r="O38" s="153" t="s">
        <v>56</v>
      </c>
      <c r="P38" s="192" t="s">
        <v>255</v>
      </c>
      <c r="Q38" s="192" t="s">
        <v>256</v>
      </c>
      <c r="R38" s="190" t="str">
        <f t="shared" si="0"/>
        <v>AUDQM3AB30Y</v>
      </c>
      <c r="S38" s="190" t="str">
        <v>AUDQM3AB30Y=ICAA</v>
      </c>
      <c r="T38" s="147" t="s">
        <v>174</v>
      </c>
      <c r="U38" s="147" t="s">
        <v>174</v>
      </c>
      <c r="V38" s="147" t="s">
        <v>174</v>
      </c>
      <c r="W38" s="147" t="s">
        <v>174</v>
      </c>
      <c r="X38" s="151" t="e">
        <f>_xll.qlMidSafe($T38,$U38)</f>
        <v>#NUM!</v>
      </c>
      <c r="Y38" s="149"/>
      <c r="Z38" s="150" t="e">
        <v>#NUM!</v>
      </c>
      <c r="AA38" s="149"/>
      <c r="AB38" s="209" t="e">
        <v>#NUM!</v>
      </c>
      <c r="AC38" s="146" t="e">
        <f>_xll.qlSimpleQuoteSetValue(F38,AB38/100,Trigger)</f>
        <v>#NUM!</v>
      </c>
      <c r="AD38" s="136"/>
      <c r="AE38" s="12"/>
      <c r="AF38" s="12"/>
      <c r="AG38" s="12"/>
      <c r="AH38" s="12"/>
      <c r="AI38" s="12"/>
      <c r="AJ38" s="183"/>
    </row>
    <row r="39" spans="1:36" x14ac:dyDescent="0.2">
      <c r="A39" s="85"/>
      <c r="B39" s="120" t="s">
        <v>51</v>
      </c>
      <c r="C39" s="49" t="s">
        <v>255</v>
      </c>
      <c r="D39" s="49" t="s">
        <v>256</v>
      </c>
      <c r="E39" s="47" t="str">
        <f t="shared" si="1"/>
        <v>AUDQM3AB35Y_Quote</v>
      </c>
      <c r="F39" s="47" t="str">
        <f>_xll.qlSimpleQuote(Currency&amp;$C39&amp;$D39&amp;$B39&amp;QuoteSuffix,,RateTickValue,Permanent,Trigger,ObjectOverwrite)</f>
        <v>AUDQM3AB35Y_Quote#0000</v>
      </c>
      <c r="G39" s="117" t="str">
        <f>_xll.ohRangeRetrieveError(F39)</f>
        <v/>
      </c>
      <c r="H39" s="21"/>
      <c r="N39" s="85"/>
      <c r="O39" s="153" t="s">
        <v>51</v>
      </c>
      <c r="P39" s="192" t="s">
        <v>255</v>
      </c>
      <c r="Q39" s="192" t="s">
        <v>256</v>
      </c>
      <c r="R39" s="190" t="str">
        <f t="shared" si="0"/>
        <v>AUDQM3AB35Y</v>
      </c>
      <c r="S39" s="190" t="str">
        <v>AUDQM3AB35Y=ICAA</v>
      </c>
      <c r="T39" s="147" t="s">
        <v>174</v>
      </c>
      <c r="U39" s="147" t="s">
        <v>174</v>
      </c>
      <c r="V39" s="147" t="s">
        <v>174</v>
      </c>
      <c r="W39" s="147" t="s">
        <v>174</v>
      </c>
      <c r="X39" s="151" t="e">
        <f>_xll.qlMidSafe($T39,$U39)</f>
        <v>#NUM!</v>
      </c>
      <c r="Y39" s="149"/>
      <c r="Z39" s="150" t="e">
        <v>#NUM!</v>
      </c>
      <c r="AA39" s="149"/>
      <c r="AB39" s="209" t="e">
        <v>#NUM!</v>
      </c>
      <c r="AC39" s="146" t="e">
        <f>_xll.qlSimpleQuoteSetValue(F39,AB39/100,Trigger)</f>
        <v>#NUM!</v>
      </c>
      <c r="AD39" s="136"/>
      <c r="AE39" s="12"/>
      <c r="AF39" s="12"/>
      <c r="AG39" s="12"/>
      <c r="AH39" s="12"/>
      <c r="AI39" s="12"/>
      <c r="AJ39" s="183"/>
    </row>
    <row r="40" spans="1:36" x14ac:dyDescent="0.2">
      <c r="A40" s="85"/>
      <c r="B40" s="120" t="s">
        <v>46</v>
      </c>
      <c r="C40" s="49" t="s">
        <v>255</v>
      </c>
      <c r="D40" s="49" t="s">
        <v>256</v>
      </c>
      <c r="E40" s="47" t="str">
        <f t="shared" si="1"/>
        <v>AUDQM3AB40Y_Quote</v>
      </c>
      <c r="F40" s="47" t="str">
        <f>_xll.qlSimpleQuote(Currency&amp;$C40&amp;$D40&amp;$B40&amp;QuoteSuffix,,RateTickValue,Permanent,Trigger,ObjectOverwrite)</f>
        <v>AUDQM3AB40Y_Quote#0000</v>
      </c>
      <c r="G40" s="117" t="str">
        <f>_xll.ohRangeRetrieveError(F40)</f>
        <v/>
      </c>
      <c r="H40" s="21"/>
      <c r="N40" s="85"/>
      <c r="O40" s="153" t="s">
        <v>46</v>
      </c>
      <c r="P40" s="192" t="s">
        <v>255</v>
      </c>
      <c r="Q40" s="192" t="s">
        <v>256</v>
      </c>
      <c r="R40" s="190" t="str">
        <f t="shared" si="0"/>
        <v>AUDQM3AB40Y</v>
      </c>
      <c r="S40" s="190" t="str">
        <v>AUDQM3AB40Y=ICAA</v>
      </c>
      <c r="T40" s="147" t="s">
        <v>174</v>
      </c>
      <c r="U40" s="147" t="s">
        <v>174</v>
      </c>
      <c r="V40" s="147" t="s">
        <v>174</v>
      </c>
      <c r="W40" s="147" t="s">
        <v>174</v>
      </c>
      <c r="X40" s="151" t="e">
        <f>_xll.qlMidSafe($T40,$U40)</f>
        <v>#NUM!</v>
      </c>
      <c r="Y40" s="149"/>
      <c r="Z40" s="150" t="e">
        <v>#NUM!</v>
      </c>
      <c r="AA40" s="149"/>
      <c r="AB40" s="209" t="e">
        <v>#NUM!</v>
      </c>
      <c r="AC40" s="146" t="e">
        <f>_xll.qlSimpleQuoteSetValue(F40,AB40/100,Trigger)</f>
        <v>#NUM!</v>
      </c>
      <c r="AD40" s="136"/>
      <c r="AE40" s="12"/>
      <c r="AF40" s="12"/>
      <c r="AG40" s="12"/>
      <c r="AH40" s="12"/>
      <c r="AI40" s="12"/>
      <c r="AJ40" s="183"/>
    </row>
    <row r="41" spans="1:36" x14ac:dyDescent="0.2">
      <c r="A41" s="85"/>
      <c r="B41" s="120" t="s">
        <v>36</v>
      </c>
      <c r="C41" s="49" t="s">
        <v>255</v>
      </c>
      <c r="D41" s="49" t="s">
        <v>256</v>
      </c>
      <c r="E41" s="47" t="str">
        <f t="shared" si="1"/>
        <v>AUDQM3AB50Y_Quote</v>
      </c>
      <c r="F41" s="47" t="str">
        <f>_xll.qlSimpleQuote(Currency&amp;$C41&amp;$D41&amp;$B41&amp;QuoteSuffix,,RateTickValue,Permanent,Trigger,ObjectOverwrite)</f>
        <v>AUDQM3AB50Y_Quote#0000</v>
      </c>
      <c r="G41" s="117" t="str">
        <f>_xll.ohRangeRetrieveError(F41)</f>
        <v/>
      </c>
      <c r="H41" s="21"/>
      <c r="N41" s="85"/>
      <c r="O41" s="153" t="s">
        <v>36</v>
      </c>
      <c r="P41" s="192" t="s">
        <v>255</v>
      </c>
      <c r="Q41" s="192" t="s">
        <v>256</v>
      </c>
      <c r="R41" s="190" t="str">
        <f t="shared" si="0"/>
        <v>AUDQM3AB50Y</v>
      </c>
      <c r="S41" s="190" t="str">
        <v>AUDQM3AB50Y=ICAA</v>
      </c>
      <c r="T41" s="147" t="s">
        <v>174</v>
      </c>
      <c r="U41" s="147" t="s">
        <v>174</v>
      </c>
      <c r="V41" s="147" t="s">
        <v>174</v>
      </c>
      <c r="W41" s="147" t="s">
        <v>174</v>
      </c>
      <c r="X41" s="151" t="e">
        <f>_xll.qlMidSafe($T41,$U41)</f>
        <v>#NUM!</v>
      </c>
      <c r="Y41" s="149"/>
      <c r="Z41" s="150" t="e">
        <v>#NUM!</v>
      </c>
      <c r="AA41" s="149"/>
      <c r="AB41" s="209" t="e">
        <v>#NUM!</v>
      </c>
      <c r="AC41" s="146" t="e">
        <f>_xll.qlSimpleQuoteSetValue(F41,AB41/100,Trigger)</f>
        <v>#NUM!</v>
      </c>
      <c r="AD41" s="136"/>
      <c r="AE41" s="12"/>
      <c r="AF41" s="12"/>
      <c r="AG41" s="12"/>
      <c r="AH41" s="12"/>
      <c r="AI41" s="12"/>
      <c r="AJ41" s="183"/>
    </row>
    <row r="42" spans="1:36" x14ac:dyDescent="0.2">
      <c r="A42" s="85"/>
      <c r="B42" s="120" t="s">
        <v>26</v>
      </c>
      <c r="C42" s="49" t="s">
        <v>255</v>
      </c>
      <c r="D42" s="49" t="s">
        <v>256</v>
      </c>
      <c r="E42" s="47" t="str">
        <f t="shared" si="1"/>
        <v>AUDQM3AB60Y_Quote</v>
      </c>
      <c r="F42" s="47" t="str">
        <f>_xll.qlSimpleQuote(Currency&amp;$C42&amp;$D42&amp;$B42&amp;QuoteSuffix,,RateTickValue,Permanent,Trigger,ObjectOverwrite)</f>
        <v>AUDQM3AB60Y_Quote#0000</v>
      </c>
      <c r="G42" s="117" t="str">
        <f>_xll.ohRangeRetrieveError(F42)</f>
        <v/>
      </c>
      <c r="H42" s="21"/>
      <c r="N42" s="85"/>
      <c r="O42" s="164" t="s">
        <v>26</v>
      </c>
      <c r="P42" s="192" t="s">
        <v>255</v>
      </c>
      <c r="Q42" s="192" t="s">
        <v>256</v>
      </c>
      <c r="R42" s="186" t="str">
        <f t="shared" si="0"/>
        <v>AUDQM3AB60Y</v>
      </c>
      <c r="S42" s="186" t="str">
        <v>AUDQM3AB60Y=ICAA</v>
      </c>
      <c r="T42" s="160" t="s">
        <v>174</v>
      </c>
      <c r="U42" s="160" t="s">
        <v>174</v>
      </c>
      <c r="V42" s="160" t="s">
        <v>174</v>
      </c>
      <c r="W42" s="160" t="s">
        <v>174</v>
      </c>
      <c r="X42" s="162" t="e">
        <f>_xll.qlMidSafe($T42,$U42)</f>
        <v>#NUM!</v>
      </c>
      <c r="Y42" s="149"/>
      <c r="Z42" s="161" t="e">
        <v>#NUM!</v>
      </c>
      <c r="AA42" s="149"/>
      <c r="AB42" s="202" t="e">
        <v>#NUM!</v>
      </c>
      <c r="AC42" s="159" t="e">
        <f>_xll.qlSimpleQuoteSetValue(F42,AB42/100,Trigger)</f>
        <v>#NUM!</v>
      </c>
      <c r="AD42" s="136"/>
      <c r="AE42" s="12"/>
      <c r="AF42" s="12"/>
      <c r="AG42" s="12"/>
      <c r="AH42" s="12"/>
      <c r="AI42" s="12"/>
      <c r="AJ42" s="183"/>
    </row>
    <row r="43" spans="1:36" ht="13.5" thickBot="1" x14ac:dyDescent="0.25">
      <c r="A43" s="20"/>
      <c r="B43" s="19"/>
      <c r="C43" s="19"/>
      <c r="D43" s="19"/>
      <c r="E43" s="19"/>
      <c r="F43" s="83"/>
      <c r="G43" s="83"/>
      <c r="H43" s="18"/>
      <c r="N43" s="131"/>
      <c r="O43" s="130"/>
      <c r="P43" s="130"/>
      <c r="Q43" s="130"/>
      <c r="R43" s="19"/>
      <c r="S43" s="19"/>
      <c r="T43" s="19"/>
      <c r="U43" s="19"/>
      <c r="V43" s="19"/>
      <c r="W43" s="19"/>
      <c r="X43" s="19"/>
      <c r="Y43" s="130"/>
      <c r="Z43" s="130"/>
      <c r="AA43" s="130"/>
      <c r="AB43" s="130"/>
      <c r="AC43" s="130"/>
      <c r="AD43" s="184"/>
      <c r="AE43" s="12"/>
      <c r="AF43" s="12"/>
      <c r="AG43" s="12"/>
      <c r="AH43" s="12"/>
      <c r="AI43" s="12"/>
      <c r="AJ43" s="12"/>
    </row>
  </sheetData>
  <conditionalFormatting sqref="AC5:AC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workbookViewId="0">
      <selection activeCell="S2" sqref="S2"/>
    </sheetView>
  </sheetViews>
  <sheetFormatPr defaultRowHeight="11.25" x14ac:dyDescent="0.2"/>
  <cols>
    <col min="1" max="1" width="2.7109375" style="70" customWidth="1"/>
    <col min="2" max="2" width="6.5703125" style="12" bestFit="1" customWidth="1"/>
    <col min="3" max="3" width="3.140625" style="70" bestFit="1" customWidth="1"/>
    <col min="4" max="4" width="4" style="70" bestFit="1" customWidth="1"/>
    <col min="5" max="5" width="19.28515625" style="70" bestFit="1" customWidth="1"/>
    <col min="6" max="6" width="21.85546875" style="129" bestFit="1" customWidth="1"/>
    <col min="7" max="7" width="38.28515625" style="70" customWidth="1"/>
    <col min="8" max="9" width="2.7109375" style="70" customWidth="1"/>
    <col min="10" max="10" width="8.5703125" style="70" bestFit="1" customWidth="1"/>
    <col min="11" max="11" width="3.28515625" style="70" bestFit="1" customWidth="1"/>
    <col min="12" max="12" width="9.5703125" style="70" bestFit="1" customWidth="1"/>
    <col min="13" max="14" width="2.7109375" style="70" customWidth="1"/>
    <col min="15" max="17" width="9.140625" style="70"/>
    <col min="18" max="18" width="10.85546875" style="70" bestFit="1" customWidth="1"/>
    <col min="19" max="19" width="16.7109375" style="70" bestFit="1" customWidth="1"/>
    <col min="20" max="22" width="9.140625" style="70"/>
    <col min="23" max="23" width="10.140625" style="70" customWidth="1"/>
    <col min="24" max="24" width="9.140625" style="70"/>
    <col min="25" max="25" width="2.7109375" style="70" customWidth="1"/>
    <col min="26" max="26" width="9.140625" style="70"/>
    <col min="27" max="27" width="2.7109375" style="70" customWidth="1"/>
    <col min="28" max="29" width="9.140625" style="70"/>
    <col min="30" max="31" width="2.7109375" style="70" customWidth="1"/>
    <col min="32" max="16384" width="9.140625" style="70"/>
  </cols>
  <sheetData>
    <row r="1" spans="1:36" x14ac:dyDescent="0.2">
      <c r="N1" s="200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4"/>
      <c r="AE1" s="12"/>
      <c r="AF1" s="12"/>
      <c r="AG1" s="12"/>
      <c r="AH1" s="12"/>
      <c r="AI1" s="12"/>
      <c r="AJ1" s="12"/>
    </row>
    <row r="2" spans="1:36" ht="15" x14ac:dyDescent="0.25">
      <c r="N2" s="181"/>
      <c r="O2" s="88"/>
      <c r="P2" s="180"/>
      <c r="Q2" s="180"/>
      <c r="R2" s="180"/>
      <c r="S2" s="95" t="s">
        <v>284</v>
      </c>
      <c r="T2" s="149"/>
      <c r="U2" s="149"/>
      <c r="V2" s="149"/>
      <c r="W2" s="149"/>
      <c r="X2" s="88"/>
      <c r="Y2" s="149"/>
      <c r="Z2" s="149"/>
      <c r="AA2" s="149"/>
      <c r="AB2"/>
      <c r="AC2" s="88"/>
      <c r="AD2" s="21"/>
      <c r="AE2" s="12"/>
      <c r="AF2" s="12"/>
      <c r="AG2" s="12"/>
      <c r="AH2" s="12"/>
      <c r="AI2" s="12"/>
      <c r="AJ2" s="12"/>
    </row>
    <row r="3" spans="1:36" ht="12" thickBot="1" x14ac:dyDescent="0.25">
      <c r="N3" s="85"/>
      <c r="O3" s="149"/>
      <c r="P3" s="88"/>
      <c r="Q3" s="88"/>
      <c r="R3" s="88"/>
      <c r="S3" s="88"/>
      <c r="T3" s="88"/>
      <c r="U3" s="88"/>
      <c r="V3" s="88"/>
      <c r="W3" s="88"/>
      <c r="X3" s="88"/>
      <c r="Y3" s="149"/>
      <c r="Z3" s="149"/>
      <c r="AA3" s="149"/>
      <c r="AB3" s="88"/>
      <c r="AC3" s="178">
        <f>_xll.ohTrigger(AC5:AC42)</f>
        <v>1</v>
      </c>
      <c r="AD3" s="136"/>
      <c r="AE3" s="12"/>
      <c r="AF3" s="12"/>
      <c r="AG3" s="12"/>
      <c r="AH3" s="12"/>
      <c r="AI3" s="12"/>
      <c r="AJ3" s="12"/>
    </row>
    <row r="4" spans="1:36" ht="22.5" x14ac:dyDescent="0.2">
      <c r="A4" s="135"/>
      <c r="B4" s="127"/>
      <c r="C4" s="127"/>
      <c r="D4" s="127"/>
      <c r="E4" s="106"/>
      <c r="F4" s="134"/>
      <c r="G4" s="106"/>
      <c r="H4" s="124"/>
      <c r="N4" s="85"/>
      <c r="O4" s="251"/>
      <c r="P4" s="122"/>
      <c r="Q4" s="122"/>
      <c r="R4" s="122"/>
      <c r="S4" s="144" t="str">
        <f>_xll.RData(S5:S42,T4:W4,"RTFEED:IDN",ReutersRtMode,,T5)</f>
        <v>Paused at 12:08:05</v>
      </c>
      <c r="T4" s="198" t="s">
        <v>163</v>
      </c>
      <c r="U4" s="198" t="s">
        <v>162</v>
      </c>
      <c r="V4" s="198" t="s">
        <v>179</v>
      </c>
      <c r="W4" s="198" t="s">
        <v>195</v>
      </c>
      <c r="X4" s="174" t="s">
        <v>194</v>
      </c>
      <c r="Y4" s="149"/>
      <c r="Z4" s="176" t="s">
        <v>192</v>
      </c>
      <c r="AA4" s="149"/>
      <c r="AB4" s="347" t="s">
        <v>190</v>
      </c>
      <c r="AC4" s="60" t="s">
        <v>189</v>
      </c>
      <c r="AD4" s="136"/>
      <c r="AE4" s="12"/>
      <c r="AF4" s="12"/>
      <c r="AG4" s="12"/>
      <c r="AH4" s="12"/>
      <c r="AI4" s="12"/>
      <c r="AJ4" s="197"/>
    </row>
    <row r="5" spans="1:36" x14ac:dyDescent="0.2">
      <c r="A5" s="85"/>
      <c r="B5" s="59" t="s">
        <v>104</v>
      </c>
      <c r="C5" s="59"/>
      <c r="D5" s="59"/>
      <c r="E5" s="58" t="str">
        <f>Currency&amp;"_010_Sw"&amp;$C$6&amp;$D$6&amp;".xml"</f>
        <v>AUD_010_SwSM6AB.xml</v>
      </c>
      <c r="F5" s="57" t="s">
        <v>260</v>
      </c>
      <c r="G5" s="46" t="str">
        <f>_xll.ohRangeRetrieveError(F5)</f>
        <v/>
      </c>
      <c r="H5" s="21"/>
      <c r="N5" s="85"/>
      <c r="O5" s="153" t="s">
        <v>14</v>
      </c>
      <c r="P5" s="192" t="s">
        <v>257</v>
      </c>
      <c r="Q5" s="192" t="s">
        <v>258</v>
      </c>
      <c r="R5" s="152" t="str">
        <f t="shared" ref="R5:R42" si="0">Currency&amp;$P5&amp;$Q5&amp;$O5</f>
        <v>AUDSM6AB6M</v>
      </c>
      <c r="S5" s="152" t="str">
        <f t="array" ref="S5:S42">Instruments&amp;"="&amp;VLOOKUP(Contributor,ContributorTable,2,FALSE)</f>
        <v>AUDSM6AB6M=ICAA</v>
      </c>
      <c r="T5" s="147" t="s">
        <v>174</v>
      </c>
      <c r="U5" s="147" t="s">
        <v>174</v>
      </c>
      <c r="V5" s="147" t="s">
        <v>174</v>
      </c>
      <c r="W5" s="147" t="s">
        <v>174</v>
      </c>
      <c r="X5" s="151" t="e">
        <f>_xll.qlMidSafe($T5,$U5)</f>
        <v>#NUM!</v>
      </c>
      <c r="Y5" s="149"/>
      <c r="Z5" s="150">
        <v>0</v>
      </c>
      <c r="AA5" s="149"/>
      <c r="AB5" s="209" t="e">
        <f t="array" ref="AB5:AB42">QuoteLive</f>
        <v>#NUM!</v>
      </c>
      <c r="AC5" s="146" t="e">
        <f>_xll.qlSimpleQuoteSetValue(F5,AB5/100,Trigger)</f>
        <v>#NUM!</v>
      </c>
      <c r="AD5" s="136"/>
      <c r="AE5" s="12"/>
      <c r="AF5" s="12"/>
      <c r="AG5" s="12"/>
      <c r="AH5" s="12"/>
      <c r="AI5" s="12"/>
      <c r="AJ5" s="183"/>
    </row>
    <row r="6" spans="1:36" x14ac:dyDescent="0.2">
      <c r="A6" s="85"/>
      <c r="B6" s="132" t="s">
        <v>8</v>
      </c>
      <c r="C6" s="49" t="s">
        <v>257</v>
      </c>
      <c r="D6" s="49" t="s">
        <v>258</v>
      </c>
      <c r="E6" s="47" t="str">
        <f t="shared" ref="E6:E42" si="1">Currency&amp;$C6&amp;$D6&amp;$B6&amp;QuoteSuffix</f>
        <v>AUDSM6AB1Y_Quote</v>
      </c>
      <c r="F6" s="47" t="str">
        <f>_xll.qlSimpleQuote(Currency&amp;$C6&amp;$D6&amp;$B6&amp;QuoteSuffix,,RateTickValue,Permanent,Trigger,ObjectOverwrite)</f>
        <v>AUDSM6AB1Y_Quote#0000</v>
      </c>
      <c r="G6" s="46" t="str">
        <f>_xll.ohRangeRetrieveError(F6)</f>
        <v/>
      </c>
      <c r="H6" s="21"/>
      <c r="N6" s="85"/>
      <c r="O6" s="153" t="s">
        <v>8</v>
      </c>
      <c r="P6" s="192" t="s">
        <v>257</v>
      </c>
      <c r="Q6" s="192" t="s">
        <v>258</v>
      </c>
      <c r="R6" s="152" t="str">
        <f t="shared" si="0"/>
        <v>AUDSM6AB1Y</v>
      </c>
      <c r="S6" s="152" t="str">
        <v>AUDSM6AB1Y=ICAA</v>
      </c>
      <c r="T6" s="147" t="s">
        <v>174</v>
      </c>
      <c r="U6" s="147" t="s">
        <v>174</v>
      </c>
      <c r="V6" s="147" t="s">
        <v>174</v>
      </c>
      <c r="W6" s="147" t="s">
        <v>174</v>
      </c>
      <c r="X6" s="151" t="e">
        <f>_xll.qlMidSafe($T6,$U6)</f>
        <v>#NUM!</v>
      </c>
      <c r="Y6" s="149"/>
      <c r="Z6" s="150">
        <v>0</v>
      </c>
      <c r="AA6" s="149"/>
      <c r="AB6" s="209" t="e">
        <v>#NUM!</v>
      </c>
      <c r="AC6" s="146" t="e">
        <f>_xll.qlSimpleQuoteSetValue(F6,AB6/100,Trigger)</f>
        <v>#NUM!</v>
      </c>
      <c r="AD6" s="136"/>
      <c r="AE6" s="12"/>
      <c r="AF6" s="12"/>
      <c r="AG6" s="12"/>
      <c r="AH6" s="12"/>
      <c r="AI6" s="12"/>
      <c r="AJ6" s="183"/>
    </row>
    <row r="7" spans="1:36" x14ac:dyDescent="0.2">
      <c r="A7" s="85"/>
      <c r="B7" s="133" t="s">
        <v>103</v>
      </c>
      <c r="C7" s="49" t="s">
        <v>257</v>
      </c>
      <c r="D7" s="49" t="s">
        <v>258</v>
      </c>
      <c r="E7" s="47" t="str">
        <f t="shared" si="1"/>
        <v>AUDSM6AB15M_Quote</v>
      </c>
      <c r="F7" s="47" t="str">
        <f>_xll.qlSimpleQuote(Currency&amp;$C7&amp;$D7&amp;$B7&amp;QuoteSuffix,,RateTickValue,Permanent,Trigger,ObjectOverwrite)</f>
        <v>AUDSM6AB15M_Quote#0000</v>
      </c>
      <c r="G7" s="46" t="str">
        <f>_xll.ohRangeRetrieveError(F7)</f>
        <v/>
      </c>
      <c r="H7" s="21"/>
      <c r="N7" s="85"/>
      <c r="O7" s="153" t="s">
        <v>103</v>
      </c>
      <c r="P7" s="192" t="s">
        <v>257</v>
      </c>
      <c r="Q7" s="192" t="s">
        <v>258</v>
      </c>
      <c r="R7" s="152" t="str">
        <f t="shared" si="0"/>
        <v>AUDSM6AB15M</v>
      </c>
      <c r="S7" s="152" t="str">
        <v>AUDSM6AB15M=ICAA</v>
      </c>
      <c r="T7" s="147" t="s">
        <v>174</v>
      </c>
      <c r="U7" s="147" t="s">
        <v>174</v>
      </c>
      <c r="V7" s="147" t="s">
        <v>174</v>
      </c>
      <c r="W7" s="147" t="s">
        <v>174</v>
      </c>
      <c r="X7" s="151" t="e">
        <f>_xll.qlMidEquivalent($T7,$U7,$V7,$W7)</f>
        <v>#NUM!</v>
      </c>
      <c r="Y7" s="149"/>
      <c r="Z7" s="150">
        <v>0</v>
      </c>
      <c r="AA7" s="149"/>
      <c r="AB7" s="209" t="e">
        <v>#NUM!</v>
      </c>
      <c r="AC7" s="146" t="e">
        <f>_xll.qlSimpleQuoteSetValue(F7,AB7/100,Trigger)</f>
        <v>#NUM!</v>
      </c>
      <c r="AD7" s="136"/>
      <c r="AE7" s="12"/>
      <c r="AF7" s="12"/>
      <c r="AG7" s="12"/>
      <c r="AH7" s="12"/>
      <c r="AI7" s="250"/>
      <c r="AJ7" s="183"/>
    </row>
    <row r="8" spans="1:36" x14ac:dyDescent="0.2">
      <c r="A8" s="85"/>
      <c r="B8" s="133" t="s">
        <v>102</v>
      </c>
      <c r="C8" s="49" t="s">
        <v>257</v>
      </c>
      <c r="D8" s="49" t="s">
        <v>258</v>
      </c>
      <c r="E8" s="47" t="str">
        <f t="shared" si="1"/>
        <v>AUDSM6AB18M_Quote</v>
      </c>
      <c r="F8" s="47" t="str">
        <f>_xll.qlSimpleQuote(Currency&amp;$C8&amp;$D8&amp;$B8&amp;QuoteSuffix,,RateTickValue,Permanent,Trigger,ObjectOverwrite)</f>
        <v>AUDSM6AB18M_Quote#0000</v>
      </c>
      <c r="G8" s="46" t="str">
        <f>_xll.ohRangeRetrieveError(F8)</f>
        <v/>
      </c>
      <c r="H8" s="21"/>
      <c r="N8" s="85"/>
      <c r="O8" s="153" t="s">
        <v>102</v>
      </c>
      <c r="P8" s="192" t="s">
        <v>257</v>
      </c>
      <c r="Q8" s="192" t="s">
        <v>258</v>
      </c>
      <c r="R8" s="152" t="str">
        <f t="shared" si="0"/>
        <v>AUDSM6AB18M</v>
      </c>
      <c r="S8" s="152" t="str">
        <v>AUDSM6AB18M=ICAA</v>
      </c>
      <c r="T8" s="147" t="s">
        <v>174</v>
      </c>
      <c r="U8" s="147" t="s">
        <v>174</v>
      </c>
      <c r="V8" s="147" t="s">
        <v>174</v>
      </c>
      <c r="W8" s="147" t="s">
        <v>174</v>
      </c>
      <c r="X8" s="151" t="e">
        <f>_xll.qlMidEquivalent($T8,$U8,$V8,$W8)</f>
        <v>#NUM!</v>
      </c>
      <c r="Y8" s="149"/>
      <c r="Z8" s="150">
        <v>0</v>
      </c>
      <c r="AA8" s="149"/>
      <c r="AB8" s="209" t="e">
        <v>#NUM!</v>
      </c>
      <c r="AC8" s="146" t="e">
        <f>_xll.qlSimpleQuoteSetValue(F8,AB8/100,Trigger)</f>
        <v>#NUM!</v>
      </c>
      <c r="AD8" s="136"/>
      <c r="AE8" s="12"/>
      <c r="AF8" s="12"/>
      <c r="AG8" s="12"/>
      <c r="AH8" s="12"/>
      <c r="AI8" s="250"/>
      <c r="AJ8" s="183"/>
    </row>
    <row r="9" spans="1:36" x14ac:dyDescent="0.2">
      <c r="A9" s="85"/>
      <c r="B9" s="133" t="s">
        <v>101</v>
      </c>
      <c r="C9" s="49" t="s">
        <v>257</v>
      </c>
      <c r="D9" s="49" t="s">
        <v>258</v>
      </c>
      <c r="E9" s="47" t="str">
        <f t="shared" si="1"/>
        <v>AUDSM6AB21M_Quote</v>
      </c>
      <c r="F9" s="47" t="str">
        <f>_xll.qlSimpleQuote(Currency&amp;$C9&amp;$D9&amp;$B9&amp;QuoteSuffix,,RateTickValue,Permanent,Trigger,ObjectOverwrite)</f>
        <v>AUDSM6AB21M_Quote#0000</v>
      </c>
      <c r="G9" s="46" t="str">
        <f>_xll.ohRangeRetrieveError(F9)</f>
        <v/>
      </c>
      <c r="H9" s="21"/>
      <c r="N9" s="85"/>
      <c r="O9" s="153" t="s">
        <v>101</v>
      </c>
      <c r="P9" s="192" t="s">
        <v>257</v>
      </c>
      <c r="Q9" s="192" t="s">
        <v>258</v>
      </c>
      <c r="R9" s="152" t="str">
        <f t="shared" si="0"/>
        <v>AUDSM6AB21M</v>
      </c>
      <c r="S9" s="152" t="str">
        <v>AUDSM6AB21M=ICAA</v>
      </c>
      <c r="T9" s="147" t="s">
        <v>174</v>
      </c>
      <c r="U9" s="147" t="s">
        <v>174</v>
      </c>
      <c r="V9" s="147" t="s">
        <v>174</v>
      </c>
      <c r="W9" s="147" t="s">
        <v>174</v>
      </c>
      <c r="X9" s="151" t="e">
        <f>_xll.qlMidEquivalent($T9,$U9,$V9,$W9)</f>
        <v>#NUM!</v>
      </c>
      <c r="Y9" s="149"/>
      <c r="Z9" s="150">
        <v>0</v>
      </c>
      <c r="AA9" s="149"/>
      <c r="AB9" s="209" t="e">
        <v>#NUM!</v>
      </c>
      <c r="AC9" s="146" t="e">
        <f>_xll.qlSimpleQuoteSetValue(F9,AB9/100,Trigger)</f>
        <v>#NUM!</v>
      </c>
      <c r="AD9" s="136"/>
      <c r="AE9" s="12"/>
      <c r="AF9" s="12"/>
      <c r="AG9" s="12"/>
      <c r="AH9" s="12"/>
      <c r="AI9" s="12"/>
      <c r="AJ9" s="183"/>
    </row>
    <row r="10" spans="1:36" x14ac:dyDescent="0.2">
      <c r="A10" s="85"/>
      <c r="B10" s="132" t="s">
        <v>84</v>
      </c>
      <c r="C10" s="49" t="s">
        <v>257</v>
      </c>
      <c r="D10" s="49" t="s">
        <v>258</v>
      </c>
      <c r="E10" s="47" t="str">
        <f t="shared" si="1"/>
        <v>AUDSM6AB2Y_Quote</v>
      </c>
      <c r="F10" s="47" t="str">
        <f>_xll.qlSimpleQuote(Currency&amp;$C10&amp;$D10&amp;$B10&amp;QuoteSuffix,,RateTickValue,Permanent,Trigger,ObjectOverwrite)</f>
        <v>AUDSM6AB2Y_Quote#0000</v>
      </c>
      <c r="G10" s="46" t="str">
        <f>_xll.ohRangeRetrieveError(F10)</f>
        <v/>
      </c>
      <c r="H10" s="21"/>
      <c r="N10" s="85"/>
      <c r="O10" s="153" t="s">
        <v>84</v>
      </c>
      <c r="P10" s="192" t="s">
        <v>257</v>
      </c>
      <c r="Q10" s="192" t="s">
        <v>258</v>
      </c>
      <c r="R10" s="152" t="str">
        <f t="shared" si="0"/>
        <v>AUDSM6AB2Y</v>
      </c>
      <c r="S10" s="152" t="str">
        <v>AUDSM6AB2Y=ICAA</v>
      </c>
      <c r="T10" s="147" t="s">
        <v>174</v>
      </c>
      <c r="U10" s="147" t="s">
        <v>174</v>
      </c>
      <c r="V10" s="147" t="s">
        <v>174</v>
      </c>
      <c r="W10" s="147" t="s">
        <v>174</v>
      </c>
      <c r="X10" s="151" t="e">
        <f>_xll.qlMidEquivalent($T10,$U10,$V10,$W10)</f>
        <v>#NUM!</v>
      </c>
      <c r="Y10" s="149"/>
      <c r="Z10" s="150">
        <v>0</v>
      </c>
      <c r="AA10" s="149"/>
      <c r="AB10" s="209" t="e">
        <v>#NUM!</v>
      </c>
      <c r="AC10" s="146" t="e">
        <f>_xll.qlSimpleQuoteSetValue(F10,AB10/100,Trigger)</f>
        <v>#NUM!</v>
      </c>
      <c r="AD10" s="136"/>
      <c r="AE10" s="12"/>
      <c r="AF10" s="12"/>
      <c r="AG10" s="12"/>
      <c r="AH10" s="12"/>
      <c r="AI10" s="12"/>
      <c r="AJ10" s="183"/>
    </row>
    <row r="11" spans="1:36" x14ac:dyDescent="0.2">
      <c r="A11" s="85"/>
      <c r="B11" s="132" t="s">
        <v>83</v>
      </c>
      <c r="C11" s="49" t="s">
        <v>257</v>
      </c>
      <c r="D11" s="49" t="s">
        <v>258</v>
      </c>
      <c r="E11" s="47" t="str">
        <f t="shared" si="1"/>
        <v>AUDSM6AB3Y_Quote</v>
      </c>
      <c r="F11" s="47" t="str">
        <f>_xll.qlSimpleQuote(Currency&amp;$C11&amp;$D11&amp;$B11&amp;QuoteSuffix,,RateTickValue,Permanent,Trigger,ObjectOverwrite)</f>
        <v>AUDSM6AB3Y_Quote#0000</v>
      </c>
      <c r="G11" s="46" t="str">
        <f>_xll.ohRangeRetrieveError(F11)</f>
        <v/>
      </c>
      <c r="H11" s="21"/>
      <c r="N11" s="85"/>
      <c r="O11" s="153" t="s">
        <v>83</v>
      </c>
      <c r="P11" s="192" t="s">
        <v>257</v>
      </c>
      <c r="Q11" s="192" t="s">
        <v>258</v>
      </c>
      <c r="R11" s="152" t="str">
        <f t="shared" si="0"/>
        <v>AUDSM6AB3Y</v>
      </c>
      <c r="S11" s="152" t="str">
        <v>AUDSM6AB3Y=ICAA</v>
      </c>
      <c r="T11" s="147" t="s">
        <v>174</v>
      </c>
      <c r="U11" s="147" t="s">
        <v>174</v>
      </c>
      <c r="V11" s="147" t="s">
        <v>174</v>
      </c>
      <c r="W11" s="147" t="s">
        <v>174</v>
      </c>
      <c r="X11" s="151" t="e">
        <f>_xll.qlMidEquivalent($T11,$U11,$V11,$W11)</f>
        <v>#NUM!</v>
      </c>
      <c r="Y11" s="149"/>
      <c r="Z11" s="150">
        <v>0</v>
      </c>
      <c r="AA11" s="149"/>
      <c r="AB11" s="209" t="e">
        <v>#NUM!</v>
      </c>
      <c r="AC11" s="146" t="e">
        <f>_xll.qlSimpleQuoteSetValue(F11,AB11/100,Trigger)</f>
        <v>#NUM!</v>
      </c>
      <c r="AD11" s="136"/>
      <c r="AE11" s="12"/>
      <c r="AF11" s="12"/>
      <c r="AG11" s="12"/>
      <c r="AH11" s="12"/>
      <c r="AI11" s="12"/>
      <c r="AJ11" s="183"/>
    </row>
    <row r="12" spans="1:36" x14ac:dyDescent="0.2">
      <c r="A12" s="85"/>
      <c r="B12" s="132" t="s">
        <v>82</v>
      </c>
      <c r="C12" s="49" t="s">
        <v>257</v>
      </c>
      <c r="D12" s="49" t="s">
        <v>258</v>
      </c>
      <c r="E12" s="47" t="str">
        <f t="shared" si="1"/>
        <v>AUDSM6AB4Y_Quote</v>
      </c>
      <c r="F12" s="47" t="str">
        <f>_xll.qlSimpleQuote(Currency&amp;$C12&amp;$D12&amp;$B12&amp;QuoteSuffix,,RateTickValue,Permanent,Trigger,ObjectOverwrite)</f>
        <v>AUDSM6AB4Y_Quote#0000</v>
      </c>
      <c r="G12" s="46" t="str">
        <f>_xll.ohRangeRetrieveError(F12)</f>
        <v/>
      </c>
      <c r="H12" s="21"/>
      <c r="N12" s="85"/>
      <c r="O12" s="153" t="s">
        <v>82</v>
      </c>
      <c r="P12" s="192" t="s">
        <v>257</v>
      </c>
      <c r="Q12" s="192" t="s">
        <v>258</v>
      </c>
      <c r="R12" s="152" t="str">
        <f t="shared" si="0"/>
        <v>AUDSM6AB4Y</v>
      </c>
      <c r="S12" s="152" t="str">
        <v>AUDSM6AB4Y=ICAA</v>
      </c>
      <c r="T12" s="147">
        <v>3.1749999999999998</v>
      </c>
      <c r="U12" s="147">
        <v>3.2349999999999999</v>
      </c>
      <c r="V12" s="147">
        <v>0</v>
      </c>
      <c r="W12" s="147">
        <v>0</v>
      </c>
      <c r="X12" s="151">
        <f>_xll.qlMidEquivalent($T12,$U12,$V12,$W12)</f>
        <v>3.2050000000000001</v>
      </c>
      <c r="Y12" s="149"/>
      <c r="Z12" s="150">
        <v>0</v>
      </c>
      <c r="AA12" s="149"/>
      <c r="AB12" s="209">
        <v>3.2050000000000001</v>
      </c>
      <c r="AC12" s="146">
        <f>_xll.qlSimpleQuoteSetValue(F12,AB12/100,Trigger)</f>
        <v>-5.9999999999999637E-4</v>
      </c>
      <c r="AD12" s="136"/>
      <c r="AE12" s="12"/>
      <c r="AF12" s="12"/>
      <c r="AG12" s="12"/>
      <c r="AH12" s="12"/>
      <c r="AI12" s="12"/>
      <c r="AJ12" s="183"/>
    </row>
    <row r="13" spans="1:36" x14ac:dyDescent="0.2">
      <c r="A13" s="85"/>
      <c r="B13" s="132" t="s">
        <v>81</v>
      </c>
      <c r="C13" s="49" t="s">
        <v>257</v>
      </c>
      <c r="D13" s="49" t="s">
        <v>258</v>
      </c>
      <c r="E13" s="47" t="str">
        <f t="shared" si="1"/>
        <v>AUDSM6AB5Y_Quote</v>
      </c>
      <c r="F13" s="47" t="str">
        <f>_xll.qlSimpleQuote(Currency&amp;$C13&amp;$D13&amp;$B13&amp;QuoteSuffix,,RateTickValue,Permanent,Trigger,ObjectOverwrite)</f>
        <v>AUDSM6AB5Y_Quote#0000</v>
      </c>
      <c r="G13" s="46" t="str">
        <f>_xll.ohRangeRetrieveError(F13)</f>
        <v/>
      </c>
      <c r="H13" s="21"/>
      <c r="N13" s="85"/>
      <c r="O13" s="153" t="s">
        <v>81</v>
      </c>
      <c r="P13" s="192" t="s">
        <v>257</v>
      </c>
      <c r="Q13" s="192" t="s">
        <v>258</v>
      </c>
      <c r="R13" s="152" t="str">
        <f t="shared" si="0"/>
        <v>AUDSM6AB5Y</v>
      </c>
      <c r="S13" s="152" t="str">
        <v>AUDSM6AB5Y=ICAA</v>
      </c>
      <c r="T13" s="147">
        <v>3.3475000000000001</v>
      </c>
      <c r="U13" s="147">
        <v>3.4075000000000002</v>
      </c>
      <c r="V13" s="147">
        <v>0</v>
      </c>
      <c r="W13" s="147">
        <v>0</v>
      </c>
      <c r="X13" s="151">
        <f>_xll.qlMidEquivalent($T13,$U13,$V13,$W13)</f>
        <v>3.3775000000000004</v>
      </c>
      <c r="Y13" s="149"/>
      <c r="Z13" s="150">
        <v>0</v>
      </c>
      <c r="AA13" s="149"/>
      <c r="AB13" s="209">
        <v>3.3775000000000004</v>
      </c>
      <c r="AC13" s="146">
        <f>_xll.qlSimpleQuoteSetValue(F13,AB13/100,Trigger)</f>
        <v>-5.7499999999999218E-4</v>
      </c>
      <c r="AD13" s="136"/>
      <c r="AE13" s="12"/>
      <c r="AF13" s="12"/>
      <c r="AG13" s="12"/>
      <c r="AH13" s="12"/>
      <c r="AI13" s="12"/>
      <c r="AJ13" s="183"/>
    </row>
    <row r="14" spans="1:36" x14ac:dyDescent="0.2">
      <c r="A14" s="85"/>
      <c r="B14" s="132" t="s">
        <v>80</v>
      </c>
      <c r="C14" s="49" t="s">
        <v>257</v>
      </c>
      <c r="D14" s="49" t="s">
        <v>258</v>
      </c>
      <c r="E14" s="47" t="str">
        <f t="shared" si="1"/>
        <v>AUDSM6AB6Y_Quote</v>
      </c>
      <c r="F14" s="47" t="str">
        <f>_xll.qlSimpleQuote(Currency&amp;$C14&amp;$D14&amp;$B14&amp;QuoteSuffix,,RateTickValue,Permanent,Trigger,ObjectOverwrite)</f>
        <v>AUDSM6AB6Y_Quote#0000</v>
      </c>
      <c r="G14" s="46" t="str">
        <f>_xll.ohRangeRetrieveError(F14)</f>
        <v/>
      </c>
      <c r="H14" s="21"/>
      <c r="N14" s="85"/>
      <c r="O14" s="153" t="s">
        <v>80</v>
      </c>
      <c r="P14" s="192" t="s">
        <v>257</v>
      </c>
      <c r="Q14" s="192" t="s">
        <v>258</v>
      </c>
      <c r="R14" s="152" t="str">
        <f t="shared" si="0"/>
        <v>AUDSM6AB6Y</v>
      </c>
      <c r="S14" s="152" t="str">
        <v>AUDSM6AB6Y=ICAA</v>
      </c>
      <c r="T14" s="147">
        <v>3.5150000000000001</v>
      </c>
      <c r="U14" s="147">
        <v>3.5750000000000002</v>
      </c>
      <c r="V14" s="147">
        <v>0</v>
      </c>
      <c r="W14" s="147">
        <v>0</v>
      </c>
      <c r="X14" s="151">
        <f>_xll.qlMidEquivalent($T14,$U14,$V14,$W14)</f>
        <v>3.5449999999999999</v>
      </c>
      <c r="Y14" s="149"/>
      <c r="Z14" s="150">
        <v>0</v>
      </c>
      <c r="AA14" s="149"/>
      <c r="AB14" s="209">
        <v>3.5449999999999999</v>
      </c>
      <c r="AC14" s="146">
        <f>_xll.qlSimpleQuoteSetValue(F14,AB14/100,Trigger)</f>
        <v>-5.4999999999999494E-4</v>
      </c>
      <c r="AD14" s="136"/>
      <c r="AE14" s="12"/>
      <c r="AF14" s="12"/>
      <c r="AG14" s="12"/>
      <c r="AH14" s="12"/>
      <c r="AI14" s="12"/>
      <c r="AJ14" s="183"/>
    </row>
    <row r="15" spans="1:36" x14ac:dyDescent="0.2">
      <c r="A15" s="85"/>
      <c r="B15" s="132" t="s">
        <v>79</v>
      </c>
      <c r="C15" s="49" t="s">
        <v>257</v>
      </c>
      <c r="D15" s="49" t="s">
        <v>258</v>
      </c>
      <c r="E15" s="47" t="str">
        <f t="shared" si="1"/>
        <v>AUDSM6AB7Y_Quote</v>
      </c>
      <c r="F15" s="47" t="str">
        <f>_xll.qlSimpleQuote(Currency&amp;$C15&amp;$D15&amp;$B15&amp;QuoteSuffix,,RateTickValue,Permanent,Trigger,ObjectOverwrite)</f>
        <v>AUDSM6AB7Y_Quote#0000</v>
      </c>
      <c r="G15" s="46" t="str">
        <f>_xll.ohRangeRetrieveError(F15)</f>
        <v/>
      </c>
      <c r="H15" s="21"/>
      <c r="N15" s="85"/>
      <c r="O15" s="153" t="s">
        <v>79</v>
      </c>
      <c r="P15" s="192" t="s">
        <v>257</v>
      </c>
      <c r="Q15" s="192" t="s">
        <v>258</v>
      </c>
      <c r="R15" s="152" t="str">
        <f t="shared" si="0"/>
        <v>AUDSM6AB7Y</v>
      </c>
      <c r="S15" s="152" t="str">
        <v>AUDSM6AB7Y=ICAA</v>
      </c>
      <c r="T15" s="147">
        <v>3.665</v>
      </c>
      <c r="U15" s="147">
        <v>3.7250000000000001</v>
      </c>
      <c r="V15" s="147">
        <v>0</v>
      </c>
      <c r="W15" s="147">
        <v>0</v>
      </c>
      <c r="X15" s="151">
        <f>_xll.qlMidEquivalent($T15,$U15,$V15,$W15)</f>
        <v>3.6950000000000003</v>
      </c>
      <c r="Y15" s="149"/>
      <c r="Z15" s="150">
        <v>0</v>
      </c>
      <c r="AA15" s="149"/>
      <c r="AB15" s="209">
        <v>3.6950000000000003</v>
      </c>
      <c r="AC15" s="146">
        <f>_xll.qlSimpleQuoteSetValue(F15,AB15/100,Trigger)</f>
        <v>-5.0000000000000044E-4</v>
      </c>
      <c r="AD15" s="136"/>
      <c r="AE15" s="12"/>
      <c r="AF15" s="12"/>
      <c r="AG15" s="12"/>
      <c r="AH15" s="12"/>
      <c r="AI15" s="12"/>
      <c r="AJ15" s="183"/>
    </row>
    <row r="16" spans="1:36" x14ac:dyDescent="0.2">
      <c r="A16" s="85"/>
      <c r="B16" s="132" t="s">
        <v>78</v>
      </c>
      <c r="C16" s="49" t="s">
        <v>257</v>
      </c>
      <c r="D16" s="49" t="s">
        <v>258</v>
      </c>
      <c r="E16" s="47" t="str">
        <f t="shared" si="1"/>
        <v>AUDSM6AB8Y_Quote</v>
      </c>
      <c r="F16" s="47" t="str">
        <f>_xll.qlSimpleQuote(Currency&amp;$C16&amp;$D16&amp;$B16&amp;QuoteSuffix,,RateTickValue,Permanent,Trigger,ObjectOverwrite)</f>
        <v>AUDSM6AB8Y_Quote#0000</v>
      </c>
      <c r="G16" s="46" t="str">
        <f>_xll.ohRangeRetrieveError(F16)</f>
        <v/>
      </c>
      <c r="H16" s="21"/>
      <c r="N16" s="85"/>
      <c r="O16" s="153" t="s">
        <v>78</v>
      </c>
      <c r="P16" s="192" t="s">
        <v>257</v>
      </c>
      <c r="Q16" s="192" t="s">
        <v>258</v>
      </c>
      <c r="R16" s="152" t="str">
        <f t="shared" si="0"/>
        <v>AUDSM6AB8Y</v>
      </c>
      <c r="S16" s="152" t="str">
        <v>AUDSM6AB8Y=ICAA</v>
      </c>
      <c r="T16" s="147">
        <v>3.7949999999999999</v>
      </c>
      <c r="U16" s="147">
        <v>3.855</v>
      </c>
      <c r="V16" s="147">
        <v>0</v>
      </c>
      <c r="W16" s="147">
        <v>0</v>
      </c>
      <c r="X16" s="151">
        <f>_xll.qlMidEquivalent($T16,$U16,$V16,$W16)</f>
        <v>3.8250000000000002</v>
      </c>
      <c r="Y16" s="149"/>
      <c r="Z16" s="150">
        <v>0</v>
      </c>
      <c r="AA16" s="149"/>
      <c r="AB16" s="209">
        <v>3.8250000000000002</v>
      </c>
      <c r="AC16" s="146">
        <f>_xll.qlSimpleQuoteSetValue(F16,AB16/100,Trigger)</f>
        <v>-4.2499999999999483E-4</v>
      </c>
      <c r="AD16" s="136"/>
      <c r="AE16" s="12"/>
      <c r="AF16" s="12"/>
      <c r="AG16" s="12"/>
      <c r="AH16" s="12"/>
      <c r="AI16" s="12"/>
      <c r="AJ16" s="183"/>
    </row>
    <row r="17" spans="1:36" x14ac:dyDescent="0.2">
      <c r="A17" s="85"/>
      <c r="B17" s="132" t="s">
        <v>77</v>
      </c>
      <c r="C17" s="49" t="s">
        <v>257</v>
      </c>
      <c r="D17" s="49" t="s">
        <v>258</v>
      </c>
      <c r="E17" s="47" t="str">
        <f t="shared" si="1"/>
        <v>AUDSM6AB9Y_Quote</v>
      </c>
      <c r="F17" s="47" t="str">
        <f>_xll.qlSimpleQuote(Currency&amp;$C17&amp;$D17&amp;$B17&amp;QuoteSuffix,,RateTickValue,Permanent,Trigger,ObjectOverwrite)</f>
        <v>AUDSM6AB9Y_Quote#0000</v>
      </c>
      <c r="G17" s="46" t="str">
        <f>_xll.ohRangeRetrieveError(F17)</f>
        <v/>
      </c>
      <c r="H17" s="21"/>
      <c r="N17" s="85"/>
      <c r="O17" s="153" t="s">
        <v>77</v>
      </c>
      <c r="P17" s="192" t="s">
        <v>257</v>
      </c>
      <c r="Q17" s="192" t="s">
        <v>258</v>
      </c>
      <c r="R17" s="152" t="str">
        <f t="shared" si="0"/>
        <v>AUDSM6AB9Y</v>
      </c>
      <c r="S17" s="152" t="str">
        <v>AUDSM6AB9Y=ICAA</v>
      </c>
      <c r="T17" s="147">
        <v>3.9024999999999999</v>
      </c>
      <c r="U17" s="147">
        <v>3.9624999999999999</v>
      </c>
      <c r="V17" s="147">
        <v>0</v>
      </c>
      <c r="W17" s="147">
        <v>0</v>
      </c>
      <c r="X17" s="151">
        <f>_xll.qlMidEquivalent($T17,$U17,$V17,$W17)</f>
        <v>3.9325000000000001</v>
      </c>
      <c r="Y17" s="149"/>
      <c r="Z17" s="150">
        <v>0</v>
      </c>
      <c r="AA17" s="149"/>
      <c r="AB17" s="209">
        <v>3.9325000000000001</v>
      </c>
      <c r="AC17" s="146">
        <f>_xll.qlSimpleQuoteSetValue(F17,AB17/100,Trigger)</f>
        <v>-4.2499999999999483E-4</v>
      </c>
      <c r="AD17" s="136"/>
      <c r="AE17" s="12"/>
      <c r="AF17" s="12"/>
      <c r="AG17" s="12"/>
      <c r="AH17" s="12"/>
      <c r="AI17" s="12"/>
      <c r="AJ17" s="183"/>
    </row>
    <row r="18" spans="1:36" x14ac:dyDescent="0.2">
      <c r="A18" s="85"/>
      <c r="B18" s="132" t="s">
        <v>76</v>
      </c>
      <c r="C18" s="49" t="s">
        <v>257</v>
      </c>
      <c r="D18" s="49" t="s">
        <v>258</v>
      </c>
      <c r="E18" s="47" t="str">
        <f t="shared" si="1"/>
        <v>AUDSM6AB10Y_Quote</v>
      </c>
      <c r="F18" s="47" t="str">
        <f>_xll.qlSimpleQuote(Currency&amp;$C18&amp;$D18&amp;$B18&amp;QuoteSuffix,,RateTickValue,Permanent,Trigger,ObjectOverwrite)</f>
        <v>AUDSM6AB10Y_Quote#0000</v>
      </c>
      <c r="G18" s="46" t="str">
        <f>_xll.ohRangeRetrieveError(F18)</f>
        <v/>
      </c>
      <c r="H18" s="21"/>
      <c r="N18" s="85"/>
      <c r="O18" s="153" t="s">
        <v>76</v>
      </c>
      <c r="P18" s="192" t="s">
        <v>257</v>
      </c>
      <c r="Q18" s="192" t="s">
        <v>258</v>
      </c>
      <c r="R18" s="152" t="str">
        <f t="shared" si="0"/>
        <v>AUDSM6AB10Y</v>
      </c>
      <c r="S18" s="152" t="str">
        <v>AUDSM6AB10Y=ICAA</v>
      </c>
      <c r="T18" s="147">
        <v>4</v>
      </c>
      <c r="U18" s="147">
        <v>4.0599999999999996</v>
      </c>
      <c r="V18" s="147">
        <v>0</v>
      </c>
      <c r="W18" s="147">
        <v>0</v>
      </c>
      <c r="X18" s="151">
        <f>_xll.qlMidEquivalent($T18,$U18,$V18,$W18)</f>
        <v>4.0299999999999994</v>
      </c>
      <c r="Y18" s="149"/>
      <c r="Z18" s="150">
        <v>0</v>
      </c>
      <c r="AA18" s="149"/>
      <c r="AB18" s="209">
        <v>4.0299999999999994</v>
      </c>
      <c r="AC18" s="146">
        <f>_xll.qlSimpleQuoteSetValue(F18,AB18/100,Trigger)</f>
        <v>-4.0000000000000452E-4</v>
      </c>
      <c r="AD18" s="136"/>
      <c r="AE18" s="12"/>
      <c r="AF18" s="12"/>
      <c r="AG18" s="12"/>
      <c r="AH18" s="12"/>
      <c r="AI18" s="12"/>
      <c r="AJ18" s="183"/>
    </row>
    <row r="19" spans="1:36" x14ac:dyDescent="0.2">
      <c r="A19" s="85"/>
      <c r="B19" s="132" t="s">
        <v>75</v>
      </c>
      <c r="C19" s="49" t="s">
        <v>257</v>
      </c>
      <c r="D19" s="49" t="s">
        <v>258</v>
      </c>
      <c r="E19" s="47" t="str">
        <f t="shared" si="1"/>
        <v>AUDSM6AB11Y_Quote</v>
      </c>
      <c r="F19" s="47" t="str">
        <f>_xll.qlSimpleQuote(Currency&amp;$C19&amp;$D19&amp;$B19&amp;QuoteSuffix,,RateTickValue,Permanent,Trigger,ObjectOverwrite)</f>
        <v>AUDSM6AB11Y_Quote#0000</v>
      </c>
      <c r="G19" s="46" t="str">
        <f>_xll.ohRangeRetrieveError(F19)</f>
        <v/>
      </c>
      <c r="H19" s="21"/>
      <c r="N19" s="85"/>
      <c r="O19" s="153" t="s">
        <v>75</v>
      </c>
      <c r="P19" s="192" t="s">
        <v>257</v>
      </c>
      <c r="Q19" s="192" t="s">
        <v>258</v>
      </c>
      <c r="R19" s="152" t="str">
        <f t="shared" si="0"/>
        <v>AUDSM6AB11Y</v>
      </c>
      <c r="S19" s="152" t="str">
        <v>AUDSM6AB11Y=ICAA</v>
      </c>
      <c r="T19" s="147" t="s">
        <v>174</v>
      </c>
      <c r="U19" s="147" t="s">
        <v>174</v>
      </c>
      <c r="V19" s="147" t="s">
        <v>174</v>
      </c>
      <c r="W19" s="147" t="s">
        <v>174</v>
      </c>
      <c r="X19" s="151" t="e">
        <f>_xll.qlMidEquivalent($T19,$U19,$V19,$W19)</f>
        <v>#NUM!</v>
      </c>
      <c r="Y19" s="149"/>
      <c r="Z19" s="150">
        <v>0</v>
      </c>
      <c r="AA19" s="149"/>
      <c r="AB19" s="209" t="e">
        <v>#NUM!</v>
      </c>
      <c r="AC19" s="146" t="e">
        <f>_xll.qlSimpleQuoteSetValue(F19,AB19/100,Trigger)</f>
        <v>#NUM!</v>
      </c>
      <c r="AD19" s="136"/>
      <c r="AE19" s="12"/>
      <c r="AF19" s="12"/>
      <c r="AG19" s="12"/>
      <c r="AH19" s="12"/>
      <c r="AI19" s="12"/>
      <c r="AJ19" s="183"/>
    </row>
    <row r="20" spans="1:36" x14ac:dyDescent="0.2">
      <c r="A20" s="85"/>
      <c r="B20" s="132" t="s">
        <v>74</v>
      </c>
      <c r="C20" s="49" t="s">
        <v>257</v>
      </c>
      <c r="D20" s="49" t="s">
        <v>258</v>
      </c>
      <c r="E20" s="47" t="str">
        <f t="shared" si="1"/>
        <v>AUDSM6AB12Y_Quote</v>
      </c>
      <c r="F20" s="47" t="str">
        <f>_xll.qlSimpleQuote(Currency&amp;$C20&amp;$D20&amp;$B20&amp;QuoteSuffix,,RateTickValue,Permanent,Trigger,ObjectOverwrite)</f>
        <v>AUDSM6AB12Y_Quote#0000</v>
      </c>
      <c r="G20" s="46" t="str">
        <f>_xll.ohRangeRetrieveError(F20)</f>
        <v/>
      </c>
      <c r="H20" s="21"/>
      <c r="N20" s="85"/>
      <c r="O20" s="153" t="s">
        <v>74</v>
      </c>
      <c r="P20" s="192" t="s">
        <v>257</v>
      </c>
      <c r="Q20" s="192" t="s">
        <v>258</v>
      </c>
      <c r="R20" s="152" t="str">
        <f t="shared" si="0"/>
        <v>AUDSM6AB12Y</v>
      </c>
      <c r="S20" s="152" t="str">
        <v>AUDSM6AB12Y=ICAA</v>
      </c>
      <c r="T20" s="147">
        <v>4.1574999999999998</v>
      </c>
      <c r="U20" s="147">
        <v>4.2175000000000002</v>
      </c>
      <c r="V20" s="147">
        <v>0</v>
      </c>
      <c r="W20" s="147">
        <v>0</v>
      </c>
      <c r="X20" s="151">
        <f>_xll.qlMidEquivalent($T20,$U20,$V20,$W20)</f>
        <v>4.1875</v>
      </c>
      <c r="Y20" s="149"/>
      <c r="Z20" s="150">
        <v>0</v>
      </c>
      <c r="AA20" s="149"/>
      <c r="AB20" s="209">
        <v>4.1875</v>
      </c>
      <c r="AC20" s="146">
        <f>_xll.qlSimpleQuoteSetValue(F20,AB20/100,Trigger)</f>
        <v>-4.2500000000000177E-4</v>
      </c>
      <c r="AD20" s="136"/>
      <c r="AE20" s="12"/>
      <c r="AF20" s="12"/>
      <c r="AG20" s="12"/>
      <c r="AH20" s="12"/>
      <c r="AI20" s="12"/>
      <c r="AJ20" s="183"/>
    </row>
    <row r="21" spans="1:36" x14ac:dyDescent="0.2">
      <c r="A21" s="85"/>
      <c r="B21" s="132" t="s">
        <v>73</v>
      </c>
      <c r="C21" s="49" t="s">
        <v>257</v>
      </c>
      <c r="D21" s="49" t="s">
        <v>258</v>
      </c>
      <c r="E21" s="47" t="str">
        <f t="shared" si="1"/>
        <v>AUDSM6AB13Y_Quote</v>
      </c>
      <c r="F21" s="47" t="str">
        <f>_xll.qlSimpleQuote(Currency&amp;$C21&amp;$D21&amp;$B21&amp;QuoteSuffix,,RateTickValue,Permanent,Trigger,ObjectOverwrite)</f>
        <v>AUDSM6AB13Y_Quote#0000</v>
      </c>
      <c r="G21" s="46" t="str">
        <f>_xll.ohRangeRetrieveError(F21)</f>
        <v/>
      </c>
      <c r="H21" s="21"/>
      <c r="N21" s="85"/>
      <c r="O21" s="153" t="s">
        <v>73</v>
      </c>
      <c r="P21" s="192" t="s">
        <v>257</v>
      </c>
      <c r="Q21" s="192" t="s">
        <v>258</v>
      </c>
      <c r="R21" s="152" t="str">
        <f t="shared" si="0"/>
        <v>AUDSM6AB13Y</v>
      </c>
      <c r="S21" s="152" t="str">
        <v>AUDSM6AB13Y=ICAA</v>
      </c>
      <c r="T21" s="147" t="s">
        <v>174</v>
      </c>
      <c r="U21" s="147" t="s">
        <v>174</v>
      </c>
      <c r="V21" s="147" t="s">
        <v>174</v>
      </c>
      <c r="W21" s="147" t="s">
        <v>174</v>
      </c>
      <c r="X21" s="151" t="e">
        <f>_xll.qlMidEquivalent($T21,$U21,$V21,$W21)</f>
        <v>#NUM!</v>
      </c>
      <c r="Y21" s="149"/>
      <c r="Z21" s="150">
        <v>0</v>
      </c>
      <c r="AA21" s="149"/>
      <c r="AB21" s="209" t="e">
        <v>#NUM!</v>
      </c>
      <c r="AC21" s="146" t="e">
        <f>_xll.qlSimpleQuoteSetValue(F21,AB21/100,Trigger)</f>
        <v>#NUM!</v>
      </c>
      <c r="AD21" s="136"/>
      <c r="AE21" s="12"/>
      <c r="AF21" s="12"/>
      <c r="AG21" s="12"/>
      <c r="AH21" s="12"/>
      <c r="AI21" s="12"/>
      <c r="AJ21" s="183"/>
    </row>
    <row r="22" spans="1:36" x14ac:dyDescent="0.2">
      <c r="A22" s="85"/>
      <c r="B22" s="132" t="s">
        <v>72</v>
      </c>
      <c r="C22" s="49" t="s">
        <v>257</v>
      </c>
      <c r="D22" s="49" t="s">
        <v>258</v>
      </c>
      <c r="E22" s="47" t="str">
        <f t="shared" si="1"/>
        <v>AUDSM6AB14Y_Quote</v>
      </c>
      <c r="F22" s="47" t="str">
        <f>_xll.qlSimpleQuote(Currency&amp;$C22&amp;$D22&amp;$B22&amp;QuoteSuffix,,RateTickValue,Permanent,Trigger,ObjectOverwrite)</f>
        <v>AUDSM6AB14Y_Quote#0000</v>
      </c>
      <c r="G22" s="46" t="str">
        <f>_xll.ohRangeRetrieveError(F22)</f>
        <v/>
      </c>
      <c r="H22" s="21"/>
      <c r="N22" s="85"/>
      <c r="O22" s="153" t="s">
        <v>72</v>
      </c>
      <c r="P22" s="192" t="s">
        <v>257</v>
      </c>
      <c r="Q22" s="192" t="s">
        <v>258</v>
      </c>
      <c r="R22" s="152" t="str">
        <f t="shared" si="0"/>
        <v>AUDSM6AB14Y</v>
      </c>
      <c r="S22" s="152" t="str">
        <v>AUDSM6AB14Y=ICAA</v>
      </c>
      <c r="T22" s="147" t="s">
        <v>174</v>
      </c>
      <c r="U22" s="147" t="s">
        <v>174</v>
      </c>
      <c r="V22" s="147" t="s">
        <v>174</v>
      </c>
      <c r="W22" s="147" t="s">
        <v>174</v>
      </c>
      <c r="X22" s="151" t="e">
        <f>_xll.qlMidEquivalent($T22,$U22,$V22,$W22)</f>
        <v>#NUM!</v>
      </c>
      <c r="Y22" s="149"/>
      <c r="Z22" s="150">
        <v>0</v>
      </c>
      <c r="AA22" s="149"/>
      <c r="AB22" s="209" t="e">
        <v>#NUM!</v>
      </c>
      <c r="AC22" s="146" t="e">
        <f>_xll.qlSimpleQuoteSetValue(F22,AB22/100,Trigger)</f>
        <v>#NUM!</v>
      </c>
      <c r="AD22" s="136"/>
      <c r="AE22" s="12"/>
      <c r="AF22" s="12"/>
      <c r="AG22" s="12"/>
      <c r="AH22" s="12"/>
      <c r="AI22" s="12"/>
      <c r="AJ22" s="183"/>
    </row>
    <row r="23" spans="1:36" x14ac:dyDescent="0.2">
      <c r="A23" s="85"/>
      <c r="B23" s="132" t="s">
        <v>71</v>
      </c>
      <c r="C23" s="49" t="s">
        <v>257</v>
      </c>
      <c r="D23" s="49" t="s">
        <v>258</v>
      </c>
      <c r="E23" s="47" t="str">
        <f t="shared" si="1"/>
        <v>AUDSM6AB15Y_Quote</v>
      </c>
      <c r="F23" s="47" t="str">
        <f>_xll.qlSimpleQuote(Currency&amp;$C23&amp;$D23&amp;$B23&amp;QuoteSuffix,,RateTickValue,Permanent,Trigger,ObjectOverwrite)</f>
        <v>AUDSM6AB15Y_Quote#0000</v>
      </c>
      <c r="G23" s="46" t="str">
        <f>_xll.ohRangeRetrieveError(F23)</f>
        <v/>
      </c>
      <c r="H23" s="21"/>
      <c r="N23" s="85"/>
      <c r="O23" s="153" t="s">
        <v>71</v>
      </c>
      <c r="P23" s="192" t="s">
        <v>257</v>
      </c>
      <c r="Q23" s="192" t="s">
        <v>258</v>
      </c>
      <c r="R23" s="152" t="str">
        <f t="shared" si="0"/>
        <v>AUDSM6AB15Y</v>
      </c>
      <c r="S23" s="152" t="str">
        <v>AUDSM6AB15Y=ICAA</v>
      </c>
      <c r="T23" s="147">
        <v>4.2949999999999999</v>
      </c>
      <c r="U23" s="147">
        <v>4.375</v>
      </c>
      <c r="V23" s="147">
        <v>0</v>
      </c>
      <c r="W23" s="147">
        <v>0</v>
      </c>
      <c r="X23" s="151">
        <f>_xll.qlMidEquivalent($T23,$U23,$V23,$W23)</f>
        <v>4.335</v>
      </c>
      <c r="Y23" s="149"/>
      <c r="Z23" s="150">
        <v>0</v>
      </c>
      <c r="AA23" s="149"/>
      <c r="AB23" s="209">
        <v>4.335</v>
      </c>
      <c r="AC23" s="146">
        <f>_xll.qlSimpleQuoteSetValue(F23,AB23/100,Trigger)</f>
        <v>-4.750000000000032E-4</v>
      </c>
      <c r="AD23" s="136"/>
      <c r="AE23" s="12"/>
      <c r="AF23" s="12"/>
      <c r="AG23" s="12"/>
      <c r="AH23" s="12"/>
      <c r="AI23" s="12"/>
      <c r="AJ23" s="183"/>
    </row>
    <row r="24" spans="1:36" x14ac:dyDescent="0.2">
      <c r="A24" s="85"/>
      <c r="B24" s="132" t="s">
        <v>70</v>
      </c>
      <c r="C24" s="49" t="s">
        <v>257</v>
      </c>
      <c r="D24" s="49" t="s">
        <v>258</v>
      </c>
      <c r="E24" s="47" t="str">
        <f t="shared" si="1"/>
        <v>AUDSM6AB16Y_Quote</v>
      </c>
      <c r="F24" s="47" t="str">
        <f>_xll.qlSimpleQuote(Currency&amp;$C24&amp;$D24&amp;$B24&amp;QuoteSuffix,,RateTickValue,Permanent,Trigger,ObjectOverwrite)</f>
        <v>AUDSM6AB16Y_Quote#0000</v>
      </c>
      <c r="G24" s="46" t="str">
        <f>_xll.ohRangeRetrieveError(F24)</f>
        <v/>
      </c>
      <c r="H24" s="21"/>
      <c r="N24" s="85"/>
      <c r="O24" s="153" t="s">
        <v>70</v>
      </c>
      <c r="P24" s="192" t="s">
        <v>257</v>
      </c>
      <c r="Q24" s="192" t="s">
        <v>258</v>
      </c>
      <c r="R24" s="152" t="str">
        <f t="shared" si="0"/>
        <v>AUDSM6AB16Y</v>
      </c>
      <c r="S24" s="152" t="str">
        <v>AUDSM6AB16Y=ICAA</v>
      </c>
      <c r="T24" s="147" t="s">
        <v>174</v>
      </c>
      <c r="U24" s="147" t="s">
        <v>174</v>
      </c>
      <c r="V24" s="147" t="s">
        <v>174</v>
      </c>
      <c r="W24" s="147" t="s">
        <v>174</v>
      </c>
      <c r="X24" s="151" t="e">
        <f>_xll.qlMidEquivalent($T24,$U24,$V24,$W24)</f>
        <v>#NUM!</v>
      </c>
      <c r="Y24" s="149"/>
      <c r="Z24" s="150">
        <v>0</v>
      </c>
      <c r="AA24" s="149"/>
      <c r="AB24" s="209" t="e">
        <v>#NUM!</v>
      </c>
      <c r="AC24" s="146" t="e">
        <f>_xll.qlSimpleQuoteSetValue(F24,AB24/100,Trigger)</f>
        <v>#NUM!</v>
      </c>
      <c r="AD24" s="136"/>
      <c r="AE24" s="12"/>
      <c r="AF24" s="12"/>
      <c r="AG24" s="12"/>
      <c r="AH24" s="12"/>
      <c r="AI24" s="12"/>
      <c r="AJ24" s="183"/>
    </row>
    <row r="25" spans="1:36" x14ac:dyDescent="0.2">
      <c r="A25" s="85"/>
      <c r="B25" s="132" t="s">
        <v>69</v>
      </c>
      <c r="C25" s="49" t="s">
        <v>257</v>
      </c>
      <c r="D25" s="49" t="s">
        <v>258</v>
      </c>
      <c r="E25" s="47" t="str">
        <f t="shared" si="1"/>
        <v>AUDSM6AB17Y_Quote</v>
      </c>
      <c r="F25" s="47" t="str">
        <f>_xll.qlSimpleQuote(Currency&amp;$C25&amp;$D25&amp;$B25&amp;QuoteSuffix,,RateTickValue,Permanent,Trigger,ObjectOverwrite)</f>
        <v>AUDSM6AB17Y_Quote#0000</v>
      </c>
      <c r="G25" s="46" t="str">
        <f>_xll.ohRangeRetrieveError(F25)</f>
        <v/>
      </c>
      <c r="H25" s="21"/>
      <c r="N25" s="85"/>
      <c r="O25" s="153" t="s">
        <v>69</v>
      </c>
      <c r="P25" s="192" t="s">
        <v>257</v>
      </c>
      <c r="Q25" s="192" t="s">
        <v>258</v>
      </c>
      <c r="R25" s="152" t="str">
        <f t="shared" si="0"/>
        <v>AUDSM6AB17Y</v>
      </c>
      <c r="S25" s="152" t="str">
        <v>AUDSM6AB17Y=ICAA</v>
      </c>
      <c r="T25" s="147" t="s">
        <v>174</v>
      </c>
      <c r="U25" s="147" t="s">
        <v>174</v>
      </c>
      <c r="V25" s="147" t="s">
        <v>174</v>
      </c>
      <c r="W25" s="147" t="s">
        <v>174</v>
      </c>
      <c r="X25" s="151" t="e">
        <f>_xll.qlMidEquivalent($T25,$U25,$V25,$W25)</f>
        <v>#NUM!</v>
      </c>
      <c r="Y25" s="149"/>
      <c r="Z25" s="150">
        <v>0</v>
      </c>
      <c r="AA25" s="149"/>
      <c r="AB25" s="209" t="e">
        <v>#NUM!</v>
      </c>
      <c r="AC25" s="146" t="e">
        <f>_xll.qlSimpleQuoteSetValue(F25,AB25/100,Trigger)</f>
        <v>#NUM!</v>
      </c>
      <c r="AD25" s="136"/>
      <c r="AE25" s="12"/>
      <c r="AF25" s="12"/>
      <c r="AG25" s="12"/>
      <c r="AH25" s="12"/>
      <c r="AI25" s="12"/>
      <c r="AJ25" s="183"/>
    </row>
    <row r="26" spans="1:36" x14ac:dyDescent="0.2">
      <c r="A26" s="85"/>
      <c r="B26" s="132" t="s">
        <v>68</v>
      </c>
      <c r="C26" s="49" t="s">
        <v>257</v>
      </c>
      <c r="D26" s="49" t="s">
        <v>258</v>
      </c>
      <c r="E26" s="47" t="str">
        <f t="shared" si="1"/>
        <v>AUDSM6AB18Y_Quote</v>
      </c>
      <c r="F26" s="47" t="str">
        <f>_xll.qlSimpleQuote(Currency&amp;$C26&amp;$D26&amp;$B26&amp;QuoteSuffix,,RateTickValue,Permanent,Trigger,ObjectOverwrite)</f>
        <v>AUDSM6AB18Y_Quote#0000</v>
      </c>
      <c r="G26" s="46" t="str">
        <f>_xll.ohRangeRetrieveError(F26)</f>
        <v/>
      </c>
      <c r="H26" s="21"/>
      <c r="N26" s="85"/>
      <c r="O26" s="153" t="s">
        <v>68</v>
      </c>
      <c r="P26" s="192" t="s">
        <v>257</v>
      </c>
      <c r="Q26" s="192" t="s">
        <v>258</v>
      </c>
      <c r="R26" s="152" t="str">
        <f t="shared" si="0"/>
        <v>AUDSM6AB18Y</v>
      </c>
      <c r="S26" s="152" t="str">
        <v>AUDSM6AB18Y=ICAA</v>
      </c>
      <c r="T26" s="147" t="s">
        <v>174</v>
      </c>
      <c r="U26" s="147" t="s">
        <v>174</v>
      </c>
      <c r="V26" s="147" t="s">
        <v>174</v>
      </c>
      <c r="W26" s="147" t="s">
        <v>174</v>
      </c>
      <c r="X26" s="151" t="e">
        <f>_xll.qlMidEquivalent($T26,$U26,$V26,$W26)</f>
        <v>#NUM!</v>
      </c>
      <c r="Y26" s="149"/>
      <c r="Z26" s="150">
        <v>0</v>
      </c>
      <c r="AA26" s="149"/>
      <c r="AB26" s="209" t="e">
        <v>#NUM!</v>
      </c>
      <c r="AC26" s="146" t="e">
        <f>_xll.qlSimpleQuoteSetValue(F26,AB26/100,Trigger)</f>
        <v>#NUM!</v>
      </c>
      <c r="AD26" s="136"/>
      <c r="AE26" s="12"/>
      <c r="AF26" s="12"/>
      <c r="AG26" s="12"/>
      <c r="AH26" s="12"/>
      <c r="AI26" s="12"/>
      <c r="AJ26" s="183"/>
    </row>
    <row r="27" spans="1:36" x14ac:dyDescent="0.2">
      <c r="A27" s="85"/>
      <c r="B27" s="132" t="s">
        <v>67</v>
      </c>
      <c r="C27" s="49" t="s">
        <v>257</v>
      </c>
      <c r="D27" s="49" t="s">
        <v>258</v>
      </c>
      <c r="E27" s="47" t="str">
        <f t="shared" si="1"/>
        <v>AUDSM6AB19Y_Quote</v>
      </c>
      <c r="F27" s="47" t="str">
        <f>_xll.qlSimpleQuote(Currency&amp;$C27&amp;$D27&amp;$B27&amp;QuoteSuffix,,RateTickValue,Permanent,Trigger,ObjectOverwrite)</f>
        <v>AUDSM6AB19Y_Quote#0000</v>
      </c>
      <c r="G27" s="46" t="str">
        <f>_xll.ohRangeRetrieveError(F27)</f>
        <v/>
      </c>
      <c r="H27" s="21"/>
      <c r="N27" s="85"/>
      <c r="O27" s="153" t="s">
        <v>67</v>
      </c>
      <c r="P27" s="192" t="s">
        <v>257</v>
      </c>
      <c r="Q27" s="192" t="s">
        <v>258</v>
      </c>
      <c r="R27" s="152" t="str">
        <f t="shared" si="0"/>
        <v>AUDSM6AB19Y</v>
      </c>
      <c r="S27" s="152" t="str">
        <v>AUDSM6AB19Y=ICAA</v>
      </c>
      <c r="T27" s="147" t="s">
        <v>174</v>
      </c>
      <c r="U27" s="147" t="s">
        <v>174</v>
      </c>
      <c r="V27" s="147" t="s">
        <v>174</v>
      </c>
      <c r="W27" s="147" t="s">
        <v>174</v>
      </c>
      <c r="X27" s="151" t="e">
        <f>_xll.qlMidEquivalent($T27,$U27,$V27,$W27)</f>
        <v>#NUM!</v>
      </c>
      <c r="Y27" s="149"/>
      <c r="Z27" s="150">
        <v>0</v>
      </c>
      <c r="AA27" s="149"/>
      <c r="AB27" s="209" t="e">
        <v>#NUM!</v>
      </c>
      <c r="AC27" s="146" t="e">
        <f>_xll.qlSimpleQuoteSetValue(F27,AB27/100,Trigger)</f>
        <v>#NUM!</v>
      </c>
      <c r="AD27" s="136"/>
      <c r="AE27" s="12"/>
      <c r="AF27" s="12"/>
      <c r="AG27" s="12"/>
      <c r="AH27" s="12"/>
      <c r="AI27" s="12"/>
      <c r="AJ27" s="183"/>
    </row>
    <row r="28" spans="1:36" x14ac:dyDescent="0.2">
      <c r="A28" s="85"/>
      <c r="B28" s="132" t="s">
        <v>66</v>
      </c>
      <c r="C28" s="49" t="s">
        <v>257</v>
      </c>
      <c r="D28" s="49" t="s">
        <v>258</v>
      </c>
      <c r="E28" s="47" t="str">
        <f t="shared" si="1"/>
        <v>AUDSM6AB20Y_Quote</v>
      </c>
      <c r="F28" s="47" t="str">
        <f>_xll.qlSimpleQuote(Currency&amp;$C28&amp;$D28&amp;$B28&amp;QuoteSuffix,,RateTickValue,Permanent,Trigger,ObjectOverwrite)</f>
        <v>AUDSM6AB20Y_Quote#0000</v>
      </c>
      <c r="G28" s="46" t="str">
        <f>_xll.ohRangeRetrieveError(F28)</f>
        <v/>
      </c>
      <c r="H28" s="21"/>
      <c r="N28" s="85"/>
      <c r="O28" s="153" t="s">
        <v>66</v>
      </c>
      <c r="P28" s="192" t="s">
        <v>257</v>
      </c>
      <c r="Q28" s="192" t="s">
        <v>258</v>
      </c>
      <c r="R28" s="152" t="str">
        <f t="shared" si="0"/>
        <v>AUDSM6AB20Y</v>
      </c>
      <c r="S28" s="152" t="str">
        <v>AUDSM6AB20Y=ICAA</v>
      </c>
      <c r="T28" s="147">
        <v>4.4175000000000004</v>
      </c>
      <c r="U28" s="147">
        <v>4.4974999999999996</v>
      </c>
      <c r="V28" s="147">
        <v>0</v>
      </c>
      <c r="W28" s="147">
        <v>0</v>
      </c>
      <c r="X28" s="151">
        <f>_xll.qlMidEquivalent($T28,$U28,$V28,$W28)</f>
        <v>4.4574999999999996</v>
      </c>
      <c r="Y28" s="149"/>
      <c r="Z28" s="150">
        <v>0</v>
      </c>
      <c r="AA28" s="149"/>
      <c r="AB28" s="209">
        <v>4.4574999999999996</v>
      </c>
      <c r="AC28" s="146">
        <f>_xll.qlSimpleQuoteSetValue(F28,AB28/100,Trigger)</f>
        <v>-3.9999999999999758E-4</v>
      </c>
      <c r="AD28" s="136"/>
      <c r="AE28" s="12"/>
      <c r="AF28" s="12"/>
      <c r="AG28" s="12"/>
      <c r="AH28" s="12"/>
      <c r="AI28" s="12"/>
      <c r="AJ28" s="183"/>
    </row>
    <row r="29" spans="1:36" x14ac:dyDescent="0.2">
      <c r="A29" s="85"/>
      <c r="B29" s="132" t="s">
        <v>65</v>
      </c>
      <c r="C29" s="49" t="s">
        <v>257</v>
      </c>
      <c r="D29" s="49" t="s">
        <v>258</v>
      </c>
      <c r="E29" s="47" t="str">
        <f t="shared" si="1"/>
        <v>AUDSM6AB21Y_Quote</v>
      </c>
      <c r="F29" s="47" t="str">
        <f>_xll.qlSimpleQuote(Currency&amp;$C29&amp;$D29&amp;$B29&amp;QuoteSuffix,,RateTickValue,Permanent,Trigger,ObjectOverwrite)</f>
        <v>AUDSM6AB21Y_Quote#0000</v>
      </c>
      <c r="G29" s="46" t="str">
        <f>_xll.ohRangeRetrieveError(F29)</f>
        <v/>
      </c>
      <c r="H29" s="21"/>
      <c r="N29" s="85"/>
      <c r="O29" s="153" t="s">
        <v>65</v>
      </c>
      <c r="P29" s="192" t="s">
        <v>257</v>
      </c>
      <c r="Q29" s="192" t="s">
        <v>258</v>
      </c>
      <c r="R29" s="152" t="str">
        <f t="shared" si="0"/>
        <v>AUDSM6AB21Y</v>
      </c>
      <c r="S29" s="152" t="str">
        <v>AUDSM6AB21Y=ICAA</v>
      </c>
      <c r="T29" s="147" t="s">
        <v>174</v>
      </c>
      <c r="U29" s="147" t="s">
        <v>174</v>
      </c>
      <c r="V29" s="147" t="s">
        <v>174</v>
      </c>
      <c r="W29" s="147" t="s">
        <v>174</v>
      </c>
      <c r="X29" s="151" t="e">
        <f>_xll.qlMidEquivalent($T29,$U29,$V29,$W29)</f>
        <v>#NUM!</v>
      </c>
      <c r="Y29" s="149"/>
      <c r="Z29" s="150">
        <v>0</v>
      </c>
      <c r="AA29" s="149"/>
      <c r="AB29" s="209" t="e">
        <v>#NUM!</v>
      </c>
      <c r="AC29" s="146" t="e">
        <f>_xll.qlSimpleQuoteSetValue(F29,AB29/100,Trigger)</f>
        <v>#NUM!</v>
      </c>
      <c r="AD29" s="136"/>
      <c r="AE29" s="12"/>
      <c r="AF29" s="12"/>
      <c r="AG29" s="12"/>
      <c r="AH29" s="12"/>
      <c r="AI29" s="12"/>
      <c r="AJ29" s="183"/>
    </row>
    <row r="30" spans="1:36" x14ac:dyDescent="0.2">
      <c r="A30" s="85"/>
      <c r="B30" s="132" t="s">
        <v>64</v>
      </c>
      <c r="C30" s="49" t="s">
        <v>257</v>
      </c>
      <c r="D30" s="49" t="s">
        <v>258</v>
      </c>
      <c r="E30" s="47" t="str">
        <f t="shared" si="1"/>
        <v>AUDSM6AB22Y_Quote</v>
      </c>
      <c r="F30" s="47" t="str">
        <f>_xll.qlSimpleQuote(Currency&amp;$C30&amp;$D30&amp;$B30&amp;QuoteSuffix,,RateTickValue,Permanent,Trigger,ObjectOverwrite)</f>
        <v>AUDSM6AB22Y_Quote#0000</v>
      </c>
      <c r="G30" s="46" t="str">
        <f>_xll.ohRangeRetrieveError(F30)</f>
        <v/>
      </c>
      <c r="H30" s="21"/>
      <c r="N30" s="85"/>
      <c r="O30" s="153" t="s">
        <v>64</v>
      </c>
      <c r="P30" s="192" t="s">
        <v>257</v>
      </c>
      <c r="Q30" s="192" t="s">
        <v>258</v>
      </c>
      <c r="R30" s="152" t="str">
        <f t="shared" si="0"/>
        <v>AUDSM6AB22Y</v>
      </c>
      <c r="S30" s="152" t="str">
        <v>AUDSM6AB22Y=ICAA</v>
      </c>
      <c r="T30" s="147" t="s">
        <v>174</v>
      </c>
      <c r="U30" s="147" t="s">
        <v>174</v>
      </c>
      <c r="V30" s="147" t="s">
        <v>174</v>
      </c>
      <c r="W30" s="147" t="s">
        <v>174</v>
      </c>
      <c r="X30" s="151" t="e">
        <f>_xll.qlMidEquivalent($T30,$U30,$V30,$W30)</f>
        <v>#NUM!</v>
      </c>
      <c r="Y30" s="149"/>
      <c r="Z30" s="150">
        <v>0</v>
      </c>
      <c r="AA30" s="149"/>
      <c r="AB30" s="209" t="e">
        <v>#NUM!</v>
      </c>
      <c r="AC30" s="146" t="e">
        <f>_xll.qlSimpleQuoteSetValue(F30,AB30/100,Trigger)</f>
        <v>#NUM!</v>
      </c>
      <c r="AD30" s="136"/>
      <c r="AE30" s="12"/>
      <c r="AF30" s="12"/>
      <c r="AG30" s="12"/>
      <c r="AH30" s="12"/>
      <c r="AI30" s="12"/>
      <c r="AJ30" s="183"/>
    </row>
    <row r="31" spans="1:36" x14ac:dyDescent="0.2">
      <c r="A31" s="85"/>
      <c r="B31" s="132" t="s">
        <v>63</v>
      </c>
      <c r="C31" s="49" t="s">
        <v>257</v>
      </c>
      <c r="D31" s="49" t="s">
        <v>258</v>
      </c>
      <c r="E31" s="47" t="str">
        <f t="shared" si="1"/>
        <v>AUDSM6AB23Y_Quote</v>
      </c>
      <c r="F31" s="47" t="str">
        <f>_xll.qlSimpleQuote(Currency&amp;$C31&amp;$D31&amp;$B31&amp;QuoteSuffix,,RateTickValue,Permanent,Trigger,ObjectOverwrite)</f>
        <v>AUDSM6AB23Y_Quote#0000</v>
      </c>
      <c r="G31" s="46" t="str">
        <f>_xll.ohRangeRetrieveError(F31)</f>
        <v/>
      </c>
      <c r="H31" s="21"/>
      <c r="N31" s="85"/>
      <c r="O31" s="153" t="s">
        <v>63</v>
      </c>
      <c r="P31" s="192" t="s">
        <v>257</v>
      </c>
      <c r="Q31" s="192" t="s">
        <v>258</v>
      </c>
      <c r="R31" s="152" t="str">
        <f t="shared" si="0"/>
        <v>AUDSM6AB23Y</v>
      </c>
      <c r="S31" s="152" t="str">
        <v>AUDSM6AB23Y=ICAA</v>
      </c>
      <c r="T31" s="147" t="s">
        <v>174</v>
      </c>
      <c r="U31" s="147" t="s">
        <v>174</v>
      </c>
      <c r="V31" s="147" t="s">
        <v>174</v>
      </c>
      <c r="W31" s="147" t="s">
        <v>174</v>
      </c>
      <c r="X31" s="151" t="e">
        <f>_xll.qlMidEquivalent($T31,$U31,$V31,$W31)</f>
        <v>#NUM!</v>
      </c>
      <c r="Y31" s="149"/>
      <c r="Z31" s="150">
        <v>0</v>
      </c>
      <c r="AA31" s="149"/>
      <c r="AB31" s="209" t="e">
        <v>#NUM!</v>
      </c>
      <c r="AC31" s="146" t="e">
        <f>_xll.qlSimpleQuoteSetValue(F31,AB31/100,Trigger)</f>
        <v>#NUM!</v>
      </c>
      <c r="AD31" s="136"/>
      <c r="AE31" s="12"/>
      <c r="AF31" s="12"/>
      <c r="AG31" s="12"/>
      <c r="AH31" s="12"/>
      <c r="AI31" s="12"/>
      <c r="AJ31" s="183"/>
    </row>
    <row r="32" spans="1:36" x14ac:dyDescent="0.2">
      <c r="A32" s="85"/>
      <c r="B32" s="132" t="s">
        <v>62</v>
      </c>
      <c r="C32" s="49" t="s">
        <v>257</v>
      </c>
      <c r="D32" s="49" t="s">
        <v>258</v>
      </c>
      <c r="E32" s="47" t="str">
        <f t="shared" si="1"/>
        <v>AUDSM6AB24Y_Quote</v>
      </c>
      <c r="F32" s="47" t="str">
        <f>_xll.qlSimpleQuote(Currency&amp;$C32&amp;$D32&amp;$B32&amp;QuoteSuffix,,RateTickValue,Permanent,Trigger,ObjectOverwrite)</f>
        <v>AUDSM6AB24Y_Quote#0000</v>
      </c>
      <c r="G32" s="46" t="str">
        <f>_xll.ohRangeRetrieveError(F32)</f>
        <v/>
      </c>
      <c r="H32" s="21"/>
      <c r="N32" s="85"/>
      <c r="O32" s="153" t="s">
        <v>62</v>
      </c>
      <c r="P32" s="192" t="s">
        <v>257</v>
      </c>
      <c r="Q32" s="192" t="s">
        <v>258</v>
      </c>
      <c r="R32" s="152" t="str">
        <f t="shared" si="0"/>
        <v>AUDSM6AB24Y</v>
      </c>
      <c r="S32" s="152" t="str">
        <v>AUDSM6AB24Y=ICAA</v>
      </c>
      <c r="T32" s="147" t="s">
        <v>174</v>
      </c>
      <c r="U32" s="147" t="s">
        <v>174</v>
      </c>
      <c r="V32" s="147" t="s">
        <v>174</v>
      </c>
      <c r="W32" s="147" t="s">
        <v>174</v>
      </c>
      <c r="X32" s="151" t="e">
        <f>_xll.qlMidEquivalent($T32,$U32,$V32,$W32)</f>
        <v>#NUM!</v>
      </c>
      <c r="Y32" s="149"/>
      <c r="Z32" s="150">
        <v>0</v>
      </c>
      <c r="AA32" s="149"/>
      <c r="AB32" s="209" t="e">
        <v>#NUM!</v>
      </c>
      <c r="AC32" s="146" t="e">
        <f>_xll.qlSimpleQuoteSetValue(F32,AB32/100,Trigger)</f>
        <v>#NUM!</v>
      </c>
      <c r="AD32" s="136"/>
      <c r="AE32" s="12"/>
      <c r="AF32" s="12"/>
      <c r="AG32" s="12"/>
      <c r="AH32" s="12"/>
      <c r="AI32" s="12"/>
      <c r="AJ32" s="183"/>
    </row>
    <row r="33" spans="1:36" x14ac:dyDescent="0.2">
      <c r="A33" s="85"/>
      <c r="B33" s="132" t="s">
        <v>61</v>
      </c>
      <c r="C33" s="49" t="s">
        <v>257</v>
      </c>
      <c r="D33" s="49" t="s">
        <v>258</v>
      </c>
      <c r="E33" s="47" t="str">
        <f t="shared" si="1"/>
        <v>AUDSM6AB25Y_Quote</v>
      </c>
      <c r="F33" s="47" t="str">
        <f>_xll.qlSimpleQuote(Currency&amp;$C33&amp;$D33&amp;$B33&amp;QuoteSuffix,,RateTickValue,Permanent,Trigger,ObjectOverwrite)</f>
        <v>AUDSM6AB25Y_Quote#0000</v>
      </c>
      <c r="G33" s="46" t="str">
        <f>_xll.ohRangeRetrieveError(F33)</f>
        <v/>
      </c>
      <c r="H33" s="21"/>
      <c r="N33" s="85"/>
      <c r="O33" s="153" t="s">
        <v>61</v>
      </c>
      <c r="P33" s="192" t="s">
        <v>257</v>
      </c>
      <c r="Q33" s="192" t="s">
        <v>258</v>
      </c>
      <c r="R33" s="152" t="str">
        <f t="shared" si="0"/>
        <v>AUDSM6AB25Y</v>
      </c>
      <c r="S33" s="152" t="str">
        <v>AUDSM6AB25Y=ICAA</v>
      </c>
      <c r="T33" s="147">
        <v>4.4524999999999997</v>
      </c>
      <c r="U33" s="147">
        <v>4.5324999999999998</v>
      </c>
      <c r="V33" s="147">
        <v>0</v>
      </c>
      <c r="W33" s="147">
        <v>0</v>
      </c>
      <c r="X33" s="151">
        <f>_xll.qlMidEquivalent($T33,$U33,$V33,$W33)</f>
        <v>4.4924999999999997</v>
      </c>
      <c r="Y33" s="149"/>
      <c r="Z33" s="150">
        <v>0</v>
      </c>
      <c r="AA33" s="149"/>
      <c r="AB33" s="209">
        <v>4.4924999999999997</v>
      </c>
      <c r="AC33" s="146">
        <f>_xll.qlSimpleQuoteSetValue(F33,AB33/100,Trigger)</f>
        <v>-3.9999999999999758E-4</v>
      </c>
      <c r="AD33" s="136"/>
      <c r="AE33" s="12"/>
      <c r="AF33" s="12"/>
      <c r="AG33" s="12"/>
      <c r="AH33" s="12"/>
      <c r="AI33" s="12"/>
      <c r="AJ33" s="183"/>
    </row>
    <row r="34" spans="1:36" x14ac:dyDescent="0.2">
      <c r="A34" s="85"/>
      <c r="B34" s="132" t="s">
        <v>60</v>
      </c>
      <c r="C34" s="49" t="s">
        <v>257</v>
      </c>
      <c r="D34" s="49" t="s">
        <v>258</v>
      </c>
      <c r="E34" s="47" t="str">
        <f t="shared" si="1"/>
        <v>AUDSM6AB26Y_Quote</v>
      </c>
      <c r="F34" s="47" t="str">
        <f>_xll.qlSimpleQuote(Currency&amp;$C34&amp;$D34&amp;$B34&amp;QuoteSuffix,,RateTickValue,Permanent,Trigger,ObjectOverwrite)</f>
        <v>AUDSM6AB26Y_Quote#0000</v>
      </c>
      <c r="G34" s="46" t="str">
        <f>_xll.ohRangeRetrieveError(F34)</f>
        <v/>
      </c>
      <c r="H34" s="21"/>
      <c r="N34" s="85"/>
      <c r="O34" s="153" t="s">
        <v>60</v>
      </c>
      <c r="P34" s="192" t="s">
        <v>257</v>
      </c>
      <c r="Q34" s="192" t="s">
        <v>258</v>
      </c>
      <c r="R34" s="152" t="str">
        <f t="shared" si="0"/>
        <v>AUDSM6AB26Y</v>
      </c>
      <c r="S34" s="152" t="str">
        <v>AUDSM6AB26Y=ICAA</v>
      </c>
      <c r="T34" s="147" t="s">
        <v>174</v>
      </c>
      <c r="U34" s="147" t="s">
        <v>174</v>
      </c>
      <c r="V34" s="147" t="s">
        <v>174</v>
      </c>
      <c r="W34" s="147" t="s">
        <v>174</v>
      </c>
      <c r="X34" s="151" t="e">
        <f>_xll.qlMidEquivalent($T34,$U34,$V34,$W34)</f>
        <v>#NUM!</v>
      </c>
      <c r="Y34" s="149"/>
      <c r="Z34" s="150">
        <v>0</v>
      </c>
      <c r="AA34" s="149"/>
      <c r="AB34" s="209" t="e">
        <v>#NUM!</v>
      </c>
      <c r="AC34" s="146" t="e">
        <f>_xll.qlSimpleQuoteSetValue(F34,AB34/100,Trigger)</f>
        <v>#NUM!</v>
      </c>
      <c r="AD34" s="136"/>
      <c r="AE34" s="12"/>
      <c r="AF34" s="12"/>
      <c r="AG34" s="12"/>
      <c r="AH34" s="12"/>
      <c r="AI34" s="12"/>
      <c r="AJ34" s="183"/>
    </row>
    <row r="35" spans="1:36" x14ac:dyDescent="0.2">
      <c r="A35" s="85"/>
      <c r="B35" s="132" t="s">
        <v>59</v>
      </c>
      <c r="C35" s="49" t="s">
        <v>257</v>
      </c>
      <c r="D35" s="49" t="s">
        <v>258</v>
      </c>
      <c r="E35" s="47" t="str">
        <f t="shared" si="1"/>
        <v>AUDSM6AB27Y_Quote</v>
      </c>
      <c r="F35" s="47" t="str">
        <f>_xll.qlSimpleQuote(Currency&amp;$C35&amp;$D35&amp;$B35&amp;QuoteSuffix,,RateTickValue,Permanent,Trigger,ObjectOverwrite)</f>
        <v>AUDSM6AB27Y_Quote#0000</v>
      </c>
      <c r="G35" s="46" t="str">
        <f>_xll.ohRangeRetrieveError(F35)</f>
        <v/>
      </c>
      <c r="H35" s="21"/>
      <c r="N35" s="85"/>
      <c r="O35" s="153" t="s">
        <v>59</v>
      </c>
      <c r="P35" s="192" t="s">
        <v>257</v>
      </c>
      <c r="Q35" s="192" t="s">
        <v>258</v>
      </c>
      <c r="R35" s="152" t="str">
        <f t="shared" si="0"/>
        <v>AUDSM6AB27Y</v>
      </c>
      <c r="S35" s="152" t="str">
        <v>AUDSM6AB27Y=ICAA</v>
      </c>
      <c r="T35" s="147" t="s">
        <v>174</v>
      </c>
      <c r="U35" s="147" t="s">
        <v>174</v>
      </c>
      <c r="V35" s="147" t="s">
        <v>174</v>
      </c>
      <c r="W35" s="147" t="s">
        <v>174</v>
      </c>
      <c r="X35" s="151" t="e">
        <f>_xll.qlMidEquivalent($T35,$U35,$V35,$W35)</f>
        <v>#NUM!</v>
      </c>
      <c r="Y35" s="149"/>
      <c r="Z35" s="150">
        <v>0</v>
      </c>
      <c r="AA35" s="149"/>
      <c r="AB35" s="209" t="e">
        <v>#NUM!</v>
      </c>
      <c r="AC35" s="146" t="e">
        <f>_xll.qlSimpleQuoteSetValue(F35,AB35/100,Trigger)</f>
        <v>#NUM!</v>
      </c>
      <c r="AD35" s="136"/>
      <c r="AE35" s="12"/>
      <c r="AF35" s="12"/>
      <c r="AG35" s="12"/>
      <c r="AH35" s="12"/>
      <c r="AI35" s="12"/>
      <c r="AJ35" s="183"/>
    </row>
    <row r="36" spans="1:36" x14ac:dyDescent="0.2">
      <c r="A36" s="85"/>
      <c r="B36" s="132" t="s">
        <v>58</v>
      </c>
      <c r="C36" s="49" t="s">
        <v>257</v>
      </c>
      <c r="D36" s="49" t="s">
        <v>258</v>
      </c>
      <c r="E36" s="47" t="str">
        <f t="shared" si="1"/>
        <v>AUDSM6AB28Y_Quote</v>
      </c>
      <c r="F36" s="47" t="str">
        <f>_xll.qlSimpleQuote(Currency&amp;$C36&amp;$D36&amp;$B36&amp;QuoteSuffix,,RateTickValue,Permanent,Trigger,ObjectOverwrite)</f>
        <v>AUDSM6AB28Y_Quote#0000</v>
      </c>
      <c r="G36" s="46" t="str">
        <f>_xll.ohRangeRetrieveError(F36)</f>
        <v/>
      </c>
      <c r="H36" s="21"/>
      <c r="N36" s="85"/>
      <c r="O36" s="153" t="s">
        <v>58</v>
      </c>
      <c r="P36" s="192" t="s">
        <v>257</v>
      </c>
      <c r="Q36" s="192" t="s">
        <v>258</v>
      </c>
      <c r="R36" s="152" t="str">
        <f t="shared" si="0"/>
        <v>AUDSM6AB28Y</v>
      </c>
      <c r="S36" s="152" t="str">
        <v>AUDSM6AB28Y=ICAA</v>
      </c>
      <c r="T36" s="147" t="s">
        <v>174</v>
      </c>
      <c r="U36" s="147" t="s">
        <v>174</v>
      </c>
      <c r="V36" s="147" t="s">
        <v>174</v>
      </c>
      <c r="W36" s="147" t="s">
        <v>174</v>
      </c>
      <c r="X36" s="151" t="e">
        <f>_xll.qlMidEquivalent($T36,$U36,$V36,$W36)</f>
        <v>#NUM!</v>
      </c>
      <c r="Y36" s="149"/>
      <c r="Z36" s="150">
        <v>0</v>
      </c>
      <c r="AA36" s="149"/>
      <c r="AB36" s="209" t="e">
        <v>#NUM!</v>
      </c>
      <c r="AC36" s="146" t="e">
        <f>_xll.qlSimpleQuoteSetValue(F36,AB36/100,Trigger)</f>
        <v>#NUM!</v>
      </c>
      <c r="AD36" s="136"/>
      <c r="AE36" s="12"/>
      <c r="AF36" s="12"/>
      <c r="AG36" s="12"/>
      <c r="AH36" s="12"/>
      <c r="AI36" s="12"/>
      <c r="AJ36" s="183"/>
    </row>
    <row r="37" spans="1:36" x14ac:dyDescent="0.2">
      <c r="A37" s="85"/>
      <c r="B37" s="132" t="s">
        <v>57</v>
      </c>
      <c r="C37" s="49" t="s">
        <v>257</v>
      </c>
      <c r="D37" s="49" t="s">
        <v>258</v>
      </c>
      <c r="E37" s="47" t="str">
        <f t="shared" si="1"/>
        <v>AUDSM6AB29Y_Quote</v>
      </c>
      <c r="F37" s="47" t="str">
        <f>_xll.qlSimpleQuote(Currency&amp;$C37&amp;$D37&amp;$B37&amp;QuoteSuffix,,RateTickValue,Permanent,Trigger,ObjectOverwrite)</f>
        <v>AUDSM6AB29Y_Quote#0000</v>
      </c>
      <c r="G37" s="46" t="str">
        <f>_xll.ohRangeRetrieveError(F37)</f>
        <v/>
      </c>
      <c r="H37" s="21"/>
      <c r="N37" s="85"/>
      <c r="O37" s="153" t="s">
        <v>57</v>
      </c>
      <c r="P37" s="192" t="s">
        <v>257</v>
      </c>
      <c r="Q37" s="192" t="s">
        <v>258</v>
      </c>
      <c r="R37" s="152" t="str">
        <f t="shared" si="0"/>
        <v>AUDSM6AB29Y</v>
      </c>
      <c r="S37" s="152" t="str">
        <v>AUDSM6AB29Y=ICAA</v>
      </c>
      <c r="T37" s="147" t="s">
        <v>174</v>
      </c>
      <c r="U37" s="147" t="s">
        <v>174</v>
      </c>
      <c r="V37" s="147" t="s">
        <v>174</v>
      </c>
      <c r="W37" s="147" t="s">
        <v>174</v>
      </c>
      <c r="X37" s="151" t="e">
        <f>_xll.qlMidEquivalent($T37,$U37,$V37,$W37)</f>
        <v>#NUM!</v>
      </c>
      <c r="Y37" s="149"/>
      <c r="Z37" s="150">
        <v>0</v>
      </c>
      <c r="AA37" s="149"/>
      <c r="AB37" s="209" t="e">
        <v>#NUM!</v>
      </c>
      <c r="AC37" s="146" t="e">
        <f>_xll.qlSimpleQuoteSetValue(F37,AB37/100,Trigger)</f>
        <v>#NUM!</v>
      </c>
      <c r="AD37" s="136"/>
      <c r="AE37" s="12"/>
      <c r="AF37" s="12"/>
      <c r="AG37" s="12"/>
      <c r="AH37" s="12"/>
      <c r="AI37" s="12"/>
      <c r="AJ37" s="183"/>
    </row>
    <row r="38" spans="1:36" x14ac:dyDescent="0.2">
      <c r="A38" s="85"/>
      <c r="B38" s="132" t="s">
        <v>56</v>
      </c>
      <c r="C38" s="49" t="s">
        <v>257</v>
      </c>
      <c r="D38" s="49" t="s">
        <v>258</v>
      </c>
      <c r="E38" s="47" t="str">
        <f t="shared" si="1"/>
        <v>AUDSM6AB30Y_Quote</v>
      </c>
      <c r="F38" s="47" t="str">
        <f>_xll.qlSimpleQuote(Currency&amp;$C38&amp;$D38&amp;$B38&amp;QuoteSuffix,,RateTickValue,Permanent,Trigger,ObjectOverwrite)</f>
        <v>AUDSM6AB30Y_Quote#0000</v>
      </c>
      <c r="G38" s="46" t="str">
        <f>_xll.ohRangeRetrieveError(F38)</f>
        <v/>
      </c>
      <c r="H38" s="21"/>
      <c r="N38" s="85"/>
      <c r="O38" s="153" t="s">
        <v>56</v>
      </c>
      <c r="P38" s="192" t="s">
        <v>257</v>
      </c>
      <c r="Q38" s="192" t="s">
        <v>258</v>
      </c>
      <c r="R38" s="152" t="str">
        <f t="shared" si="0"/>
        <v>AUDSM6AB30Y</v>
      </c>
      <c r="S38" s="152" t="str">
        <v>AUDSM6AB30Y=ICAA</v>
      </c>
      <c r="T38" s="147">
        <v>4.46</v>
      </c>
      <c r="U38" s="147">
        <v>4.54</v>
      </c>
      <c r="V38" s="147">
        <v>0</v>
      </c>
      <c r="W38" s="147">
        <v>0</v>
      </c>
      <c r="X38" s="151">
        <f>_xll.qlMidEquivalent($T38,$U38,$V38,$W38)</f>
        <v>4.5</v>
      </c>
      <c r="Y38" s="149"/>
      <c r="Z38" s="150">
        <v>0</v>
      </c>
      <c r="AA38" s="149"/>
      <c r="AB38" s="209">
        <v>4.5</v>
      </c>
      <c r="AC38" s="146">
        <f>_xll.qlSimpleQuoteSetValue(F38,AB38/100,Trigger)</f>
        <v>-4.0000000000000452E-4</v>
      </c>
      <c r="AD38" s="136"/>
      <c r="AE38" s="12"/>
      <c r="AF38" s="12"/>
      <c r="AG38" s="12"/>
      <c r="AH38" s="12"/>
      <c r="AI38" s="12"/>
      <c r="AJ38" s="183"/>
    </row>
    <row r="39" spans="1:36" x14ac:dyDescent="0.2">
      <c r="A39" s="85"/>
      <c r="B39" s="132" t="s">
        <v>51</v>
      </c>
      <c r="C39" s="49" t="s">
        <v>257</v>
      </c>
      <c r="D39" s="49" t="s">
        <v>258</v>
      </c>
      <c r="E39" s="47" t="str">
        <f t="shared" si="1"/>
        <v>AUDSM6AB35Y_Quote</v>
      </c>
      <c r="F39" s="47" t="str">
        <f>_xll.qlSimpleQuote(Currency&amp;$C39&amp;$D39&amp;$B39&amp;QuoteSuffix,,RateTickValue,Permanent,Trigger,ObjectOverwrite)</f>
        <v>AUDSM6AB35Y_Quote#0000</v>
      </c>
      <c r="G39" s="46" t="str">
        <f>_xll.ohRangeRetrieveError(F39)</f>
        <v/>
      </c>
      <c r="H39" s="21"/>
      <c r="N39" s="85"/>
      <c r="O39" s="153" t="s">
        <v>51</v>
      </c>
      <c r="P39" s="192" t="s">
        <v>257</v>
      </c>
      <c r="Q39" s="192" t="s">
        <v>258</v>
      </c>
      <c r="R39" s="152" t="str">
        <f t="shared" si="0"/>
        <v>AUDSM6AB35Y</v>
      </c>
      <c r="S39" s="152" t="str">
        <v>AUDSM6AB35Y=ICAA</v>
      </c>
      <c r="T39" s="147" t="s">
        <v>174</v>
      </c>
      <c r="U39" s="147" t="s">
        <v>174</v>
      </c>
      <c r="V39" s="147" t="s">
        <v>174</v>
      </c>
      <c r="W39" s="147" t="s">
        <v>174</v>
      </c>
      <c r="X39" s="151" t="e">
        <f>_xll.qlMidEquivalent($T39,$U39,$V39,$W39)</f>
        <v>#NUM!</v>
      </c>
      <c r="Y39" s="149"/>
      <c r="Z39" s="150">
        <v>0</v>
      </c>
      <c r="AA39" s="149"/>
      <c r="AB39" s="209" t="e">
        <v>#NUM!</v>
      </c>
      <c r="AC39" s="146" t="e">
        <f>_xll.qlSimpleQuoteSetValue(F39,AB39/100,Trigger)</f>
        <v>#NUM!</v>
      </c>
      <c r="AD39" s="136"/>
      <c r="AE39" s="12"/>
      <c r="AF39" s="12"/>
      <c r="AG39" s="12"/>
      <c r="AH39" s="12"/>
      <c r="AI39" s="12"/>
      <c r="AJ39" s="183"/>
    </row>
    <row r="40" spans="1:36" x14ac:dyDescent="0.2">
      <c r="A40" s="85"/>
      <c r="B40" s="132" t="s">
        <v>46</v>
      </c>
      <c r="C40" s="49" t="s">
        <v>257</v>
      </c>
      <c r="D40" s="49" t="s">
        <v>258</v>
      </c>
      <c r="E40" s="47" t="str">
        <f t="shared" si="1"/>
        <v>AUDSM6AB40Y_Quote</v>
      </c>
      <c r="F40" s="47" t="str">
        <f>_xll.qlSimpleQuote(Currency&amp;$C40&amp;$D40&amp;$B40&amp;QuoteSuffix,,RateTickValue,Permanent,Trigger,ObjectOverwrite)</f>
        <v>AUDSM6AB40Y_Quote#0000</v>
      </c>
      <c r="G40" s="46" t="str">
        <f>_xll.ohRangeRetrieveError(F40)</f>
        <v/>
      </c>
      <c r="H40" s="21"/>
      <c r="N40" s="85"/>
      <c r="O40" s="153" t="s">
        <v>46</v>
      </c>
      <c r="P40" s="192" t="s">
        <v>257</v>
      </c>
      <c r="Q40" s="192" t="s">
        <v>258</v>
      </c>
      <c r="R40" s="152" t="str">
        <f t="shared" si="0"/>
        <v>AUDSM6AB40Y</v>
      </c>
      <c r="S40" s="152" t="str">
        <v>AUDSM6AB40Y=ICAA</v>
      </c>
      <c r="T40" s="147">
        <v>4.42</v>
      </c>
      <c r="U40" s="147">
        <v>4.5</v>
      </c>
      <c r="V40" s="147">
        <v>0</v>
      </c>
      <c r="W40" s="147">
        <v>0</v>
      </c>
      <c r="X40" s="151">
        <f>_xll.qlMidEquivalent($T40,$U40,$V40,$W40)</f>
        <v>4.46</v>
      </c>
      <c r="Y40" s="149"/>
      <c r="Z40" s="150">
        <v>0</v>
      </c>
      <c r="AA40" s="149"/>
      <c r="AB40" s="209">
        <v>4.46</v>
      </c>
      <c r="AC40" s="146">
        <f>_xll.qlSimpleQuoteSetValue(F40,AB40/100,Trigger)</f>
        <v>-3.9999999999999758E-4</v>
      </c>
      <c r="AD40" s="136"/>
      <c r="AE40" s="12"/>
      <c r="AF40" s="12"/>
      <c r="AG40" s="12"/>
      <c r="AH40" s="12"/>
      <c r="AI40" s="12"/>
      <c r="AJ40" s="183"/>
    </row>
    <row r="41" spans="1:36" x14ac:dyDescent="0.2">
      <c r="A41" s="85"/>
      <c r="B41" s="132" t="s">
        <v>36</v>
      </c>
      <c r="C41" s="49" t="s">
        <v>257</v>
      </c>
      <c r="D41" s="49" t="s">
        <v>258</v>
      </c>
      <c r="E41" s="47" t="str">
        <f t="shared" si="1"/>
        <v>AUDSM6AB50Y_Quote</v>
      </c>
      <c r="F41" s="47" t="str">
        <f>_xll.qlSimpleQuote(Currency&amp;$C41&amp;$D41&amp;$B41&amp;QuoteSuffix,,RateTickValue,Permanent,Trigger,ObjectOverwrite)</f>
        <v>AUDSM6AB50Y_Quote#0000</v>
      </c>
      <c r="G41" s="46" t="str">
        <f>_xll.ohRangeRetrieveError(F41)</f>
        <v/>
      </c>
      <c r="H41" s="21"/>
      <c r="N41" s="85"/>
      <c r="O41" s="153" t="s">
        <v>36</v>
      </c>
      <c r="P41" s="192" t="s">
        <v>257</v>
      </c>
      <c r="Q41" s="192" t="s">
        <v>258</v>
      </c>
      <c r="R41" s="152" t="str">
        <f t="shared" si="0"/>
        <v>AUDSM6AB50Y</v>
      </c>
      <c r="S41" s="152" t="str">
        <v>AUDSM6AB50Y=ICAA</v>
      </c>
      <c r="T41" s="147" t="s">
        <v>174</v>
      </c>
      <c r="U41" s="147" t="s">
        <v>174</v>
      </c>
      <c r="V41" s="147" t="s">
        <v>174</v>
      </c>
      <c r="W41" s="147" t="s">
        <v>174</v>
      </c>
      <c r="X41" s="151" t="e">
        <f>_xll.qlMidEquivalent($T41,$U41,$V41,$W41)</f>
        <v>#NUM!</v>
      </c>
      <c r="Y41" s="149"/>
      <c r="Z41" s="150">
        <v>0</v>
      </c>
      <c r="AA41" s="149"/>
      <c r="AB41" s="209" t="e">
        <v>#NUM!</v>
      </c>
      <c r="AC41" s="146" t="e">
        <f>_xll.qlSimpleQuoteSetValue(F41,AB41/100,Trigger)</f>
        <v>#NUM!</v>
      </c>
      <c r="AD41" s="136"/>
      <c r="AE41" s="12"/>
      <c r="AF41" s="12"/>
      <c r="AG41" s="12"/>
      <c r="AH41" s="12"/>
      <c r="AI41" s="12"/>
      <c r="AJ41" s="183"/>
    </row>
    <row r="42" spans="1:36" x14ac:dyDescent="0.2">
      <c r="A42" s="85"/>
      <c r="B42" s="132" t="s">
        <v>26</v>
      </c>
      <c r="C42" s="49" t="s">
        <v>257</v>
      </c>
      <c r="D42" s="49" t="s">
        <v>258</v>
      </c>
      <c r="E42" s="47" t="str">
        <f t="shared" si="1"/>
        <v>AUDSM6AB60Y_Quote</v>
      </c>
      <c r="F42" s="47" t="str">
        <f>_xll.qlSimpleQuote(Currency&amp;$C42&amp;$D42&amp;$B42&amp;QuoteSuffix,,RateTickValue,Permanent,Trigger,ObjectOverwrite)</f>
        <v>AUDSM6AB60Y_Quote#0000</v>
      </c>
      <c r="G42" s="46" t="str">
        <f>_xll.ohRangeRetrieveError(F42)</f>
        <v/>
      </c>
      <c r="H42" s="21"/>
      <c r="N42" s="85"/>
      <c r="O42" s="164" t="s">
        <v>26</v>
      </c>
      <c r="P42" s="192" t="s">
        <v>257</v>
      </c>
      <c r="Q42" s="192" t="s">
        <v>258</v>
      </c>
      <c r="R42" s="163" t="str">
        <f t="shared" si="0"/>
        <v>AUDSM6AB60Y</v>
      </c>
      <c r="S42" s="163" t="str">
        <v>AUDSM6AB60Y=ICAA</v>
      </c>
      <c r="T42" s="160" t="s">
        <v>174</v>
      </c>
      <c r="U42" s="160" t="s">
        <v>174</v>
      </c>
      <c r="V42" s="160" t="s">
        <v>174</v>
      </c>
      <c r="W42" s="160" t="s">
        <v>174</v>
      </c>
      <c r="X42" s="162" t="e">
        <f>_xll.qlMidEquivalent($T42,$U42,$V42,$W42)</f>
        <v>#NUM!</v>
      </c>
      <c r="Y42" s="149"/>
      <c r="Z42" s="161">
        <v>0</v>
      </c>
      <c r="AA42" s="149"/>
      <c r="AB42" s="202" t="e">
        <v>#NUM!</v>
      </c>
      <c r="AC42" s="159" t="e">
        <f>_xll.qlSimpleQuoteSetValue(F42,AB42/100,Trigger)</f>
        <v>#NUM!</v>
      </c>
      <c r="AD42" s="136"/>
      <c r="AE42" s="12"/>
      <c r="AF42" s="12"/>
      <c r="AG42" s="12"/>
      <c r="AH42" s="12"/>
      <c r="AI42" s="12"/>
      <c r="AJ42" s="183"/>
    </row>
    <row r="43" spans="1:36" ht="12" thickBot="1" x14ac:dyDescent="0.25">
      <c r="A43" s="131"/>
      <c r="B43" s="130"/>
      <c r="C43" s="130"/>
      <c r="D43" s="130"/>
      <c r="E43" s="130"/>
      <c r="F43" s="130"/>
      <c r="G43" s="130"/>
      <c r="H43" s="18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84"/>
      <c r="AE43" s="12"/>
      <c r="AF43" s="12"/>
      <c r="AG43" s="12"/>
      <c r="AH43" s="12"/>
      <c r="AI43" s="12"/>
      <c r="AJ43" s="12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43"/>
  <sheetViews>
    <sheetView workbookViewId="0">
      <selection activeCell="S2" sqref="S2"/>
    </sheetView>
  </sheetViews>
  <sheetFormatPr defaultRowHeight="11.25" x14ac:dyDescent="0.2"/>
  <cols>
    <col min="1" max="1" width="2.7109375" style="12" customWidth="1"/>
    <col min="2" max="2" width="6.5703125" style="12" bestFit="1" customWidth="1"/>
    <col min="3" max="4" width="3.85546875" style="12" bestFit="1" customWidth="1"/>
    <col min="5" max="5" width="20.140625" style="12" bestFit="1" customWidth="1"/>
    <col min="6" max="6" width="22.42578125" style="40" bestFit="1" customWidth="1"/>
    <col min="7" max="7" width="38.28515625" style="12" customWidth="1"/>
    <col min="8" max="9" width="2.7109375" style="12" customWidth="1"/>
    <col min="10" max="12" width="3.5703125" style="12" customWidth="1"/>
    <col min="13" max="14" width="2.7109375" style="12" customWidth="1"/>
    <col min="15" max="17" width="9.140625" style="12"/>
    <col min="18" max="18" width="11" style="12" bestFit="1" customWidth="1"/>
    <col min="19" max="19" width="15.5703125" style="12" bestFit="1" customWidth="1"/>
    <col min="20" max="20" width="9.5703125" style="12" customWidth="1"/>
    <col min="21" max="22" width="9.140625" style="12"/>
    <col min="23" max="23" width="2.7109375" style="12" customWidth="1"/>
    <col min="24" max="24" width="9.140625" style="12"/>
    <col min="25" max="25" width="2.7109375" style="12" customWidth="1"/>
    <col min="26" max="27" width="9.140625" style="12"/>
    <col min="28" max="29" width="2.7109375" style="12" customWidth="1"/>
    <col min="30" max="16384" width="9.140625" style="12"/>
  </cols>
  <sheetData>
    <row r="1" spans="1:32" x14ac:dyDescent="0.2">
      <c r="N1" s="200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4"/>
    </row>
    <row r="2" spans="1:32" ht="15" x14ac:dyDescent="0.25">
      <c r="N2" s="181"/>
      <c r="O2" s="149"/>
      <c r="P2" s="149"/>
      <c r="Q2" s="149"/>
      <c r="R2" s="149"/>
      <c r="S2" s="95" t="s">
        <v>284</v>
      </c>
      <c r="T2" s="149"/>
      <c r="U2"/>
      <c r="V2" s="149"/>
      <c r="W2" s="149"/>
      <c r="X2"/>
      <c r="Y2" s="149"/>
      <c r="Z2" s="149"/>
      <c r="AA2" s="88"/>
      <c r="AB2" s="21"/>
    </row>
    <row r="3" spans="1:32" x14ac:dyDescent="0.2">
      <c r="A3" s="69"/>
      <c r="B3" s="64"/>
      <c r="C3" s="64"/>
      <c r="D3" s="64"/>
      <c r="E3" s="62"/>
      <c r="F3" s="63"/>
      <c r="G3" s="62"/>
      <c r="H3" s="61"/>
      <c r="N3" s="85"/>
      <c r="O3" s="149"/>
      <c r="P3" s="88"/>
      <c r="Q3" s="88"/>
      <c r="R3" s="88"/>
      <c r="S3" s="88"/>
      <c r="T3" s="88"/>
      <c r="U3" s="88"/>
      <c r="V3" s="88"/>
      <c r="W3" s="149"/>
      <c r="X3" s="149"/>
      <c r="Y3" s="149"/>
      <c r="Z3" s="88"/>
      <c r="AA3" s="178">
        <f>_xll.ohTrigger(AA5:AA42)</f>
        <v>2</v>
      </c>
      <c r="AB3" s="136"/>
    </row>
    <row r="4" spans="1:32" ht="22.5" x14ac:dyDescent="0.2">
      <c r="A4" s="51"/>
      <c r="B4" s="59" t="s">
        <v>104</v>
      </c>
      <c r="C4" s="60"/>
      <c r="D4" s="59"/>
      <c r="E4" s="58" t="str">
        <f>Currency&amp;"_010_Sw"&amp;$C$6&amp;$D$6&amp;".xml"</f>
        <v>AUD_010_Sw1BR3BR.xml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N4" s="85"/>
      <c r="O4" s="199"/>
      <c r="P4" s="122"/>
      <c r="Q4" s="122"/>
      <c r="R4" s="122"/>
      <c r="S4" s="144" t="str">
        <f>_xll.RData(S5:S42,T4:U4,"RTFEED:IDN",ReutersRtMode,,T5)</f>
        <v>Paused at 12:08:05</v>
      </c>
      <c r="T4" s="198" t="s">
        <v>163</v>
      </c>
      <c r="U4" s="198" t="s">
        <v>162</v>
      </c>
      <c r="V4" s="226" t="s">
        <v>206</v>
      </c>
      <c r="W4" s="149"/>
      <c r="X4" s="176" t="s">
        <v>192</v>
      </c>
      <c r="Y4" s="149"/>
      <c r="Z4" s="347" t="s">
        <v>190</v>
      </c>
      <c r="AA4" s="60" t="s">
        <v>189</v>
      </c>
      <c r="AB4" s="136"/>
    </row>
    <row r="5" spans="1:32" s="11" customFormat="1" ht="11.25" customHeight="1" x14ac:dyDescent="0.2">
      <c r="A5" s="51"/>
      <c r="B5" s="56" t="s">
        <v>14</v>
      </c>
      <c r="C5" s="49" t="s">
        <v>283</v>
      </c>
      <c r="D5" s="48" t="s">
        <v>281</v>
      </c>
      <c r="E5" s="47" t="str">
        <f t="shared" ref="E5:E42" si="0">IF(ISBLANK(C5),"#",Currency&amp;$C5&amp;$D5&amp;$B5&amp;QuoteSuffix)</f>
        <v>AUD1BR3BR6M_Quote</v>
      </c>
      <c r="F5" s="47" t="str">
        <f>_xll.qlSimpleQuote(E5,,RateTickValue,Permanent,Trigger,ObjectOverwrite)</f>
        <v>AUD1BR3BR6M_Quote#0000</v>
      </c>
      <c r="G5" s="46" t="str">
        <f>_xll.ohRangeRetrieveError(F5)</f>
        <v/>
      </c>
      <c r="H5" s="45"/>
      <c r="I5" s="12"/>
      <c r="J5" s="12"/>
      <c r="K5" s="12"/>
      <c r="L5" s="12"/>
      <c r="N5" s="257"/>
      <c r="O5" s="153" t="s">
        <v>14</v>
      </c>
      <c r="P5" s="192" t="s">
        <v>278</v>
      </c>
      <c r="Q5" s="192" t="s">
        <v>256</v>
      </c>
      <c r="R5" s="190" t="str">
        <f t="shared" ref="R5:R42" si="1">SUBSTITUTE(Currency,"D","")&amp;$P5&amp;$Q5&amp;$O5</f>
        <v>AUBR3AB6M</v>
      </c>
      <c r="S5" s="152" t="str">
        <f t="array" ref="S5:S42">Instruments&amp;"="&amp;VLOOKUP(Contributor,ContributorTable,2,FALSE)</f>
        <v>AUBR3AB6M=ICAA</v>
      </c>
      <c r="T5" s="256">
        <v>3.5</v>
      </c>
      <c r="U5" s="256">
        <v>5.5</v>
      </c>
      <c r="V5" s="247">
        <f>_xll.qlMidEquivalent(T5,U5)</f>
        <v>4.5</v>
      </c>
      <c r="W5" s="149"/>
      <c r="X5" s="255">
        <v>4.5</v>
      </c>
      <c r="Y5" s="149"/>
      <c r="Z5" s="349">
        <f t="array" ref="Z5:Z42">QuoteLive</f>
        <v>4.5</v>
      </c>
      <c r="AA5" s="146">
        <f>_xll.qlSimpleQuoteSetValue(F5,Z5/10000,Trigger)</f>
        <v>0</v>
      </c>
      <c r="AB5" s="136"/>
      <c r="AC5" s="12"/>
      <c r="AD5" s="12"/>
      <c r="AE5" s="12"/>
      <c r="AF5" s="12"/>
    </row>
    <row r="6" spans="1:32" s="11" customFormat="1" ht="11.25" customHeight="1" x14ac:dyDescent="0.2">
      <c r="A6" s="51"/>
      <c r="B6" s="56" t="s">
        <v>8</v>
      </c>
      <c r="C6" s="49" t="str">
        <f t="shared" ref="C6:C42" si="2">C5</f>
        <v>1BR</v>
      </c>
      <c r="D6" s="48" t="str">
        <f t="shared" ref="D6:D42" si="3">D5</f>
        <v>3BR</v>
      </c>
      <c r="E6" s="47" t="str">
        <f t="shared" si="0"/>
        <v>AUD1BR3BR1Y_Quote</v>
      </c>
      <c r="F6" s="47" t="str">
        <f>_xll.qlSimpleQuote(E6,,RateTickValue,Permanent,Trigger,ObjectOverwrite)</f>
        <v>AUD1BR3BR1Y_Quote#0000</v>
      </c>
      <c r="G6" s="46" t="str">
        <f>_xll.ohRangeRetrieveError(F6)</f>
        <v/>
      </c>
      <c r="H6" s="45"/>
      <c r="I6" s="12"/>
      <c r="J6" s="12"/>
      <c r="K6" s="12"/>
      <c r="L6" s="12"/>
      <c r="N6" s="257"/>
      <c r="O6" s="153" t="s">
        <v>8</v>
      </c>
      <c r="P6" s="192" t="s">
        <v>278</v>
      </c>
      <c r="Q6" s="192" t="s">
        <v>256</v>
      </c>
      <c r="R6" s="190" t="str">
        <f t="shared" si="1"/>
        <v>AUBR3AB1Y</v>
      </c>
      <c r="S6" s="152" t="str">
        <v>AUBR3AB1Y=ICAA</v>
      </c>
      <c r="T6" s="256">
        <v>4.25</v>
      </c>
      <c r="U6" s="256">
        <v>6.25</v>
      </c>
      <c r="V6" s="247">
        <f>_xll.qlMidEquivalent(T6,U6)</f>
        <v>5.25</v>
      </c>
      <c r="W6" s="149"/>
      <c r="X6" s="255">
        <v>5.25</v>
      </c>
      <c r="Y6" s="149"/>
      <c r="Z6" s="349">
        <v>5.25</v>
      </c>
      <c r="AA6" s="146">
        <f>_xll.qlSimpleQuoteSetValue(F6,Z6/10000,Trigger)</f>
        <v>0</v>
      </c>
      <c r="AB6" s="136"/>
      <c r="AC6" s="12"/>
      <c r="AD6" s="12"/>
      <c r="AE6" s="12"/>
      <c r="AF6" s="12"/>
    </row>
    <row r="7" spans="1:32" s="11" customFormat="1" ht="11.25" customHeight="1" x14ac:dyDescent="0.2">
      <c r="A7" s="51"/>
      <c r="B7" s="56" t="s">
        <v>103</v>
      </c>
      <c r="C7" s="49" t="str">
        <f t="shared" si="2"/>
        <v>1BR</v>
      </c>
      <c r="D7" s="48" t="str">
        <f t="shared" si="3"/>
        <v>3BR</v>
      </c>
      <c r="E7" s="47" t="str">
        <f t="shared" si="0"/>
        <v>AUD1BR3BR15M_Quote</v>
      </c>
      <c r="F7" s="47" t="str">
        <f>_xll.qlSimpleQuote(E7,,RateTickValue,Permanent,Trigger,ObjectOverwrite)</f>
        <v>AUD1BR3BR15M_Quote#0000</v>
      </c>
      <c r="G7" s="46" t="str">
        <f>_xll.ohRangeRetrieveError(F7)</f>
        <v/>
      </c>
      <c r="H7" s="45"/>
      <c r="N7" s="257"/>
      <c r="O7" s="153" t="s">
        <v>103</v>
      </c>
      <c r="P7" s="192" t="s">
        <v>278</v>
      </c>
      <c r="Q7" s="192" t="s">
        <v>256</v>
      </c>
      <c r="R7" s="190" t="str">
        <f t="shared" si="1"/>
        <v>AUBR3AB15M</v>
      </c>
      <c r="S7" s="152" t="str">
        <v>AUBR3AB15M=ICAA</v>
      </c>
      <c r="T7" s="256" t="s">
        <v>174</v>
      </c>
      <c r="U7" s="256" t="s">
        <v>174</v>
      </c>
      <c r="V7" s="247" t="e">
        <f>_xll.qlMidEquivalent(T7,U7)</f>
        <v>#NUM!</v>
      </c>
      <c r="W7" s="149"/>
      <c r="X7" s="255">
        <v>5.5733697798405197</v>
      </c>
      <c r="Y7" s="149"/>
      <c r="Z7" s="349" t="e">
        <v>#NUM!</v>
      </c>
      <c r="AA7" s="146" t="e">
        <f>_xll.qlSimpleQuoteSetValue(F7,Z7/10000,Trigger)</f>
        <v>#NUM!</v>
      </c>
      <c r="AB7" s="136"/>
      <c r="AC7" s="12"/>
      <c r="AD7" s="12"/>
      <c r="AE7" s="12"/>
      <c r="AF7" s="12"/>
    </row>
    <row r="8" spans="1:32" ht="11.25" customHeight="1" x14ac:dyDescent="0.2">
      <c r="A8" s="51"/>
      <c r="B8" s="56" t="s">
        <v>102</v>
      </c>
      <c r="C8" s="49" t="str">
        <f t="shared" si="2"/>
        <v>1BR</v>
      </c>
      <c r="D8" s="48" t="str">
        <f t="shared" si="3"/>
        <v>3BR</v>
      </c>
      <c r="E8" s="47" t="str">
        <f t="shared" si="0"/>
        <v>AUD1BR3BR18M_Quote</v>
      </c>
      <c r="F8" s="47" t="str">
        <f>_xll.qlSimpleQuote(E8,,RateTickValue,Permanent,Trigger,ObjectOverwrite)</f>
        <v>AUD1BR3BR18M_Quote#0000</v>
      </c>
      <c r="G8" s="46" t="str">
        <f>_xll.ohRangeRetrieveError(F8)</f>
        <v/>
      </c>
      <c r="H8" s="45"/>
      <c r="I8" s="11"/>
      <c r="J8" s="11"/>
      <c r="K8" s="11"/>
      <c r="L8" s="11"/>
      <c r="N8" s="257"/>
      <c r="O8" s="153" t="s">
        <v>102</v>
      </c>
      <c r="P8" s="192" t="s">
        <v>278</v>
      </c>
      <c r="Q8" s="192" t="s">
        <v>256</v>
      </c>
      <c r="R8" s="190" t="str">
        <f t="shared" si="1"/>
        <v>AUBR3AB18M</v>
      </c>
      <c r="S8" s="152" t="str">
        <v>AUBR3AB18M=ICAA</v>
      </c>
      <c r="T8" s="256" t="s">
        <v>174</v>
      </c>
      <c r="U8" s="256" t="s">
        <v>174</v>
      </c>
      <c r="V8" s="247" t="e">
        <f>_xll.qlMidEquivalent(T8,U8)</f>
        <v>#NUM!</v>
      </c>
      <c r="W8" s="149"/>
      <c r="X8" s="255">
        <v>5.8498645596810395</v>
      </c>
      <c r="Y8" s="149"/>
      <c r="Z8" s="349" t="e">
        <v>#NUM!</v>
      </c>
      <c r="AA8" s="146" t="e">
        <f>_xll.qlSimpleQuoteSetValue(F8,Z8/10000,Trigger)</f>
        <v>#NUM!</v>
      </c>
      <c r="AB8" s="136"/>
    </row>
    <row r="9" spans="1:32" ht="11.25" customHeight="1" x14ac:dyDescent="0.2">
      <c r="A9" s="51"/>
      <c r="B9" s="56" t="s">
        <v>101</v>
      </c>
      <c r="C9" s="49" t="str">
        <f t="shared" si="2"/>
        <v>1BR</v>
      </c>
      <c r="D9" s="48" t="str">
        <f t="shared" si="3"/>
        <v>3BR</v>
      </c>
      <c r="E9" s="47" t="str">
        <f t="shared" si="0"/>
        <v>AUD1BR3BR21M_Quote</v>
      </c>
      <c r="F9" s="47" t="str">
        <f>_xll.qlSimpleQuote(E9,,RateTickValue,Permanent,Trigger,ObjectOverwrite)</f>
        <v>AUD1BR3BR21M_Quote#0000</v>
      </c>
      <c r="G9" s="46" t="str">
        <f>_xll.ohRangeRetrieveError(F9)</f>
        <v/>
      </c>
      <c r="H9" s="45"/>
      <c r="I9" s="11"/>
      <c r="L9" s="11"/>
      <c r="N9" s="257"/>
      <c r="O9" s="153" t="s">
        <v>101</v>
      </c>
      <c r="P9" s="192" t="s">
        <v>278</v>
      </c>
      <c r="Q9" s="192" t="s">
        <v>256</v>
      </c>
      <c r="R9" s="190" t="str">
        <f t="shared" si="1"/>
        <v>AUBR3AB21M</v>
      </c>
      <c r="S9" s="152" t="str">
        <v>AUBR3AB21M=ICAA</v>
      </c>
      <c r="T9" s="256" t="s">
        <v>174</v>
      </c>
      <c r="U9" s="256" t="s">
        <v>174</v>
      </c>
      <c r="V9" s="247" t="e">
        <f>_xll.qlMidEquivalent(T9,U9)</f>
        <v>#NUM!</v>
      </c>
      <c r="W9" s="149"/>
      <c r="X9" s="255">
        <v>6.0764270596810395</v>
      </c>
      <c r="Y9" s="149"/>
      <c r="Z9" s="349" t="e">
        <v>#NUM!</v>
      </c>
      <c r="AA9" s="146" t="e">
        <f>_xll.qlSimpleQuoteSetValue(F9,Z9/10000,Trigger)</f>
        <v>#NUM!</v>
      </c>
      <c r="AB9" s="136"/>
    </row>
    <row r="10" spans="1:32" ht="11.25" customHeight="1" x14ac:dyDescent="0.2">
      <c r="A10" s="51"/>
      <c r="B10" s="50" t="s">
        <v>84</v>
      </c>
      <c r="C10" s="49" t="str">
        <f t="shared" si="2"/>
        <v>1BR</v>
      </c>
      <c r="D10" s="48" t="str">
        <f t="shared" si="3"/>
        <v>3BR</v>
      </c>
      <c r="E10" s="47" t="str">
        <f t="shared" si="0"/>
        <v>AUD1BR3BR2Y_Quote</v>
      </c>
      <c r="F10" s="47" t="str">
        <f>_xll.qlSimpleQuote(E10,,RateTickValue,Permanent,Trigger,ObjectOverwrite)</f>
        <v>AUD1BR3BR2Y_Quote#0000</v>
      </c>
      <c r="G10" s="46" t="str">
        <f>_xll.ohRangeRetrieveError(F10)</f>
        <v/>
      </c>
      <c r="H10" s="45"/>
      <c r="N10" s="85"/>
      <c r="O10" s="153" t="s">
        <v>84</v>
      </c>
      <c r="P10" s="192" t="s">
        <v>278</v>
      </c>
      <c r="Q10" s="192" t="s">
        <v>256</v>
      </c>
      <c r="R10" s="190" t="str">
        <f t="shared" si="1"/>
        <v>AUBR3AB2Y</v>
      </c>
      <c r="S10" s="152" t="str">
        <v>AUBR3AB2Y=ICAA</v>
      </c>
      <c r="T10" s="256">
        <v>5.25</v>
      </c>
      <c r="U10" s="256">
        <v>7.25</v>
      </c>
      <c r="V10" s="247">
        <f>_xll.qlMidEquivalent(T10,U10)</f>
        <v>6.25</v>
      </c>
      <c r="W10" s="149"/>
      <c r="X10" s="255">
        <v>6.25</v>
      </c>
      <c r="Y10" s="149"/>
      <c r="Z10" s="349">
        <v>6.25</v>
      </c>
      <c r="AA10" s="146">
        <f>_xll.qlSimpleQuoteSetValue(F10,Z10/10000,Trigger)</f>
        <v>0</v>
      </c>
      <c r="AB10" s="136"/>
    </row>
    <row r="11" spans="1:32" ht="11.25" customHeight="1" x14ac:dyDescent="0.2">
      <c r="A11" s="51"/>
      <c r="B11" s="50" t="s">
        <v>83</v>
      </c>
      <c r="C11" s="49" t="str">
        <f t="shared" si="2"/>
        <v>1BR</v>
      </c>
      <c r="D11" s="48" t="str">
        <f t="shared" si="3"/>
        <v>3BR</v>
      </c>
      <c r="E11" s="47" t="str">
        <f t="shared" si="0"/>
        <v>AUD1BR3BR3Y_Quote</v>
      </c>
      <c r="F11" s="47" t="str">
        <f>_xll.qlSimpleQuote(E11,,RateTickValue,Permanent,Trigger,ObjectOverwrite)</f>
        <v>AUD1BR3BR3Y_Quote#0000</v>
      </c>
      <c r="G11" s="46" t="str">
        <f>_xll.ohRangeRetrieveError(F11)</f>
        <v/>
      </c>
      <c r="H11" s="45"/>
      <c r="N11" s="85"/>
      <c r="O11" s="153" t="s">
        <v>83</v>
      </c>
      <c r="P11" s="192" t="s">
        <v>278</v>
      </c>
      <c r="Q11" s="192" t="s">
        <v>256</v>
      </c>
      <c r="R11" s="190" t="str">
        <f t="shared" si="1"/>
        <v>AUBR3AB3Y</v>
      </c>
      <c r="S11" s="152" t="str">
        <v>AUBR3AB3Y=ICAA</v>
      </c>
      <c r="T11" s="256">
        <v>5.625</v>
      </c>
      <c r="U11" s="256">
        <v>7.625</v>
      </c>
      <c r="V11" s="247">
        <f>_xll.qlMidEquivalent(T11,U11)</f>
        <v>6.625</v>
      </c>
      <c r="W11" s="149"/>
      <c r="X11" s="255">
        <v>6.625</v>
      </c>
      <c r="Y11" s="149"/>
      <c r="Z11" s="349">
        <v>6.625</v>
      </c>
      <c r="AA11" s="146">
        <f>_xll.qlSimpleQuoteSetValue(F11,Z11/10000,Trigger)</f>
        <v>0</v>
      </c>
      <c r="AB11" s="136"/>
    </row>
    <row r="12" spans="1:32" ht="11.25" customHeight="1" x14ac:dyDescent="0.2">
      <c r="A12" s="51"/>
      <c r="B12" s="50" t="s">
        <v>82</v>
      </c>
      <c r="C12" s="49" t="str">
        <f t="shared" si="2"/>
        <v>1BR</v>
      </c>
      <c r="D12" s="48" t="str">
        <f t="shared" si="3"/>
        <v>3BR</v>
      </c>
      <c r="E12" s="47" t="str">
        <f t="shared" si="0"/>
        <v>AUD1BR3BR4Y_Quote</v>
      </c>
      <c r="F12" s="47" t="str">
        <f>_xll.qlSimpleQuote(E12,,RateTickValue,Permanent,Trigger,ObjectOverwrite)</f>
        <v>AUD1BR3BR4Y_Quote#0000</v>
      </c>
      <c r="G12" s="46" t="str">
        <f>_xll.ohRangeRetrieveError(F12)</f>
        <v/>
      </c>
      <c r="H12" s="45"/>
      <c r="N12" s="85"/>
      <c r="O12" s="153" t="s">
        <v>82</v>
      </c>
      <c r="P12" s="192" t="s">
        <v>278</v>
      </c>
      <c r="Q12" s="192" t="s">
        <v>256</v>
      </c>
      <c r="R12" s="190" t="str">
        <f t="shared" si="1"/>
        <v>AUBR3AB4Y</v>
      </c>
      <c r="S12" s="152" t="str">
        <v>AUBR3AB4Y=ICAA</v>
      </c>
      <c r="T12" s="256">
        <v>6.125</v>
      </c>
      <c r="U12" s="256">
        <v>8.125</v>
      </c>
      <c r="V12" s="247">
        <f>_xll.qlMidEquivalent(T12,U12)</f>
        <v>7.125</v>
      </c>
      <c r="W12" s="149"/>
      <c r="X12" s="255">
        <v>7.125</v>
      </c>
      <c r="Y12" s="149"/>
      <c r="Z12" s="349">
        <v>7.125</v>
      </c>
      <c r="AA12" s="146">
        <f>_xll.qlSimpleQuoteSetValue(F12,Z12/10000,Trigger)</f>
        <v>0</v>
      </c>
      <c r="AB12" s="136"/>
    </row>
    <row r="13" spans="1:32" ht="11.25" customHeight="1" x14ac:dyDescent="0.2">
      <c r="A13" s="51"/>
      <c r="B13" s="50" t="s">
        <v>81</v>
      </c>
      <c r="C13" s="49" t="str">
        <f t="shared" si="2"/>
        <v>1BR</v>
      </c>
      <c r="D13" s="48" t="str">
        <f t="shared" si="3"/>
        <v>3BR</v>
      </c>
      <c r="E13" s="47" t="str">
        <f t="shared" si="0"/>
        <v>AUD1BR3BR5Y_Quote</v>
      </c>
      <c r="F13" s="47" t="str">
        <f>_xll.qlSimpleQuote(E13,,RateTickValue,Permanent,Trigger,ObjectOverwrite)</f>
        <v>AUD1BR3BR5Y_Quote#0000</v>
      </c>
      <c r="G13" s="46" t="str">
        <f>_xll.ohRangeRetrieveError(F13)</f>
        <v/>
      </c>
      <c r="H13" s="45"/>
      <c r="N13" s="85"/>
      <c r="O13" s="153" t="s">
        <v>81</v>
      </c>
      <c r="P13" s="192" t="s">
        <v>278</v>
      </c>
      <c r="Q13" s="192" t="s">
        <v>256</v>
      </c>
      <c r="R13" s="190" t="str">
        <f t="shared" si="1"/>
        <v>AUBR3AB5Y</v>
      </c>
      <c r="S13" s="152" t="str">
        <v>AUBR3AB5Y=ICAA</v>
      </c>
      <c r="T13" s="256">
        <v>6.375</v>
      </c>
      <c r="U13" s="256">
        <v>8.375</v>
      </c>
      <c r="V13" s="247">
        <f>_xll.qlMidEquivalent(T13,U13)</f>
        <v>7.375</v>
      </c>
      <c r="W13" s="149"/>
      <c r="X13" s="255">
        <v>7.375</v>
      </c>
      <c r="Y13" s="149"/>
      <c r="Z13" s="349">
        <v>7.375</v>
      </c>
      <c r="AA13" s="146">
        <f>_xll.qlSimpleQuoteSetValue(F13,Z13/10000,Trigger)</f>
        <v>0</v>
      </c>
      <c r="AB13" s="136"/>
    </row>
    <row r="14" spans="1:32" ht="11.25" customHeight="1" x14ac:dyDescent="0.2">
      <c r="A14" s="51"/>
      <c r="B14" s="50" t="s">
        <v>80</v>
      </c>
      <c r="C14" s="49" t="str">
        <f t="shared" si="2"/>
        <v>1BR</v>
      </c>
      <c r="D14" s="48" t="str">
        <f t="shared" si="3"/>
        <v>3BR</v>
      </c>
      <c r="E14" s="47" t="str">
        <f t="shared" si="0"/>
        <v>AUD1BR3BR6Y_Quote</v>
      </c>
      <c r="F14" s="47" t="str">
        <f>_xll.qlSimpleQuote(E14,,RateTickValue,Permanent,Trigger,ObjectOverwrite)</f>
        <v>AUD1BR3BR6Y_Quote#0000</v>
      </c>
      <c r="G14" s="46" t="str">
        <f>_xll.ohRangeRetrieveError(F14)</f>
        <v/>
      </c>
      <c r="H14" s="45"/>
      <c r="N14" s="85"/>
      <c r="O14" s="153" t="s">
        <v>80</v>
      </c>
      <c r="P14" s="192" t="s">
        <v>278</v>
      </c>
      <c r="Q14" s="192" t="s">
        <v>256</v>
      </c>
      <c r="R14" s="190" t="str">
        <f t="shared" si="1"/>
        <v>AUBR3AB6Y</v>
      </c>
      <c r="S14" s="152" t="str">
        <v>AUBR3AB6Y=ICAA</v>
      </c>
      <c r="T14" s="256" t="s">
        <v>174</v>
      </c>
      <c r="U14" s="256" t="s">
        <v>174</v>
      </c>
      <c r="V14" s="247" t="e">
        <f>_xll.qlMidEquivalent(T14,U14)</f>
        <v>#NUM!</v>
      </c>
      <c r="W14" s="149"/>
      <c r="X14" s="255">
        <v>7.5401194384918018</v>
      </c>
      <c r="Y14" s="149"/>
      <c r="Z14" s="349" t="e">
        <v>#NUM!</v>
      </c>
      <c r="AA14" s="146" t="e">
        <f>_xll.qlSimpleQuoteSetValue(F14,Z14/10000,Trigger)</f>
        <v>#NUM!</v>
      </c>
      <c r="AB14" s="136"/>
    </row>
    <row r="15" spans="1:32" ht="11.25" customHeight="1" x14ac:dyDescent="0.2">
      <c r="A15" s="51"/>
      <c r="B15" s="50" t="s">
        <v>79</v>
      </c>
      <c r="C15" s="49" t="str">
        <f t="shared" si="2"/>
        <v>1BR</v>
      </c>
      <c r="D15" s="48" t="str">
        <f t="shared" si="3"/>
        <v>3BR</v>
      </c>
      <c r="E15" s="47" t="str">
        <f t="shared" si="0"/>
        <v>AUD1BR3BR7Y_Quote</v>
      </c>
      <c r="F15" s="47" t="str">
        <f>_xll.qlSimpleQuote(E15,,RateTickValue,Permanent,Trigger,ObjectOverwrite)</f>
        <v>AUD1BR3BR7Y_Quote#0000</v>
      </c>
      <c r="G15" s="46" t="str">
        <f>_xll.ohRangeRetrieveError(F15)</f>
        <v/>
      </c>
      <c r="H15" s="45"/>
      <c r="N15" s="85"/>
      <c r="O15" s="153" t="s">
        <v>79</v>
      </c>
      <c r="P15" s="192" t="s">
        <v>278</v>
      </c>
      <c r="Q15" s="192" t="s">
        <v>256</v>
      </c>
      <c r="R15" s="190" t="str">
        <f t="shared" si="1"/>
        <v>AUBR3AB7Y</v>
      </c>
      <c r="S15" s="152" t="str">
        <v>AUBR3AB7Y=ICAA</v>
      </c>
      <c r="T15" s="256">
        <v>6.625</v>
      </c>
      <c r="U15" s="256">
        <v>8.625</v>
      </c>
      <c r="V15" s="247">
        <f>_xll.qlMidEquivalent(T15,U15)</f>
        <v>7.625</v>
      </c>
      <c r="W15" s="149"/>
      <c r="X15" s="255">
        <v>7.625</v>
      </c>
      <c r="Y15" s="149"/>
      <c r="Z15" s="349">
        <v>7.625</v>
      </c>
      <c r="AA15" s="146">
        <f>_xll.qlSimpleQuoteSetValue(F15,Z15/10000,Trigger)</f>
        <v>0</v>
      </c>
      <c r="AB15" s="136"/>
    </row>
    <row r="16" spans="1:32" ht="11.25" customHeight="1" x14ac:dyDescent="0.2">
      <c r="A16" s="51"/>
      <c r="B16" s="50" t="s">
        <v>78</v>
      </c>
      <c r="C16" s="49" t="str">
        <f t="shared" si="2"/>
        <v>1BR</v>
      </c>
      <c r="D16" s="48" t="str">
        <f t="shared" si="3"/>
        <v>3BR</v>
      </c>
      <c r="E16" s="47" t="str">
        <f t="shared" si="0"/>
        <v>AUD1BR3BR8Y_Quote</v>
      </c>
      <c r="F16" s="47" t="str">
        <f>_xll.qlSimpleQuote(E16,,RateTickValue,Permanent,Trigger,ObjectOverwrite)</f>
        <v>AUD1BR3BR8Y_Quote#0000</v>
      </c>
      <c r="G16" s="46" t="str">
        <f>_xll.ohRangeRetrieveError(F16)</f>
        <v/>
      </c>
      <c r="H16" s="45"/>
      <c r="N16" s="85"/>
      <c r="O16" s="153" t="s">
        <v>78</v>
      </c>
      <c r="P16" s="192" t="s">
        <v>278</v>
      </c>
      <c r="Q16" s="192" t="s">
        <v>256</v>
      </c>
      <c r="R16" s="190" t="str">
        <f t="shared" si="1"/>
        <v>AUBR3AB8Y</v>
      </c>
      <c r="S16" s="152" t="str">
        <v>AUBR3AB8Y=ICAA</v>
      </c>
      <c r="T16" s="256" t="s">
        <v>174</v>
      </c>
      <c r="U16" s="256" t="s">
        <v>174</v>
      </c>
      <c r="V16" s="247" t="e">
        <f>_xll.qlMidEquivalent(T16,U16)</f>
        <v>#NUM!</v>
      </c>
      <c r="W16" s="149"/>
      <c r="X16" s="255">
        <v>7.625</v>
      </c>
      <c r="Y16" s="149"/>
      <c r="Z16" s="349" t="e">
        <v>#NUM!</v>
      </c>
      <c r="AA16" s="146" t="e">
        <f>_xll.qlSimpleQuoteSetValue(F16,Z16/10000,Trigger)</f>
        <v>#NUM!</v>
      </c>
      <c r="AB16" s="136"/>
    </row>
    <row r="17" spans="1:32" ht="11.25" customHeight="1" x14ac:dyDescent="0.2">
      <c r="A17" s="51"/>
      <c r="B17" s="50" t="s">
        <v>77</v>
      </c>
      <c r="C17" s="49" t="str">
        <f t="shared" si="2"/>
        <v>1BR</v>
      </c>
      <c r="D17" s="48" t="str">
        <f t="shared" si="3"/>
        <v>3BR</v>
      </c>
      <c r="E17" s="47" t="str">
        <f t="shared" si="0"/>
        <v>AUD1BR3BR9Y_Quote</v>
      </c>
      <c r="F17" s="47" t="str">
        <f>_xll.qlSimpleQuote(E17,,RateTickValue,Permanent,Trigger,ObjectOverwrite)</f>
        <v>AUD1BR3BR9Y_Quote#0000</v>
      </c>
      <c r="G17" s="46" t="str">
        <f>_xll.ohRangeRetrieveError(F17)</f>
        <v/>
      </c>
      <c r="H17" s="45"/>
      <c r="N17" s="85"/>
      <c r="O17" s="153" t="s">
        <v>77</v>
      </c>
      <c r="P17" s="192" t="s">
        <v>278</v>
      </c>
      <c r="Q17" s="192" t="s">
        <v>256</v>
      </c>
      <c r="R17" s="190" t="str">
        <f t="shared" si="1"/>
        <v>AUBR3AB9Y</v>
      </c>
      <c r="S17" s="152" t="str">
        <v>AUBR3AB9Y=ICAA</v>
      </c>
      <c r="T17" s="256" t="s">
        <v>174</v>
      </c>
      <c r="U17" s="256" t="s">
        <v>174</v>
      </c>
      <c r="V17" s="247" t="e">
        <f>_xll.qlMidEquivalent(T17,U17)</f>
        <v>#NUM!</v>
      </c>
      <c r="W17" s="149"/>
      <c r="X17" s="255">
        <v>7.625</v>
      </c>
      <c r="Y17" s="149"/>
      <c r="Z17" s="349" t="e">
        <v>#NUM!</v>
      </c>
      <c r="AA17" s="146" t="e">
        <f>_xll.qlSimpleQuoteSetValue(F17,Z17/10000,Trigger)</f>
        <v>#NUM!</v>
      </c>
      <c r="AB17" s="136"/>
    </row>
    <row r="18" spans="1:32" ht="11.25" customHeight="1" x14ac:dyDescent="0.25">
      <c r="A18" s="51"/>
      <c r="B18" s="50" t="s">
        <v>76</v>
      </c>
      <c r="C18" s="49" t="str">
        <f t="shared" si="2"/>
        <v>1BR</v>
      </c>
      <c r="D18" s="48" t="str">
        <f t="shared" si="3"/>
        <v>3BR</v>
      </c>
      <c r="E18" s="47" t="str">
        <f t="shared" si="0"/>
        <v>AUD1BR3BR10Y_Quote</v>
      </c>
      <c r="F18" s="47" t="str">
        <f>_xll.qlSimpleQuote(E18,,RateTickValue,Permanent,Trigger,ObjectOverwrite)</f>
        <v>AUD1BR3BR10Y_Quote#0000</v>
      </c>
      <c r="G18" s="46" t="str">
        <f>_xll.ohRangeRetrieveError(F18)</f>
        <v/>
      </c>
      <c r="H18" s="45"/>
      <c r="N18" s="85"/>
      <c r="O18" s="153" t="s">
        <v>76</v>
      </c>
      <c r="P18" s="192" t="s">
        <v>278</v>
      </c>
      <c r="Q18" s="192" t="s">
        <v>256</v>
      </c>
      <c r="R18" s="190" t="str">
        <f t="shared" si="1"/>
        <v>AUBR3AB10Y</v>
      </c>
      <c r="S18" s="152" t="str">
        <v>AUBR3AB10Y=ICAA</v>
      </c>
      <c r="T18" s="256">
        <v>6.625</v>
      </c>
      <c r="U18" s="256">
        <v>8.625</v>
      </c>
      <c r="V18" s="247">
        <f>_xll.qlMidEquivalent(T18,U18)</f>
        <v>7.625</v>
      </c>
      <c r="W18" s="149"/>
      <c r="X18" s="255">
        <v>7.625</v>
      </c>
      <c r="Y18" s="149"/>
      <c r="Z18" s="349">
        <v>7.625</v>
      </c>
      <c r="AA18" s="146">
        <f>_xll.qlSimpleQuoteSetValue(F18,Z18/10000,Trigger)</f>
        <v>0</v>
      </c>
      <c r="AB18" s="136"/>
      <c r="AF18"/>
    </row>
    <row r="19" spans="1:32" ht="11.25" customHeight="1" x14ac:dyDescent="0.2">
      <c r="A19" s="51"/>
      <c r="B19" s="50" t="s">
        <v>75</v>
      </c>
      <c r="C19" s="49" t="str">
        <f t="shared" si="2"/>
        <v>1BR</v>
      </c>
      <c r="D19" s="48" t="str">
        <f t="shared" si="3"/>
        <v>3BR</v>
      </c>
      <c r="E19" s="47" t="str">
        <f t="shared" si="0"/>
        <v>AUD1BR3BR11Y_Quote</v>
      </c>
      <c r="F19" s="47" t="str">
        <f>_xll.qlSimpleQuote(E19,,RateTickValue,Permanent,Trigger,ObjectOverwrite)</f>
        <v>AUD1BR3BR11Y_Quote#0000</v>
      </c>
      <c r="G19" s="46" t="str">
        <f>_xll.ohRangeRetrieveError(F19)</f>
        <v/>
      </c>
      <c r="H19" s="45"/>
      <c r="N19" s="85"/>
      <c r="O19" s="153" t="s">
        <v>75</v>
      </c>
      <c r="P19" s="192" t="s">
        <v>278</v>
      </c>
      <c r="Q19" s="192" t="s">
        <v>256</v>
      </c>
      <c r="R19" s="190" t="str">
        <f t="shared" si="1"/>
        <v>AUBR3AB11Y</v>
      </c>
      <c r="S19" s="152" t="str">
        <v>AUBR3AB11Y=ICAA</v>
      </c>
      <c r="T19" s="256" t="s">
        <v>174</v>
      </c>
      <c r="U19" s="256" t="s">
        <v>174</v>
      </c>
      <c r="V19" s="247" t="e">
        <f>_xll.qlMidEquivalent(T19,U19)</f>
        <v>#NUM!</v>
      </c>
      <c r="W19" s="149"/>
      <c r="X19" s="255">
        <v>7.625</v>
      </c>
      <c r="Y19" s="149"/>
      <c r="Z19" s="349" t="e">
        <v>#NUM!</v>
      </c>
      <c r="AA19" s="146" t="e">
        <f>_xll.qlSimpleQuoteSetValue(F19,Z19/10000,Trigger)</f>
        <v>#NUM!</v>
      </c>
      <c r="AB19" s="136"/>
    </row>
    <row r="20" spans="1:32" ht="11.25" customHeight="1" x14ac:dyDescent="0.2">
      <c r="A20" s="51"/>
      <c r="B20" s="50" t="s">
        <v>74</v>
      </c>
      <c r="C20" s="49" t="str">
        <f t="shared" si="2"/>
        <v>1BR</v>
      </c>
      <c r="D20" s="48" t="str">
        <f t="shared" si="3"/>
        <v>3BR</v>
      </c>
      <c r="E20" s="47" t="str">
        <f t="shared" si="0"/>
        <v>AUD1BR3BR12Y_Quote</v>
      </c>
      <c r="F20" s="47" t="str">
        <f>_xll.qlSimpleQuote(E20,,RateTickValue,Permanent,Trigger,ObjectOverwrite)</f>
        <v>AUD1BR3BR12Y_Quote#0000</v>
      </c>
      <c r="G20" s="46" t="str">
        <f>_xll.ohRangeRetrieveError(F20)</f>
        <v/>
      </c>
      <c r="H20" s="45"/>
      <c r="N20" s="85"/>
      <c r="O20" s="153" t="s">
        <v>74</v>
      </c>
      <c r="P20" s="192" t="s">
        <v>278</v>
      </c>
      <c r="Q20" s="192" t="s">
        <v>256</v>
      </c>
      <c r="R20" s="190" t="str">
        <f t="shared" si="1"/>
        <v>AUBR3AB12Y</v>
      </c>
      <c r="S20" s="152" t="str">
        <v>AUBR3AB12Y=ICAA</v>
      </c>
      <c r="T20" s="256">
        <v>6.125</v>
      </c>
      <c r="U20" s="256">
        <v>9.125</v>
      </c>
      <c r="V20" s="247">
        <f>_xll.qlMidEquivalent(T20,U20)</f>
        <v>7.625</v>
      </c>
      <c r="W20" s="149"/>
      <c r="X20" s="255">
        <v>7.625</v>
      </c>
      <c r="Y20" s="149"/>
      <c r="Z20" s="349">
        <v>7.625</v>
      </c>
      <c r="AA20" s="146">
        <f>_xll.qlSimpleQuoteSetValue(F20,Z20/10000,Trigger)</f>
        <v>0</v>
      </c>
      <c r="AB20" s="136"/>
    </row>
    <row r="21" spans="1:32" ht="11.25" customHeight="1" x14ac:dyDescent="0.2">
      <c r="A21" s="51"/>
      <c r="B21" s="50" t="s">
        <v>73</v>
      </c>
      <c r="C21" s="49" t="str">
        <f t="shared" si="2"/>
        <v>1BR</v>
      </c>
      <c r="D21" s="48" t="str">
        <f t="shared" si="3"/>
        <v>3BR</v>
      </c>
      <c r="E21" s="47" t="str">
        <f t="shared" si="0"/>
        <v>AUD1BR3BR13Y_Quote</v>
      </c>
      <c r="F21" s="47" t="str">
        <f>_xll.qlSimpleQuote(E21,,RateTickValue,Permanent,Trigger,ObjectOverwrite)</f>
        <v>AUD1BR3BR13Y_Quote#0000</v>
      </c>
      <c r="G21" s="46" t="str">
        <f>_xll.ohRangeRetrieveError(F21)</f>
        <v/>
      </c>
      <c r="H21" s="45"/>
      <c r="N21" s="85"/>
      <c r="O21" s="153" t="s">
        <v>73</v>
      </c>
      <c r="P21" s="192" t="s">
        <v>278</v>
      </c>
      <c r="Q21" s="192" t="s">
        <v>256</v>
      </c>
      <c r="R21" s="190" t="str">
        <f t="shared" si="1"/>
        <v>AUBR3AB13Y</v>
      </c>
      <c r="S21" s="152" t="str">
        <v>AUBR3AB13Y=ICAA</v>
      </c>
      <c r="T21" s="256" t="s">
        <v>174</v>
      </c>
      <c r="U21" s="256" t="s">
        <v>174</v>
      </c>
      <c r="V21" s="247" t="e">
        <f>_xll.qlMidEquivalent(T21,U21)</f>
        <v>#NUM!</v>
      </c>
      <c r="W21" s="149"/>
      <c r="X21" s="255">
        <v>7.6746633663892929</v>
      </c>
      <c r="Y21" s="149"/>
      <c r="Z21" s="349" t="e">
        <v>#NUM!</v>
      </c>
      <c r="AA21" s="146" t="e">
        <f>_xll.qlSimpleQuoteSetValue(F21,Z21/10000,Trigger)</f>
        <v>#NUM!</v>
      </c>
      <c r="AB21" s="136"/>
    </row>
    <row r="22" spans="1:32" ht="11.25" customHeight="1" x14ac:dyDescent="0.2">
      <c r="A22" s="51"/>
      <c r="B22" s="50" t="s">
        <v>72</v>
      </c>
      <c r="C22" s="49" t="str">
        <f t="shared" si="2"/>
        <v>1BR</v>
      </c>
      <c r="D22" s="48" t="str">
        <f t="shared" si="3"/>
        <v>3BR</v>
      </c>
      <c r="E22" s="47" t="str">
        <f t="shared" si="0"/>
        <v>AUD1BR3BR14Y_Quote</v>
      </c>
      <c r="F22" s="47" t="str">
        <f>_xll.qlSimpleQuote(E22,,RateTickValue,Permanent,Trigger,ObjectOverwrite)</f>
        <v>AUD1BR3BR14Y_Quote#0000</v>
      </c>
      <c r="G22" s="46" t="str">
        <f>_xll.ohRangeRetrieveError(F22)</f>
        <v/>
      </c>
      <c r="H22" s="45"/>
      <c r="N22" s="85"/>
      <c r="O22" s="153" t="s">
        <v>72</v>
      </c>
      <c r="P22" s="192" t="s">
        <v>278</v>
      </c>
      <c r="Q22" s="192" t="s">
        <v>256</v>
      </c>
      <c r="R22" s="190" t="str">
        <f t="shared" si="1"/>
        <v>AUBR3AB14Y</v>
      </c>
      <c r="S22" s="152" t="str">
        <v>AUBR3AB14Y=ICAA</v>
      </c>
      <c r="T22" s="256" t="s">
        <v>174</v>
      </c>
      <c r="U22" s="256" t="s">
        <v>174</v>
      </c>
      <c r="V22" s="247" t="e">
        <f>_xll.qlMidEquivalent(T22,U22)</f>
        <v>#NUM!</v>
      </c>
      <c r="W22" s="149"/>
      <c r="X22" s="255">
        <v>7.7798822883341412</v>
      </c>
      <c r="Y22" s="149"/>
      <c r="Z22" s="349" t="e">
        <v>#NUM!</v>
      </c>
      <c r="AA22" s="146" t="e">
        <f>_xll.qlSimpleQuoteSetValue(F22,Z22/10000,Trigger)</f>
        <v>#NUM!</v>
      </c>
      <c r="AB22" s="136"/>
    </row>
    <row r="23" spans="1:32" ht="11.25" customHeight="1" x14ac:dyDescent="0.2">
      <c r="A23" s="51"/>
      <c r="B23" s="50" t="s">
        <v>71</v>
      </c>
      <c r="C23" s="49" t="str">
        <f t="shared" si="2"/>
        <v>1BR</v>
      </c>
      <c r="D23" s="48" t="str">
        <f t="shared" si="3"/>
        <v>3BR</v>
      </c>
      <c r="E23" s="47" t="str">
        <f t="shared" si="0"/>
        <v>AUD1BR3BR15Y_Quote</v>
      </c>
      <c r="F23" s="47" t="str">
        <f>_xll.qlSimpleQuote(E23,,RateTickValue,Permanent,Trigger,ObjectOverwrite)</f>
        <v>AUD1BR3BR15Y_Quote#0000</v>
      </c>
      <c r="G23" s="46" t="str">
        <f>_xll.ohRangeRetrieveError(F23)</f>
        <v/>
      </c>
      <c r="H23" s="45"/>
      <c r="N23" s="85"/>
      <c r="O23" s="153" t="s">
        <v>71</v>
      </c>
      <c r="P23" s="192" t="s">
        <v>278</v>
      </c>
      <c r="Q23" s="192" t="s">
        <v>256</v>
      </c>
      <c r="R23" s="190" t="str">
        <f t="shared" si="1"/>
        <v>AUBR3AB15Y</v>
      </c>
      <c r="S23" s="152" t="str">
        <v>AUBR3AB15Y=ICAA</v>
      </c>
      <c r="T23" s="256">
        <v>6.375</v>
      </c>
      <c r="U23" s="256">
        <v>9.375</v>
      </c>
      <c r="V23" s="247">
        <f>_xll.qlMidEquivalent(T23,U23)</f>
        <v>7.875</v>
      </c>
      <c r="W23" s="149"/>
      <c r="X23" s="255">
        <v>7.875</v>
      </c>
      <c r="Y23" s="149"/>
      <c r="Z23" s="349">
        <v>7.875</v>
      </c>
      <c r="AA23" s="146">
        <f>_xll.qlSimpleQuoteSetValue(F23,Z23/10000,Trigger)</f>
        <v>0</v>
      </c>
      <c r="AB23" s="136"/>
    </row>
    <row r="24" spans="1:32" ht="11.25" customHeight="1" x14ac:dyDescent="0.2">
      <c r="A24" s="51"/>
      <c r="B24" s="50" t="s">
        <v>70</v>
      </c>
      <c r="C24" s="49" t="str">
        <f t="shared" si="2"/>
        <v>1BR</v>
      </c>
      <c r="D24" s="48" t="str">
        <f t="shared" si="3"/>
        <v>3BR</v>
      </c>
      <c r="E24" s="47" t="str">
        <f t="shared" si="0"/>
        <v>AUD1BR3BR16Y_Quote</v>
      </c>
      <c r="F24" s="47" t="str">
        <f>_xll.qlSimpleQuote(E24,,RateTickValue,Permanent,Trigger,ObjectOverwrite)</f>
        <v>AUD1BR3BR16Y_Quote#0000</v>
      </c>
      <c r="G24" s="46" t="str">
        <f>_xll.ohRangeRetrieveError(F24)</f>
        <v/>
      </c>
      <c r="H24" s="45"/>
      <c r="N24" s="85"/>
      <c r="O24" s="153" t="s">
        <v>70</v>
      </c>
      <c r="P24" s="192" t="s">
        <v>278</v>
      </c>
      <c r="Q24" s="192" t="s">
        <v>256</v>
      </c>
      <c r="R24" s="190" t="str">
        <f t="shared" si="1"/>
        <v>AUBR3AB16Y</v>
      </c>
      <c r="S24" s="152" t="str">
        <v>AUBR3AB16Y=ICAA</v>
      </c>
      <c r="T24" s="256" t="s">
        <v>174</v>
      </c>
      <c r="U24" s="256" t="s">
        <v>174</v>
      </c>
      <c r="V24" s="247" t="e">
        <f>_xll.qlMidEquivalent(T24,U24)</f>
        <v>#NUM!</v>
      </c>
      <c r="W24" s="149"/>
      <c r="X24" s="255">
        <v>7.9190347599295281</v>
      </c>
      <c r="Y24" s="149"/>
      <c r="Z24" s="349" t="e">
        <v>#NUM!</v>
      </c>
      <c r="AA24" s="146" t="e">
        <f>_xll.qlSimpleQuoteSetValue(F24,Z24/10000,Trigger)</f>
        <v>#NUM!</v>
      </c>
      <c r="AB24" s="136"/>
    </row>
    <row r="25" spans="1:32" ht="11.25" customHeight="1" x14ac:dyDescent="0.2">
      <c r="A25" s="51"/>
      <c r="B25" s="50" t="s">
        <v>69</v>
      </c>
      <c r="C25" s="49" t="str">
        <f t="shared" si="2"/>
        <v>1BR</v>
      </c>
      <c r="D25" s="48" t="str">
        <f t="shared" si="3"/>
        <v>3BR</v>
      </c>
      <c r="E25" s="47" t="str">
        <f t="shared" si="0"/>
        <v>AUD1BR3BR17Y_Quote</v>
      </c>
      <c r="F25" s="47" t="str">
        <f>_xll.qlSimpleQuote(E25,,RateTickValue,Permanent,Trigger,ObjectOverwrite)</f>
        <v>AUD1BR3BR17Y_Quote#0000</v>
      </c>
      <c r="G25" s="46" t="str">
        <f>_xll.ohRangeRetrieveError(F25)</f>
        <v/>
      </c>
      <c r="H25" s="45"/>
      <c r="N25" s="85"/>
      <c r="O25" s="153" t="s">
        <v>69</v>
      </c>
      <c r="P25" s="192" t="s">
        <v>278</v>
      </c>
      <c r="Q25" s="192" t="s">
        <v>256</v>
      </c>
      <c r="R25" s="190" t="str">
        <f t="shared" si="1"/>
        <v>AUBR3AB17Y</v>
      </c>
      <c r="S25" s="152" t="str">
        <v>AUBR3AB17Y=ICAA</v>
      </c>
      <c r="T25" s="256" t="s">
        <v>174</v>
      </c>
      <c r="U25" s="256" t="s">
        <v>174</v>
      </c>
      <c r="V25" s="247" t="e">
        <f>_xll.qlMidEquivalent(T25,U25)</f>
        <v>#NUM!</v>
      </c>
      <c r="W25" s="149"/>
      <c r="X25" s="255">
        <v>7.9102864582907646</v>
      </c>
      <c r="Y25" s="149"/>
      <c r="Z25" s="349" t="e">
        <v>#NUM!</v>
      </c>
      <c r="AA25" s="146" t="e">
        <f>_xll.qlSimpleQuoteSetValue(F25,Z25/10000,Trigger)</f>
        <v>#NUM!</v>
      </c>
      <c r="AB25" s="136"/>
    </row>
    <row r="26" spans="1:32" ht="11.25" customHeight="1" x14ac:dyDescent="0.2">
      <c r="A26" s="51"/>
      <c r="B26" s="50" t="s">
        <v>68</v>
      </c>
      <c r="C26" s="49" t="str">
        <f t="shared" si="2"/>
        <v>1BR</v>
      </c>
      <c r="D26" s="48" t="str">
        <f t="shared" si="3"/>
        <v>3BR</v>
      </c>
      <c r="E26" s="47" t="str">
        <f t="shared" si="0"/>
        <v>AUD1BR3BR18Y_Quote</v>
      </c>
      <c r="F26" s="47" t="str">
        <f>_xll.qlSimpleQuote(E26,,RateTickValue,Permanent,Trigger,ObjectOverwrite)</f>
        <v>AUD1BR3BR18Y_Quote#0000</v>
      </c>
      <c r="G26" s="46" t="str">
        <f>_xll.ohRangeRetrieveError(F26)</f>
        <v/>
      </c>
      <c r="H26" s="45"/>
      <c r="N26" s="85"/>
      <c r="O26" s="153" t="s">
        <v>68</v>
      </c>
      <c r="P26" s="192" t="s">
        <v>278</v>
      </c>
      <c r="Q26" s="192" t="s">
        <v>256</v>
      </c>
      <c r="R26" s="190" t="str">
        <f t="shared" si="1"/>
        <v>AUBR3AB18Y</v>
      </c>
      <c r="S26" s="152" t="str">
        <v>AUBR3AB18Y=ICAA</v>
      </c>
      <c r="T26" s="256" t="s">
        <v>174</v>
      </c>
      <c r="U26" s="256" t="s">
        <v>174</v>
      </c>
      <c r="V26" s="247" t="e">
        <f>_xll.qlMidEquivalent(T26,U26)</f>
        <v>#NUM!</v>
      </c>
      <c r="W26" s="149"/>
      <c r="X26" s="255">
        <v>7.842020776687237</v>
      </c>
      <c r="Y26" s="149"/>
      <c r="Z26" s="349" t="e">
        <v>#NUM!</v>
      </c>
      <c r="AA26" s="146" t="e">
        <f>_xll.qlSimpleQuoteSetValue(F26,Z26/10000,Trigger)</f>
        <v>#NUM!</v>
      </c>
      <c r="AB26" s="136"/>
    </row>
    <row r="27" spans="1:32" ht="11.25" customHeight="1" x14ac:dyDescent="0.2">
      <c r="A27" s="51"/>
      <c r="B27" s="50" t="s">
        <v>67</v>
      </c>
      <c r="C27" s="49" t="str">
        <f t="shared" si="2"/>
        <v>1BR</v>
      </c>
      <c r="D27" s="48" t="str">
        <f t="shared" si="3"/>
        <v>3BR</v>
      </c>
      <c r="E27" s="47" t="str">
        <f t="shared" si="0"/>
        <v>AUD1BR3BR19Y_Quote</v>
      </c>
      <c r="F27" s="47" t="str">
        <f>_xll.qlSimpleQuote(E27,,RateTickValue,Permanent,Trigger,ObjectOverwrite)</f>
        <v>AUD1BR3BR19Y_Quote#0000</v>
      </c>
      <c r="G27" s="46" t="str">
        <f>_xll.ohRangeRetrieveError(F27)</f>
        <v/>
      </c>
      <c r="H27" s="45"/>
      <c r="N27" s="85"/>
      <c r="O27" s="153" t="s">
        <v>67</v>
      </c>
      <c r="P27" s="192" t="s">
        <v>278</v>
      </c>
      <c r="Q27" s="192" t="s">
        <v>256</v>
      </c>
      <c r="R27" s="190" t="str">
        <f t="shared" si="1"/>
        <v>AUBR3AB19Y</v>
      </c>
      <c r="S27" s="152" t="str">
        <v>AUBR3AB19Y=ICAA</v>
      </c>
      <c r="T27" s="256" t="s">
        <v>174</v>
      </c>
      <c r="U27" s="256" t="s">
        <v>174</v>
      </c>
      <c r="V27" s="247" t="e">
        <f>_xll.qlMidEquivalent(T27,U27)</f>
        <v>#NUM!</v>
      </c>
      <c r="W27" s="149"/>
      <c r="X27" s="255">
        <v>7.7075033967224726</v>
      </c>
      <c r="Y27" s="149"/>
      <c r="Z27" s="349" t="e">
        <v>#NUM!</v>
      </c>
      <c r="AA27" s="146" t="e">
        <f>_xll.qlSimpleQuoteSetValue(F27,Z27/10000,Trigger)</f>
        <v>#NUM!</v>
      </c>
      <c r="AB27" s="136"/>
    </row>
    <row r="28" spans="1:32" ht="11.25" customHeight="1" x14ac:dyDescent="0.2">
      <c r="A28" s="51"/>
      <c r="B28" s="50" t="s">
        <v>66</v>
      </c>
      <c r="C28" s="49" t="str">
        <f t="shared" si="2"/>
        <v>1BR</v>
      </c>
      <c r="D28" s="48" t="str">
        <f t="shared" si="3"/>
        <v>3BR</v>
      </c>
      <c r="E28" s="47" t="str">
        <f t="shared" si="0"/>
        <v>AUD1BR3BR20Y_Quote</v>
      </c>
      <c r="F28" s="47" t="str">
        <f>_xll.qlSimpleQuote(E28,,RateTickValue,Permanent,Trigger,ObjectOverwrite)</f>
        <v>AUD1BR3BR20Y_Quote#0000</v>
      </c>
      <c r="G28" s="46" t="str">
        <f>_xll.ohRangeRetrieveError(F28)</f>
        <v/>
      </c>
      <c r="H28" s="45"/>
      <c r="N28" s="85"/>
      <c r="O28" s="153" t="s">
        <v>66</v>
      </c>
      <c r="P28" s="192" t="s">
        <v>278</v>
      </c>
      <c r="Q28" s="192" t="s">
        <v>256</v>
      </c>
      <c r="R28" s="190" t="str">
        <f t="shared" si="1"/>
        <v>AUBR3AB20Y</v>
      </c>
      <c r="S28" s="152" t="str">
        <v>AUBR3AB20Y=ICAA</v>
      </c>
      <c r="T28" s="256">
        <v>6</v>
      </c>
      <c r="U28" s="256">
        <v>9</v>
      </c>
      <c r="V28" s="247">
        <f>_xll.qlMidEquivalent(T28,U28)</f>
        <v>7.5</v>
      </c>
      <c r="W28" s="149"/>
      <c r="X28" s="255">
        <v>7.5</v>
      </c>
      <c r="Y28" s="149"/>
      <c r="Z28" s="349">
        <v>7.5</v>
      </c>
      <c r="AA28" s="146">
        <f>_xll.qlSimpleQuoteSetValue(F28,Z28/10000,Trigger)</f>
        <v>0</v>
      </c>
      <c r="AB28" s="136"/>
    </row>
    <row r="29" spans="1:32" ht="11.25" customHeight="1" x14ac:dyDescent="0.2">
      <c r="A29" s="51"/>
      <c r="B29" s="50" t="s">
        <v>65</v>
      </c>
      <c r="C29" s="49" t="str">
        <f t="shared" si="2"/>
        <v>1BR</v>
      </c>
      <c r="D29" s="48" t="str">
        <f t="shared" si="3"/>
        <v>3BR</v>
      </c>
      <c r="E29" s="47" t="str">
        <f t="shared" si="0"/>
        <v>AUD1BR3BR21Y_Quote</v>
      </c>
      <c r="F29" s="47" t="str">
        <f>_xll.qlSimpleQuote(E29,,RateTickValue,Permanent,Trigger,ObjectOverwrite)</f>
        <v>AUD1BR3BR21Y_Quote#0000</v>
      </c>
      <c r="G29" s="46" t="str">
        <f>_xll.ohRangeRetrieveError(F29)</f>
        <v/>
      </c>
      <c r="H29" s="45"/>
      <c r="N29" s="85"/>
      <c r="O29" s="153" t="s">
        <v>65</v>
      </c>
      <c r="P29" s="192" t="s">
        <v>278</v>
      </c>
      <c r="Q29" s="192" t="s">
        <v>256</v>
      </c>
      <c r="R29" s="190" t="str">
        <f t="shared" si="1"/>
        <v>AUBR3AB21Y</v>
      </c>
      <c r="S29" s="152" t="str">
        <v>AUBR3AB21Y=ICAA</v>
      </c>
      <c r="T29" s="256" t="s">
        <v>174</v>
      </c>
      <c r="U29" s="256" t="s">
        <v>174</v>
      </c>
      <c r="V29" s="247" t="e">
        <f>_xll.qlMidEquivalent(T29,U29)</f>
        <v>#NUM!</v>
      </c>
      <c r="W29" s="149"/>
      <c r="X29" s="255">
        <v>7.2104056461439026</v>
      </c>
      <c r="Y29" s="149"/>
      <c r="Z29" s="349" t="e">
        <v>#NUM!</v>
      </c>
      <c r="AA29" s="146" t="e">
        <f>_xll.qlSimpleQuoteSetValue(F29,Z29/10000,Trigger)</f>
        <v>#NUM!</v>
      </c>
      <c r="AB29" s="136"/>
    </row>
    <row r="30" spans="1:32" ht="11.25" customHeight="1" x14ac:dyDescent="0.2">
      <c r="A30" s="51"/>
      <c r="B30" s="50" t="s">
        <v>64</v>
      </c>
      <c r="C30" s="49" t="str">
        <f t="shared" si="2"/>
        <v>1BR</v>
      </c>
      <c r="D30" s="48" t="str">
        <f t="shared" si="3"/>
        <v>3BR</v>
      </c>
      <c r="E30" s="47" t="str">
        <f t="shared" si="0"/>
        <v>AUD1BR3BR22Y_Quote</v>
      </c>
      <c r="F30" s="47" t="str">
        <f>_xll.qlSimpleQuote(E30,,RateTickValue,Permanent,Trigger,ObjectOverwrite)</f>
        <v>AUD1BR3BR22Y_Quote#0000</v>
      </c>
      <c r="G30" s="46" t="str">
        <f>_xll.ohRangeRetrieveError(F30)</f>
        <v/>
      </c>
      <c r="H30" s="45"/>
      <c r="N30" s="85"/>
      <c r="O30" s="153" t="s">
        <v>64</v>
      </c>
      <c r="P30" s="192" t="s">
        <v>278</v>
      </c>
      <c r="Q30" s="192" t="s">
        <v>256</v>
      </c>
      <c r="R30" s="190" t="str">
        <f t="shared" si="1"/>
        <v>AUBR3AB22Y</v>
      </c>
      <c r="S30" s="152" t="str">
        <v>AUBR3AB22Y=ICAA</v>
      </c>
      <c r="T30" s="256" t="s">
        <v>174</v>
      </c>
      <c r="U30" s="256" t="s">
        <v>174</v>
      </c>
      <c r="V30" s="247" t="e">
        <f>_xll.qlMidEquivalent(T30,U30)</f>
        <v>#NUM!</v>
      </c>
      <c r="W30" s="149"/>
      <c r="X30" s="255">
        <v>6.8667063519118905</v>
      </c>
      <c r="Y30" s="149"/>
      <c r="Z30" s="349" t="e">
        <v>#NUM!</v>
      </c>
      <c r="AA30" s="146" t="e">
        <f>_xll.qlSimpleQuoteSetValue(F30,Z30/10000,Trigger)</f>
        <v>#NUM!</v>
      </c>
      <c r="AB30" s="136"/>
    </row>
    <row r="31" spans="1:32" ht="11.25" customHeight="1" x14ac:dyDescent="0.2">
      <c r="A31" s="51"/>
      <c r="B31" s="50" t="s">
        <v>63</v>
      </c>
      <c r="C31" s="49" t="str">
        <f t="shared" si="2"/>
        <v>1BR</v>
      </c>
      <c r="D31" s="48" t="str">
        <f t="shared" si="3"/>
        <v>3BR</v>
      </c>
      <c r="E31" s="47" t="str">
        <f t="shared" si="0"/>
        <v>AUD1BR3BR23Y_Quote</v>
      </c>
      <c r="F31" s="47" t="str">
        <f>_xll.qlSimpleQuote(E31,,RateTickValue,Permanent,Trigger,ObjectOverwrite)</f>
        <v>AUD1BR3BR23Y_Quote#0000</v>
      </c>
      <c r="G31" s="46" t="str">
        <f>_xll.ohRangeRetrieveError(F31)</f>
        <v/>
      </c>
      <c r="H31" s="45"/>
      <c r="N31" s="85"/>
      <c r="O31" s="153" t="s">
        <v>63</v>
      </c>
      <c r="P31" s="192" t="s">
        <v>278</v>
      </c>
      <c r="Q31" s="192" t="s">
        <v>256</v>
      </c>
      <c r="R31" s="190" t="str">
        <f t="shared" si="1"/>
        <v>AUBR3AB23Y</v>
      </c>
      <c r="S31" s="152" t="str">
        <v>AUBR3AB23Y=ICAA</v>
      </c>
      <c r="T31" s="256" t="s">
        <v>174</v>
      </c>
      <c r="U31" s="256" t="s">
        <v>174</v>
      </c>
      <c r="V31" s="247" t="e">
        <f>_xll.qlMidEquivalent(T31,U31)</f>
        <v>#NUM!</v>
      </c>
      <c r="W31" s="149"/>
      <c r="X31" s="255">
        <v>6.5178042346079277</v>
      </c>
      <c r="Y31" s="149"/>
      <c r="Z31" s="349" t="e">
        <v>#NUM!</v>
      </c>
      <c r="AA31" s="146" t="e">
        <f>_xll.qlSimpleQuoteSetValue(F31,Z31/10000,Trigger)</f>
        <v>#NUM!</v>
      </c>
      <c r="AB31" s="136"/>
    </row>
    <row r="32" spans="1:32" ht="11.25" customHeight="1" x14ac:dyDescent="0.2">
      <c r="A32" s="51"/>
      <c r="B32" s="50" t="s">
        <v>62</v>
      </c>
      <c r="C32" s="49" t="str">
        <f t="shared" si="2"/>
        <v>1BR</v>
      </c>
      <c r="D32" s="48" t="str">
        <f t="shared" si="3"/>
        <v>3BR</v>
      </c>
      <c r="E32" s="47" t="str">
        <f t="shared" si="0"/>
        <v>AUD1BR3BR24Y_Quote</v>
      </c>
      <c r="F32" s="47" t="str">
        <f>_xll.qlSimpleQuote(E32,,RateTickValue,Permanent,Trigger,ObjectOverwrite)</f>
        <v>AUD1BR3BR24Y_Quote#0000</v>
      </c>
      <c r="G32" s="46" t="str">
        <f>_xll.ohRangeRetrieveError(F32)</f>
        <v/>
      </c>
      <c r="H32" s="45"/>
      <c r="N32" s="85"/>
      <c r="O32" s="153" t="s">
        <v>62</v>
      </c>
      <c r="P32" s="192" t="s">
        <v>278</v>
      </c>
      <c r="Q32" s="192" t="s">
        <v>256</v>
      </c>
      <c r="R32" s="190" t="str">
        <f t="shared" si="1"/>
        <v>AUBR3AB24Y</v>
      </c>
      <c r="S32" s="152" t="str">
        <v>AUBR3AB24Y=ICAA</v>
      </c>
      <c r="T32" s="256" t="s">
        <v>174</v>
      </c>
      <c r="U32" s="256" t="s">
        <v>174</v>
      </c>
      <c r="V32" s="247" t="e">
        <f>_xll.qlMidEquivalent(T32,U32)</f>
        <v>#NUM!</v>
      </c>
      <c r="W32" s="149"/>
      <c r="X32" s="255">
        <v>6.2126014115359762</v>
      </c>
      <c r="Y32" s="149"/>
      <c r="Z32" s="349" t="e">
        <v>#NUM!</v>
      </c>
      <c r="AA32" s="146" t="e">
        <f>_xll.qlSimpleQuoteSetValue(F32,Z32/10000,Trigger)</f>
        <v>#NUM!</v>
      </c>
      <c r="AB32" s="136"/>
    </row>
    <row r="33" spans="1:28" ht="11.25" customHeight="1" x14ac:dyDescent="0.2">
      <c r="A33" s="51"/>
      <c r="B33" s="50" t="s">
        <v>61</v>
      </c>
      <c r="C33" s="49" t="str">
        <f t="shared" si="2"/>
        <v>1BR</v>
      </c>
      <c r="D33" s="48" t="str">
        <f t="shared" si="3"/>
        <v>3BR</v>
      </c>
      <c r="E33" s="47" t="str">
        <f t="shared" si="0"/>
        <v>AUD1BR3BR25Y_Quote</v>
      </c>
      <c r="F33" s="47" t="str">
        <f>_xll.qlSimpleQuote(E33,,RateTickValue,Permanent,Trigger,ObjectOverwrite)</f>
        <v>AUD1BR3BR25Y_Quote#0000</v>
      </c>
      <c r="G33" s="46" t="str">
        <f>_xll.ohRangeRetrieveError(F33)</f>
        <v/>
      </c>
      <c r="H33" s="45"/>
      <c r="N33" s="85"/>
      <c r="O33" s="153" t="s">
        <v>61</v>
      </c>
      <c r="P33" s="192" t="s">
        <v>278</v>
      </c>
      <c r="Q33" s="192" t="s">
        <v>256</v>
      </c>
      <c r="R33" s="190" t="str">
        <f t="shared" si="1"/>
        <v>AUBR3AB25Y</v>
      </c>
      <c r="S33" s="152" t="str">
        <v>AUBR3AB25Y=ICAA</v>
      </c>
      <c r="T33" s="256">
        <v>4.5</v>
      </c>
      <c r="U33" s="256">
        <v>7.5</v>
      </c>
      <c r="V33" s="247">
        <f>_xll.qlMidEquivalent(T33,U33)</f>
        <v>6</v>
      </c>
      <c r="W33" s="149"/>
      <c r="X33" s="255">
        <v>6</v>
      </c>
      <c r="Y33" s="149"/>
      <c r="Z33" s="349">
        <v>6</v>
      </c>
      <c r="AA33" s="146">
        <f>_xll.qlSimpleQuoteSetValue(F33,Z33/10000,Trigger)</f>
        <v>0</v>
      </c>
      <c r="AB33" s="136"/>
    </row>
    <row r="34" spans="1:28" ht="11.25" customHeight="1" x14ac:dyDescent="0.2">
      <c r="A34" s="51"/>
      <c r="B34" s="50" t="s">
        <v>60</v>
      </c>
      <c r="C34" s="49" t="str">
        <f t="shared" si="2"/>
        <v>1BR</v>
      </c>
      <c r="D34" s="48" t="str">
        <f t="shared" si="3"/>
        <v>3BR</v>
      </c>
      <c r="E34" s="47" t="str">
        <f t="shared" si="0"/>
        <v>AUD1BR3BR26Y_Quote</v>
      </c>
      <c r="F34" s="47" t="str">
        <f>_xll.qlSimpleQuote(E34,,RateTickValue,Permanent,Trigger,ObjectOverwrite)</f>
        <v>AUD1BR3BR26Y_Quote#0000</v>
      </c>
      <c r="G34" s="46" t="str">
        <f>_xll.ohRangeRetrieveError(F34)</f>
        <v/>
      </c>
      <c r="H34" s="45"/>
      <c r="N34" s="85"/>
      <c r="O34" s="153" t="s">
        <v>60</v>
      </c>
      <c r="P34" s="192" t="s">
        <v>278</v>
      </c>
      <c r="Q34" s="192" t="s">
        <v>256</v>
      </c>
      <c r="R34" s="190" t="str">
        <f t="shared" si="1"/>
        <v>AUBR3AB26Y</v>
      </c>
      <c r="S34" s="152" t="str">
        <v>AUBR3AB26Y=ICAA</v>
      </c>
      <c r="T34" s="256" t="s">
        <v>174</v>
      </c>
      <c r="U34" s="256" t="s">
        <v>174</v>
      </c>
      <c r="V34" s="247" t="e">
        <f>_xll.qlMidEquivalent(T34,U34)</f>
        <v>#NUM!</v>
      </c>
      <c r="W34" s="149"/>
      <c r="X34" s="255">
        <v>5.8780000000000001</v>
      </c>
      <c r="Y34" s="149"/>
      <c r="Z34" s="349" t="e">
        <v>#NUM!</v>
      </c>
      <c r="AA34" s="146" t="e">
        <f>_xll.qlSimpleQuoteSetValue(F34,Z34/10000,Trigger)</f>
        <v>#NUM!</v>
      </c>
      <c r="AB34" s="136"/>
    </row>
    <row r="35" spans="1:28" ht="11.25" customHeight="1" x14ac:dyDescent="0.2">
      <c r="A35" s="51"/>
      <c r="B35" s="50" t="s">
        <v>59</v>
      </c>
      <c r="C35" s="49" t="str">
        <f t="shared" si="2"/>
        <v>1BR</v>
      </c>
      <c r="D35" s="48" t="str">
        <f t="shared" si="3"/>
        <v>3BR</v>
      </c>
      <c r="E35" s="47" t="str">
        <f t="shared" si="0"/>
        <v>AUD1BR3BR27Y_Quote</v>
      </c>
      <c r="F35" s="47" t="str">
        <f>_xll.qlSimpleQuote(E35,,RateTickValue,Permanent,Trigger,ObjectOverwrite)</f>
        <v>AUD1BR3BR27Y_Quote#0000</v>
      </c>
      <c r="G35" s="46" t="str">
        <f>_xll.ohRangeRetrieveError(F35)</f>
        <v/>
      </c>
      <c r="H35" s="45"/>
      <c r="N35" s="85"/>
      <c r="O35" s="153" t="s">
        <v>59</v>
      </c>
      <c r="P35" s="192" t="s">
        <v>278</v>
      </c>
      <c r="Q35" s="192" t="s">
        <v>256</v>
      </c>
      <c r="R35" s="190" t="str">
        <f t="shared" si="1"/>
        <v>AUBR3AB27Y</v>
      </c>
      <c r="S35" s="152" t="str">
        <v>AUBR3AB27Y=ICAA</v>
      </c>
      <c r="T35" s="256" t="s">
        <v>174</v>
      </c>
      <c r="U35" s="256" t="s">
        <v>174</v>
      </c>
      <c r="V35" s="247" t="e">
        <f>_xll.qlMidEquivalent(T35,U35)</f>
        <v>#NUM!</v>
      </c>
      <c r="W35" s="149"/>
      <c r="X35" s="255">
        <v>5.8040000000000003</v>
      </c>
      <c r="Y35" s="149"/>
      <c r="Z35" s="349" t="e">
        <v>#NUM!</v>
      </c>
      <c r="AA35" s="146" t="e">
        <f>_xll.qlSimpleQuoteSetValue(F35,Z35/10000,Trigger)</f>
        <v>#NUM!</v>
      </c>
      <c r="AB35" s="136"/>
    </row>
    <row r="36" spans="1:28" ht="11.25" customHeight="1" x14ac:dyDescent="0.2">
      <c r="A36" s="51"/>
      <c r="B36" s="50" t="s">
        <v>58</v>
      </c>
      <c r="C36" s="49" t="str">
        <f t="shared" si="2"/>
        <v>1BR</v>
      </c>
      <c r="D36" s="48" t="str">
        <f t="shared" si="3"/>
        <v>3BR</v>
      </c>
      <c r="E36" s="47" t="str">
        <f t="shared" si="0"/>
        <v>AUD1BR3BR28Y_Quote</v>
      </c>
      <c r="F36" s="47" t="str">
        <f>_xll.qlSimpleQuote(E36,,RateTickValue,Permanent,Trigger,ObjectOverwrite)</f>
        <v>AUD1BR3BR28Y_Quote#0000</v>
      </c>
      <c r="G36" s="46" t="str">
        <f>_xll.ohRangeRetrieveError(F36)</f>
        <v/>
      </c>
      <c r="H36" s="45"/>
      <c r="N36" s="85"/>
      <c r="O36" s="153" t="s">
        <v>58</v>
      </c>
      <c r="P36" s="192" t="s">
        <v>278</v>
      </c>
      <c r="Q36" s="192" t="s">
        <v>256</v>
      </c>
      <c r="R36" s="190" t="str">
        <f t="shared" si="1"/>
        <v>AUBR3AB28Y</v>
      </c>
      <c r="S36" s="152" t="str">
        <v>AUBR3AB28Y=ICAA</v>
      </c>
      <c r="T36" s="256" t="s">
        <v>174</v>
      </c>
      <c r="U36" s="256" t="s">
        <v>174</v>
      </c>
      <c r="V36" s="247" t="e">
        <f>_xll.qlMidEquivalent(T36,U36)</f>
        <v>#NUM!</v>
      </c>
      <c r="W36" s="149"/>
      <c r="X36" s="255">
        <v>5.766</v>
      </c>
      <c r="Y36" s="149"/>
      <c r="Z36" s="349" t="e">
        <v>#NUM!</v>
      </c>
      <c r="AA36" s="146" t="e">
        <f>_xll.qlSimpleQuoteSetValue(F36,Z36/10000,Trigger)</f>
        <v>#NUM!</v>
      </c>
      <c r="AB36" s="136"/>
    </row>
    <row r="37" spans="1:28" ht="11.25" customHeight="1" x14ac:dyDescent="0.2">
      <c r="A37" s="51"/>
      <c r="B37" s="50" t="s">
        <v>57</v>
      </c>
      <c r="C37" s="49" t="str">
        <f t="shared" si="2"/>
        <v>1BR</v>
      </c>
      <c r="D37" s="48" t="str">
        <f t="shared" si="3"/>
        <v>3BR</v>
      </c>
      <c r="E37" s="47" t="str">
        <f t="shared" si="0"/>
        <v>AUD1BR3BR29Y_Quote</v>
      </c>
      <c r="F37" s="47" t="str">
        <f>_xll.qlSimpleQuote(E37,,RateTickValue,Permanent,Trigger,ObjectOverwrite)</f>
        <v>AUD1BR3BR29Y_Quote#0000</v>
      </c>
      <c r="G37" s="46" t="str">
        <f>_xll.ohRangeRetrieveError(F37)</f>
        <v/>
      </c>
      <c r="H37" s="45"/>
      <c r="N37" s="85"/>
      <c r="O37" s="153" t="s">
        <v>57</v>
      </c>
      <c r="P37" s="192" t="s">
        <v>278</v>
      </c>
      <c r="Q37" s="192" t="s">
        <v>256</v>
      </c>
      <c r="R37" s="190" t="str">
        <f t="shared" si="1"/>
        <v>AUBR3AB29Y</v>
      </c>
      <c r="S37" s="152" t="str">
        <v>AUBR3AB29Y=ICAA</v>
      </c>
      <c r="T37" s="256" t="s">
        <v>174</v>
      </c>
      <c r="U37" s="256" t="s">
        <v>174</v>
      </c>
      <c r="V37" s="247" t="e">
        <f>_xll.qlMidEquivalent(T37,U37)</f>
        <v>#NUM!</v>
      </c>
      <c r="W37" s="149"/>
      <c r="X37" s="255">
        <v>5.7519999999999998</v>
      </c>
      <c r="Y37" s="149"/>
      <c r="Z37" s="349" t="e">
        <v>#NUM!</v>
      </c>
      <c r="AA37" s="146" t="e">
        <f>_xll.qlSimpleQuoteSetValue(F37,Z37/10000,Trigger)</f>
        <v>#NUM!</v>
      </c>
      <c r="AB37" s="136"/>
    </row>
    <row r="38" spans="1:28" ht="11.25" customHeight="1" x14ac:dyDescent="0.2">
      <c r="A38" s="51"/>
      <c r="B38" s="50" t="s">
        <v>56</v>
      </c>
      <c r="C38" s="49" t="str">
        <f t="shared" si="2"/>
        <v>1BR</v>
      </c>
      <c r="D38" s="48" t="str">
        <f t="shared" si="3"/>
        <v>3BR</v>
      </c>
      <c r="E38" s="47" t="str">
        <f t="shared" si="0"/>
        <v>AUD1BR3BR30Y_Quote</v>
      </c>
      <c r="F38" s="47" t="str">
        <f>_xll.qlSimpleQuote(E38,,RateTickValue,Permanent,Trigger,ObjectOverwrite)</f>
        <v>AUD1BR3BR30Y_Quote#0000</v>
      </c>
      <c r="G38" s="46" t="str">
        <f>_xll.ohRangeRetrieveError(F38)</f>
        <v/>
      </c>
      <c r="H38" s="45"/>
      <c r="N38" s="85"/>
      <c r="O38" s="153" t="s">
        <v>56</v>
      </c>
      <c r="P38" s="192" t="s">
        <v>278</v>
      </c>
      <c r="Q38" s="192" t="s">
        <v>256</v>
      </c>
      <c r="R38" s="190" t="str">
        <f t="shared" si="1"/>
        <v>AUBR3AB30Y</v>
      </c>
      <c r="S38" s="152" t="str">
        <v>AUBR3AB30Y=ICAA</v>
      </c>
      <c r="T38" s="256">
        <v>4.25</v>
      </c>
      <c r="U38" s="256">
        <v>7.25</v>
      </c>
      <c r="V38" s="247">
        <f>_xll.qlMidEquivalent(T38,U38)</f>
        <v>5.75</v>
      </c>
      <c r="W38" s="149"/>
      <c r="X38" s="255">
        <v>5.75</v>
      </c>
      <c r="Y38" s="149"/>
      <c r="Z38" s="349">
        <v>5.75</v>
      </c>
      <c r="AA38" s="146">
        <f>_xll.qlSimpleQuoteSetValue(F38,Z38/10000,Trigger)</f>
        <v>0</v>
      </c>
      <c r="AB38" s="136"/>
    </row>
    <row r="39" spans="1:28" ht="11.25" customHeight="1" x14ac:dyDescent="0.2">
      <c r="A39" s="51"/>
      <c r="B39" s="50" t="s">
        <v>51</v>
      </c>
      <c r="C39" s="49" t="str">
        <f t="shared" si="2"/>
        <v>1BR</v>
      </c>
      <c r="D39" s="48" t="str">
        <f t="shared" si="3"/>
        <v>3BR</v>
      </c>
      <c r="E39" s="47" t="str">
        <f t="shared" si="0"/>
        <v>AUD1BR3BR35Y_Quote</v>
      </c>
      <c r="F39" s="47" t="str">
        <f>_xll.qlSimpleQuote(E39,,RateTickValue,Permanent,Trigger,ObjectOverwrite)</f>
        <v>AUD1BR3BR35Y_Quote#0000</v>
      </c>
      <c r="G39" s="46" t="str">
        <f>_xll.ohRangeRetrieveError(F39)</f>
        <v/>
      </c>
      <c r="H39" s="45"/>
      <c r="N39" s="85"/>
      <c r="O39" s="153" t="s">
        <v>51</v>
      </c>
      <c r="P39" s="192" t="s">
        <v>278</v>
      </c>
      <c r="Q39" s="192" t="s">
        <v>256</v>
      </c>
      <c r="R39" s="190" t="str">
        <f t="shared" si="1"/>
        <v>AUBR3AB35Y</v>
      </c>
      <c r="S39" s="152" t="str">
        <v>AUBR3AB35Y=ICAA</v>
      </c>
      <c r="T39" s="256" t="s">
        <v>174</v>
      </c>
      <c r="U39" s="256" t="s">
        <v>174</v>
      </c>
      <c r="V39" s="247" t="e">
        <f>_xll.qlMidEquivalent(T39,U39)</f>
        <v>#NUM!</v>
      </c>
      <c r="W39" s="149"/>
      <c r="X39" s="255">
        <v>5.75</v>
      </c>
      <c r="Y39" s="149"/>
      <c r="Z39" s="349" t="e">
        <v>#NUM!</v>
      </c>
      <c r="AA39" s="146" t="e">
        <f>_xll.qlSimpleQuoteSetValue(F39,Z39/10000,Trigger)</f>
        <v>#NUM!</v>
      </c>
      <c r="AB39" s="136"/>
    </row>
    <row r="40" spans="1:28" ht="11.25" customHeight="1" x14ac:dyDescent="0.2">
      <c r="A40" s="51"/>
      <c r="B40" s="50" t="s">
        <v>46</v>
      </c>
      <c r="C40" s="49" t="str">
        <f t="shared" si="2"/>
        <v>1BR</v>
      </c>
      <c r="D40" s="48" t="str">
        <f t="shared" si="3"/>
        <v>3BR</v>
      </c>
      <c r="E40" s="47" t="str">
        <f t="shared" si="0"/>
        <v>AUD1BR3BR40Y_Quote</v>
      </c>
      <c r="F40" s="47" t="str">
        <f>_xll.qlSimpleQuote(E40,,RateTickValue,Permanent,Trigger,ObjectOverwrite)</f>
        <v>AUD1BR3BR40Y_Quote#0000</v>
      </c>
      <c r="G40" s="46" t="str">
        <f>_xll.ohRangeRetrieveError(F40)</f>
        <v/>
      </c>
      <c r="H40" s="45"/>
      <c r="N40" s="85"/>
      <c r="O40" s="153" t="s">
        <v>46</v>
      </c>
      <c r="P40" s="192" t="s">
        <v>278</v>
      </c>
      <c r="Q40" s="192" t="s">
        <v>256</v>
      </c>
      <c r="R40" s="190" t="str">
        <f t="shared" si="1"/>
        <v>AUBR3AB40Y</v>
      </c>
      <c r="S40" s="152" t="str">
        <v>AUBR3AB40Y=ICAA</v>
      </c>
      <c r="T40" s="256" t="s">
        <v>174</v>
      </c>
      <c r="U40" s="256" t="s">
        <v>174</v>
      </c>
      <c r="V40" s="247" t="e">
        <f>_xll.qlMidEquivalent(T40,U40)</f>
        <v>#NUM!</v>
      </c>
      <c r="W40" s="149"/>
      <c r="X40" s="255">
        <v>5.75</v>
      </c>
      <c r="Y40" s="149"/>
      <c r="Z40" s="349" t="e">
        <v>#NUM!</v>
      </c>
      <c r="AA40" s="146" t="e">
        <f>_xll.qlSimpleQuoteSetValue(F40,Z40/10000,Trigger)</f>
        <v>#NUM!</v>
      </c>
      <c r="AB40" s="136"/>
    </row>
    <row r="41" spans="1:28" ht="11.25" customHeight="1" x14ac:dyDescent="0.2">
      <c r="A41" s="51"/>
      <c r="B41" s="50" t="s">
        <v>36</v>
      </c>
      <c r="C41" s="49" t="str">
        <f t="shared" si="2"/>
        <v>1BR</v>
      </c>
      <c r="D41" s="48" t="str">
        <f t="shared" si="3"/>
        <v>3BR</v>
      </c>
      <c r="E41" s="47" t="str">
        <f t="shared" si="0"/>
        <v>AUD1BR3BR50Y_Quote</v>
      </c>
      <c r="F41" s="47" t="str">
        <f>_xll.qlSimpleQuote(E41,,RateTickValue,Permanent,Trigger,ObjectOverwrite)</f>
        <v>AUD1BR3BR50Y_Quote#0000</v>
      </c>
      <c r="G41" s="46" t="str">
        <f>_xll.ohRangeRetrieveError(F41)</f>
        <v/>
      </c>
      <c r="H41" s="45"/>
      <c r="N41" s="85"/>
      <c r="O41" s="153" t="s">
        <v>36</v>
      </c>
      <c r="P41" s="192" t="s">
        <v>278</v>
      </c>
      <c r="Q41" s="192" t="s">
        <v>256</v>
      </c>
      <c r="R41" s="190" t="str">
        <f t="shared" si="1"/>
        <v>AUBR3AB50Y</v>
      </c>
      <c r="S41" s="152" t="str">
        <v>AUBR3AB50Y=ICAA</v>
      </c>
      <c r="T41" s="256" t="s">
        <v>174</v>
      </c>
      <c r="U41" s="256" t="s">
        <v>174</v>
      </c>
      <c r="V41" s="247" t="e">
        <f>_xll.qlMidEquivalent(T41,U41)</f>
        <v>#NUM!</v>
      </c>
      <c r="W41" s="149"/>
      <c r="X41" s="255">
        <v>5.75</v>
      </c>
      <c r="Y41" s="149"/>
      <c r="Z41" s="349" t="e">
        <v>#NUM!</v>
      </c>
      <c r="AA41" s="146" t="e">
        <f>_xll.qlSimpleQuoteSetValue(F41,Z41/10000,Trigger)</f>
        <v>#NUM!</v>
      </c>
      <c r="AB41" s="136"/>
    </row>
    <row r="42" spans="1:28" ht="11.25" customHeight="1" x14ac:dyDescent="0.2">
      <c r="A42" s="51"/>
      <c r="B42" s="50" t="s">
        <v>26</v>
      </c>
      <c r="C42" s="49" t="str">
        <f t="shared" si="2"/>
        <v>1BR</v>
      </c>
      <c r="D42" s="48" t="str">
        <f t="shared" si="3"/>
        <v>3BR</v>
      </c>
      <c r="E42" s="47" t="str">
        <f t="shared" si="0"/>
        <v>AUD1BR3BR60Y_Quote</v>
      </c>
      <c r="F42" s="47" t="str">
        <f>_xll.qlSimpleQuote(E42,,RateTickValue,Permanent,Trigger,ObjectOverwrite)</f>
        <v>AUD1BR3BR60Y_Quote#0000</v>
      </c>
      <c r="G42" s="46" t="str">
        <f>_xll.ohRangeRetrieveError(F42)</f>
        <v/>
      </c>
      <c r="H42" s="45"/>
      <c r="N42" s="85"/>
      <c r="O42" s="153" t="s">
        <v>26</v>
      </c>
      <c r="P42" s="192" t="s">
        <v>278</v>
      </c>
      <c r="Q42" s="192" t="s">
        <v>256</v>
      </c>
      <c r="R42" s="186" t="str">
        <f t="shared" si="1"/>
        <v>AUBR3AB60Y</v>
      </c>
      <c r="S42" s="163" t="str">
        <v>AUBR3AB60Y=ICAA</v>
      </c>
      <c r="T42" s="254" t="s">
        <v>174</v>
      </c>
      <c r="U42" s="254" t="s">
        <v>174</v>
      </c>
      <c r="V42" s="448" t="e">
        <f>_xll.qlMidEquivalent(T42,U42)</f>
        <v>#NUM!</v>
      </c>
      <c r="W42" s="149"/>
      <c r="X42" s="253">
        <v>5.75</v>
      </c>
      <c r="Y42" s="149"/>
      <c r="Z42" s="350" t="e">
        <v>#NUM!</v>
      </c>
      <c r="AA42" s="159" t="e">
        <f>_xll.qlSimpleQuoteSetValue(F42,Z42/10000,Trigger)</f>
        <v>#NUM!</v>
      </c>
      <c r="AB42" s="136"/>
    </row>
    <row r="43" spans="1:28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N43" s="20"/>
      <c r="O43" s="145"/>
      <c r="P43" s="145"/>
      <c r="Q43" s="145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84"/>
    </row>
  </sheetData>
  <conditionalFormatting sqref="AA5:AA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H43"/>
  <sheetViews>
    <sheetView zoomScaleNormal="100" workbookViewId="0">
      <selection activeCell="S2" sqref="S2"/>
    </sheetView>
  </sheetViews>
  <sheetFormatPr defaultRowHeight="12.75" x14ac:dyDescent="0.2"/>
  <cols>
    <col min="1" max="1" width="2.7109375" style="11" customWidth="1"/>
    <col min="2" max="2" width="6.5703125" style="11" bestFit="1" customWidth="1"/>
    <col min="3" max="4" width="3.85546875" style="11" bestFit="1" customWidth="1"/>
    <col min="5" max="5" width="20.140625" style="11" bestFit="1" customWidth="1"/>
    <col min="6" max="6" width="22.42578125" style="11" bestFit="1" customWidth="1"/>
    <col min="7" max="7" width="36.28515625" style="11" customWidth="1"/>
    <col min="8" max="9" width="2.7109375" style="11" customWidth="1"/>
    <col min="10" max="12" width="3.5703125" style="11" customWidth="1"/>
    <col min="13" max="14" width="2.7109375" style="11" customWidth="1"/>
    <col min="15" max="17" width="9.140625" style="11"/>
    <col min="18" max="18" width="11" style="11" bestFit="1" customWidth="1"/>
    <col min="19" max="19" width="15.85546875" style="11" bestFit="1" customWidth="1"/>
    <col min="20" max="22" width="9.140625" style="11"/>
    <col min="23" max="23" width="2.7109375" style="11" customWidth="1"/>
    <col min="24" max="24" width="9.140625" style="11"/>
    <col min="25" max="25" width="2.7109375" style="11" customWidth="1"/>
    <col min="26" max="27" width="9.140625" style="11"/>
    <col min="28" max="29" width="2.7109375" style="11" customWidth="1"/>
    <col min="30" max="16384" width="9.140625" style="11"/>
  </cols>
  <sheetData>
    <row r="1" spans="1:34" x14ac:dyDescent="0.2">
      <c r="N1" s="200"/>
      <c r="O1" s="127"/>
      <c r="P1" s="127"/>
      <c r="Q1" s="127"/>
      <c r="R1" s="127"/>
      <c r="S1" s="127" t="s">
        <v>207</v>
      </c>
      <c r="T1" s="127"/>
      <c r="U1" s="127"/>
      <c r="V1" s="127"/>
      <c r="W1" s="127"/>
      <c r="X1" s="127"/>
      <c r="Y1" s="127"/>
      <c r="Z1" s="127"/>
      <c r="AA1" s="127"/>
      <c r="AB1" s="124"/>
      <c r="AC1" s="12"/>
      <c r="AD1" s="12"/>
      <c r="AF1" s="12"/>
      <c r="AG1" s="12"/>
      <c r="AH1" s="12"/>
    </row>
    <row r="2" spans="1:34" ht="15" x14ac:dyDescent="0.25">
      <c r="I2"/>
      <c r="N2" s="181"/>
      <c r="O2" s="88"/>
      <c r="P2" s="149"/>
      <c r="Q2" s="149"/>
      <c r="R2" s="149"/>
      <c r="S2" s="95" t="s">
        <v>284</v>
      </c>
      <c r="T2" s="149"/>
      <c r="U2" s="149"/>
      <c r="V2" s="149"/>
      <c r="W2" s="149"/>
      <c r="X2" s="149"/>
      <c r="Y2" s="149"/>
      <c r="Z2" s="149"/>
      <c r="AA2" s="88"/>
      <c r="AB2" s="21"/>
      <c r="AC2" s="12"/>
      <c r="AD2" s="12"/>
      <c r="AE2" s="12"/>
      <c r="AF2" s="12"/>
      <c r="AG2" s="12"/>
      <c r="AH2" s="12"/>
    </row>
    <row r="3" spans="1:34" x14ac:dyDescent="0.2">
      <c r="A3" s="69"/>
      <c r="B3" s="64"/>
      <c r="C3" s="64"/>
      <c r="D3" s="64"/>
      <c r="E3" s="65"/>
      <c r="F3" s="66"/>
      <c r="G3" s="65"/>
      <c r="H3" s="61"/>
      <c r="N3" s="85"/>
      <c r="O3" s="149"/>
      <c r="P3" s="88"/>
      <c r="Q3" s="88"/>
      <c r="R3" s="88"/>
      <c r="S3" s="88"/>
      <c r="T3" s="88"/>
      <c r="U3" s="88"/>
      <c r="V3" s="88"/>
      <c r="W3" s="149"/>
      <c r="X3" s="149"/>
      <c r="Y3" s="149"/>
      <c r="Z3" s="88"/>
      <c r="AA3" s="178">
        <f>_xll.ohTrigger(AA5:AA42)</f>
        <v>2</v>
      </c>
      <c r="AB3" s="136"/>
      <c r="AC3" s="12"/>
      <c r="AD3" s="12"/>
      <c r="AE3" s="12"/>
      <c r="AF3" s="12"/>
      <c r="AG3" s="12"/>
      <c r="AH3" s="12"/>
    </row>
    <row r="4" spans="1:34" ht="22.5" x14ac:dyDescent="0.25">
      <c r="A4" s="51"/>
      <c r="B4" s="59" t="s">
        <v>104</v>
      </c>
      <c r="C4" s="60"/>
      <c r="D4" s="59"/>
      <c r="E4" s="58" t="str">
        <f>Currency&amp;"_010_Sw"&amp;$C$6&amp;$D$6&amp;".xml"</f>
        <v>AUD_010_Sw3BR6BR.xml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J4"/>
      <c r="N4" s="85"/>
      <c r="O4" s="199"/>
      <c r="P4" s="122"/>
      <c r="Q4" s="122"/>
      <c r="R4" s="122"/>
      <c r="S4" s="144" t="str">
        <f>_xll.RData(S5:S42,T4:U4,"RTFEED:IDN",ReutersRtMode,,T5)</f>
        <v>Paused at 12:08:05</v>
      </c>
      <c r="T4" s="198" t="s">
        <v>163</v>
      </c>
      <c r="U4" s="198" t="s">
        <v>162</v>
      </c>
      <c r="V4" s="177" t="s">
        <v>206</v>
      </c>
      <c r="W4" s="149"/>
      <c r="X4" s="176" t="s">
        <v>192</v>
      </c>
      <c r="Y4" s="149"/>
      <c r="Z4" s="347" t="s">
        <v>190</v>
      </c>
      <c r="AA4" s="60" t="s">
        <v>189</v>
      </c>
      <c r="AB4" s="136"/>
      <c r="AC4" s="12"/>
      <c r="AD4" s="12"/>
      <c r="AE4" s="12"/>
      <c r="AF4" s="12"/>
      <c r="AG4" s="12"/>
      <c r="AH4" s="197"/>
    </row>
    <row r="5" spans="1:34" ht="11.25" customHeight="1" x14ac:dyDescent="0.2">
      <c r="A5" s="51"/>
      <c r="B5" s="56" t="s">
        <v>14</v>
      </c>
      <c r="C5" s="49" t="s">
        <v>281</v>
      </c>
      <c r="D5" s="48" t="s">
        <v>282</v>
      </c>
      <c r="E5" s="47" t="str">
        <f t="shared" ref="E5:E42" si="0">IF(ISBLANK(C5),"#",Currency&amp;$C5&amp;$D5&amp;$B5&amp;QuoteSuffix)</f>
        <v>AUD3BR6BR6M_Quote</v>
      </c>
      <c r="F5" s="47" t="str">
        <f>_xll.qlSimpleQuote(E5,,RateTickValue,Permanent,Trigger,ObjectOverwrite)</f>
        <v>AUD3BR6BR6M_Quote#0000</v>
      </c>
      <c r="G5" s="46" t="str">
        <f>_xll.ohRangeRetrieveError(F5)</f>
        <v/>
      </c>
      <c r="H5" s="45"/>
      <c r="N5" s="257"/>
      <c r="O5" s="153" t="s">
        <v>14</v>
      </c>
      <c r="P5" s="192" t="s">
        <v>278</v>
      </c>
      <c r="Q5" s="192" t="s">
        <v>258</v>
      </c>
      <c r="R5" s="190" t="str">
        <f t="shared" ref="R5:R42" si="1">SUBSTITUTE(Currency,"D","")&amp;P5&amp;Q5&amp;O5</f>
        <v>AUBR6AB6M</v>
      </c>
      <c r="S5" s="152" t="str">
        <f t="array" ref="S5:S42">Instruments&amp;"="&amp;VLOOKUP(Contributor,ContributorTable,2,FALSE)</f>
        <v>AUBR6AB6M=ICAA</v>
      </c>
      <c r="T5" s="256">
        <v>2.625</v>
      </c>
      <c r="U5" s="256">
        <v>4.625</v>
      </c>
      <c r="V5" s="247">
        <f>_xll.qlMidEquivalent(T5,U5)</f>
        <v>3.625</v>
      </c>
      <c r="W5" s="149"/>
      <c r="X5" s="255">
        <v>3.625</v>
      </c>
      <c r="Y5" s="149"/>
      <c r="Z5" s="349">
        <f t="array" ref="Z5:Z42">QuoteLive</f>
        <v>3.625</v>
      </c>
      <c r="AA5" s="146">
        <f>_xll.qlSimpleQuoteSetValue(F5,Z5/10000,Trigger)</f>
        <v>0</v>
      </c>
      <c r="AB5" s="136"/>
      <c r="AC5" s="12"/>
      <c r="AD5" s="12"/>
      <c r="AE5" s="12"/>
      <c r="AF5" s="12"/>
      <c r="AG5" s="12"/>
      <c r="AH5" s="252"/>
    </row>
    <row r="6" spans="1:34" ht="11.25" customHeight="1" x14ac:dyDescent="0.2">
      <c r="A6" s="51"/>
      <c r="B6" s="56" t="s">
        <v>8</v>
      </c>
      <c r="C6" s="49" t="s">
        <v>281</v>
      </c>
      <c r="D6" s="48" t="s">
        <v>282</v>
      </c>
      <c r="E6" s="47" t="str">
        <f t="shared" si="0"/>
        <v>AUD3BR6BR1Y_Quote</v>
      </c>
      <c r="F6" s="47" t="str">
        <f>_xll.qlSimpleQuote(E6,,RateTickValue,Permanent,Trigger,ObjectOverwrite)</f>
        <v>AUD3BR6BR1Y_Quote#0000</v>
      </c>
      <c r="G6" s="46" t="str">
        <f>_xll.ohRangeRetrieveError(F6)</f>
        <v/>
      </c>
      <c r="H6" s="45"/>
      <c r="N6" s="257"/>
      <c r="O6" s="153" t="s">
        <v>8</v>
      </c>
      <c r="P6" s="192" t="s">
        <v>278</v>
      </c>
      <c r="Q6" s="192" t="s">
        <v>258</v>
      </c>
      <c r="R6" s="190" t="str">
        <f t="shared" si="1"/>
        <v>AUBR6AB1Y</v>
      </c>
      <c r="S6" s="152" t="str">
        <v>AUBR6AB1Y=ICAA</v>
      </c>
      <c r="T6" s="256">
        <v>4</v>
      </c>
      <c r="U6" s="256">
        <v>6</v>
      </c>
      <c r="V6" s="247">
        <f>_xll.qlMidEquivalent(T6,U6)</f>
        <v>5</v>
      </c>
      <c r="W6" s="149"/>
      <c r="X6" s="255">
        <v>5</v>
      </c>
      <c r="Y6" s="149"/>
      <c r="Z6" s="349">
        <v>5</v>
      </c>
      <c r="AA6" s="146">
        <f>_xll.qlSimpleQuoteSetValue(F6,Z6/10000,Trigger)</f>
        <v>0</v>
      </c>
      <c r="AB6" s="136"/>
      <c r="AC6" s="12"/>
      <c r="AD6" s="12"/>
      <c r="AE6" s="12"/>
      <c r="AF6" s="12"/>
      <c r="AG6" s="12"/>
      <c r="AH6" s="252"/>
    </row>
    <row r="7" spans="1:34" ht="11.25" customHeight="1" x14ac:dyDescent="0.2">
      <c r="A7" s="51"/>
      <c r="B7" s="56" t="s">
        <v>103</v>
      </c>
      <c r="C7" s="49" t="s">
        <v>281</v>
      </c>
      <c r="D7" s="48" t="s">
        <v>282</v>
      </c>
      <c r="E7" s="47" t="str">
        <f t="shared" si="0"/>
        <v>AUD3BR6BR15M_Quote</v>
      </c>
      <c r="F7" s="47" t="str">
        <f>_xll.qlSimpleQuote(E7,,RateTickValue,Permanent,Trigger,ObjectOverwrite)</f>
        <v>AUD3BR6BR15M_Quote#0000</v>
      </c>
      <c r="G7" s="46" t="str">
        <f>_xll.ohRangeRetrieveError(F7)</f>
        <v/>
      </c>
      <c r="H7" s="45"/>
      <c r="N7" s="257"/>
      <c r="O7" s="153" t="s">
        <v>103</v>
      </c>
      <c r="P7" s="192" t="s">
        <v>278</v>
      </c>
      <c r="Q7" s="192" t="s">
        <v>258</v>
      </c>
      <c r="R7" s="190" t="str">
        <f t="shared" si="1"/>
        <v>AUBR6AB15M</v>
      </c>
      <c r="S7" s="152" t="str">
        <v>AUBR6AB15M=ICAA</v>
      </c>
      <c r="T7" s="256" t="s">
        <v>174</v>
      </c>
      <c r="U7" s="256" t="s">
        <v>174</v>
      </c>
      <c r="V7" s="247" t="e">
        <f>_xll.qlMidEquivalent(T7,U7)</f>
        <v>#NUM!</v>
      </c>
      <c r="W7" s="149"/>
      <c r="X7" s="255" t="e">
        <v>#NUM!</v>
      </c>
      <c r="Y7" s="149"/>
      <c r="Z7" s="349" t="e">
        <v>#NUM!</v>
      </c>
      <c r="AA7" s="146" t="e">
        <f>_xll.qlSimpleQuoteSetValue(F7,Z7/10000,Trigger)</f>
        <v>#NUM!</v>
      </c>
      <c r="AB7" s="136"/>
      <c r="AC7" s="12"/>
      <c r="AD7" s="12"/>
      <c r="AE7" s="12"/>
      <c r="AF7" s="12"/>
      <c r="AG7" s="12"/>
      <c r="AH7" s="252"/>
    </row>
    <row r="8" spans="1:34" ht="11.25" customHeight="1" x14ac:dyDescent="0.2">
      <c r="A8" s="51"/>
      <c r="B8" s="56" t="s">
        <v>102</v>
      </c>
      <c r="C8" s="49" t="s">
        <v>281</v>
      </c>
      <c r="D8" s="48" t="s">
        <v>282</v>
      </c>
      <c r="E8" s="47" t="str">
        <f t="shared" si="0"/>
        <v>AUD3BR6BR18M_Quote</v>
      </c>
      <c r="F8" s="47" t="str">
        <f>_xll.qlSimpleQuote(E8,,RateTickValue,Permanent,Trigger,ObjectOverwrite)</f>
        <v>AUD3BR6BR18M_Quote#0000</v>
      </c>
      <c r="G8" s="46" t="str">
        <f>_xll.ohRangeRetrieveError(F8)</f>
        <v/>
      </c>
      <c r="H8" s="45"/>
      <c r="N8" s="257"/>
      <c r="O8" s="153" t="s">
        <v>102</v>
      </c>
      <c r="P8" s="192" t="s">
        <v>278</v>
      </c>
      <c r="Q8" s="192" t="s">
        <v>258</v>
      </c>
      <c r="R8" s="190" t="str">
        <f t="shared" si="1"/>
        <v>AUBR6AB18M</v>
      </c>
      <c r="S8" s="152" t="str">
        <v>AUBR6AB18M=ICAA</v>
      </c>
      <c r="T8" s="256" t="s">
        <v>174</v>
      </c>
      <c r="U8" s="256" t="s">
        <v>174</v>
      </c>
      <c r="V8" s="247" t="e">
        <f>_xll.qlMidEquivalent(T8,U8)</f>
        <v>#NUM!</v>
      </c>
      <c r="W8" s="149"/>
      <c r="X8" s="255" t="e">
        <v>#NUM!</v>
      </c>
      <c r="Y8" s="149"/>
      <c r="Z8" s="349" t="e">
        <v>#NUM!</v>
      </c>
      <c r="AA8" s="146" t="e">
        <f>_xll.qlSimpleQuoteSetValue(F8,Z8/10000,Trigger)</f>
        <v>#NUM!</v>
      </c>
      <c r="AB8" s="136"/>
      <c r="AC8" s="12"/>
      <c r="AD8" s="12"/>
      <c r="AE8" s="12"/>
      <c r="AF8" s="12"/>
      <c r="AG8" s="12"/>
      <c r="AH8" s="252"/>
    </row>
    <row r="9" spans="1:34" ht="11.25" customHeight="1" x14ac:dyDescent="0.2">
      <c r="A9" s="51"/>
      <c r="B9" s="56" t="s">
        <v>101</v>
      </c>
      <c r="C9" s="49" t="s">
        <v>281</v>
      </c>
      <c r="D9" s="48" t="s">
        <v>282</v>
      </c>
      <c r="E9" s="47" t="str">
        <f t="shared" si="0"/>
        <v>AUD3BR6BR21M_Quote</v>
      </c>
      <c r="F9" s="47" t="str">
        <f>_xll.qlSimpleQuote(E9,,RateTickValue,Permanent,Trigger,ObjectOverwrite)</f>
        <v>AUD3BR6BR21M_Quote#0000</v>
      </c>
      <c r="G9" s="46" t="str">
        <f>_xll.ohRangeRetrieveError(F9)</f>
        <v/>
      </c>
      <c r="H9" s="45"/>
      <c r="N9" s="257"/>
      <c r="O9" s="153" t="s">
        <v>101</v>
      </c>
      <c r="P9" s="192" t="s">
        <v>278</v>
      </c>
      <c r="Q9" s="192" t="s">
        <v>258</v>
      </c>
      <c r="R9" s="190" t="str">
        <f t="shared" si="1"/>
        <v>AUBR6AB21M</v>
      </c>
      <c r="S9" s="152" t="str">
        <v>AUBR6AB21M=ICAA</v>
      </c>
      <c r="T9" s="256" t="s">
        <v>174</v>
      </c>
      <c r="U9" s="256" t="s">
        <v>174</v>
      </c>
      <c r="V9" s="247" t="e">
        <f>_xll.qlMidEquivalent(T9,U9)</f>
        <v>#NUM!</v>
      </c>
      <c r="W9" s="149"/>
      <c r="X9" s="255" t="e">
        <v>#NUM!</v>
      </c>
      <c r="Y9" s="149"/>
      <c r="Z9" s="349" t="e">
        <v>#NUM!</v>
      </c>
      <c r="AA9" s="146" t="e">
        <f>_xll.qlSimpleQuoteSetValue(F9,Z9/10000,Trigger)</f>
        <v>#NUM!</v>
      </c>
      <c r="AB9" s="136"/>
      <c r="AC9" s="12"/>
      <c r="AD9" s="12"/>
      <c r="AE9" s="12"/>
      <c r="AF9" s="12"/>
      <c r="AG9" s="12"/>
      <c r="AH9" s="252"/>
    </row>
    <row r="10" spans="1:34" ht="11.25" customHeight="1" x14ac:dyDescent="0.2">
      <c r="A10" s="51"/>
      <c r="B10" s="50" t="s">
        <v>84</v>
      </c>
      <c r="C10" s="49" t="s">
        <v>281</v>
      </c>
      <c r="D10" s="48" t="s">
        <v>282</v>
      </c>
      <c r="E10" s="47" t="str">
        <f t="shared" si="0"/>
        <v>AUD3BR6BR2Y_Quote</v>
      </c>
      <c r="F10" s="47" t="str">
        <f>_xll.qlSimpleQuote(E10,,RateTickValue,Permanent,Trigger,ObjectOverwrite)</f>
        <v>AUD3BR6BR2Y_Quote#0000</v>
      </c>
      <c r="G10" s="46" t="str">
        <f>_xll.ohRangeRetrieveError(F10)</f>
        <v/>
      </c>
      <c r="H10" s="45"/>
      <c r="N10" s="85"/>
      <c r="O10" s="153" t="s">
        <v>84</v>
      </c>
      <c r="P10" s="192" t="s">
        <v>278</v>
      </c>
      <c r="Q10" s="192" t="s">
        <v>258</v>
      </c>
      <c r="R10" s="190" t="str">
        <f t="shared" si="1"/>
        <v>AUBR6AB2Y</v>
      </c>
      <c r="S10" s="152" t="str">
        <v>AUBR6AB2Y=ICAA</v>
      </c>
      <c r="T10" s="256">
        <v>4.875</v>
      </c>
      <c r="U10" s="256">
        <v>6.875</v>
      </c>
      <c r="V10" s="247">
        <f>_xll.qlMidEquivalent(T10,U10)</f>
        <v>5.875</v>
      </c>
      <c r="W10" s="149"/>
      <c r="X10" s="255">
        <v>5.875</v>
      </c>
      <c r="Y10" s="149"/>
      <c r="Z10" s="349">
        <v>5.875</v>
      </c>
      <c r="AA10" s="146">
        <f>_xll.qlSimpleQuoteSetValue(F10,Z10/10000,Trigger)</f>
        <v>0</v>
      </c>
      <c r="AB10" s="136"/>
      <c r="AC10" s="12"/>
      <c r="AD10" s="12"/>
      <c r="AE10" s="12"/>
      <c r="AF10" s="12"/>
      <c r="AG10" s="12"/>
      <c r="AH10" s="252"/>
    </row>
    <row r="11" spans="1:34" ht="11.25" customHeight="1" x14ac:dyDescent="0.2">
      <c r="A11" s="51"/>
      <c r="B11" s="50" t="s">
        <v>83</v>
      </c>
      <c r="C11" s="49" t="s">
        <v>281</v>
      </c>
      <c r="D11" s="48" t="s">
        <v>282</v>
      </c>
      <c r="E11" s="47" t="str">
        <f t="shared" si="0"/>
        <v>AUD3BR6BR3Y_Quote</v>
      </c>
      <c r="F11" s="47" t="str">
        <f>_xll.qlSimpleQuote(E11,,RateTickValue,Permanent,Trigger,ObjectOverwrite)</f>
        <v>AUD3BR6BR3Y_Quote#0000</v>
      </c>
      <c r="G11" s="46" t="str">
        <f>_xll.ohRangeRetrieveError(F11)</f>
        <v/>
      </c>
      <c r="H11" s="45"/>
      <c r="N11" s="85"/>
      <c r="O11" s="153" t="s">
        <v>83</v>
      </c>
      <c r="P11" s="192" t="s">
        <v>278</v>
      </c>
      <c r="Q11" s="192" t="s">
        <v>258</v>
      </c>
      <c r="R11" s="190" t="str">
        <f t="shared" si="1"/>
        <v>AUBR6AB3Y</v>
      </c>
      <c r="S11" s="152" t="str">
        <v>AUBR6AB3Y=ICAA</v>
      </c>
      <c r="T11" s="256">
        <v>5.75</v>
      </c>
      <c r="U11" s="256">
        <v>7.75</v>
      </c>
      <c r="V11" s="247">
        <f>_xll.qlMidEquivalent(T11,U11)</f>
        <v>6.75</v>
      </c>
      <c r="W11" s="149"/>
      <c r="X11" s="255">
        <v>6.375</v>
      </c>
      <c r="Y11" s="149"/>
      <c r="Z11" s="349">
        <v>6.75</v>
      </c>
      <c r="AA11" s="146">
        <f>_xll.qlSimpleQuoteSetValue(F11,Z11/10000,Trigger)</f>
        <v>3.749999999999999E-5</v>
      </c>
      <c r="AB11" s="136"/>
      <c r="AC11" s="12"/>
      <c r="AD11" s="12"/>
      <c r="AE11" s="12"/>
      <c r="AF11" s="12"/>
      <c r="AG11" s="12"/>
      <c r="AH11" s="252"/>
    </row>
    <row r="12" spans="1:34" ht="11.25" customHeight="1" x14ac:dyDescent="0.25">
      <c r="A12" s="51"/>
      <c r="B12" s="50" t="s">
        <v>82</v>
      </c>
      <c r="C12" s="49" t="s">
        <v>281</v>
      </c>
      <c r="D12" s="48" t="s">
        <v>282</v>
      </c>
      <c r="E12" s="47" t="str">
        <f t="shared" si="0"/>
        <v>AUD3BR6BR4Y_Quote</v>
      </c>
      <c r="F12" s="47" t="str">
        <f>_xll.qlSimpleQuote(E12,,RateTickValue,Permanent,Trigger,ObjectOverwrite)</f>
        <v>AUD3BR6BR4Y_Quote#0000</v>
      </c>
      <c r="G12" s="46" t="str">
        <f>_xll.ohRangeRetrieveError(F12)</f>
        <v/>
      </c>
      <c r="H12" s="45"/>
      <c r="N12" s="85"/>
      <c r="O12" s="153" t="s">
        <v>82</v>
      </c>
      <c r="P12" s="192" t="s">
        <v>278</v>
      </c>
      <c r="Q12" s="192" t="s">
        <v>258</v>
      </c>
      <c r="R12" s="190" t="str">
        <f t="shared" si="1"/>
        <v>AUBR6AB4Y</v>
      </c>
      <c r="S12" s="152" t="str">
        <v>AUBR6AB4Y=ICAA</v>
      </c>
      <c r="T12" s="256">
        <v>6.25</v>
      </c>
      <c r="U12" s="256">
        <v>8.25</v>
      </c>
      <c r="V12" s="247">
        <f>_xll.qlMidEquivalent(T12,U12)</f>
        <v>7.25</v>
      </c>
      <c r="W12" s="149"/>
      <c r="X12" s="255">
        <v>6.875</v>
      </c>
      <c r="Y12" s="149"/>
      <c r="Z12" s="349">
        <v>7.25</v>
      </c>
      <c r="AA12" s="146">
        <f>_xll.qlSimpleQuoteSetValue(F12,Z12/10000,Trigger)</f>
        <v>3.749999999999999E-5</v>
      </c>
      <c r="AB12" s="136"/>
      <c r="AC12" s="12"/>
      <c r="AD12"/>
      <c r="AE12" s="12"/>
      <c r="AF12" s="12"/>
      <c r="AG12" s="12"/>
      <c r="AH12" s="252"/>
    </row>
    <row r="13" spans="1:34" ht="11.25" customHeight="1" x14ac:dyDescent="0.2">
      <c r="A13" s="51"/>
      <c r="B13" s="50" t="s">
        <v>81</v>
      </c>
      <c r="C13" s="49" t="s">
        <v>281</v>
      </c>
      <c r="D13" s="48" t="s">
        <v>282</v>
      </c>
      <c r="E13" s="47" t="str">
        <f t="shared" si="0"/>
        <v>AUD3BR6BR5Y_Quote</v>
      </c>
      <c r="F13" s="47" t="str">
        <f>_xll.qlSimpleQuote(E13,,RateTickValue,Permanent,Trigger,ObjectOverwrite)</f>
        <v>AUD3BR6BR5Y_Quote#0000</v>
      </c>
      <c r="G13" s="46" t="str">
        <f>_xll.ohRangeRetrieveError(F13)</f>
        <v/>
      </c>
      <c r="H13" s="45"/>
      <c r="N13" s="85"/>
      <c r="O13" s="153" t="s">
        <v>81</v>
      </c>
      <c r="P13" s="192" t="s">
        <v>278</v>
      </c>
      <c r="Q13" s="192" t="s">
        <v>258</v>
      </c>
      <c r="R13" s="190" t="str">
        <f t="shared" si="1"/>
        <v>AUBR6AB5Y</v>
      </c>
      <c r="S13" s="152" t="str">
        <v>AUBR6AB5Y=ICAA</v>
      </c>
      <c r="T13" s="256">
        <v>6.5</v>
      </c>
      <c r="U13" s="256">
        <v>8.5</v>
      </c>
      <c r="V13" s="247">
        <f>_xll.qlMidEquivalent(T13,U13)</f>
        <v>7.5</v>
      </c>
      <c r="W13" s="149"/>
      <c r="X13" s="255">
        <v>7.125</v>
      </c>
      <c r="Y13" s="149"/>
      <c r="Z13" s="349">
        <v>7.5</v>
      </c>
      <c r="AA13" s="146">
        <f>_xll.qlSimpleQuoteSetValue(F13,Z13/10000,Trigger)</f>
        <v>3.749999999999999E-5</v>
      </c>
      <c r="AB13" s="136"/>
      <c r="AC13" s="12"/>
      <c r="AD13" s="12"/>
      <c r="AE13" s="12"/>
      <c r="AF13" s="12"/>
      <c r="AG13" s="12"/>
      <c r="AH13" s="252"/>
    </row>
    <row r="14" spans="1:34" ht="11.25" customHeight="1" x14ac:dyDescent="0.2">
      <c r="A14" s="51"/>
      <c r="B14" s="50" t="s">
        <v>80</v>
      </c>
      <c r="C14" s="49" t="s">
        <v>281</v>
      </c>
      <c r="D14" s="48" t="s">
        <v>282</v>
      </c>
      <c r="E14" s="47" t="str">
        <f t="shared" si="0"/>
        <v>AUD3BR6BR6Y_Quote</v>
      </c>
      <c r="F14" s="47" t="str">
        <f>_xll.qlSimpleQuote(E14,,RateTickValue,Permanent,Trigger,ObjectOverwrite)</f>
        <v>AUD3BR6BR6Y_Quote#0000</v>
      </c>
      <c r="G14" s="46" t="str">
        <f>_xll.ohRangeRetrieveError(F14)</f>
        <v/>
      </c>
      <c r="H14" s="45"/>
      <c r="N14" s="85"/>
      <c r="O14" s="153" t="s">
        <v>80</v>
      </c>
      <c r="P14" s="192" t="s">
        <v>278</v>
      </c>
      <c r="Q14" s="192" t="s">
        <v>258</v>
      </c>
      <c r="R14" s="190" t="str">
        <f t="shared" si="1"/>
        <v>AUBR6AB6Y</v>
      </c>
      <c r="S14" s="152" t="str">
        <v>AUBR6AB6Y=ICAA</v>
      </c>
      <c r="T14" s="256" t="s">
        <v>174</v>
      </c>
      <c r="U14" s="256" t="s">
        <v>174</v>
      </c>
      <c r="V14" s="247" t="e">
        <f>_xll.qlMidEquivalent(T14,U14)</f>
        <v>#NUM!</v>
      </c>
      <c r="W14" s="149"/>
      <c r="X14" s="255" t="e">
        <v>#NUM!</v>
      </c>
      <c r="Y14" s="149"/>
      <c r="Z14" s="349" t="e">
        <v>#NUM!</v>
      </c>
      <c r="AA14" s="146" t="e">
        <f>_xll.qlSimpleQuoteSetValue(F14,Z14/10000,Trigger)</f>
        <v>#NUM!</v>
      </c>
      <c r="AB14" s="136"/>
      <c r="AC14" s="12"/>
      <c r="AD14" s="12"/>
      <c r="AE14" s="12"/>
      <c r="AF14" s="12"/>
      <c r="AG14" s="12"/>
      <c r="AH14" s="252"/>
    </row>
    <row r="15" spans="1:34" ht="11.25" customHeight="1" x14ac:dyDescent="0.2">
      <c r="A15" s="51"/>
      <c r="B15" s="50" t="s">
        <v>79</v>
      </c>
      <c r="C15" s="49" t="s">
        <v>281</v>
      </c>
      <c r="D15" s="48" t="s">
        <v>282</v>
      </c>
      <c r="E15" s="47" t="str">
        <f t="shared" si="0"/>
        <v>AUD3BR6BR7Y_Quote</v>
      </c>
      <c r="F15" s="47" t="str">
        <f>_xll.qlSimpleQuote(E15,,RateTickValue,Permanent,Trigger,ObjectOverwrite)</f>
        <v>AUD3BR6BR7Y_Quote#0000</v>
      </c>
      <c r="G15" s="46" t="str">
        <f>_xll.ohRangeRetrieveError(F15)</f>
        <v/>
      </c>
      <c r="H15" s="45"/>
      <c r="N15" s="85"/>
      <c r="O15" s="153" t="s">
        <v>79</v>
      </c>
      <c r="P15" s="192" t="s">
        <v>278</v>
      </c>
      <c r="Q15" s="192" t="s">
        <v>258</v>
      </c>
      <c r="R15" s="190" t="str">
        <f t="shared" si="1"/>
        <v>AUBR6AB7Y</v>
      </c>
      <c r="S15" s="152" t="str">
        <v>AUBR6AB7Y=ICAA</v>
      </c>
      <c r="T15" s="256">
        <v>6.625</v>
      </c>
      <c r="U15" s="256">
        <v>8.625</v>
      </c>
      <c r="V15" s="247">
        <f>_xll.qlMidEquivalent(T15,U15)</f>
        <v>7.625</v>
      </c>
      <c r="W15" s="149"/>
      <c r="X15" s="255">
        <v>7.25</v>
      </c>
      <c r="Y15" s="149"/>
      <c r="Z15" s="349">
        <v>7.625</v>
      </c>
      <c r="AA15" s="146">
        <f>_xll.qlSimpleQuoteSetValue(F15,Z15/10000,Trigger)</f>
        <v>3.7500000000000098E-5</v>
      </c>
      <c r="AB15" s="136"/>
      <c r="AC15" s="12"/>
      <c r="AD15" s="12"/>
      <c r="AE15" s="12"/>
      <c r="AF15" s="12"/>
      <c r="AG15" s="12"/>
      <c r="AH15" s="252"/>
    </row>
    <row r="16" spans="1:34" ht="11.25" customHeight="1" x14ac:dyDescent="0.2">
      <c r="A16" s="51"/>
      <c r="B16" s="50" t="s">
        <v>78</v>
      </c>
      <c r="C16" s="49" t="s">
        <v>281</v>
      </c>
      <c r="D16" s="48" t="s">
        <v>282</v>
      </c>
      <c r="E16" s="47" t="str">
        <f t="shared" si="0"/>
        <v>AUD3BR6BR8Y_Quote</v>
      </c>
      <c r="F16" s="47" t="str">
        <f>_xll.qlSimpleQuote(E16,,RateTickValue,Permanent,Trigger,ObjectOverwrite)</f>
        <v>AUD3BR6BR8Y_Quote#0000</v>
      </c>
      <c r="G16" s="46" t="str">
        <f>_xll.ohRangeRetrieveError(F16)</f>
        <v/>
      </c>
      <c r="H16" s="45"/>
      <c r="N16" s="85"/>
      <c r="O16" s="153" t="s">
        <v>78</v>
      </c>
      <c r="P16" s="192" t="s">
        <v>278</v>
      </c>
      <c r="Q16" s="192" t="s">
        <v>258</v>
      </c>
      <c r="R16" s="190" t="str">
        <f t="shared" si="1"/>
        <v>AUBR6AB8Y</v>
      </c>
      <c r="S16" s="152" t="str">
        <v>AUBR6AB8Y=ICAA</v>
      </c>
      <c r="T16" s="256" t="s">
        <v>174</v>
      </c>
      <c r="U16" s="256" t="s">
        <v>174</v>
      </c>
      <c r="V16" s="247" t="e">
        <f>_xll.qlMidEquivalent(T16,U16)</f>
        <v>#NUM!</v>
      </c>
      <c r="W16" s="149"/>
      <c r="X16" s="255" t="e">
        <v>#NUM!</v>
      </c>
      <c r="Y16" s="149"/>
      <c r="Z16" s="349" t="e">
        <v>#NUM!</v>
      </c>
      <c r="AA16" s="146" t="e">
        <f>_xll.qlSimpleQuoteSetValue(F16,Z16/10000,Trigger)</f>
        <v>#NUM!</v>
      </c>
      <c r="AB16" s="136"/>
      <c r="AC16" s="12"/>
      <c r="AD16" s="12"/>
      <c r="AE16" s="12"/>
      <c r="AF16" s="12"/>
      <c r="AG16" s="12"/>
      <c r="AH16" s="252"/>
    </row>
    <row r="17" spans="1:34" ht="11.25" customHeight="1" x14ac:dyDescent="0.2">
      <c r="A17" s="51"/>
      <c r="B17" s="50" t="s">
        <v>77</v>
      </c>
      <c r="C17" s="49" t="s">
        <v>281</v>
      </c>
      <c r="D17" s="48" t="s">
        <v>282</v>
      </c>
      <c r="E17" s="47" t="str">
        <f t="shared" si="0"/>
        <v>AUD3BR6BR9Y_Quote</v>
      </c>
      <c r="F17" s="47" t="str">
        <f>_xll.qlSimpleQuote(E17,,RateTickValue,Permanent,Trigger,ObjectOverwrite)</f>
        <v>AUD3BR6BR9Y_Quote#0000</v>
      </c>
      <c r="G17" s="46" t="str">
        <f>_xll.ohRangeRetrieveError(F17)</f>
        <v/>
      </c>
      <c r="H17" s="45"/>
      <c r="N17" s="85"/>
      <c r="O17" s="153" t="s">
        <v>77</v>
      </c>
      <c r="P17" s="192" t="s">
        <v>278</v>
      </c>
      <c r="Q17" s="192" t="s">
        <v>258</v>
      </c>
      <c r="R17" s="190" t="str">
        <f t="shared" si="1"/>
        <v>AUBR6AB9Y</v>
      </c>
      <c r="S17" s="152" t="str">
        <v>AUBR6AB9Y=ICAA</v>
      </c>
      <c r="T17" s="256" t="s">
        <v>174</v>
      </c>
      <c r="U17" s="256" t="s">
        <v>174</v>
      </c>
      <c r="V17" s="247" t="e">
        <f>_xll.qlMidEquivalent(T17,U17)</f>
        <v>#NUM!</v>
      </c>
      <c r="W17" s="149"/>
      <c r="X17" s="255" t="e">
        <v>#NUM!</v>
      </c>
      <c r="Y17" s="149"/>
      <c r="Z17" s="349" t="e">
        <v>#NUM!</v>
      </c>
      <c r="AA17" s="146" t="e">
        <f>_xll.qlSimpleQuoteSetValue(F17,Z17/10000,Trigger)</f>
        <v>#NUM!</v>
      </c>
      <c r="AB17" s="136"/>
      <c r="AC17" s="12"/>
      <c r="AD17" s="12"/>
      <c r="AE17" s="12"/>
      <c r="AF17" s="12"/>
      <c r="AG17" s="12"/>
      <c r="AH17" s="252"/>
    </row>
    <row r="18" spans="1:34" ht="11.25" customHeight="1" x14ac:dyDescent="0.2">
      <c r="A18" s="51"/>
      <c r="B18" s="50" t="s">
        <v>76</v>
      </c>
      <c r="C18" s="49" t="s">
        <v>281</v>
      </c>
      <c r="D18" s="48" t="s">
        <v>282</v>
      </c>
      <c r="E18" s="47" t="str">
        <f t="shared" si="0"/>
        <v>AUD3BR6BR10Y_Quote</v>
      </c>
      <c r="F18" s="47" t="str">
        <f>_xll.qlSimpleQuote(E18,,RateTickValue,Permanent,Trigger,ObjectOverwrite)</f>
        <v>AUD3BR6BR10Y_Quote#0000</v>
      </c>
      <c r="G18" s="46" t="str">
        <f>_xll.ohRangeRetrieveError(F18)</f>
        <v/>
      </c>
      <c r="H18" s="45"/>
      <c r="N18" s="85"/>
      <c r="O18" s="153" t="s">
        <v>76</v>
      </c>
      <c r="P18" s="192" t="s">
        <v>278</v>
      </c>
      <c r="Q18" s="192" t="s">
        <v>258</v>
      </c>
      <c r="R18" s="190" t="str">
        <f t="shared" si="1"/>
        <v>AUBR6AB10Y</v>
      </c>
      <c r="S18" s="152" t="str">
        <v>AUBR6AB10Y=ICAA</v>
      </c>
      <c r="T18" s="256">
        <v>6.625</v>
      </c>
      <c r="U18" s="256">
        <v>8.625</v>
      </c>
      <c r="V18" s="247">
        <f>_xll.qlMidEquivalent(T18,U18)</f>
        <v>7.625</v>
      </c>
      <c r="W18" s="149"/>
      <c r="X18" s="255">
        <v>7.25</v>
      </c>
      <c r="Y18" s="149"/>
      <c r="Z18" s="349">
        <v>7.625</v>
      </c>
      <c r="AA18" s="146">
        <f>_xll.qlSimpleQuoteSetValue(F18,Z18/10000,Trigger)</f>
        <v>3.7500000000000098E-5</v>
      </c>
      <c r="AB18" s="136"/>
      <c r="AC18" s="12"/>
      <c r="AD18" s="12"/>
      <c r="AE18" s="12"/>
      <c r="AF18" s="12"/>
      <c r="AG18" s="12"/>
      <c r="AH18" s="252"/>
    </row>
    <row r="19" spans="1:34" ht="11.25" customHeight="1" x14ac:dyDescent="0.2">
      <c r="A19" s="51"/>
      <c r="B19" s="50" t="s">
        <v>75</v>
      </c>
      <c r="C19" s="49" t="s">
        <v>281</v>
      </c>
      <c r="D19" s="48" t="s">
        <v>282</v>
      </c>
      <c r="E19" s="47" t="str">
        <f t="shared" si="0"/>
        <v>AUD3BR6BR11Y_Quote</v>
      </c>
      <c r="F19" s="47" t="str">
        <f>_xll.qlSimpleQuote(E19,,RateTickValue,Permanent,Trigger,ObjectOverwrite)</f>
        <v>AUD3BR6BR11Y_Quote#0000</v>
      </c>
      <c r="G19" s="46" t="str">
        <f>_xll.ohRangeRetrieveError(F19)</f>
        <v/>
      </c>
      <c r="H19" s="45"/>
      <c r="N19" s="85"/>
      <c r="O19" s="153" t="s">
        <v>75</v>
      </c>
      <c r="P19" s="192" t="s">
        <v>278</v>
      </c>
      <c r="Q19" s="192" t="s">
        <v>258</v>
      </c>
      <c r="R19" s="190" t="str">
        <f t="shared" si="1"/>
        <v>AUBR6AB11Y</v>
      </c>
      <c r="S19" s="152" t="str">
        <v>AUBR6AB11Y=ICAA</v>
      </c>
      <c r="T19" s="256" t="s">
        <v>174</v>
      </c>
      <c r="U19" s="256" t="s">
        <v>174</v>
      </c>
      <c r="V19" s="247" t="e">
        <f>_xll.qlMidEquivalent(T19,U19)</f>
        <v>#NUM!</v>
      </c>
      <c r="W19" s="149"/>
      <c r="X19" s="255" t="e">
        <v>#NUM!</v>
      </c>
      <c r="Y19" s="149"/>
      <c r="Z19" s="349" t="e">
        <v>#NUM!</v>
      </c>
      <c r="AA19" s="146" t="e">
        <f>_xll.qlSimpleQuoteSetValue(F19,Z19/10000,Trigger)</f>
        <v>#NUM!</v>
      </c>
      <c r="AB19" s="136"/>
      <c r="AC19" s="12"/>
      <c r="AD19" s="12"/>
      <c r="AE19" s="12"/>
      <c r="AF19" s="12"/>
      <c r="AG19" s="12"/>
      <c r="AH19" s="252"/>
    </row>
    <row r="20" spans="1:34" ht="11.25" customHeight="1" x14ac:dyDescent="0.2">
      <c r="A20" s="51"/>
      <c r="B20" s="50" t="s">
        <v>74</v>
      </c>
      <c r="C20" s="49" t="s">
        <v>281</v>
      </c>
      <c r="D20" s="48" t="s">
        <v>282</v>
      </c>
      <c r="E20" s="47" t="str">
        <f t="shared" si="0"/>
        <v>AUD3BR6BR12Y_Quote</v>
      </c>
      <c r="F20" s="47" t="str">
        <f>_xll.qlSimpleQuote(E20,,RateTickValue,Permanent,Trigger,ObjectOverwrite)</f>
        <v>AUD3BR6BR12Y_Quote#0000</v>
      </c>
      <c r="G20" s="46" t="str">
        <f>_xll.ohRangeRetrieveError(F20)</f>
        <v/>
      </c>
      <c r="H20" s="45"/>
      <c r="N20" s="85"/>
      <c r="O20" s="153" t="s">
        <v>74</v>
      </c>
      <c r="P20" s="192" t="s">
        <v>278</v>
      </c>
      <c r="Q20" s="192" t="s">
        <v>258</v>
      </c>
      <c r="R20" s="190" t="str">
        <f t="shared" si="1"/>
        <v>AUBR6AB12Y</v>
      </c>
      <c r="S20" s="152" t="str">
        <v>AUBR6AB12Y=ICAA</v>
      </c>
      <c r="T20" s="256">
        <v>5.5</v>
      </c>
      <c r="U20" s="256">
        <v>8.5</v>
      </c>
      <c r="V20" s="247">
        <f>_xll.qlMidEquivalent(T20,U20)</f>
        <v>7</v>
      </c>
      <c r="W20" s="149"/>
      <c r="X20" s="255">
        <v>6.75</v>
      </c>
      <c r="Y20" s="149"/>
      <c r="Z20" s="349">
        <v>7</v>
      </c>
      <c r="AA20" s="146">
        <f>_xll.qlSimpleQuoteSetValue(F20,Z20/10000,Trigger)</f>
        <v>2.4999999999999957E-5</v>
      </c>
      <c r="AB20" s="136"/>
      <c r="AC20" s="12"/>
      <c r="AD20" s="12"/>
      <c r="AE20" s="12"/>
      <c r="AF20" s="12"/>
      <c r="AG20" s="12"/>
      <c r="AH20" s="252"/>
    </row>
    <row r="21" spans="1:34" ht="11.25" customHeight="1" x14ac:dyDescent="0.25">
      <c r="A21" s="51"/>
      <c r="B21" s="50" t="s">
        <v>73</v>
      </c>
      <c r="C21" s="49" t="s">
        <v>281</v>
      </c>
      <c r="D21" s="48" t="s">
        <v>282</v>
      </c>
      <c r="E21" s="47" t="str">
        <f t="shared" si="0"/>
        <v>AUD3BR6BR13Y_Quote</v>
      </c>
      <c r="F21" s="47" t="str">
        <f>_xll.qlSimpleQuote(E21,,RateTickValue,Permanent,Trigger,ObjectOverwrite)</f>
        <v>AUD3BR6BR13Y_Quote#0000</v>
      </c>
      <c r="G21" s="46" t="str">
        <f>_xll.ohRangeRetrieveError(F21)</f>
        <v/>
      </c>
      <c r="H21" s="45"/>
      <c r="N21" s="85"/>
      <c r="O21" s="153" t="s">
        <v>73</v>
      </c>
      <c r="P21" s="192" t="s">
        <v>278</v>
      </c>
      <c r="Q21" s="192" t="s">
        <v>258</v>
      </c>
      <c r="R21" s="190" t="str">
        <f t="shared" si="1"/>
        <v>AUBR6AB13Y</v>
      </c>
      <c r="S21" s="152" t="str">
        <v>AUBR6AB13Y=ICAA</v>
      </c>
      <c r="T21" s="256" t="s">
        <v>174</v>
      </c>
      <c r="U21" s="256" t="s">
        <v>174</v>
      </c>
      <c r="V21" s="247" t="e">
        <f>_xll.qlMidEquivalent(T21,U21)</f>
        <v>#NUM!</v>
      </c>
      <c r="W21" s="149"/>
      <c r="X21" s="255" t="e">
        <v>#NUM!</v>
      </c>
      <c r="Y21" s="149"/>
      <c r="Z21" s="349" t="e">
        <v>#NUM!</v>
      </c>
      <c r="AA21" s="146" t="e">
        <f>_xll.qlSimpleQuoteSetValue(F21,Z21/10000,Trigger)</f>
        <v>#NUM!</v>
      </c>
      <c r="AB21" s="136"/>
      <c r="AC21" s="12"/>
      <c r="AD21" s="12"/>
      <c r="AE21"/>
      <c r="AF21" s="12"/>
      <c r="AG21" s="12"/>
      <c r="AH21" s="252"/>
    </row>
    <row r="22" spans="1:34" ht="11.25" customHeight="1" x14ac:dyDescent="0.2">
      <c r="A22" s="51"/>
      <c r="B22" s="50" t="s">
        <v>72</v>
      </c>
      <c r="C22" s="49" t="s">
        <v>281</v>
      </c>
      <c r="D22" s="48" t="s">
        <v>282</v>
      </c>
      <c r="E22" s="47" t="str">
        <f t="shared" si="0"/>
        <v>AUD3BR6BR14Y_Quote</v>
      </c>
      <c r="F22" s="47" t="str">
        <f>_xll.qlSimpleQuote(E22,,RateTickValue,Permanent,Trigger,ObjectOverwrite)</f>
        <v>AUD3BR6BR14Y_Quote#0000</v>
      </c>
      <c r="G22" s="46" t="str">
        <f>_xll.ohRangeRetrieveError(F22)</f>
        <v/>
      </c>
      <c r="H22" s="45"/>
      <c r="N22" s="85"/>
      <c r="O22" s="153" t="s">
        <v>72</v>
      </c>
      <c r="P22" s="192" t="s">
        <v>278</v>
      </c>
      <c r="Q22" s="192" t="s">
        <v>258</v>
      </c>
      <c r="R22" s="190" t="str">
        <f t="shared" si="1"/>
        <v>AUBR6AB14Y</v>
      </c>
      <c r="S22" s="152" t="str">
        <v>AUBR6AB14Y=ICAA</v>
      </c>
      <c r="T22" s="256" t="s">
        <v>174</v>
      </c>
      <c r="U22" s="256" t="s">
        <v>174</v>
      </c>
      <c r="V22" s="247" t="e">
        <f>_xll.qlMidEquivalent(T22,U22)</f>
        <v>#NUM!</v>
      </c>
      <c r="W22" s="149"/>
      <c r="X22" s="255" t="e">
        <v>#NUM!</v>
      </c>
      <c r="Y22" s="149"/>
      <c r="Z22" s="349" t="e">
        <v>#NUM!</v>
      </c>
      <c r="AA22" s="146" t="e">
        <f>_xll.qlSimpleQuoteSetValue(F22,Z22/10000,Trigger)</f>
        <v>#NUM!</v>
      </c>
      <c r="AB22" s="136"/>
      <c r="AC22" s="12"/>
      <c r="AD22" s="12"/>
      <c r="AE22" s="12"/>
      <c r="AF22" s="12"/>
      <c r="AG22" s="12"/>
      <c r="AH22" s="252"/>
    </row>
    <row r="23" spans="1:34" ht="11.25" customHeight="1" x14ac:dyDescent="0.2">
      <c r="A23" s="51"/>
      <c r="B23" s="50" t="s">
        <v>71</v>
      </c>
      <c r="C23" s="49" t="s">
        <v>281</v>
      </c>
      <c r="D23" s="48" t="s">
        <v>282</v>
      </c>
      <c r="E23" s="47" t="str">
        <f t="shared" si="0"/>
        <v>AUD3BR6BR15Y_Quote</v>
      </c>
      <c r="F23" s="47" t="str">
        <f>_xll.qlSimpleQuote(E23,,RateTickValue,Permanent,Trigger,ObjectOverwrite)</f>
        <v>AUD3BR6BR15Y_Quote#0000</v>
      </c>
      <c r="G23" s="46" t="str">
        <f>_xll.ohRangeRetrieveError(F23)</f>
        <v/>
      </c>
      <c r="H23" s="45"/>
      <c r="N23" s="85"/>
      <c r="O23" s="153" t="s">
        <v>71</v>
      </c>
      <c r="P23" s="192" t="s">
        <v>278</v>
      </c>
      <c r="Q23" s="192" t="s">
        <v>258</v>
      </c>
      <c r="R23" s="190" t="str">
        <f t="shared" si="1"/>
        <v>AUBR6AB15Y</v>
      </c>
      <c r="S23" s="152" t="str">
        <v>AUBR6AB15Y=ICAA</v>
      </c>
      <c r="T23" s="256">
        <v>4.625</v>
      </c>
      <c r="U23" s="256">
        <v>7.625</v>
      </c>
      <c r="V23" s="247">
        <f>_xll.qlMidEquivalent(T23,U23)</f>
        <v>6.125</v>
      </c>
      <c r="W23" s="149"/>
      <c r="X23" s="255">
        <v>5.875</v>
      </c>
      <c r="Y23" s="149"/>
      <c r="Z23" s="349">
        <v>6.125</v>
      </c>
      <c r="AA23" s="146">
        <f>_xll.qlSimpleQuoteSetValue(F23,Z23/10000,Trigger)</f>
        <v>2.4999999999999957E-5</v>
      </c>
      <c r="AB23" s="136"/>
      <c r="AC23" s="12"/>
      <c r="AD23" s="12"/>
      <c r="AE23" s="12"/>
      <c r="AF23" s="12"/>
      <c r="AG23" s="12"/>
      <c r="AH23" s="252"/>
    </row>
    <row r="24" spans="1:34" ht="11.25" customHeight="1" x14ac:dyDescent="0.2">
      <c r="A24" s="51"/>
      <c r="B24" s="50" t="s">
        <v>70</v>
      </c>
      <c r="C24" s="49" t="s">
        <v>281</v>
      </c>
      <c r="D24" s="48" t="s">
        <v>282</v>
      </c>
      <c r="E24" s="47" t="str">
        <f t="shared" si="0"/>
        <v>AUD3BR6BR16Y_Quote</v>
      </c>
      <c r="F24" s="47" t="str">
        <f>_xll.qlSimpleQuote(E24,,RateTickValue,Permanent,Trigger,ObjectOverwrite)</f>
        <v>AUD3BR6BR16Y_Quote#0000</v>
      </c>
      <c r="G24" s="46" t="str">
        <f>_xll.ohRangeRetrieveError(F24)</f>
        <v/>
      </c>
      <c r="H24" s="45"/>
      <c r="N24" s="85"/>
      <c r="O24" s="153" t="s">
        <v>70</v>
      </c>
      <c r="P24" s="192" t="s">
        <v>278</v>
      </c>
      <c r="Q24" s="192" t="s">
        <v>258</v>
      </c>
      <c r="R24" s="190" t="str">
        <f t="shared" si="1"/>
        <v>AUBR6AB16Y</v>
      </c>
      <c r="S24" s="152" t="str">
        <v>AUBR6AB16Y=ICAA</v>
      </c>
      <c r="T24" s="256" t="s">
        <v>174</v>
      </c>
      <c r="U24" s="256" t="s">
        <v>174</v>
      </c>
      <c r="V24" s="247" t="e">
        <f>_xll.qlMidEquivalent(T24,U24)</f>
        <v>#NUM!</v>
      </c>
      <c r="W24" s="149"/>
      <c r="X24" s="255" t="e">
        <v>#NUM!</v>
      </c>
      <c r="Y24" s="149"/>
      <c r="Z24" s="349" t="e">
        <v>#NUM!</v>
      </c>
      <c r="AA24" s="146" t="e">
        <f>_xll.qlSimpleQuoteSetValue(F24,Z24/10000,Trigger)</f>
        <v>#NUM!</v>
      </c>
      <c r="AB24" s="136"/>
      <c r="AC24" s="12"/>
      <c r="AD24" s="12"/>
      <c r="AE24" s="12"/>
      <c r="AF24" s="12"/>
      <c r="AG24" s="12"/>
      <c r="AH24" s="252"/>
    </row>
    <row r="25" spans="1:34" ht="11.25" customHeight="1" x14ac:dyDescent="0.2">
      <c r="A25" s="51"/>
      <c r="B25" s="50" t="s">
        <v>69</v>
      </c>
      <c r="C25" s="49" t="s">
        <v>281</v>
      </c>
      <c r="D25" s="48" t="s">
        <v>282</v>
      </c>
      <c r="E25" s="47" t="str">
        <f t="shared" si="0"/>
        <v>AUD3BR6BR17Y_Quote</v>
      </c>
      <c r="F25" s="47" t="str">
        <f>_xll.qlSimpleQuote(E25,,RateTickValue,Permanent,Trigger,ObjectOverwrite)</f>
        <v>AUD3BR6BR17Y_Quote#0000</v>
      </c>
      <c r="G25" s="46" t="str">
        <f>_xll.ohRangeRetrieveError(F25)</f>
        <v/>
      </c>
      <c r="H25" s="45"/>
      <c r="N25" s="85"/>
      <c r="O25" s="153" t="s">
        <v>69</v>
      </c>
      <c r="P25" s="192" t="s">
        <v>278</v>
      </c>
      <c r="Q25" s="192" t="s">
        <v>258</v>
      </c>
      <c r="R25" s="190" t="str">
        <f t="shared" si="1"/>
        <v>AUBR6AB17Y</v>
      </c>
      <c r="S25" s="152" t="str">
        <v>AUBR6AB17Y=ICAA</v>
      </c>
      <c r="T25" s="256" t="s">
        <v>174</v>
      </c>
      <c r="U25" s="256" t="s">
        <v>174</v>
      </c>
      <c r="V25" s="247" t="e">
        <f>_xll.qlMidEquivalent(T25,U25)</f>
        <v>#NUM!</v>
      </c>
      <c r="W25" s="149"/>
      <c r="X25" s="255" t="e">
        <v>#NUM!</v>
      </c>
      <c r="Y25" s="149"/>
      <c r="Z25" s="349" t="e">
        <v>#NUM!</v>
      </c>
      <c r="AA25" s="146" t="e">
        <f>_xll.qlSimpleQuoteSetValue(F25,Z25/10000,Trigger)</f>
        <v>#NUM!</v>
      </c>
      <c r="AB25" s="136"/>
      <c r="AC25" s="12"/>
      <c r="AD25" s="12"/>
      <c r="AE25" s="12"/>
      <c r="AF25" s="12"/>
      <c r="AG25" s="12"/>
      <c r="AH25" s="252"/>
    </row>
    <row r="26" spans="1:34" ht="11.25" customHeight="1" x14ac:dyDescent="0.2">
      <c r="A26" s="51"/>
      <c r="B26" s="50" t="s">
        <v>68</v>
      </c>
      <c r="C26" s="49" t="s">
        <v>281</v>
      </c>
      <c r="D26" s="48" t="s">
        <v>282</v>
      </c>
      <c r="E26" s="47" t="str">
        <f t="shared" si="0"/>
        <v>AUD3BR6BR18Y_Quote</v>
      </c>
      <c r="F26" s="47" t="str">
        <f>_xll.qlSimpleQuote(E26,,RateTickValue,Permanent,Trigger,ObjectOverwrite)</f>
        <v>AUD3BR6BR18Y_Quote#0000</v>
      </c>
      <c r="G26" s="46" t="str">
        <f>_xll.ohRangeRetrieveError(F26)</f>
        <v/>
      </c>
      <c r="H26" s="45"/>
      <c r="N26" s="85"/>
      <c r="O26" s="153" t="s">
        <v>68</v>
      </c>
      <c r="P26" s="192" t="s">
        <v>278</v>
      </c>
      <c r="Q26" s="192" t="s">
        <v>258</v>
      </c>
      <c r="R26" s="190" t="str">
        <f t="shared" si="1"/>
        <v>AUBR6AB18Y</v>
      </c>
      <c r="S26" s="152" t="str">
        <v>AUBR6AB18Y=ICAA</v>
      </c>
      <c r="T26" s="256" t="s">
        <v>174</v>
      </c>
      <c r="U26" s="256" t="s">
        <v>174</v>
      </c>
      <c r="V26" s="247" t="e">
        <f>_xll.qlMidEquivalent(T26,U26)</f>
        <v>#NUM!</v>
      </c>
      <c r="W26" s="149"/>
      <c r="X26" s="255" t="e">
        <v>#NUM!</v>
      </c>
      <c r="Y26" s="149"/>
      <c r="Z26" s="349" t="e">
        <v>#NUM!</v>
      </c>
      <c r="AA26" s="146" t="e">
        <f>_xll.qlSimpleQuoteSetValue(F26,Z26/10000,Trigger)</f>
        <v>#NUM!</v>
      </c>
      <c r="AB26" s="136"/>
      <c r="AC26" s="12"/>
      <c r="AD26" s="12"/>
      <c r="AE26" s="12"/>
      <c r="AF26" s="12"/>
      <c r="AG26" s="12"/>
      <c r="AH26" s="252"/>
    </row>
    <row r="27" spans="1:34" ht="11.25" customHeight="1" x14ac:dyDescent="0.2">
      <c r="A27" s="51"/>
      <c r="B27" s="50" t="s">
        <v>67</v>
      </c>
      <c r="C27" s="49" t="s">
        <v>281</v>
      </c>
      <c r="D27" s="48" t="s">
        <v>282</v>
      </c>
      <c r="E27" s="47" t="str">
        <f t="shared" si="0"/>
        <v>AUD3BR6BR19Y_Quote</v>
      </c>
      <c r="F27" s="47" t="str">
        <f>_xll.qlSimpleQuote(E27,,RateTickValue,Permanent,Trigger,ObjectOverwrite)</f>
        <v>AUD3BR6BR19Y_Quote#0000</v>
      </c>
      <c r="G27" s="46" t="str">
        <f>_xll.ohRangeRetrieveError(F27)</f>
        <v/>
      </c>
      <c r="H27" s="45"/>
      <c r="N27" s="85"/>
      <c r="O27" s="153" t="s">
        <v>67</v>
      </c>
      <c r="P27" s="192" t="s">
        <v>278</v>
      </c>
      <c r="Q27" s="192" t="s">
        <v>258</v>
      </c>
      <c r="R27" s="190" t="str">
        <f t="shared" si="1"/>
        <v>AUBR6AB19Y</v>
      </c>
      <c r="S27" s="152" t="str">
        <v>AUBR6AB19Y=ICAA</v>
      </c>
      <c r="T27" s="256" t="s">
        <v>174</v>
      </c>
      <c r="U27" s="256" t="s">
        <v>174</v>
      </c>
      <c r="V27" s="247" t="e">
        <f>_xll.qlMidEquivalent(T27,U27)</f>
        <v>#NUM!</v>
      </c>
      <c r="W27" s="149"/>
      <c r="X27" s="255" t="e">
        <v>#NUM!</v>
      </c>
      <c r="Y27" s="149"/>
      <c r="Z27" s="349" t="e">
        <v>#NUM!</v>
      </c>
      <c r="AA27" s="146" t="e">
        <f>_xll.qlSimpleQuoteSetValue(F27,Z27/10000,Trigger)</f>
        <v>#NUM!</v>
      </c>
      <c r="AB27" s="136"/>
      <c r="AC27" s="12"/>
      <c r="AD27" s="12"/>
      <c r="AE27" s="12"/>
      <c r="AF27" s="12"/>
      <c r="AG27" s="12"/>
      <c r="AH27" s="252"/>
    </row>
    <row r="28" spans="1:34" ht="11.25" customHeight="1" x14ac:dyDescent="0.2">
      <c r="A28" s="51"/>
      <c r="B28" s="50" t="s">
        <v>66</v>
      </c>
      <c r="C28" s="49" t="s">
        <v>281</v>
      </c>
      <c r="D28" s="48" t="s">
        <v>282</v>
      </c>
      <c r="E28" s="47" t="str">
        <f t="shared" si="0"/>
        <v>AUD3BR6BR20Y_Quote</v>
      </c>
      <c r="F28" s="47" t="str">
        <f>_xll.qlSimpleQuote(E28,,RateTickValue,Permanent,Trigger,ObjectOverwrite)</f>
        <v>AUD3BR6BR20Y_Quote#0000</v>
      </c>
      <c r="G28" s="46" t="str">
        <f>_xll.ohRangeRetrieveError(F28)</f>
        <v/>
      </c>
      <c r="H28" s="45"/>
      <c r="N28" s="85"/>
      <c r="O28" s="153" t="s">
        <v>66</v>
      </c>
      <c r="P28" s="192" t="s">
        <v>278</v>
      </c>
      <c r="Q28" s="192" t="s">
        <v>258</v>
      </c>
      <c r="R28" s="190" t="str">
        <f t="shared" si="1"/>
        <v>AUBR6AB20Y</v>
      </c>
      <c r="S28" s="152" t="str">
        <v>AUBR6AB20Y=ICAA</v>
      </c>
      <c r="T28" s="256">
        <v>3.25</v>
      </c>
      <c r="U28" s="256">
        <v>6.25</v>
      </c>
      <c r="V28" s="247">
        <f>_xll.qlMidEquivalent(T28,U28)</f>
        <v>4.75</v>
      </c>
      <c r="W28" s="149"/>
      <c r="X28" s="255">
        <v>4.75</v>
      </c>
      <c r="Y28" s="149"/>
      <c r="Z28" s="349">
        <v>4.75</v>
      </c>
      <c r="AA28" s="146">
        <f>_xll.qlSimpleQuoteSetValue(F28,Z28/10000,Trigger)</f>
        <v>0</v>
      </c>
      <c r="AB28" s="136"/>
      <c r="AC28" s="12"/>
      <c r="AD28" s="12"/>
      <c r="AE28" s="12"/>
      <c r="AF28" s="12"/>
      <c r="AG28" s="12"/>
      <c r="AH28" s="252"/>
    </row>
    <row r="29" spans="1:34" ht="11.25" customHeight="1" x14ac:dyDescent="0.2">
      <c r="A29" s="51"/>
      <c r="B29" s="50" t="s">
        <v>65</v>
      </c>
      <c r="C29" s="49" t="s">
        <v>281</v>
      </c>
      <c r="D29" s="48" t="s">
        <v>282</v>
      </c>
      <c r="E29" s="47" t="str">
        <f t="shared" si="0"/>
        <v>AUD3BR6BR21Y_Quote</v>
      </c>
      <c r="F29" s="47" t="str">
        <f>_xll.qlSimpleQuote(E29,,RateTickValue,Permanent,Trigger,ObjectOverwrite)</f>
        <v>AUD3BR6BR21Y_Quote#0000</v>
      </c>
      <c r="G29" s="46" t="str">
        <f>_xll.ohRangeRetrieveError(F29)</f>
        <v/>
      </c>
      <c r="H29" s="45"/>
      <c r="N29" s="85"/>
      <c r="O29" s="153" t="s">
        <v>65</v>
      </c>
      <c r="P29" s="192" t="s">
        <v>278</v>
      </c>
      <c r="Q29" s="192" t="s">
        <v>258</v>
      </c>
      <c r="R29" s="190" t="str">
        <f t="shared" si="1"/>
        <v>AUBR6AB21Y</v>
      </c>
      <c r="S29" s="152" t="str">
        <v>AUBR6AB21Y=ICAA</v>
      </c>
      <c r="T29" s="256" t="s">
        <v>174</v>
      </c>
      <c r="U29" s="256" t="s">
        <v>174</v>
      </c>
      <c r="V29" s="247" t="e">
        <f>_xll.qlMidEquivalent(T29,U29)</f>
        <v>#NUM!</v>
      </c>
      <c r="W29" s="149"/>
      <c r="X29" s="255" t="e">
        <v>#NUM!</v>
      </c>
      <c r="Y29" s="149"/>
      <c r="Z29" s="349" t="e">
        <v>#NUM!</v>
      </c>
      <c r="AA29" s="146" t="e">
        <f>_xll.qlSimpleQuoteSetValue(F29,Z29/10000,Trigger)</f>
        <v>#NUM!</v>
      </c>
      <c r="AB29" s="136"/>
      <c r="AC29" s="12"/>
      <c r="AD29" s="12"/>
      <c r="AE29" s="12"/>
      <c r="AF29" s="12"/>
      <c r="AG29" s="12"/>
      <c r="AH29" s="252"/>
    </row>
    <row r="30" spans="1:34" ht="11.25" customHeight="1" x14ac:dyDescent="0.2">
      <c r="A30" s="51"/>
      <c r="B30" s="50" t="s">
        <v>64</v>
      </c>
      <c r="C30" s="49" t="s">
        <v>281</v>
      </c>
      <c r="D30" s="48" t="s">
        <v>282</v>
      </c>
      <c r="E30" s="47" t="str">
        <f t="shared" si="0"/>
        <v>AUD3BR6BR22Y_Quote</v>
      </c>
      <c r="F30" s="47" t="str">
        <f>_xll.qlSimpleQuote(E30,,RateTickValue,Permanent,Trigger,ObjectOverwrite)</f>
        <v>AUD3BR6BR22Y_Quote#0000</v>
      </c>
      <c r="G30" s="46" t="str">
        <f>_xll.ohRangeRetrieveError(F30)</f>
        <v/>
      </c>
      <c r="H30" s="45"/>
      <c r="N30" s="85"/>
      <c r="O30" s="153" t="s">
        <v>64</v>
      </c>
      <c r="P30" s="192" t="s">
        <v>278</v>
      </c>
      <c r="Q30" s="192" t="s">
        <v>258</v>
      </c>
      <c r="R30" s="190" t="str">
        <f t="shared" si="1"/>
        <v>AUBR6AB22Y</v>
      </c>
      <c r="S30" s="152" t="str">
        <v>AUBR6AB22Y=ICAA</v>
      </c>
      <c r="T30" s="256" t="s">
        <v>174</v>
      </c>
      <c r="U30" s="256" t="s">
        <v>174</v>
      </c>
      <c r="V30" s="247" t="e">
        <f>_xll.qlMidEquivalent(T30,U30)</f>
        <v>#NUM!</v>
      </c>
      <c r="W30" s="149"/>
      <c r="X30" s="255" t="e">
        <v>#NUM!</v>
      </c>
      <c r="Y30" s="149"/>
      <c r="Z30" s="349" t="e">
        <v>#NUM!</v>
      </c>
      <c r="AA30" s="146" t="e">
        <f>_xll.qlSimpleQuoteSetValue(F30,Z30/10000,Trigger)</f>
        <v>#NUM!</v>
      </c>
      <c r="AB30" s="136"/>
      <c r="AC30" s="12"/>
      <c r="AD30" s="12"/>
      <c r="AE30" s="12"/>
      <c r="AF30" s="12"/>
      <c r="AG30" s="12"/>
      <c r="AH30" s="252"/>
    </row>
    <row r="31" spans="1:34" ht="11.25" customHeight="1" x14ac:dyDescent="0.2">
      <c r="A31" s="51"/>
      <c r="B31" s="50" t="s">
        <v>63</v>
      </c>
      <c r="C31" s="49" t="s">
        <v>281</v>
      </c>
      <c r="D31" s="48" t="s">
        <v>282</v>
      </c>
      <c r="E31" s="47" t="str">
        <f t="shared" si="0"/>
        <v>AUD3BR6BR23Y_Quote</v>
      </c>
      <c r="F31" s="47" t="str">
        <f>_xll.qlSimpleQuote(E31,,RateTickValue,Permanent,Trigger,ObjectOverwrite)</f>
        <v>AUD3BR6BR23Y_Quote#0000</v>
      </c>
      <c r="G31" s="46" t="str">
        <f>_xll.ohRangeRetrieveError(F31)</f>
        <v/>
      </c>
      <c r="H31" s="45"/>
      <c r="N31" s="85"/>
      <c r="O31" s="153" t="s">
        <v>63</v>
      </c>
      <c r="P31" s="192" t="s">
        <v>278</v>
      </c>
      <c r="Q31" s="192" t="s">
        <v>258</v>
      </c>
      <c r="R31" s="190" t="str">
        <f t="shared" si="1"/>
        <v>AUBR6AB23Y</v>
      </c>
      <c r="S31" s="152" t="str">
        <v>AUBR6AB23Y=ICAA</v>
      </c>
      <c r="T31" s="256" t="s">
        <v>174</v>
      </c>
      <c r="U31" s="256" t="s">
        <v>174</v>
      </c>
      <c r="V31" s="247" t="e">
        <f>_xll.qlMidEquivalent(T31,U31)</f>
        <v>#NUM!</v>
      </c>
      <c r="W31" s="149"/>
      <c r="X31" s="255" t="e">
        <v>#NUM!</v>
      </c>
      <c r="Y31" s="149"/>
      <c r="Z31" s="349" t="e">
        <v>#NUM!</v>
      </c>
      <c r="AA31" s="146" t="e">
        <f>_xll.qlSimpleQuoteSetValue(F31,Z31/10000,Trigger)</f>
        <v>#NUM!</v>
      </c>
      <c r="AB31" s="136"/>
      <c r="AC31" s="12"/>
      <c r="AD31" s="12"/>
      <c r="AE31" s="12"/>
      <c r="AF31" s="12"/>
      <c r="AG31" s="12"/>
      <c r="AH31" s="252"/>
    </row>
    <row r="32" spans="1:34" ht="11.25" customHeight="1" x14ac:dyDescent="0.2">
      <c r="A32" s="51"/>
      <c r="B32" s="50" t="s">
        <v>62</v>
      </c>
      <c r="C32" s="49" t="s">
        <v>281</v>
      </c>
      <c r="D32" s="48" t="s">
        <v>282</v>
      </c>
      <c r="E32" s="47" t="str">
        <f t="shared" si="0"/>
        <v>AUD3BR6BR24Y_Quote</v>
      </c>
      <c r="F32" s="47" t="str">
        <f>_xll.qlSimpleQuote(E32,,RateTickValue,Permanent,Trigger,ObjectOverwrite)</f>
        <v>AUD3BR6BR24Y_Quote#0000</v>
      </c>
      <c r="G32" s="46" t="str">
        <f>_xll.ohRangeRetrieveError(F32)</f>
        <v/>
      </c>
      <c r="H32" s="45"/>
      <c r="N32" s="85"/>
      <c r="O32" s="153" t="s">
        <v>62</v>
      </c>
      <c r="P32" s="192" t="s">
        <v>278</v>
      </c>
      <c r="Q32" s="192" t="s">
        <v>258</v>
      </c>
      <c r="R32" s="190" t="str">
        <f t="shared" si="1"/>
        <v>AUBR6AB24Y</v>
      </c>
      <c r="S32" s="152" t="str">
        <v>AUBR6AB24Y=ICAA</v>
      </c>
      <c r="T32" s="256" t="s">
        <v>174</v>
      </c>
      <c r="U32" s="256" t="s">
        <v>174</v>
      </c>
      <c r="V32" s="247" t="e">
        <f>_xll.qlMidEquivalent(T32,U32)</f>
        <v>#NUM!</v>
      </c>
      <c r="W32" s="149"/>
      <c r="X32" s="255" t="e">
        <v>#NUM!</v>
      </c>
      <c r="Y32" s="149"/>
      <c r="Z32" s="349" t="e">
        <v>#NUM!</v>
      </c>
      <c r="AA32" s="146" t="e">
        <f>_xll.qlSimpleQuoteSetValue(F32,Z32/10000,Trigger)</f>
        <v>#NUM!</v>
      </c>
      <c r="AB32" s="136"/>
      <c r="AC32" s="12"/>
      <c r="AD32" s="12"/>
      <c r="AE32" s="12"/>
      <c r="AF32" s="12"/>
      <c r="AG32" s="12"/>
      <c r="AH32" s="252"/>
    </row>
    <row r="33" spans="1:34" ht="11.25" customHeight="1" x14ac:dyDescent="0.2">
      <c r="A33" s="51"/>
      <c r="B33" s="50" t="s">
        <v>61</v>
      </c>
      <c r="C33" s="49" t="s">
        <v>281</v>
      </c>
      <c r="D33" s="48" t="s">
        <v>282</v>
      </c>
      <c r="E33" s="47" t="str">
        <f t="shared" si="0"/>
        <v>AUD3BR6BR25Y_Quote</v>
      </c>
      <c r="F33" s="47" t="str">
        <f>_xll.qlSimpleQuote(E33,,RateTickValue,Permanent,Trigger,ObjectOverwrite)</f>
        <v>AUD3BR6BR25Y_Quote#0000</v>
      </c>
      <c r="G33" s="46" t="str">
        <f>_xll.ohRangeRetrieveError(F33)</f>
        <v/>
      </c>
      <c r="H33" s="45"/>
      <c r="N33" s="85"/>
      <c r="O33" s="153" t="s">
        <v>61</v>
      </c>
      <c r="P33" s="192" t="s">
        <v>278</v>
      </c>
      <c r="Q33" s="192" t="s">
        <v>258</v>
      </c>
      <c r="R33" s="190" t="str">
        <f t="shared" si="1"/>
        <v>AUBR6AB25Y</v>
      </c>
      <c r="S33" s="152" t="str">
        <v>AUBR6AB25Y=ICAA</v>
      </c>
      <c r="T33" s="256">
        <v>2.25</v>
      </c>
      <c r="U33" s="256">
        <v>5.25</v>
      </c>
      <c r="V33" s="247">
        <f>_xll.qlMidEquivalent(T33,U33)</f>
        <v>3.75</v>
      </c>
      <c r="W33" s="149"/>
      <c r="X33" s="255">
        <v>3.75</v>
      </c>
      <c r="Y33" s="149"/>
      <c r="Z33" s="349">
        <v>3.75</v>
      </c>
      <c r="AA33" s="146">
        <f>_xll.qlSimpleQuoteSetValue(F33,Z33/10000,Trigger)</f>
        <v>0</v>
      </c>
      <c r="AB33" s="136"/>
      <c r="AC33" s="12"/>
      <c r="AD33" s="12"/>
      <c r="AE33" s="12"/>
      <c r="AF33" s="12"/>
      <c r="AG33" s="12"/>
      <c r="AH33" s="252"/>
    </row>
    <row r="34" spans="1:34" ht="11.25" customHeight="1" x14ac:dyDescent="0.2">
      <c r="A34" s="51"/>
      <c r="B34" s="50" t="s">
        <v>60</v>
      </c>
      <c r="C34" s="49" t="s">
        <v>281</v>
      </c>
      <c r="D34" s="48" t="s">
        <v>282</v>
      </c>
      <c r="E34" s="47" t="str">
        <f t="shared" si="0"/>
        <v>AUD3BR6BR26Y_Quote</v>
      </c>
      <c r="F34" s="47" t="str">
        <f>_xll.qlSimpleQuote(E34,,RateTickValue,Permanent,Trigger,ObjectOverwrite)</f>
        <v>AUD3BR6BR26Y_Quote#0000</v>
      </c>
      <c r="G34" s="46" t="str">
        <f>_xll.ohRangeRetrieveError(F34)</f>
        <v/>
      </c>
      <c r="H34" s="45"/>
      <c r="N34" s="85"/>
      <c r="O34" s="153" t="s">
        <v>60</v>
      </c>
      <c r="P34" s="192" t="s">
        <v>278</v>
      </c>
      <c r="Q34" s="192" t="s">
        <v>258</v>
      </c>
      <c r="R34" s="190" t="str">
        <f t="shared" si="1"/>
        <v>AUBR6AB26Y</v>
      </c>
      <c r="S34" s="152" t="str">
        <v>AUBR6AB26Y=ICAA</v>
      </c>
      <c r="T34" s="256" t="s">
        <v>174</v>
      </c>
      <c r="U34" s="256" t="s">
        <v>174</v>
      </c>
      <c r="V34" s="247" t="e">
        <f>_xll.qlMidEquivalent(T34,U34)</f>
        <v>#NUM!</v>
      </c>
      <c r="W34" s="149"/>
      <c r="X34" s="255" t="e">
        <v>#NUM!</v>
      </c>
      <c r="Y34" s="149"/>
      <c r="Z34" s="349" t="e">
        <v>#NUM!</v>
      </c>
      <c r="AA34" s="146" t="e">
        <f>_xll.qlSimpleQuoteSetValue(F34,Z34/10000,Trigger)</f>
        <v>#NUM!</v>
      </c>
      <c r="AB34" s="136"/>
      <c r="AC34" s="12"/>
      <c r="AD34" s="12"/>
      <c r="AE34" s="12"/>
      <c r="AF34" s="12"/>
      <c r="AG34" s="12"/>
      <c r="AH34" s="252"/>
    </row>
    <row r="35" spans="1:34" ht="11.25" customHeight="1" x14ac:dyDescent="0.2">
      <c r="A35" s="51"/>
      <c r="B35" s="50" t="s">
        <v>59</v>
      </c>
      <c r="C35" s="49" t="s">
        <v>281</v>
      </c>
      <c r="D35" s="48" t="s">
        <v>282</v>
      </c>
      <c r="E35" s="47" t="str">
        <f t="shared" si="0"/>
        <v>AUD3BR6BR27Y_Quote</v>
      </c>
      <c r="F35" s="47" t="str">
        <f>_xll.qlSimpleQuote(E35,,RateTickValue,Permanent,Trigger,ObjectOverwrite)</f>
        <v>AUD3BR6BR27Y_Quote#0000</v>
      </c>
      <c r="G35" s="46" t="str">
        <f>_xll.ohRangeRetrieveError(F35)</f>
        <v/>
      </c>
      <c r="H35" s="45"/>
      <c r="N35" s="85"/>
      <c r="O35" s="153" t="s">
        <v>59</v>
      </c>
      <c r="P35" s="192" t="s">
        <v>278</v>
      </c>
      <c r="Q35" s="192" t="s">
        <v>258</v>
      </c>
      <c r="R35" s="190" t="str">
        <f t="shared" si="1"/>
        <v>AUBR6AB27Y</v>
      </c>
      <c r="S35" s="152" t="str">
        <v>AUBR6AB27Y=ICAA</v>
      </c>
      <c r="T35" s="256" t="s">
        <v>174</v>
      </c>
      <c r="U35" s="256" t="s">
        <v>174</v>
      </c>
      <c r="V35" s="247" t="e">
        <f>_xll.qlMidEquivalent(T35,U35)</f>
        <v>#NUM!</v>
      </c>
      <c r="W35" s="149"/>
      <c r="X35" s="255" t="e">
        <v>#NUM!</v>
      </c>
      <c r="Y35" s="149"/>
      <c r="Z35" s="349" t="e">
        <v>#NUM!</v>
      </c>
      <c r="AA35" s="146" t="e">
        <f>_xll.qlSimpleQuoteSetValue(F35,Z35/10000,Trigger)</f>
        <v>#NUM!</v>
      </c>
      <c r="AB35" s="136"/>
      <c r="AC35" s="12"/>
      <c r="AD35" s="12"/>
      <c r="AE35" s="12"/>
      <c r="AF35" s="12"/>
      <c r="AG35" s="12"/>
      <c r="AH35" s="252"/>
    </row>
    <row r="36" spans="1:34" ht="11.25" customHeight="1" x14ac:dyDescent="0.2">
      <c r="A36" s="51"/>
      <c r="B36" s="50" t="s">
        <v>58</v>
      </c>
      <c r="C36" s="49" t="s">
        <v>281</v>
      </c>
      <c r="D36" s="48" t="s">
        <v>282</v>
      </c>
      <c r="E36" s="47" t="str">
        <f t="shared" si="0"/>
        <v>AUD3BR6BR28Y_Quote</v>
      </c>
      <c r="F36" s="47" t="str">
        <f>_xll.qlSimpleQuote(E36,,RateTickValue,Permanent,Trigger,ObjectOverwrite)</f>
        <v>AUD3BR6BR28Y_Quote#0000</v>
      </c>
      <c r="G36" s="46" t="str">
        <f>_xll.ohRangeRetrieveError(F36)</f>
        <v/>
      </c>
      <c r="H36" s="45"/>
      <c r="N36" s="85"/>
      <c r="O36" s="153" t="s">
        <v>58</v>
      </c>
      <c r="P36" s="192" t="s">
        <v>278</v>
      </c>
      <c r="Q36" s="192" t="s">
        <v>258</v>
      </c>
      <c r="R36" s="190" t="str">
        <f t="shared" si="1"/>
        <v>AUBR6AB28Y</v>
      </c>
      <c r="S36" s="152" t="str">
        <v>AUBR6AB28Y=ICAA</v>
      </c>
      <c r="T36" s="256" t="s">
        <v>174</v>
      </c>
      <c r="U36" s="256" t="s">
        <v>174</v>
      </c>
      <c r="V36" s="247" t="e">
        <f>_xll.qlMidEquivalent(T36,U36)</f>
        <v>#NUM!</v>
      </c>
      <c r="W36" s="149"/>
      <c r="X36" s="255" t="e">
        <v>#NUM!</v>
      </c>
      <c r="Y36" s="149"/>
      <c r="Z36" s="349" t="e">
        <v>#NUM!</v>
      </c>
      <c r="AA36" s="146" t="e">
        <f>_xll.qlSimpleQuoteSetValue(F36,Z36/10000,Trigger)</f>
        <v>#NUM!</v>
      </c>
      <c r="AB36" s="136"/>
      <c r="AC36" s="12"/>
      <c r="AD36" s="12"/>
      <c r="AE36" s="12"/>
      <c r="AF36" s="12"/>
      <c r="AG36" s="12"/>
      <c r="AH36" s="252"/>
    </row>
    <row r="37" spans="1:34" ht="11.25" customHeight="1" x14ac:dyDescent="0.2">
      <c r="A37" s="51"/>
      <c r="B37" s="50" t="s">
        <v>57</v>
      </c>
      <c r="C37" s="49" t="s">
        <v>281</v>
      </c>
      <c r="D37" s="48" t="s">
        <v>282</v>
      </c>
      <c r="E37" s="47" t="str">
        <f t="shared" si="0"/>
        <v>AUD3BR6BR29Y_Quote</v>
      </c>
      <c r="F37" s="47" t="str">
        <f>_xll.qlSimpleQuote(E37,,RateTickValue,Permanent,Trigger,ObjectOverwrite)</f>
        <v>AUD3BR6BR29Y_Quote#0000</v>
      </c>
      <c r="G37" s="46" t="str">
        <f>_xll.ohRangeRetrieveError(F37)</f>
        <v/>
      </c>
      <c r="H37" s="45"/>
      <c r="N37" s="85"/>
      <c r="O37" s="153" t="s">
        <v>57</v>
      </c>
      <c r="P37" s="192" t="s">
        <v>278</v>
      </c>
      <c r="Q37" s="192" t="s">
        <v>258</v>
      </c>
      <c r="R37" s="190" t="str">
        <f t="shared" si="1"/>
        <v>AUBR6AB29Y</v>
      </c>
      <c r="S37" s="152" t="str">
        <v>AUBR6AB29Y=ICAA</v>
      </c>
      <c r="T37" s="256" t="s">
        <v>174</v>
      </c>
      <c r="U37" s="256" t="s">
        <v>174</v>
      </c>
      <c r="V37" s="247" t="e">
        <f>_xll.qlMidEquivalent(T37,U37)</f>
        <v>#NUM!</v>
      </c>
      <c r="W37" s="149"/>
      <c r="X37" s="255" t="e">
        <v>#NUM!</v>
      </c>
      <c r="Y37" s="149"/>
      <c r="Z37" s="349" t="e">
        <v>#NUM!</v>
      </c>
      <c r="AA37" s="146" t="e">
        <f>_xll.qlSimpleQuoteSetValue(F37,Z37/10000,Trigger)</f>
        <v>#NUM!</v>
      </c>
      <c r="AB37" s="136"/>
      <c r="AC37" s="12"/>
      <c r="AD37" s="12"/>
      <c r="AE37" s="12"/>
      <c r="AF37" s="12"/>
      <c r="AG37" s="12"/>
      <c r="AH37" s="252"/>
    </row>
    <row r="38" spans="1:34" ht="11.25" customHeight="1" x14ac:dyDescent="0.2">
      <c r="A38" s="51"/>
      <c r="B38" s="50" t="s">
        <v>56</v>
      </c>
      <c r="C38" s="49" t="s">
        <v>281</v>
      </c>
      <c r="D38" s="48" t="s">
        <v>282</v>
      </c>
      <c r="E38" s="47" t="str">
        <f t="shared" si="0"/>
        <v>AUD3BR6BR30Y_Quote</v>
      </c>
      <c r="F38" s="47" t="str">
        <f>_xll.qlSimpleQuote(E38,,RateTickValue,Permanent,Trigger,ObjectOverwrite)</f>
        <v>AUD3BR6BR30Y_Quote#0000</v>
      </c>
      <c r="G38" s="46" t="str">
        <f>_xll.ohRangeRetrieveError(F38)</f>
        <v/>
      </c>
      <c r="H38" s="45"/>
      <c r="N38" s="85"/>
      <c r="O38" s="153" t="s">
        <v>56</v>
      </c>
      <c r="P38" s="192" t="s">
        <v>278</v>
      </c>
      <c r="Q38" s="192" t="s">
        <v>258</v>
      </c>
      <c r="R38" s="190" t="str">
        <f t="shared" si="1"/>
        <v>AUBR6AB30Y</v>
      </c>
      <c r="S38" s="152" t="str">
        <v>AUBR6AB30Y=ICAA</v>
      </c>
      <c r="T38" s="256">
        <v>1.25</v>
      </c>
      <c r="U38" s="256">
        <v>4.25</v>
      </c>
      <c r="V38" s="247">
        <f>_xll.qlMidEquivalent(T38,U38)</f>
        <v>2.75</v>
      </c>
      <c r="W38" s="149"/>
      <c r="X38" s="255">
        <v>2.75</v>
      </c>
      <c r="Y38" s="149"/>
      <c r="Z38" s="349">
        <v>2.75</v>
      </c>
      <c r="AA38" s="146">
        <f>_xll.qlSimpleQuoteSetValue(F38,Z38/10000,Trigger)</f>
        <v>0</v>
      </c>
      <c r="AB38" s="136"/>
      <c r="AC38" s="12"/>
      <c r="AD38" s="12"/>
      <c r="AE38" s="12"/>
      <c r="AF38" s="12"/>
      <c r="AG38" s="12"/>
      <c r="AH38" s="252"/>
    </row>
    <row r="39" spans="1:34" ht="11.25" customHeight="1" x14ac:dyDescent="0.2">
      <c r="A39" s="51"/>
      <c r="B39" s="50" t="s">
        <v>51</v>
      </c>
      <c r="C39" s="49" t="s">
        <v>281</v>
      </c>
      <c r="D39" s="48" t="s">
        <v>282</v>
      </c>
      <c r="E39" s="47" t="str">
        <f t="shared" si="0"/>
        <v>AUD3BR6BR35Y_Quote</v>
      </c>
      <c r="F39" s="47" t="str">
        <f>_xll.qlSimpleQuote(E39,,RateTickValue,Permanent,Trigger,ObjectOverwrite)</f>
        <v>AUD3BR6BR35Y_Quote#0000</v>
      </c>
      <c r="G39" s="46" t="str">
        <f>_xll.ohRangeRetrieveError(F39)</f>
        <v/>
      </c>
      <c r="H39" s="45"/>
      <c r="N39" s="85"/>
      <c r="O39" s="153" t="s">
        <v>51</v>
      </c>
      <c r="P39" s="192" t="s">
        <v>278</v>
      </c>
      <c r="Q39" s="192" t="s">
        <v>258</v>
      </c>
      <c r="R39" s="190" t="str">
        <f t="shared" si="1"/>
        <v>AUBR6AB35Y</v>
      </c>
      <c r="S39" s="152" t="str">
        <v>AUBR6AB35Y=ICAA</v>
      </c>
      <c r="T39" s="256" t="s">
        <v>174</v>
      </c>
      <c r="U39" s="256" t="s">
        <v>174</v>
      </c>
      <c r="V39" s="247" t="e">
        <f>_xll.qlMidEquivalent(T39,U39)</f>
        <v>#NUM!</v>
      </c>
      <c r="W39" s="149"/>
      <c r="X39" s="255" t="e">
        <v>#NUM!</v>
      </c>
      <c r="Y39" s="149"/>
      <c r="Z39" s="349" t="e">
        <v>#NUM!</v>
      </c>
      <c r="AA39" s="146" t="e">
        <f>_xll.qlSimpleQuoteSetValue(F39,Z39/10000,Trigger)</f>
        <v>#NUM!</v>
      </c>
      <c r="AB39" s="136"/>
      <c r="AC39" s="12"/>
      <c r="AD39" s="12"/>
      <c r="AE39" s="12"/>
      <c r="AF39" s="12"/>
      <c r="AG39" s="12"/>
      <c r="AH39" s="252"/>
    </row>
    <row r="40" spans="1:34" ht="11.25" customHeight="1" x14ac:dyDescent="0.2">
      <c r="A40" s="51"/>
      <c r="B40" s="50" t="s">
        <v>46</v>
      </c>
      <c r="C40" s="49" t="s">
        <v>281</v>
      </c>
      <c r="D40" s="48" t="s">
        <v>282</v>
      </c>
      <c r="E40" s="47" t="str">
        <f t="shared" si="0"/>
        <v>AUD3BR6BR40Y_Quote</v>
      </c>
      <c r="F40" s="47" t="str">
        <f>_xll.qlSimpleQuote(E40,,RateTickValue,Permanent,Trigger,ObjectOverwrite)</f>
        <v>AUD3BR6BR40Y_Quote#0000</v>
      </c>
      <c r="G40" s="46" t="str">
        <f>_xll.ohRangeRetrieveError(F40)</f>
        <v/>
      </c>
      <c r="H40" s="45"/>
      <c r="N40" s="85"/>
      <c r="O40" s="153" t="s">
        <v>46</v>
      </c>
      <c r="P40" s="192" t="s">
        <v>278</v>
      </c>
      <c r="Q40" s="192" t="s">
        <v>258</v>
      </c>
      <c r="R40" s="190" t="str">
        <f t="shared" si="1"/>
        <v>AUBR6AB40Y</v>
      </c>
      <c r="S40" s="152" t="str">
        <v>AUBR6AB40Y=ICAA</v>
      </c>
      <c r="T40" s="256" t="s">
        <v>174</v>
      </c>
      <c r="U40" s="256" t="s">
        <v>174</v>
      </c>
      <c r="V40" s="247" t="e">
        <f>_xll.qlMidEquivalent(T40,U40)</f>
        <v>#NUM!</v>
      </c>
      <c r="W40" s="149"/>
      <c r="X40" s="255" t="e">
        <v>#NUM!</v>
      </c>
      <c r="Y40" s="149"/>
      <c r="Z40" s="349" t="e">
        <v>#NUM!</v>
      </c>
      <c r="AA40" s="146" t="e">
        <f>_xll.qlSimpleQuoteSetValue(F40,Z40/10000,Trigger)</f>
        <v>#NUM!</v>
      </c>
      <c r="AB40" s="136"/>
      <c r="AC40" s="12"/>
      <c r="AD40" s="12"/>
      <c r="AE40" s="12"/>
      <c r="AF40" s="12"/>
      <c r="AG40" s="12"/>
      <c r="AH40" s="252"/>
    </row>
    <row r="41" spans="1:34" ht="11.25" customHeight="1" x14ac:dyDescent="0.2">
      <c r="A41" s="51"/>
      <c r="B41" s="50" t="s">
        <v>36</v>
      </c>
      <c r="C41" s="49" t="s">
        <v>281</v>
      </c>
      <c r="D41" s="48" t="s">
        <v>282</v>
      </c>
      <c r="E41" s="47" t="str">
        <f t="shared" si="0"/>
        <v>AUD3BR6BR50Y_Quote</v>
      </c>
      <c r="F41" s="47" t="str">
        <f>_xll.qlSimpleQuote(E41,,RateTickValue,Permanent,Trigger,ObjectOverwrite)</f>
        <v>AUD3BR6BR50Y_Quote#0000</v>
      </c>
      <c r="G41" s="46" t="str">
        <f>_xll.ohRangeRetrieveError(F41)</f>
        <v/>
      </c>
      <c r="H41" s="45"/>
      <c r="N41" s="85"/>
      <c r="O41" s="153" t="s">
        <v>36</v>
      </c>
      <c r="P41" s="192" t="s">
        <v>278</v>
      </c>
      <c r="Q41" s="192" t="s">
        <v>258</v>
      </c>
      <c r="R41" s="190" t="str">
        <f t="shared" si="1"/>
        <v>AUBR6AB50Y</v>
      </c>
      <c r="S41" s="152" t="str">
        <v>AUBR6AB50Y=ICAA</v>
      </c>
      <c r="T41" s="256" t="s">
        <v>174</v>
      </c>
      <c r="U41" s="256" t="s">
        <v>174</v>
      </c>
      <c r="V41" s="247" t="e">
        <f>_xll.qlMidEquivalent(T41,U41)</f>
        <v>#NUM!</v>
      </c>
      <c r="W41" s="149"/>
      <c r="X41" s="255" t="e">
        <v>#NUM!</v>
      </c>
      <c r="Y41" s="149"/>
      <c r="Z41" s="349" t="e">
        <v>#NUM!</v>
      </c>
      <c r="AA41" s="146" t="e">
        <f>_xll.qlSimpleQuoteSetValue(F41,Z41/10000,Trigger)</f>
        <v>#NUM!</v>
      </c>
      <c r="AB41" s="136"/>
      <c r="AC41" s="12"/>
      <c r="AD41" s="12"/>
      <c r="AE41" s="12"/>
      <c r="AF41" s="12"/>
      <c r="AG41" s="12"/>
      <c r="AH41" s="252"/>
    </row>
    <row r="42" spans="1:34" ht="11.25" customHeight="1" x14ac:dyDescent="0.2">
      <c r="A42" s="51"/>
      <c r="B42" s="50" t="s">
        <v>26</v>
      </c>
      <c r="C42" s="49" t="s">
        <v>281</v>
      </c>
      <c r="D42" s="48" t="s">
        <v>282</v>
      </c>
      <c r="E42" s="47" t="str">
        <f t="shared" si="0"/>
        <v>AUD3BR6BR60Y_Quote</v>
      </c>
      <c r="F42" s="47" t="str">
        <f>_xll.qlSimpleQuote(E42,,RateTickValue,Permanent,Trigger,ObjectOverwrite)</f>
        <v>AUD3BR6BR60Y_Quote#0000</v>
      </c>
      <c r="G42" s="46" t="str">
        <f>_xll.ohRangeRetrieveError(F42)</f>
        <v/>
      </c>
      <c r="H42" s="45"/>
      <c r="N42" s="85"/>
      <c r="O42" s="153" t="s">
        <v>26</v>
      </c>
      <c r="P42" s="192" t="s">
        <v>278</v>
      </c>
      <c r="Q42" s="192" t="s">
        <v>258</v>
      </c>
      <c r="R42" s="190" t="str">
        <f t="shared" si="1"/>
        <v>AUBR6AB60Y</v>
      </c>
      <c r="S42" s="152" t="str">
        <v>AUBR6AB60Y=ICAA</v>
      </c>
      <c r="T42" s="254" t="s">
        <v>174</v>
      </c>
      <c r="U42" s="254" t="s">
        <v>174</v>
      </c>
      <c r="V42" s="448" t="e">
        <f>_xll.qlMidEquivalent(T42,U42)</f>
        <v>#NUM!</v>
      </c>
      <c r="W42" s="149"/>
      <c r="X42" s="253" t="e">
        <v>#NUM!</v>
      </c>
      <c r="Y42" s="149"/>
      <c r="Z42" s="350" t="e">
        <v>#NUM!</v>
      </c>
      <c r="AA42" s="159" t="e">
        <f>_xll.qlSimpleQuoteSetValue(F42,Z42/10000,Trigger)</f>
        <v>#NUM!</v>
      </c>
      <c r="AB42" s="136"/>
      <c r="AC42" s="12"/>
      <c r="AD42" s="12"/>
      <c r="AE42" s="12"/>
      <c r="AF42" s="12"/>
      <c r="AG42" s="12"/>
      <c r="AH42" s="252"/>
    </row>
    <row r="43" spans="1:34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N43" s="20"/>
      <c r="O43" s="145"/>
      <c r="P43" s="145"/>
      <c r="Q43" s="145"/>
      <c r="R43" s="145"/>
      <c r="S43" s="145"/>
      <c r="T43" s="19"/>
      <c r="U43" s="19"/>
      <c r="V43" s="19"/>
      <c r="W43" s="19"/>
      <c r="X43" s="19"/>
      <c r="Y43" s="19"/>
      <c r="Z43" s="19"/>
      <c r="AA43" s="19"/>
      <c r="AB43" s="184"/>
      <c r="AC43" s="12"/>
      <c r="AD43" s="12"/>
      <c r="AE43" s="12"/>
      <c r="AF43" s="12"/>
      <c r="AG43" s="12"/>
      <c r="AH43" s="12"/>
    </row>
  </sheetData>
  <conditionalFormatting sqref="AA5:AA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D6" sqref="D6"/>
    </sheetView>
  </sheetViews>
  <sheetFormatPr defaultRowHeight="11.25" outlineLevelCol="1" x14ac:dyDescent="0.2"/>
  <cols>
    <col min="1" max="2" width="2.140625" style="395" customWidth="1"/>
    <col min="3" max="3" width="6.5703125" style="395" bestFit="1" customWidth="1"/>
    <col min="4" max="4" width="12" style="395" bestFit="1" customWidth="1"/>
    <col min="5" max="5" width="17.28515625" style="395" bestFit="1" customWidth="1"/>
    <col min="6" max="6" width="33.85546875" style="395" bestFit="1" customWidth="1"/>
    <col min="7" max="9" width="17.85546875" style="395" hidden="1" customWidth="1" outlineLevel="1"/>
    <col min="10" max="10" width="2.140625" style="395" customWidth="1" collapsed="1"/>
    <col min="11" max="11" width="10" style="395" bestFit="1" customWidth="1"/>
    <col min="12" max="12" width="15.140625" style="395" bestFit="1" customWidth="1"/>
    <col min="13" max="13" width="10.42578125" style="395" customWidth="1"/>
    <col min="14" max="14" width="7" style="395" bestFit="1" customWidth="1"/>
    <col min="15" max="15" width="8" style="395" bestFit="1" customWidth="1"/>
    <col min="16" max="16" width="2.140625" style="395" customWidth="1"/>
    <col min="17" max="17" width="11" style="395" bestFit="1" customWidth="1"/>
    <col min="18" max="18" width="9" style="395" bestFit="1" customWidth="1"/>
    <col min="19" max="19" width="8" style="395" bestFit="1" customWidth="1"/>
    <col min="20" max="20" width="8.140625" style="395" customWidth="1"/>
    <col min="21" max="21" width="8" style="395" bestFit="1" customWidth="1"/>
    <col min="22" max="22" width="2.140625" style="395" customWidth="1"/>
    <col min="23" max="24" width="10.28515625" style="395" bestFit="1" customWidth="1"/>
    <col min="25" max="26" width="2.7109375" style="395" customWidth="1"/>
    <col min="27" max="16384" width="9.140625" style="395"/>
  </cols>
  <sheetData>
    <row r="1" spans="2:26" s="366" customFormat="1" ht="12" thickBot="1" x14ac:dyDescent="0.25">
      <c r="K1" s="395"/>
      <c r="L1" s="395"/>
      <c r="M1" s="395"/>
      <c r="N1" s="395"/>
      <c r="O1" s="395"/>
      <c r="P1" s="395"/>
      <c r="Q1" s="395"/>
      <c r="R1" s="395"/>
      <c r="S1" s="395"/>
      <c r="T1" s="395"/>
      <c r="U1" s="395"/>
      <c r="V1" s="395"/>
      <c r="W1" s="395"/>
      <c r="X1" s="395"/>
      <c r="Y1" s="395"/>
      <c r="Z1" s="395"/>
    </row>
    <row r="2" spans="2:26" s="366" customFormat="1" x14ac:dyDescent="0.2">
      <c r="B2" s="367"/>
      <c r="C2" s="368"/>
      <c r="D2" s="368"/>
      <c r="E2" s="369"/>
      <c r="F2" s="369"/>
      <c r="G2" s="368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70"/>
    </row>
    <row r="3" spans="2:26" s="366" customFormat="1" x14ac:dyDescent="0.2">
      <c r="B3" s="371"/>
      <c r="C3" s="372"/>
      <c r="D3" s="373" t="s">
        <v>25</v>
      </c>
      <c r="E3" s="374" t="s">
        <v>24</v>
      </c>
      <c r="F3" s="375"/>
      <c r="G3" s="372"/>
      <c r="H3" s="375"/>
      <c r="I3" s="375"/>
      <c r="J3" s="375"/>
      <c r="K3" s="375"/>
      <c r="L3" s="375"/>
      <c r="M3" s="375"/>
      <c r="N3" s="375"/>
      <c r="O3" s="375"/>
      <c r="P3" s="375"/>
      <c r="Q3" s="375"/>
      <c r="R3" s="375"/>
      <c r="S3" s="375"/>
      <c r="T3" s="375"/>
      <c r="U3" s="375"/>
      <c r="V3" s="376"/>
    </row>
    <row r="4" spans="2:26" s="366" customFormat="1" x14ac:dyDescent="0.2">
      <c r="B4" s="371"/>
      <c r="C4" s="372"/>
      <c r="D4" s="372"/>
      <c r="E4" s="377" t="str">
        <f>IF(Serialize,_xll.ohObjectSave(D6:F12,SerializationPath&amp;#REF!,FileOverwrite,,Serialize),"---")</f>
        <v>---</v>
      </c>
      <c r="F4" s="375"/>
      <c r="G4" s="372"/>
      <c r="H4" s="375"/>
      <c r="I4" s="375"/>
      <c r="J4" s="375"/>
      <c r="K4" s="396" t="s">
        <v>180</v>
      </c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6"/>
    </row>
    <row r="5" spans="2:26" s="366" customFormat="1" ht="36" x14ac:dyDescent="0.2">
      <c r="B5" s="371"/>
      <c r="C5" s="403" t="s">
        <v>23</v>
      </c>
      <c r="D5" s="403" t="s">
        <v>246</v>
      </c>
      <c r="E5" s="403" t="s">
        <v>245</v>
      </c>
      <c r="F5" s="403" t="s">
        <v>247</v>
      </c>
      <c r="G5" s="403" t="str">
        <f>"Error Message "&amp;D5</f>
        <v>Error Message Relinkable Handle</v>
      </c>
      <c r="H5" s="403" t="str">
        <f t="shared" ref="H5:I5" si="0">"Error Message "&amp;E5</f>
        <v>Error Message Index</v>
      </c>
      <c r="I5" s="403" t="str">
        <f t="shared" si="0"/>
        <v>Error Message LastFixing_Quote</v>
      </c>
      <c r="J5" s="404"/>
      <c r="K5" s="380" t="str">
        <f>_xll.RData(K6:K12,L5:M5,"RTFEED:IDN",,,L6)</f>
        <v>Paused at 12:08:05</v>
      </c>
      <c r="L5" s="381" t="s">
        <v>228</v>
      </c>
      <c r="M5" s="381" t="s">
        <v>273</v>
      </c>
      <c r="N5" s="381" t="s">
        <v>227</v>
      </c>
      <c r="O5" s="382" t="s">
        <v>226</v>
      </c>
      <c r="P5" s="406"/>
      <c r="Q5" s="381" t="s">
        <v>225</v>
      </c>
      <c r="R5" s="381" t="s">
        <v>224</v>
      </c>
      <c r="S5" s="381" t="s">
        <v>223</v>
      </c>
      <c r="T5" s="382" t="s">
        <v>222</v>
      </c>
      <c r="U5" s="401"/>
      <c r="V5" s="376"/>
    </row>
    <row r="6" spans="2:26" s="366" customFormat="1" x14ac:dyDescent="0.2">
      <c r="B6" s="371"/>
      <c r="C6" s="383" t="s">
        <v>157</v>
      </c>
      <c r="D6" s="379"/>
      <c r="E6" s="400" t="e">
        <f>_xll.qlOvernightIndex(PROPER(Currency),,0,"USD",OverNightIndexCalendar,"act/360",D6,Permanent,Trigger,ObjectOverwrite)</f>
        <v>#VALUE!</v>
      </c>
      <c r="F6" s="384" t="s">
        <v>271</v>
      </c>
      <c r="G6" s="378" t="str">
        <f>_xll.ohRangeRetrieveError(D6)</f>
        <v/>
      </c>
      <c r="H6" s="378" t="str">
        <f ca="1">_xll.ohRangeRetrieveError(E6)</f>
        <v/>
      </c>
      <c r="I6" s="378" t="str">
        <f>_xll.ohRangeRetrieveError(F6)</f>
        <v/>
      </c>
      <c r="J6" s="375"/>
      <c r="K6" s="389" t="str">
        <f t="shared" ref="K6:K12" si="1">Currency&amp;C6&amp;$K$4&amp;"="</f>
        <v>AUDONFSR=</v>
      </c>
      <c r="L6" s="438" t="s">
        <v>174</v>
      </c>
      <c r="M6" s="388" t="s">
        <v>174</v>
      </c>
      <c r="N6" s="388" t="b">
        <f t="shared" ref="N6:N12" si="2">IF(AND(ISNUMBER($M6),$M6&lt;&gt;0%),TRUE,FALSE)</f>
        <v>0</v>
      </c>
      <c r="O6" s="405" t="e">
        <f>IF($N6,_xll.qlIndexAddFixings($E6,$L6,$M6/100,TRUE,ISERROR($Q6)),NA())</f>
        <v>#N/A</v>
      </c>
      <c r="P6" s="406"/>
      <c r="Q6" s="386" t="e">
        <f>_xll.qlIndexFixing($E6,$L6,TRUE,$N6)</f>
        <v>#VALUE!</v>
      </c>
      <c r="R6" s="386" t="e">
        <f>IF($O6,_xll.qlIndexFixing($E6,$L6,FALSE,$N6),"-")</f>
        <v>#N/A</v>
      </c>
      <c r="S6" s="386" t="e">
        <f t="shared" ref="S6" si="3">Q6-R6</f>
        <v>#VALUE!</v>
      </c>
      <c r="T6" s="390" t="e">
        <f>_xll.qlIndexFixing($E6,$L6,TRUE,$R6)</f>
        <v>#VALUE!</v>
      </c>
      <c r="U6" s="385">
        <f>IF(ISERROR(S6),0,ABS(S6))</f>
        <v>0</v>
      </c>
      <c r="V6" s="376"/>
    </row>
    <row r="7" spans="2:26" s="366" customFormat="1" x14ac:dyDescent="0.2">
      <c r="B7" s="371"/>
      <c r="C7" s="383" t="s">
        <v>22</v>
      </c>
      <c r="D7" s="379"/>
      <c r="E7" s="384" t="e">
        <f>_xll.qlLibor(PROPER(Currency)&amp;FamilyName&amp;C7,Currency,C7,D7,Permanent,Trigger,ObjectOverwrite)</f>
        <v>#NUM!</v>
      </c>
      <c r="F7" s="384" t="s">
        <v>271</v>
      </c>
      <c r="G7" s="378" t="str">
        <f>_xll.ohRangeRetrieveError(D7)</f>
        <v/>
      </c>
      <c r="H7" s="378" t="str">
        <f ca="1">_xll.ohRangeRetrieveError(E7)</f>
        <v>qlLibor - Unhandled currency AUD</v>
      </c>
      <c r="I7" s="378" t="str">
        <f>_xll.ohRangeRetrieveError(F7)</f>
        <v/>
      </c>
      <c r="J7" s="375"/>
      <c r="K7" s="389" t="str">
        <f t="shared" si="1"/>
        <v>AUDSWFSR=</v>
      </c>
      <c r="L7" s="438">
        <v>41428</v>
      </c>
      <c r="M7" s="388">
        <v>2.7839999999999998</v>
      </c>
      <c r="N7" s="388" t="b">
        <f t="shared" si="2"/>
        <v>1</v>
      </c>
      <c r="O7" s="405" t="e">
        <f>IF($N7,_xll.qlIndexAddFixings($E7,$L7,$M7/100,TRUE,ISERROR($Q7)),NA())</f>
        <v>#VALUE!</v>
      </c>
      <c r="P7" s="406"/>
      <c r="Q7" s="386" t="e">
        <f>_xll.qlIndexFixing($E7,$L7,TRUE,$N7)</f>
        <v>#VALUE!</v>
      </c>
      <c r="R7" s="386" t="e">
        <f>IF($O7,_xll.qlIndexFixing($E7,$L7,FALSE,$N7),"-")</f>
        <v>#VALUE!</v>
      </c>
      <c r="S7" s="386" t="e">
        <f t="shared" ref="S7:S12" si="4">Q7-R7</f>
        <v>#VALUE!</v>
      </c>
      <c r="T7" s="390" t="e">
        <f>_xll.qlIndexFixing($E7,$L7,TRUE,$R7)</f>
        <v>#VALUE!</v>
      </c>
      <c r="U7" s="391">
        <f t="shared" ref="U7:U12" si="5">IF(ISERROR(S7),0,ABS(S7))</f>
        <v>0</v>
      </c>
      <c r="V7" s="376"/>
    </row>
    <row r="8" spans="2:26" s="366" customFormat="1" x14ac:dyDescent="0.2">
      <c r="B8" s="371"/>
      <c r="C8" s="383" t="s">
        <v>19</v>
      </c>
      <c r="D8" s="379"/>
      <c r="E8" s="384" t="e">
        <f>_xll.qlLibor(PROPER(Currency)&amp;FamilyName&amp;C8,Currency,C8,D8,Permanent,Trigger,ObjectOverwrite)</f>
        <v>#NUM!</v>
      </c>
      <c r="F8" s="384" t="s">
        <v>271</v>
      </c>
      <c r="G8" s="378" t="str">
        <f>_xll.ohRangeRetrieveError(D8)</f>
        <v/>
      </c>
      <c r="H8" s="378" t="str">
        <f ca="1">_xll.ohRangeRetrieveError(E8)</f>
        <v>qlLibor - Unhandled currency AUD</v>
      </c>
      <c r="I8" s="378" t="str">
        <f>_xll.ohRangeRetrieveError(F8)</f>
        <v/>
      </c>
      <c r="J8" s="375"/>
      <c r="K8" s="389" t="str">
        <f t="shared" si="1"/>
        <v>AUD1MFSR=</v>
      </c>
      <c r="L8" s="438">
        <v>41428</v>
      </c>
      <c r="M8" s="388">
        <v>2.8650000000000002</v>
      </c>
      <c r="N8" s="388" t="b">
        <f t="shared" si="2"/>
        <v>1</v>
      </c>
      <c r="O8" s="405" t="e">
        <f>IF($N8,_xll.qlIndexAddFixings($E8,$L8,$M8/100,TRUE,ISERROR($Q8)),NA())</f>
        <v>#VALUE!</v>
      </c>
      <c r="P8" s="406"/>
      <c r="Q8" s="386" t="e">
        <f>_xll.qlIndexFixing($E8,$L8,TRUE,$N8)</f>
        <v>#VALUE!</v>
      </c>
      <c r="R8" s="386" t="e">
        <f>IF($O8,_xll.qlIndexFixing($E8,$L8,FALSE,$N8),"-")</f>
        <v>#VALUE!</v>
      </c>
      <c r="S8" s="386" t="e">
        <f t="shared" si="4"/>
        <v>#VALUE!</v>
      </c>
      <c r="T8" s="390" t="e">
        <f>_xll.qlIndexFixing($E8,$L8,TRUE,$R8)</f>
        <v>#VALUE!</v>
      </c>
      <c r="U8" s="391">
        <f t="shared" si="5"/>
        <v>0</v>
      </c>
      <c r="V8" s="376"/>
    </row>
    <row r="9" spans="2:26" s="366" customFormat="1" x14ac:dyDescent="0.2">
      <c r="B9" s="371"/>
      <c r="C9" s="383" t="s">
        <v>18</v>
      </c>
      <c r="D9" s="379"/>
      <c r="E9" s="384" t="e">
        <f>_xll.qlLibor(PROPER(Currency)&amp;FamilyName&amp;C9,Currency,C9,D9,Permanent,Trigger,ObjectOverwrite)</f>
        <v>#NUM!</v>
      </c>
      <c r="F9" s="384" t="s">
        <v>271</v>
      </c>
      <c r="G9" s="378" t="str">
        <f>_xll.ohRangeRetrieveError(D9)</f>
        <v/>
      </c>
      <c r="H9" s="378" t="str">
        <f ca="1">_xll.ohRangeRetrieveError(E9)</f>
        <v>qlLibor - Unhandled currency AUD</v>
      </c>
      <c r="I9" s="378" t="str">
        <f>_xll.ohRangeRetrieveError(F9)</f>
        <v/>
      </c>
      <c r="J9" s="375"/>
      <c r="K9" s="389" t="str">
        <f t="shared" si="1"/>
        <v>AUD2MFSR=</v>
      </c>
      <c r="L9" s="438">
        <v>41428</v>
      </c>
      <c r="M9" s="388">
        <v>2.907</v>
      </c>
      <c r="N9" s="388" t="b">
        <f t="shared" si="2"/>
        <v>1</v>
      </c>
      <c r="O9" s="405" t="e">
        <f>IF($N9,_xll.qlIndexAddFixings($E9,$L9,$M9/100,TRUE,ISERROR($Q9)),NA())</f>
        <v>#VALUE!</v>
      </c>
      <c r="P9" s="406"/>
      <c r="Q9" s="386" t="e">
        <f>_xll.qlIndexFixing($E9,$L9,TRUE,$N9)</f>
        <v>#VALUE!</v>
      </c>
      <c r="R9" s="386" t="e">
        <f>IF($O9,_xll.qlIndexFixing($E9,$L9,FALSE,$N9),"-")</f>
        <v>#VALUE!</v>
      </c>
      <c r="S9" s="386" t="e">
        <f t="shared" si="4"/>
        <v>#VALUE!</v>
      </c>
      <c r="T9" s="390" t="e">
        <f>_xll.qlIndexFixing($E9,$L9,TRUE,$R9)</f>
        <v>#VALUE!</v>
      </c>
      <c r="U9" s="391">
        <f t="shared" si="5"/>
        <v>0</v>
      </c>
      <c r="V9" s="376"/>
    </row>
    <row r="10" spans="2:26" s="366" customFormat="1" x14ac:dyDescent="0.2">
      <c r="B10" s="371"/>
      <c r="C10" s="383" t="s">
        <v>17</v>
      </c>
      <c r="D10" s="379"/>
      <c r="E10" s="384" t="e">
        <f>_xll.qlLibor(PROPER(Currency)&amp;FamilyName&amp;C10,Currency,C10,D10,Permanent,Trigger,ObjectOverwrite)</f>
        <v>#NUM!</v>
      </c>
      <c r="F10" s="384" t="s">
        <v>271</v>
      </c>
      <c r="G10" s="378" t="str">
        <f>_xll.ohRangeRetrieveError(D10)</f>
        <v/>
      </c>
      <c r="H10" s="378" t="str">
        <f ca="1">_xll.ohRangeRetrieveError(E10)</f>
        <v>qlLibor - Unhandled currency AUD</v>
      </c>
      <c r="I10" s="378" t="str">
        <f>_xll.ohRangeRetrieveError(F10)</f>
        <v/>
      </c>
      <c r="J10" s="375"/>
      <c r="K10" s="389" t="str">
        <f t="shared" si="1"/>
        <v>AUD3MFSR=</v>
      </c>
      <c r="L10" s="438">
        <v>41428</v>
      </c>
      <c r="M10" s="388">
        <v>2.9569999999999999</v>
      </c>
      <c r="N10" s="388" t="b">
        <f t="shared" si="2"/>
        <v>1</v>
      </c>
      <c r="O10" s="405" t="e">
        <f>IF($N10,_xll.qlIndexAddFixings($E10,$L10,$M10/100,TRUE,ISERROR($Q10)),NA())</f>
        <v>#VALUE!</v>
      </c>
      <c r="P10" s="406"/>
      <c r="Q10" s="386" t="e">
        <f>_xll.qlIndexFixing($E10,$L10,TRUE,$N10)</f>
        <v>#VALUE!</v>
      </c>
      <c r="R10" s="386" t="e">
        <f>IF($O10,_xll.qlIndexFixing($E10,$L10,FALSE,$N10),"-")</f>
        <v>#VALUE!</v>
      </c>
      <c r="S10" s="386" t="e">
        <f t="shared" si="4"/>
        <v>#VALUE!</v>
      </c>
      <c r="T10" s="390" t="e">
        <f>_xll.qlIndexFixing($E10,$L10,TRUE,$R10)</f>
        <v>#VALUE!</v>
      </c>
      <c r="U10" s="391">
        <f t="shared" si="5"/>
        <v>0</v>
      </c>
      <c r="V10" s="376"/>
    </row>
    <row r="11" spans="2:26" s="366" customFormat="1" x14ac:dyDescent="0.2">
      <c r="B11" s="371"/>
      <c r="C11" s="383" t="s">
        <v>14</v>
      </c>
      <c r="D11" s="379"/>
      <c r="E11" s="384" t="e">
        <f>_xll.qlLibor(PROPER(Currency)&amp;FamilyName&amp;C11,Currency,C11,D11,Permanent,Trigger,ObjectOverwrite)</f>
        <v>#NUM!</v>
      </c>
      <c r="F11" s="384" t="s">
        <v>271</v>
      </c>
      <c r="G11" s="378" t="str">
        <f>_xll.ohRangeRetrieveError(D11)</f>
        <v/>
      </c>
      <c r="H11" s="378" t="str">
        <f ca="1">_xll.ohRangeRetrieveError(E11)</f>
        <v>qlLibor - Unhandled currency AUD</v>
      </c>
      <c r="I11" s="378" t="str">
        <f>_xll.ohRangeRetrieveError(F11)</f>
        <v/>
      </c>
      <c r="J11" s="375"/>
      <c r="K11" s="389" t="str">
        <f t="shared" si="1"/>
        <v>AUD6MFSR=</v>
      </c>
      <c r="L11" s="438">
        <v>41428</v>
      </c>
      <c r="M11" s="388">
        <v>3.0579999999999998</v>
      </c>
      <c r="N11" s="388" t="b">
        <f t="shared" si="2"/>
        <v>1</v>
      </c>
      <c r="O11" s="405" t="e">
        <f>IF($N11,_xll.qlIndexAddFixings($E11,$L11,$M11/100,TRUE,ISERROR($Q11)),NA())</f>
        <v>#VALUE!</v>
      </c>
      <c r="P11" s="406"/>
      <c r="Q11" s="386" t="e">
        <f>_xll.qlIndexFixing($E11,$L11,TRUE,$N11)</f>
        <v>#VALUE!</v>
      </c>
      <c r="R11" s="386" t="e">
        <f>IF($O11,_xll.qlIndexFixing($E11,$L11,FALSE,$N11),"-")</f>
        <v>#VALUE!</v>
      </c>
      <c r="S11" s="386" t="e">
        <f t="shared" si="4"/>
        <v>#VALUE!</v>
      </c>
      <c r="T11" s="390" t="e">
        <f>_xll.qlIndexFixing($E11,$L11,TRUE,$R11)</f>
        <v>#VALUE!</v>
      </c>
      <c r="U11" s="391">
        <f t="shared" si="5"/>
        <v>0</v>
      </c>
      <c r="V11" s="376"/>
    </row>
    <row r="12" spans="2:26" s="366" customFormat="1" x14ac:dyDescent="0.2">
      <c r="B12" s="371"/>
      <c r="C12" s="383" t="s">
        <v>8</v>
      </c>
      <c r="D12" s="379"/>
      <c r="E12" s="384" t="e">
        <f>_xll.qlLibor(PROPER(Currency)&amp;FamilyName&amp;C12,Currency,C12,D12,Permanent,Trigger,ObjectOverwrite)</f>
        <v>#NUM!</v>
      </c>
      <c r="F12" s="384" t="s">
        <v>271</v>
      </c>
      <c r="G12" s="378" t="str">
        <f>_xll.ohRangeRetrieveError(D12)</f>
        <v/>
      </c>
      <c r="H12" s="378" t="str">
        <f ca="1">_xll.ohRangeRetrieveError(E12)</f>
        <v>qlLibor - Unhandled currency AUD</v>
      </c>
      <c r="I12" s="378" t="str">
        <f>_xll.ohRangeRetrieveError(F12)</f>
        <v/>
      </c>
      <c r="J12" s="375"/>
      <c r="K12" s="389" t="str">
        <f t="shared" si="1"/>
        <v>AUD1YFSR=</v>
      </c>
      <c r="L12" s="438">
        <v>41428</v>
      </c>
      <c r="M12" s="388">
        <v>3.3380000000000001</v>
      </c>
      <c r="N12" s="388" t="b">
        <f t="shared" si="2"/>
        <v>1</v>
      </c>
      <c r="O12" s="405" t="e">
        <f>IF($N12,_xll.qlIndexAddFixings($E12,$L12,$M12/100,TRUE,ISERROR($Q12)),NA())</f>
        <v>#VALUE!</v>
      </c>
      <c r="P12" s="407"/>
      <c r="Q12" s="386" t="e">
        <f>_xll.qlIndexFixing($E12,$L12,TRUE,$N12)</f>
        <v>#VALUE!</v>
      </c>
      <c r="R12" s="386" t="e">
        <f>IF($O12,_xll.qlIndexFixing($E12,$L12,FALSE,$N12),"-")</f>
        <v>#VALUE!</v>
      </c>
      <c r="S12" s="386" t="e">
        <f t="shared" si="4"/>
        <v>#VALUE!</v>
      </c>
      <c r="T12" s="390" t="e">
        <f>_xll.qlIndexFixing($E12,$L12,TRUE,$R12)</f>
        <v>#VALUE!</v>
      </c>
      <c r="U12" s="391">
        <f t="shared" si="5"/>
        <v>0</v>
      </c>
      <c r="V12" s="376"/>
    </row>
    <row r="13" spans="2:26" s="366" customFormat="1" x14ac:dyDescent="0.2">
      <c r="B13" s="371"/>
      <c r="C13" s="383" t="s">
        <v>243</v>
      </c>
      <c r="D13" s="379"/>
      <c r="E13" s="384"/>
      <c r="F13" s="378"/>
      <c r="G13" s="378" t="str">
        <f>_xll.ohRangeRetrieveError(D13)</f>
        <v/>
      </c>
      <c r="H13" s="378" t="str">
        <f>_xll.ohRangeRetrieveError(E13)</f>
        <v/>
      </c>
      <c r="I13" s="378" t="str">
        <f>_xll.ohRangeRetrieveError(F13)</f>
        <v/>
      </c>
      <c r="J13" s="375"/>
      <c r="K13" s="402"/>
      <c r="L13" s="402"/>
      <c r="M13" s="402"/>
      <c r="N13" s="402"/>
      <c r="O13" s="402"/>
      <c r="P13" s="375"/>
      <c r="Q13" s="402"/>
      <c r="R13" s="402"/>
      <c r="S13" s="402"/>
      <c r="T13" s="402"/>
      <c r="U13" s="402"/>
      <c r="V13" s="376"/>
    </row>
    <row r="14" spans="2:26" s="366" customFormat="1" ht="12" thickBot="1" x14ac:dyDescent="0.25">
      <c r="B14" s="392"/>
      <c r="C14" s="393"/>
      <c r="D14" s="393"/>
      <c r="E14" s="393"/>
      <c r="F14" s="393"/>
      <c r="G14" s="393"/>
      <c r="H14" s="393"/>
      <c r="I14" s="393"/>
      <c r="J14" s="393"/>
      <c r="K14" s="393"/>
      <c r="L14" s="393"/>
      <c r="M14" s="393"/>
      <c r="N14" s="393"/>
      <c r="O14" s="393"/>
      <c r="P14" s="393"/>
      <c r="Q14" s="393"/>
      <c r="R14" s="393"/>
      <c r="S14" s="393"/>
      <c r="T14" s="393"/>
      <c r="U14" s="393"/>
      <c r="V14" s="394"/>
    </row>
    <row r="15" spans="2:26" s="366" customFormat="1" x14ac:dyDescent="0.2">
      <c r="E15" s="395"/>
      <c r="F15" s="395"/>
      <c r="H15" s="395"/>
      <c r="I15" s="395"/>
      <c r="J15" s="395"/>
      <c r="M15" s="395"/>
    </row>
  </sheetData>
  <conditionalFormatting sqref="S6:S1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6.140625" style="13" bestFit="1" customWidth="1"/>
    <col min="7" max="7" width="55" style="13" customWidth="1"/>
    <col min="8" max="11" width="2.7109375" style="13" customWidth="1"/>
    <col min="12" max="13" width="9.140625" style="13"/>
    <col min="14" max="14" width="22.28515625" style="13" bestFit="1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86</v>
      </c>
      <c r="G4" s="32"/>
      <c r="H4" s="28"/>
      <c r="J4" s="342" t="s">
        <v>241</v>
      </c>
      <c r="K4" s="280"/>
      <c r="L4" s="280"/>
      <c r="M4" s="283"/>
      <c r="N4" s="289"/>
      <c r="O4" s="331"/>
      <c r="P4" s="331"/>
      <c r="Q4" s="280"/>
      <c r="R4" s="283"/>
      <c r="S4" s="280"/>
      <c r="T4" s="280"/>
      <c r="U4" s="280"/>
      <c r="V4" s="280"/>
      <c r="W4" s="280"/>
      <c r="X4" s="280"/>
      <c r="Y4" s="28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80"/>
      <c r="K5" s="330"/>
      <c r="L5" s="324"/>
      <c r="M5" s="329" t="e">
        <f>VLOOKUP(Currency,Traits,2,FALSE)</f>
        <v>#N/A</v>
      </c>
      <c r="N5" s="328"/>
      <c r="O5" s="327"/>
      <c r="P5" s="327"/>
      <c r="Q5" s="324"/>
      <c r="R5" s="324"/>
      <c r="S5" s="326" t="e">
        <f>VLOOKUP(Currency,Traits,3,FALSE)</f>
        <v>#N/A</v>
      </c>
      <c r="T5" s="324"/>
      <c r="U5" s="324"/>
      <c r="V5" s="325">
        <f>MAX(X7:X22)</f>
        <v>0</v>
      </c>
      <c r="W5" s="324"/>
      <c r="X5" s="324"/>
      <c r="Y5" s="32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AudLiborSwapIsdaFixAm.xml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80"/>
      <c r="K6" s="303"/>
      <c r="L6" s="321" t="s">
        <v>23</v>
      </c>
      <c r="M6" s="320" t="str">
        <f>_xll.RData(M7:M21,N6:O6,"RTFEED:IDN",,,N7)</f>
        <v>Paused at 12:08:05</v>
      </c>
      <c r="N6" s="320" t="s">
        <v>228</v>
      </c>
      <c r="O6" s="320" t="s">
        <v>234</v>
      </c>
      <c r="P6" s="320" t="s">
        <v>227</v>
      </c>
      <c r="Q6" s="319" t="s">
        <v>226</v>
      </c>
      <c r="R6" s="322"/>
      <c r="S6" s="321" t="s">
        <v>191</v>
      </c>
      <c r="T6" s="320" t="s">
        <v>225</v>
      </c>
      <c r="U6" s="320" t="s">
        <v>224</v>
      </c>
      <c r="V6" s="320" t="s">
        <v>223</v>
      </c>
      <c r="W6" s="319" t="s">
        <v>222</v>
      </c>
      <c r="X6" s="318"/>
      <c r="Y6" s="294"/>
    </row>
    <row r="7" spans="1:25" s="17" customFormat="1" x14ac:dyDescent="0.2">
      <c r="B7" s="27"/>
      <c r="C7" s="26" t="s">
        <v>8</v>
      </c>
      <c r="D7" s="25" t="s">
        <v>17</v>
      </c>
      <c r="E7" s="24" t="str">
        <f t="shared" ref="E7:E38" si="0">PROPER(Currency)&amp;FamilyName&amp;FixingType&amp;$C7</f>
        <v>AudLiborSwapIsdaFixAm1Y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80"/>
      <c r="K7" s="303"/>
      <c r="L7" s="317" t="s">
        <v>8</v>
      </c>
      <c r="M7" s="312" t="e">
        <f t="shared" ref="M7:M21" si="1">Currency&amp;$M$5&amp;$L7&amp;"="</f>
        <v>#N/A</v>
      </c>
      <c r="N7" s="316" t="s">
        <v>253</v>
      </c>
      <c r="O7" s="315" t="s">
        <v>253</v>
      </c>
      <c r="P7" s="315" t="b">
        <f t="shared" ref="P7:P21" si="2">IF(AND(ISNUMBER($O7),$O7&lt;&gt;0%),TRUE,FALSE)</f>
        <v>0</v>
      </c>
      <c r="Q7" s="314" t="e">
        <f>IF($P7,_xll.qlIndexAddFixings($S7,$N7,$O7/100,TRUE,ISERROR($T7)),NA())</f>
        <v>#N/A</v>
      </c>
      <c r="R7" s="298"/>
      <c r="S7" s="313" t="e">
        <f t="shared" ref="S7:S21" si="3">PROPER(Currency)&amp;$S$5&amp;$L7</f>
        <v>#N/A</v>
      </c>
      <c r="T7" s="312" t="e">
        <f>_xll.qlIndexFixing($S7,$N7,TRUE,$P7)</f>
        <v>#VALUE!</v>
      </c>
      <c r="U7" s="312" t="e">
        <f>IF($Q7,_xll.qlIndexFixing($S7,$N7,FALSE,$P7),"-")</f>
        <v>#N/A</v>
      </c>
      <c r="V7" s="312" t="e">
        <f t="shared" ref="V7:V21" si="4">T7-U7</f>
        <v>#VALUE!</v>
      </c>
      <c r="W7" s="311" t="e">
        <f>_xll.qlIndexFixing($S7,$N7,TRUE,$U7)</f>
        <v>#VALUE!</v>
      </c>
      <c r="X7" s="335">
        <f t="shared" ref="X7:X21" si="5">IF(ISERROR(V7),0,ABS(V7))</f>
        <v>0</v>
      </c>
      <c r="Y7" s="294"/>
    </row>
    <row r="8" spans="1:25" s="17" customFormat="1" x14ac:dyDescent="0.2">
      <c r="B8" s="27"/>
      <c r="C8" s="26" t="s">
        <v>84</v>
      </c>
      <c r="D8" s="25" t="s">
        <v>17</v>
      </c>
      <c r="E8" s="24" t="str">
        <f t="shared" si="0"/>
        <v>AudLiborSwapIsdaFixAm2Y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80"/>
      <c r="K8" s="303"/>
      <c r="L8" s="310" t="s">
        <v>84</v>
      </c>
      <c r="M8" s="305" t="e">
        <f t="shared" si="1"/>
        <v>#N/A</v>
      </c>
      <c r="N8" s="309" t="s">
        <v>253</v>
      </c>
      <c r="O8" s="308" t="s">
        <v>253</v>
      </c>
      <c r="P8" s="308" t="b">
        <f t="shared" si="2"/>
        <v>0</v>
      </c>
      <c r="Q8" s="307" t="e">
        <f>IF($P8,_xll.qlIndexAddFixings($S8,$N8,$O8/100,TRUE,ISERROR($T8)),NA())</f>
        <v>#N/A</v>
      </c>
      <c r="R8" s="298"/>
      <c r="S8" s="306" t="e">
        <f t="shared" si="3"/>
        <v>#N/A</v>
      </c>
      <c r="T8" s="305" t="e">
        <f>_xll.qlIndexFixing($S8,$N8,TRUE,$P8)</f>
        <v>#VALUE!</v>
      </c>
      <c r="U8" s="305" t="e">
        <f>IF($Q8,_xll.qlIndexFixing($S8,$N8,FALSE,$P8),"-")</f>
        <v>#N/A</v>
      </c>
      <c r="V8" s="305" t="e">
        <f t="shared" si="4"/>
        <v>#VALUE!</v>
      </c>
      <c r="W8" s="304" t="e">
        <f>_xll.qlIndexFixing($S8,$N8,TRUE,$U8)</f>
        <v>#VALUE!</v>
      </c>
      <c r="X8" s="335">
        <f t="shared" si="5"/>
        <v>0</v>
      </c>
      <c r="Y8" s="294"/>
    </row>
    <row r="9" spans="1:25" s="17" customFormat="1" x14ac:dyDescent="0.2">
      <c r="B9" s="27"/>
      <c r="C9" s="26" t="s">
        <v>83</v>
      </c>
      <c r="D9" s="25" t="s">
        <v>17</v>
      </c>
      <c r="E9" s="24" t="str">
        <f t="shared" si="0"/>
        <v>AudLiborSwapIsdaFixAm3Y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80"/>
      <c r="K9" s="303"/>
      <c r="L9" s="310" t="s">
        <v>83</v>
      </c>
      <c r="M9" s="305" t="e">
        <f t="shared" si="1"/>
        <v>#N/A</v>
      </c>
      <c r="N9" s="309" t="s">
        <v>253</v>
      </c>
      <c r="O9" s="308" t="s">
        <v>253</v>
      </c>
      <c r="P9" s="308" t="b">
        <f t="shared" si="2"/>
        <v>0</v>
      </c>
      <c r="Q9" s="307" t="e">
        <f>IF($P9,_xll.qlIndexAddFixings($S9,$N9,$O9/100,TRUE,ISERROR($T9)),NA())</f>
        <v>#N/A</v>
      </c>
      <c r="R9" s="298"/>
      <c r="S9" s="306" t="e">
        <f t="shared" si="3"/>
        <v>#N/A</v>
      </c>
      <c r="T9" s="305" t="e">
        <f>_xll.qlIndexFixing($S9,$N9,TRUE,$P9)</f>
        <v>#VALUE!</v>
      </c>
      <c r="U9" s="305" t="e">
        <f>IF($Q9,_xll.qlIndexFixing($S9,$N9,FALSE,$P9),"-")</f>
        <v>#N/A</v>
      </c>
      <c r="V9" s="305" t="e">
        <f t="shared" si="4"/>
        <v>#VALUE!</v>
      </c>
      <c r="W9" s="304" t="e">
        <f>_xll.qlIndexFixing($S9,$N9,TRUE,$U9)</f>
        <v>#VALUE!</v>
      </c>
      <c r="X9" s="335">
        <f t="shared" si="5"/>
        <v>0</v>
      </c>
      <c r="Y9" s="294"/>
    </row>
    <row r="10" spans="1:25" s="17" customFormat="1" x14ac:dyDescent="0.2">
      <c r="B10" s="27"/>
      <c r="C10" s="26" t="s">
        <v>82</v>
      </c>
      <c r="D10" s="25" t="s">
        <v>17</v>
      </c>
      <c r="E10" s="24" t="str">
        <f t="shared" si="0"/>
        <v>AudLiborSwapIsdaFixAm4Y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80"/>
      <c r="K10" s="303"/>
      <c r="L10" s="310" t="s">
        <v>82</v>
      </c>
      <c r="M10" s="305" t="e">
        <f t="shared" si="1"/>
        <v>#N/A</v>
      </c>
      <c r="N10" s="309" t="s">
        <v>253</v>
      </c>
      <c r="O10" s="308" t="s">
        <v>253</v>
      </c>
      <c r="P10" s="308" t="b">
        <f t="shared" si="2"/>
        <v>0</v>
      </c>
      <c r="Q10" s="307" t="e">
        <f>IF($P10,_xll.qlIndexAddFixings($S10,$N10,$O10/100,TRUE,ISERROR($T10)),NA())</f>
        <v>#N/A</v>
      </c>
      <c r="R10" s="298"/>
      <c r="S10" s="306" t="e">
        <f t="shared" si="3"/>
        <v>#N/A</v>
      </c>
      <c r="T10" s="305" t="e">
        <f>_xll.qlIndexFixing($S10,$N10,TRUE,$P10)</f>
        <v>#VALUE!</v>
      </c>
      <c r="U10" s="305" t="e">
        <f>IF($Q10,_xll.qlIndexFixing($S10,$N10,FALSE,$P10),"-")</f>
        <v>#N/A</v>
      </c>
      <c r="V10" s="305" t="e">
        <f t="shared" si="4"/>
        <v>#VALUE!</v>
      </c>
      <c r="W10" s="304" t="e">
        <f>_xll.qlIndexFixing($S10,$N10,TRUE,$U10)</f>
        <v>#VALUE!</v>
      </c>
      <c r="X10" s="335">
        <f t="shared" si="5"/>
        <v>0</v>
      </c>
      <c r="Y10" s="294"/>
    </row>
    <row r="11" spans="1:25" s="17" customFormat="1" x14ac:dyDescent="0.2">
      <c r="B11" s="27"/>
      <c r="C11" s="26" t="s">
        <v>81</v>
      </c>
      <c r="D11" s="25" t="s">
        <v>17</v>
      </c>
      <c r="E11" s="24" t="str">
        <f t="shared" si="0"/>
        <v>AudLiborSwapIsdaFixAm5Y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80"/>
      <c r="K11" s="303"/>
      <c r="L11" s="310" t="s">
        <v>81</v>
      </c>
      <c r="M11" s="305" t="e">
        <f t="shared" si="1"/>
        <v>#N/A</v>
      </c>
      <c r="N11" s="309" t="s">
        <v>253</v>
      </c>
      <c r="O11" s="308" t="s">
        <v>253</v>
      </c>
      <c r="P11" s="308" t="b">
        <f t="shared" si="2"/>
        <v>0</v>
      </c>
      <c r="Q11" s="307" t="e">
        <f>IF($P11,_xll.qlIndexAddFixings($S11,$N11,$O11/100,TRUE,ISERROR($T11)),NA())</f>
        <v>#N/A</v>
      </c>
      <c r="R11" s="298"/>
      <c r="S11" s="306" t="e">
        <f t="shared" si="3"/>
        <v>#N/A</v>
      </c>
      <c r="T11" s="305" t="e">
        <f>_xll.qlIndexFixing($S11,$N11,TRUE,$P11)</f>
        <v>#VALUE!</v>
      </c>
      <c r="U11" s="305" t="e">
        <f>IF($Q11,_xll.qlIndexFixing($S11,$N11,FALSE,$P11),"-")</f>
        <v>#N/A</v>
      </c>
      <c r="V11" s="305" t="e">
        <f t="shared" si="4"/>
        <v>#VALUE!</v>
      </c>
      <c r="W11" s="304" t="e">
        <f>_xll.qlIndexFixing($S11,$N11,TRUE,$U11)</f>
        <v>#VALUE!</v>
      </c>
      <c r="X11" s="335">
        <f t="shared" si="5"/>
        <v>0</v>
      </c>
      <c r="Y11" s="294"/>
    </row>
    <row r="12" spans="1:25" s="17" customFormat="1" x14ac:dyDescent="0.2">
      <c r="B12" s="27"/>
      <c r="C12" s="26" t="s">
        <v>80</v>
      </c>
      <c r="D12" s="25" t="s">
        <v>17</v>
      </c>
      <c r="E12" s="24" t="str">
        <f t="shared" si="0"/>
        <v>AudLiborSwapIsdaFixAm6Y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80"/>
      <c r="K12" s="303"/>
      <c r="L12" s="310" t="s">
        <v>80</v>
      </c>
      <c r="M12" s="305" t="e">
        <f t="shared" si="1"/>
        <v>#N/A</v>
      </c>
      <c r="N12" s="309" t="s">
        <v>253</v>
      </c>
      <c r="O12" s="308" t="s">
        <v>253</v>
      </c>
      <c r="P12" s="308" t="b">
        <f t="shared" si="2"/>
        <v>0</v>
      </c>
      <c r="Q12" s="307" t="e">
        <f>IF($P12,_xll.qlIndexAddFixings($S12,$N12,$O12/100,TRUE,ISERROR($T12)),NA())</f>
        <v>#N/A</v>
      </c>
      <c r="R12" s="298"/>
      <c r="S12" s="306" t="e">
        <f t="shared" si="3"/>
        <v>#N/A</v>
      </c>
      <c r="T12" s="305" t="e">
        <f>_xll.qlIndexFixing($S12,$N12,TRUE,$P12)</f>
        <v>#VALUE!</v>
      </c>
      <c r="U12" s="305" t="e">
        <f>IF($Q12,_xll.qlIndexFixing($S12,$N12,FALSE,$P12),"-")</f>
        <v>#N/A</v>
      </c>
      <c r="V12" s="305" t="e">
        <f t="shared" si="4"/>
        <v>#VALUE!</v>
      </c>
      <c r="W12" s="304" t="e">
        <f>_xll.qlIndexFixing($S12,$N12,TRUE,$U12)</f>
        <v>#VALUE!</v>
      </c>
      <c r="X12" s="335">
        <f t="shared" si="5"/>
        <v>0</v>
      </c>
      <c r="Y12" s="294"/>
    </row>
    <row r="13" spans="1:25" s="17" customFormat="1" x14ac:dyDescent="0.2">
      <c r="B13" s="27"/>
      <c r="C13" s="26" t="s">
        <v>79</v>
      </c>
      <c r="D13" s="25" t="s">
        <v>17</v>
      </c>
      <c r="E13" s="24" t="str">
        <f t="shared" si="0"/>
        <v>AudLiborSwapIsdaFixAm7Y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80"/>
      <c r="K13" s="303"/>
      <c r="L13" s="310" t="s">
        <v>79</v>
      </c>
      <c r="M13" s="305" t="e">
        <f t="shared" si="1"/>
        <v>#N/A</v>
      </c>
      <c r="N13" s="309" t="s">
        <v>253</v>
      </c>
      <c r="O13" s="308" t="s">
        <v>253</v>
      </c>
      <c r="P13" s="308" t="b">
        <f t="shared" si="2"/>
        <v>0</v>
      </c>
      <c r="Q13" s="307" t="e">
        <f>IF($P13,_xll.qlIndexAddFixings($S13,$N13,$O13/100,TRUE,ISERROR($T13)),NA())</f>
        <v>#N/A</v>
      </c>
      <c r="R13" s="298"/>
      <c r="S13" s="306" t="e">
        <f t="shared" si="3"/>
        <v>#N/A</v>
      </c>
      <c r="T13" s="305" t="e">
        <f>_xll.qlIndexFixing($S13,$N13,TRUE,$P13)</f>
        <v>#VALUE!</v>
      </c>
      <c r="U13" s="305" t="e">
        <f>IF($Q13,_xll.qlIndexFixing($S13,$N13,FALSE,$P13),"-")</f>
        <v>#N/A</v>
      </c>
      <c r="V13" s="305" t="e">
        <f t="shared" si="4"/>
        <v>#VALUE!</v>
      </c>
      <c r="W13" s="304" t="e">
        <f>_xll.qlIndexFixing($S13,$N13,TRUE,$U13)</f>
        <v>#VALUE!</v>
      </c>
      <c r="X13" s="335">
        <f t="shared" si="5"/>
        <v>0</v>
      </c>
      <c r="Y13" s="294"/>
    </row>
    <row r="14" spans="1:25" s="17" customFormat="1" x14ac:dyDescent="0.2">
      <c r="B14" s="27"/>
      <c r="C14" s="26" t="s">
        <v>78</v>
      </c>
      <c r="D14" s="25" t="s">
        <v>17</v>
      </c>
      <c r="E14" s="24" t="str">
        <f t="shared" si="0"/>
        <v>AudLiborSwapIsdaFixAm8Y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80"/>
      <c r="K14" s="303"/>
      <c r="L14" s="310" t="s">
        <v>78</v>
      </c>
      <c r="M14" s="305" t="e">
        <f t="shared" si="1"/>
        <v>#N/A</v>
      </c>
      <c r="N14" s="309" t="s">
        <v>253</v>
      </c>
      <c r="O14" s="308" t="s">
        <v>253</v>
      </c>
      <c r="P14" s="308" t="b">
        <f t="shared" si="2"/>
        <v>0</v>
      </c>
      <c r="Q14" s="307" t="e">
        <f>IF($P14,_xll.qlIndexAddFixings($S14,$N14,$O14/100,TRUE,ISERROR($T14)),NA())</f>
        <v>#N/A</v>
      </c>
      <c r="R14" s="298"/>
      <c r="S14" s="306" t="e">
        <f t="shared" si="3"/>
        <v>#N/A</v>
      </c>
      <c r="T14" s="305" t="e">
        <f>_xll.qlIndexFixing($S14,$N14,TRUE,$P14)</f>
        <v>#VALUE!</v>
      </c>
      <c r="U14" s="305" t="e">
        <f>IF($Q14,_xll.qlIndexFixing($S14,$N14,FALSE,$P14),"-")</f>
        <v>#N/A</v>
      </c>
      <c r="V14" s="305" t="e">
        <f t="shared" si="4"/>
        <v>#VALUE!</v>
      </c>
      <c r="W14" s="304" t="e">
        <f>_xll.qlIndexFixing($S14,$N14,TRUE,$U14)</f>
        <v>#VALUE!</v>
      </c>
      <c r="X14" s="335">
        <f t="shared" si="5"/>
        <v>0</v>
      </c>
      <c r="Y14" s="294"/>
    </row>
    <row r="15" spans="1:25" s="17" customFormat="1" x14ac:dyDescent="0.2">
      <c r="B15" s="27"/>
      <c r="C15" s="26" t="s">
        <v>77</v>
      </c>
      <c r="D15" s="25" t="s">
        <v>17</v>
      </c>
      <c r="E15" s="24" t="str">
        <f t="shared" si="0"/>
        <v>AudLiborSwapIsdaFixAm9Y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80"/>
      <c r="K15" s="303"/>
      <c r="L15" s="310" t="s">
        <v>77</v>
      </c>
      <c r="M15" s="305" t="e">
        <f t="shared" si="1"/>
        <v>#N/A</v>
      </c>
      <c r="N15" s="309" t="s">
        <v>253</v>
      </c>
      <c r="O15" s="308" t="s">
        <v>253</v>
      </c>
      <c r="P15" s="308" t="b">
        <f t="shared" si="2"/>
        <v>0</v>
      </c>
      <c r="Q15" s="307" t="e">
        <f>IF($P15,_xll.qlIndexAddFixings($S15,$N15,$O15/100,TRUE,ISERROR($T15)),NA())</f>
        <v>#N/A</v>
      </c>
      <c r="R15" s="298"/>
      <c r="S15" s="306" t="e">
        <f t="shared" si="3"/>
        <v>#N/A</v>
      </c>
      <c r="T15" s="305" t="e">
        <f>_xll.qlIndexFixing($S15,$N15,TRUE,$P15)</f>
        <v>#VALUE!</v>
      </c>
      <c r="U15" s="305" t="e">
        <f>IF($Q15,_xll.qlIndexFixing($S15,$N15,FALSE,$P15),"-")</f>
        <v>#N/A</v>
      </c>
      <c r="V15" s="305" t="e">
        <f t="shared" si="4"/>
        <v>#VALUE!</v>
      </c>
      <c r="W15" s="304" t="e">
        <f>_xll.qlIndexFixing($S15,$N15,TRUE,$U15)</f>
        <v>#VALUE!</v>
      </c>
      <c r="X15" s="335">
        <f t="shared" si="5"/>
        <v>0</v>
      </c>
      <c r="Y15" s="294"/>
    </row>
    <row r="16" spans="1:25" s="17" customFormat="1" x14ac:dyDescent="0.2">
      <c r="B16" s="27"/>
      <c r="C16" s="26" t="s">
        <v>76</v>
      </c>
      <c r="D16" s="25" t="s">
        <v>17</v>
      </c>
      <c r="E16" s="24" t="str">
        <f t="shared" si="0"/>
        <v>AudLiborSwapIsdaFixAm10Y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80"/>
      <c r="K16" s="303"/>
      <c r="L16" s="310" t="s">
        <v>76</v>
      </c>
      <c r="M16" s="305" t="e">
        <f t="shared" si="1"/>
        <v>#N/A</v>
      </c>
      <c r="N16" s="309" t="s">
        <v>253</v>
      </c>
      <c r="O16" s="308" t="s">
        <v>253</v>
      </c>
      <c r="P16" s="308" t="b">
        <f t="shared" si="2"/>
        <v>0</v>
      </c>
      <c r="Q16" s="307" t="e">
        <f>IF($P16,_xll.qlIndexAddFixings($S16,$N16,$O16/100,TRUE,ISERROR($T16)),NA())</f>
        <v>#N/A</v>
      </c>
      <c r="R16" s="298"/>
      <c r="S16" s="306" t="e">
        <f t="shared" si="3"/>
        <v>#N/A</v>
      </c>
      <c r="T16" s="305" t="e">
        <f>_xll.qlIndexFixing($S16,$N16,TRUE,$P16)</f>
        <v>#VALUE!</v>
      </c>
      <c r="U16" s="305" t="e">
        <f>IF($Q16,_xll.qlIndexFixing($S16,$N16,FALSE,$P16),"-")</f>
        <v>#N/A</v>
      </c>
      <c r="V16" s="305" t="e">
        <f t="shared" si="4"/>
        <v>#VALUE!</v>
      </c>
      <c r="W16" s="304" t="e">
        <f>_xll.qlIndexFixing($S16,$N16,TRUE,$U16)</f>
        <v>#VALUE!</v>
      </c>
      <c r="X16" s="335">
        <f t="shared" si="5"/>
        <v>0</v>
      </c>
      <c r="Y16" s="294"/>
    </row>
    <row r="17" spans="2:25" s="17" customFormat="1" x14ac:dyDescent="0.2">
      <c r="B17" s="27"/>
      <c r="C17" s="26" t="s">
        <v>75</v>
      </c>
      <c r="D17" s="25" t="s">
        <v>17</v>
      </c>
      <c r="E17" s="24" t="str">
        <f t="shared" si="0"/>
        <v>AudLiborSwapIsdaFixAm11Y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80"/>
      <c r="K17" s="303"/>
      <c r="L17" s="310" t="s">
        <v>74</v>
      </c>
      <c r="M17" s="305" t="e">
        <f t="shared" si="1"/>
        <v>#N/A</v>
      </c>
      <c r="N17" s="309" t="s">
        <v>253</v>
      </c>
      <c r="O17" s="308" t="s">
        <v>253</v>
      </c>
      <c r="P17" s="308" t="b">
        <f t="shared" si="2"/>
        <v>0</v>
      </c>
      <c r="Q17" s="307" t="e">
        <f>IF($P17,_xll.qlIndexAddFixings($S17,$N17,$O17/100,TRUE,ISERROR($T17)),NA())</f>
        <v>#N/A</v>
      </c>
      <c r="R17" s="298"/>
      <c r="S17" s="306" t="e">
        <f t="shared" si="3"/>
        <v>#N/A</v>
      </c>
      <c r="T17" s="305" t="e">
        <f>_xll.qlIndexFixing($S17,$N17,TRUE,$P17)</f>
        <v>#VALUE!</v>
      </c>
      <c r="U17" s="305" t="e">
        <f>IF($Q17,_xll.qlIndexFixing($S17,$N17,FALSE,$P17),"-")</f>
        <v>#N/A</v>
      </c>
      <c r="V17" s="305" t="e">
        <f t="shared" si="4"/>
        <v>#VALUE!</v>
      </c>
      <c r="W17" s="304" t="e">
        <f>_xll.qlIndexFixing($S17,$N17,TRUE,$U17)</f>
        <v>#VALUE!</v>
      </c>
      <c r="X17" s="335">
        <f t="shared" si="5"/>
        <v>0</v>
      </c>
      <c r="Y17" s="294"/>
    </row>
    <row r="18" spans="2:25" s="17" customFormat="1" x14ac:dyDescent="0.2">
      <c r="B18" s="27"/>
      <c r="C18" s="26" t="s">
        <v>74</v>
      </c>
      <c r="D18" s="25" t="s">
        <v>17</v>
      </c>
      <c r="E18" s="24" t="str">
        <f t="shared" si="0"/>
        <v>AudLiborSwapIsdaFixAm12Y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80"/>
      <c r="K18" s="303"/>
      <c r="L18" s="310" t="s">
        <v>71</v>
      </c>
      <c r="M18" s="305" t="e">
        <f t="shared" si="1"/>
        <v>#N/A</v>
      </c>
      <c r="N18" s="309" t="s">
        <v>253</v>
      </c>
      <c r="O18" s="308" t="s">
        <v>253</v>
      </c>
      <c r="P18" s="308" t="b">
        <f t="shared" si="2"/>
        <v>0</v>
      </c>
      <c r="Q18" s="307" t="e">
        <f>IF($P18,_xll.qlIndexAddFixings($S18,$N18,$O18/100,TRUE,ISERROR($T18)),NA())</f>
        <v>#N/A</v>
      </c>
      <c r="R18" s="298"/>
      <c r="S18" s="306" t="e">
        <f t="shared" si="3"/>
        <v>#N/A</v>
      </c>
      <c r="T18" s="305" t="e">
        <f>_xll.qlIndexFixing($S18,$N18,TRUE,$P18)</f>
        <v>#VALUE!</v>
      </c>
      <c r="U18" s="305" t="e">
        <f>IF($Q18,_xll.qlIndexFixing($S18,$N18,FALSE,$P18),"-")</f>
        <v>#N/A</v>
      </c>
      <c r="V18" s="305" t="e">
        <f t="shared" si="4"/>
        <v>#VALUE!</v>
      </c>
      <c r="W18" s="304" t="e">
        <f>_xll.qlIndexFixing($S18,$N18,TRUE,$U18)</f>
        <v>#VALUE!</v>
      </c>
      <c r="X18" s="335">
        <f t="shared" si="5"/>
        <v>0</v>
      </c>
      <c r="Y18" s="294"/>
    </row>
    <row r="19" spans="2:25" s="17" customFormat="1" x14ac:dyDescent="0.2">
      <c r="B19" s="27"/>
      <c r="C19" s="26" t="s">
        <v>73</v>
      </c>
      <c r="D19" s="25" t="s">
        <v>17</v>
      </c>
      <c r="E19" s="24" t="str">
        <f t="shared" si="0"/>
        <v>AudLiborSwapIsdaFixAm13Y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80"/>
      <c r="K19" s="303"/>
      <c r="L19" s="310" t="s">
        <v>66</v>
      </c>
      <c r="M19" s="305" t="e">
        <f t="shared" si="1"/>
        <v>#N/A</v>
      </c>
      <c r="N19" s="309" t="s">
        <v>253</v>
      </c>
      <c r="O19" s="308" t="s">
        <v>253</v>
      </c>
      <c r="P19" s="308" t="b">
        <f t="shared" si="2"/>
        <v>0</v>
      </c>
      <c r="Q19" s="307" t="e">
        <f>IF($P19,_xll.qlIndexAddFixings($S19,$N19,$O19/100,TRUE,ISERROR($T19)),NA())</f>
        <v>#N/A</v>
      </c>
      <c r="R19" s="298"/>
      <c r="S19" s="306" t="e">
        <f t="shared" si="3"/>
        <v>#N/A</v>
      </c>
      <c r="T19" s="305" t="e">
        <f>_xll.qlIndexFixing($S19,$N19,TRUE,$P19)</f>
        <v>#VALUE!</v>
      </c>
      <c r="U19" s="305" t="e">
        <f>IF($Q19,_xll.qlIndexFixing($S19,$N19,FALSE,$P19),"-")</f>
        <v>#N/A</v>
      </c>
      <c r="V19" s="305" t="e">
        <f t="shared" si="4"/>
        <v>#VALUE!</v>
      </c>
      <c r="W19" s="304" t="e">
        <f>_xll.qlIndexFixing($S19,$N19,TRUE,$U19)</f>
        <v>#VALUE!</v>
      </c>
      <c r="X19" s="335">
        <f t="shared" si="5"/>
        <v>0</v>
      </c>
      <c r="Y19" s="294"/>
    </row>
    <row r="20" spans="2:25" s="17" customFormat="1" x14ac:dyDescent="0.2">
      <c r="B20" s="27"/>
      <c r="C20" s="26" t="s">
        <v>72</v>
      </c>
      <c r="D20" s="25" t="s">
        <v>17</v>
      </c>
      <c r="E20" s="24" t="str">
        <f t="shared" si="0"/>
        <v>AudLiborSwapIsdaFixAm14Y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80"/>
      <c r="K20" s="303"/>
      <c r="L20" s="310" t="s">
        <v>61</v>
      </c>
      <c r="M20" s="305" t="e">
        <f t="shared" si="1"/>
        <v>#N/A</v>
      </c>
      <c r="N20" s="309" t="s">
        <v>253</v>
      </c>
      <c r="O20" s="308" t="s">
        <v>253</v>
      </c>
      <c r="P20" s="308" t="b">
        <f t="shared" si="2"/>
        <v>0</v>
      </c>
      <c r="Q20" s="307" t="e">
        <f>IF($P20,_xll.qlIndexAddFixings($S20,$N20,$O20/100,TRUE,ISERROR($T20)),NA())</f>
        <v>#N/A</v>
      </c>
      <c r="R20" s="298"/>
      <c r="S20" s="306" t="e">
        <f t="shared" si="3"/>
        <v>#N/A</v>
      </c>
      <c r="T20" s="305" t="e">
        <f>_xll.qlIndexFixing($S20,$N20,TRUE,$P20)</f>
        <v>#VALUE!</v>
      </c>
      <c r="U20" s="305" t="e">
        <f>IF($Q20,_xll.qlIndexFixing($S20,$N20,FALSE,$P20),"-")</f>
        <v>#N/A</v>
      </c>
      <c r="V20" s="305" t="e">
        <f t="shared" si="4"/>
        <v>#VALUE!</v>
      </c>
      <c r="W20" s="304" t="e">
        <f>_xll.qlIndexFixing($S20,$N20,TRUE,$U20)</f>
        <v>#VALUE!</v>
      </c>
      <c r="X20" s="335">
        <f t="shared" si="5"/>
        <v>0</v>
      </c>
      <c r="Y20" s="294"/>
    </row>
    <row r="21" spans="2:25" s="17" customFormat="1" x14ac:dyDescent="0.2">
      <c r="B21" s="27"/>
      <c r="C21" s="26" t="s">
        <v>71</v>
      </c>
      <c r="D21" s="25" t="s">
        <v>17</v>
      </c>
      <c r="E21" s="24" t="str">
        <f t="shared" si="0"/>
        <v>AudLiborSwapIsdaFixAm15Y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80"/>
      <c r="K21" s="303"/>
      <c r="L21" s="302" t="s">
        <v>56</v>
      </c>
      <c r="M21" s="296" t="e">
        <f t="shared" si="1"/>
        <v>#N/A</v>
      </c>
      <c r="N21" s="301" t="s">
        <v>253</v>
      </c>
      <c r="O21" s="300" t="s">
        <v>253</v>
      </c>
      <c r="P21" s="300" t="b">
        <f t="shared" si="2"/>
        <v>0</v>
      </c>
      <c r="Q21" s="299" t="e">
        <f>IF($P21,_xll.qlIndexAddFixings($S21,$N21,$O21/100,TRUE,ISERROR($T21)),NA())</f>
        <v>#N/A</v>
      </c>
      <c r="R21" s="298"/>
      <c r="S21" s="297" t="e">
        <f t="shared" si="3"/>
        <v>#N/A</v>
      </c>
      <c r="T21" s="296" t="e">
        <f>_xll.qlIndexFixing($S21,$N21,TRUE,$P21)</f>
        <v>#VALUE!</v>
      </c>
      <c r="U21" s="296" t="e">
        <f>IF($Q21,_xll.qlIndexFixing($S21,$N21,FALSE,$P21),"-")</f>
        <v>#N/A</v>
      </c>
      <c r="V21" s="296" t="e">
        <f t="shared" si="4"/>
        <v>#VALUE!</v>
      </c>
      <c r="W21" s="295" t="e">
        <f>_xll.qlIndexFixing($S21,$N21,TRUE,$U21)</f>
        <v>#VALUE!</v>
      </c>
      <c r="X21" s="334">
        <f t="shared" si="5"/>
        <v>0</v>
      </c>
      <c r="Y21" s="294"/>
    </row>
    <row r="22" spans="2:25" s="17" customFormat="1" ht="12" thickBot="1" x14ac:dyDescent="0.25">
      <c r="B22" s="27"/>
      <c r="C22" s="26" t="s">
        <v>70</v>
      </c>
      <c r="D22" s="25" t="s">
        <v>17</v>
      </c>
      <c r="E22" s="24" t="str">
        <f t="shared" si="0"/>
        <v>AudLiborSwapIsdaFixAm16Y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80"/>
      <c r="K22" s="293"/>
      <c r="L22" s="292"/>
      <c r="M22" s="292"/>
      <c r="N22" s="292"/>
      <c r="O22" s="292"/>
      <c r="P22" s="292"/>
      <c r="Q22" s="292"/>
      <c r="R22" s="291"/>
      <c r="S22" s="291"/>
      <c r="T22" s="291"/>
      <c r="U22" s="291"/>
      <c r="V22" s="291"/>
      <c r="W22" s="291"/>
      <c r="X22" s="291"/>
      <c r="Y22" s="290"/>
    </row>
    <row r="23" spans="2:25" s="17" customFormat="1" ht="12" thickBot="1" x14ac:dyDescent="0.25">
      <c r="B23" s="27"/>
      <c r="C23" s="26" t="s">
        <v>69</v>
      </c>
      <c r="D23" s="25" t="s">
        <v>17</v>
      </c>
      <c r="E23" s="24" t="str">
        <f t="shared" si="0"/>
        <v>AudLiborSwapIsdaFixAm17Y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80"/>
      <c r="K23" s="280"/>
      <c r="L23" s="280"/>
      <c r="M23" s="280"/>
      <c r="N23" s="289"/>
      <c r="O23" s="288"/>
      <c r="P23" s="288"/>
      <c r="Q23" s="280"/>
      <c r="R23" s="280"/>
      <c r="S23" s="280"/>
      <c r="T23" s="280"/>
      <c r="U23" s="280"/>
      <c r="V23" s="280"/>
      <c r="W23" s="280"/>
      <c r="X23" s="280"/>
      <c r="Y23" s="280"/>
    </row>
    <row r="24" spans="2:25" s="17" customFormat="1" x14ac:dyDescent="0.2">
      <c r="B24" s="27"/>
      <c r="C24" s="26" t="s">
        <v>68</v>
      </c>
      <c r="D24" s="25" t="s">
        <v>17</v>
      </c>
      <c r="E24" s="24" t="str">
        <f t="shared" si="0"/>
        <v>AudLiborSwapIsdaFixAm18Y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80"/>
      <c r="K24" s="280"/>
      <c r="L24" s="287" t="s">
        <v>100</v>
      </c>
      <c r="M24" s="286" t="s">
        <v>230</v>
      </c>
      <c r="N24" s="285" t="s">
        <v>231</v>
      </c>
      <c r="O24" s="280"/>
      <c r="P24" s="280"/>
      <c r="Q24" s="280"/>
      <c r="R24" s="280"/>
      <c r="S24" s="280"/>
      <c r="T24" s="280"/>
      <c r="U24" s="280"/>
      <c r="V24" s="280"/>
      <c r="W24" s="280"/>
      <c r="X24" s="280"/>
      <c r="Y24" s="280"/>
    </row>
    <row r="25" spans="2:25" s="17" customFormat="1" x14ac:dyDescent="0.2">
      <c r="B25" s="27"/>
      <c r="C25" s="26" t="s">
        <v>67</v>
      </c>
      <c r="D25" s="25" t="s">
        <v>17</v>
      </c>
      <c r="E25" s="24" t="str">
        <f t="shared" si="0"/>
        <v>AudLiborSwapIsdaFixAm19Y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80"/>
      <c r="K25" s="280"/>
      <c r="L25" s="284" t="s">
        <v>99</v>
      </c>
      <c r="M25" s="283" t="s">
        <v>233</v>
      </c>
      <c r="N25" s="282" t="s">
        <v>232</v>
      </c>
      <c r="O25" s="280"/>
      <c r="P25" s="280"/>
      <c r="Q25" s="280"/>
      <c r="R25" s="280"/>
      <c r="S25" s="280"/>
      <c r="T25" s="280"/>
      <c r="U25" s="280"/>
      <c r="V25" s="280"/>
      <c r="W25" s="280"/>
      <c r="X25" s="280"/>
      <c r="Y25" s="280"/>
    </row>
    <row r="26" spans="2:25" s="17" customFormat="1" x14ac:dyDescent="0.2">
      <c r="B26" s="27"/>
      <c r="C26" s="26" t="s">
        <v>66</v>
      </c>
      <c r="D26" s="25" t="s">
        <v>17</v>
      </c>
      <c r="E26" s="24" t="str">
        <f t="shared" si="0"/>
        <v>AudLiborSwapIsdaFixAm20Y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80"/>
      <c r="K26" s="280"/>
      <c r="L26" s="284" t="s">
        <v>221</v>
      </c>
      <c r="M26" s="283" t="s">
        <v>230</v>
      </c>
      <c r="N26" s="282" t="s">
        <v>229</v>
      </c>
      <c r="O26" s="280"/>
      <c r="P26" s="280"/>
      <c r="Q26" s="280"/>
      <c r="R26" s="280"/>
      <c r="S26" s="280"/>
      <c r="T26" s="280"/>
      <c r="U26" s="280"/>
      <c r="V26" s="280"/>
      <c r="W26" s="280"/>
      <c r="X26" s="280"/>
      <c r="Y26" s="280"/>
    </row>
    <row r="27" spans="2:25" s="17" customFormat="1" x14ac:dyDescent="0.2">
      <c r="B27" s="27"/>
      <c r="C27" s="26" t="s">
        <v>65</v>
      </c>
      <c r="D27" s="25" t="s">
        <v>17</v>
      </c>
      <c r="E27" s="24" t="str">
        <f t="shared" si="0"/>
        <v>AudLiborSwapIsdaFixAm21Y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80"/>
      <c r="K27" s="280"/>
      <c r="L27" s="284" t="s">
        <v>220</v>
      </c>
      <c r="M27" s="283" t="s">
        <v>230</v>
      </c>
      <c r="N27" s="282" t="s">
        <v>231</v>
      </c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</row>
    <row r="28" spans="2:25" s="17" customFormat="1" x14ac:dyDescent="0.2">
      <c r="B28" s="27"/>
      <c r="C28" s="26" t="s">
        <v>64</v>
      </c>
      <c r="D28" s="25" t="s">
        <v>17</v>
      </c>
      <c r="E28" s="24" t="str">
        <f t="shared" si="0"/>
        <v>AudLiborSwapIsdaFixAm22Y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80"/>
      <c r="K28" s="280"/>
      <c r="L28" s="284" t="s">
        <v>98</v>
      </c>
      <c r="M28" s="283" t="s">
        <v>230</v>
      </c>
      <c r="N28" s="282" t="s">
        <v>231</v>
      </c>
      <c r="O28" s="280"/>
      <c r="P28" s="280"/>
      <c r="Q28" s="280"/>
      <c r="R28" s="280"/>
      <c r="S28" s="280"/>
      <c r="T28" s="280"/>
      <c r="U28" s="280"/>
      <c r="V28" s="280"/>
      <c r="W28" s="280"/>
      <c r="X28" s="280"/>
      <c r="Y28" s="280"/>
    </row>
    <row r="29" spans="2:25" s="17" customFormat="1" x14ac:dyDescent="0.2">
      <c r="B29" s="27"/>
      <c r="C29" s="26" t="s">
        <v>63</v>
      </c>
      <c r="D29" s="25" t="s">
        <v>17</v>
      </c>
      <c r="E29" s="24" t="str">
        <f t="shared" si="0"/>
        <v>AudLiborSwapIsdaFixAm23Y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80"/>
      <c r="K29" s="280"/>
      <c r="L29" s="284" t="s">
        <v>97</v>
      </c>
      <c r="M29" s="283" t="s">
        <v>230</v>
      </c>
      <c r="N29" s="282" t="s">
        <v>229</v>
      </c>
      <c r="O29" s="280"/>
      <c r="P29" s="280"/>
      <c r="Q29" s="280"/>
      <c r="R29" s="280"/>
      <c r="S29" s="280"/>
      <c r="T29" s="280"/>
      <c r="U29" s="280"/>
      <c r="V29" s="280"/>
      <c r="W29" s="280"/>
      <c r="X29" s="280"/>
      <c r="Y29" s="280"/>
    </row>
    <row r="30" spans="2:25" s="17" customFormat="1" ht="12" thickBot="1" x14ac:dyDescent="0.25">
      <c r="B30" s="27"/>
      <c r="C30" s="26" t="s">
        <v>62</v>
      </c>
      <c r="D30" s="25" t="s">
        <v>17</v>
      </c>
      <c r="E30" s="24" t="str">
        <f t="shared" si="0"/>
        <v>AudLiborSwapIsdaFixAm24Y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80"/>
      <c r="K30" s="280"/>
      <c r="L30" s="281" t="s">
        <v>93</v>
      </c>
      <c r="M30" s="333" t="s">
        <v>230</v>
      </c>
      <c r="N30" s="332" t="s">
        <v>229</v>
      </c>
      <c r="O30" s="280"/>
      <c r="P30" s="280"/>
      <c r="Q30" s="280"/>
      <c r="R30" s="280"/>
      <c r="S30" s="280"/>
      <c r="T30" s="280"/>
      <c r="U30" s="280"/>
      <c r="V30" s="280"/>
      <c r="W30" s="280"/>
      <c r="X30" s="280"/>
      <c r="Y30" s="280"/>
    </row>
    <row r="31" spans="2:25" s="17" customFormat="1" x14ac:dyDescent="0.2">
      <c r="B31" s="27"/>
      <c r="C31" s="26" t="s">
        <v>61</v>
      </c>
      <c r="D31" s="25" t="s">
        <v>17</v>
      </c>
      <c r="E31" s="24" t="str">
        <f t="shared" si="0"/>
        <v>AudLiborSwapIsdaFixAm25Y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26" t="s">
        <v>60</v>
      </c>
      <c r="D32" s="25" t="s">
        <v>17</v>
      </c>
      <c r="E32" s="24" t="str">
        <f t="shared" si="0"/>
        <v>AudLiborSwapIsdaFixAm26Y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26" t="s">
        <v>59</v>
      </c>
      <c r="D33" s="25" t="s">
        <v>17</v>
      </c>
      <c r="E33" s="24" t="str">
        <f t="shared" si="0"/>
        <v>AudLiborSwapIsdaFixAm27Y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26" t="s">
        <v>58</v>
      </c>
      <c r="D34" s="25" t="s">
        <v>17</v>
      </c>
      <c r="E34" s="24" t="str">
        <f t="shared" si="0"/>
        <v>AudLiborSwapIsdaFixAm28Y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26" t="s">
        <v>57</v>
      </c>
      <c r="D35" s="25" t="s">
        <v>17</v>
      </c>
      <c r="E35" s="24" t="str">
        <f t="shared" si="0"/>
        <v>AudLiborSwapIsdaFixAm29Y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26" t="s">
        <v>56</v>
      </c>
      <c r="D36" s="25" t="s">
        <v>17</v>
      </c>
      <c r="E36" s="24" t="str">
        <f t="shared" si="0"/>
        <v>AudLiborSwapIsdaFixAm30Y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26" t="s">
        <v>55</v>
      </c>
      <c r="D37" s="25" t="s">
        <v>17</v>
      </c>
      <c r="E37" s="24" t="str">
        <f t="shared" si="0"/>
        <v>AudLiborSwapIsdaFixAm31Y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26" t="s">
        <v>54</v>
      </c>
      <c r="D38" s="25" t="s">
        <v>17</v>
      </c>
      <c r="E38" s="24" t="str">
        <f t="shared" si="0"/>
        <v>AudLiborSwapIsdaFixAm32Y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26" t="s">
        <v>53</v>
      </c>
      <c r="D39" s="25" t="s">
        <v>17</v>
      </c>
      <c r="E39" s="24" t="str">
        <f t="shared" ref="E39:E66" si="6">PROPER(Currency)&amp;FamilyName&amp;FixingType&amp;$C39</f>
        <v>AudLiborSwapIsdaFixAm33Y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26" t="s">
        <v>52</v>
      </c>
      <c r="D40" s="25" t="s">
        <v>17</v>
      </c>
      <c r="E40" s="24" t="str">
        <f t="shared" si="6"/>
        <v>AudLiborSwapIsdaFixAm34Y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26" t="s">
        <v>51</v>
      </c>
      <c r="D41" s="25" t="s">
        <v>17</v>
      </c>
      <c r="E41" s="24" t="str">
        <f t="shared" si="6"/>
        <v>AudLiborSwapIsdaFixAm35Y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26" t="s">
        <v>50</v>
      </c>
      <c r="D42" s="25" t="s">
        <v>17</v>
      </c>
      <c r="E42" s="24" t="str">
        <f t="shared" si="6"/>
        <v>AudLiborSwapIsdaFixAm36Y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26" t="s">
        <v>49</v>
      </c>
      <c r="D43" s="25" t="s">
        <v>17</v>
      </c>
      <c r="E43" s="24" t="str">
        <f t="shared" si="6"/>
        <v>AudLiborSwapIsdaFixAm37Y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26" t="s">
        <v>48</v>
      </c>
      <c r="D44" s="25" t="s">
        <v>17</v>
      </c>
      <c r="E44" s="24" t="str">
        <f t="shared" si="6"/>
        <v>AudLiborSwapIsdaFixAm38Y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26" t="s">
        <v>47</v>
      </c>
      <c r="D45" s="25" t="s">
        <v>17</v>
      </c>
      <c r="E45" s="24" t="str">
        <f t="shared" si="6"/>
        <v>AudLiborSwapIsdaFixAm39Y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26" t="s">
        <v>46</v>
      </c>
      <c r="D46" s="25" t="s">
        <v>17</v>
      </c>
      <c r="E46" s="24" t="str">
        <f t="shared" si="6"/>
        <v>AudLiborSwapIsdaFixAm40Y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26" t="s">
        <v>45</v>
      </c>
      <c r="D47" s="25" t="s">
        <v>17</v>
      </c>
      <c r="E47" s="24" t="str">
        <f t="shared" si="6"/>
        <v>AudLiborSwapIsdaFixAm41Y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26" t="s">
        <v>44</v>
      </c>
      <c r="D48" s="25" t="s">
        <v>17</v>
      </c>
      <c r="E48" s="24" t="str">
        <f t="shared" si="6"/>
        <v>AudLiborSwapIsdaFixAm42Y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26" t="s">
        <v>43</v>
      </c>
      <c r="D49" s="25" t="s">
        <v>17</v>
      </c>
      <c r="E49" s="24" t="str">
        <f t="shared" si="6"/>
        <v>AudLiborSwapIsdaFixAm43Y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26" t="s">
        <v>42</v>
      </c>
      <c r="D50" s="25" t="s">
        <v>17</v>
      </c>
      <c r="E50" s="24" t="str">
        <f t="shared" si="6"/>
        <v>AudLiborSwapIsdaFixAm44Y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26" t="s">
        <v>41</v>
      </c>
      <c r="D51" s="25" t="s">
        <v>17</v>
      </c>
      <c r="E51" s="24" t="str">
        <f t="shared" si="6"/>
        <v>AudLiborSwapIsdaFixAm45Y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26" t="s">
        <v>40</v>
      </c>
      <c r="D52" s="25" t="s">
        <v>17</v>
      </c>
      <c r="E52" s="24" t="str">
        <f t="shared" si="6"/>
        <v>AudLiborSwapIsdaFixAm46Y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26" t="s">
        <v>39</v>
      </c>
      <c r="D53" s="25" t="s">
        <v>17</v>
      </c>
      <c r="E53" s="24" t="str">
        <f t="shared" si="6"/>
        <v>AudLiborSwapIsdaFixAm47Y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26" t="s">
        <v>38</v>
      </c>
      <c r="D54" s="25" t="s">
        <v>17</v>
      </c>
      <c r="E54" s="24" t="str">
        <f t="shared" si="6"/>
        <v>AudLiborSwapIsdaFixAm48Y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26" t="s">
        <v>37</v>
      </c>
      <c r="D55" s="25" t="s">
        <v>17</v>
      </c>
      <c r="E55" s="24" t="str">
        <f t="shared" si="6"/>
        <v>AudLiborSwapIsdaFixAm49Y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26" t="s">
        <v>36</v>
      </c>
      <c r="D56" s="25" t="s">
        <v>17</v>
      </c>
      <c r="E56" s="24" t="str">
        <f t="shared" si="6"/>
        <v>AudLiborSwapIsdaFixAm50Y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26" t="s">
        <v>35</v>
      </c>
      <c r="D57" s="25" t="s">
        <v>17</v>
      </c>
      <c r="E57" s="24" t="str">
        <f t="shared" si="6"/>
        <v>AudLiborSwapIsdaFixAm51Y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26" t="s">
        <v>34</v>
      </c>
      <c r="D58" s="25" t="s">
        <v>17</v>
      </c>
      <c r="E58" s="24" t="str">
        <f t="shared" si="6"/>
        <v>AudLiborSwapIsdaFixAm52Y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26" t="s">
        <v>33</v>
      </c>
      <c r="D59" s="25" t="s">
        <v>17</v>
      </c>
      <c r="E59" s="24" t="str">
        <f t="shared" si="6"/>
        <v>AudLiborSwapIsdaFixAm53Y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26" t="s">
        <v>32</v>
      </c>
      <c r="D60" s="25" t="s">
        <v>17</v>
      </c>
      <c r="E60" s="24" t="str">
        <f t="shared" si="6"/>
        <v>AudLiborSwapIsdaFixAm54Y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26" t="s">
        <v>31</v>
      </c>
      <c r="D61" s="25" t="s">
        <v>17</v>
      </c>
      <c r="E61" s="24" t="str">
        <f t="shared" si="6"/>
        <v>AudLiborSwapIsdaFixAm55Y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26" t="s">
        <v>30</v>
      </c>
      <c r="D62" s="25" t="s">
        <v>17</v>
      </c>
      <c r="E62" s="24" t="str">
        <f t="shared" si="6"/>
        <v>AudLiborSwapIsdaFixAm56Y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26" t="s">
        <v>29</v>
      </c>
      <c r="D63" s="25" t="s">
        <v>17</v>
      </c>
      <c r="E63" s="24" t="str">
        <f t="shared" si="6"/>
        <v>AudLiborSwapIsdaFixAm57Y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26" t="s">
        <v>28</v>
      </c>
      <c r="D64" s="25" t="s">
        <v>17</v>
      </c>
      <c r="E64" s="24" t="str">
        <f t="shared" si="6"/>
        <v>AudLiborSwapIsdaFixAm58Y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26" t="s">
        <v>27</v>
      </c>
      <c r="D65" s="25" t="s">
        <v>17</v>
      </c>
      <c r="E65" s="24" t="str">
        <f t="shared" si="6"/>
        <v>AudLiborSwapIsdaFixAm59Y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26" t="s">
        <v>26</v>
      </c>
      <c r="D66" s="25" t="s">
        <v>17</v>
      </c>
      <c r="E66" s="24" t="str">
        <f t="shared" si="6"/>
        <v>AudLiborSwapIsdaFixAm60Y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G34" sqref="G34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5.85546875" style="13" bestFit="1" customWidth="1"/>
    <col min="7" max="7" width="55" style="13" customWidth="1"/>
    <col min="8" max="11" width="2.7109375" style="13" customWidth="1"/>
    <col min="12" max="13" width="9.140625" style="13"/>
    <col min="14" max="14" width="12.42578125" style="13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89</v>
      </c>
      <c r="G4" s="32"/>
      <c r="H4" s="28"/>
      <c r="J4" s="342" t="s">
        <v>241</v>
      </c>
      <c r="K4" s="280"/>
      <c r="L4" s="280"/>
      <c r="M4" s="283"/>
      <c r="N4" s="289"/>
      <c r="O4" s="331"/>
      <c r="P4" s="331"/>
      <c r="Q4" s="280"/>
      <c r="R4" s="283"/>
      <c r="S4" s="280"/>
      <c r="T4" s="280"/>
      <c r="U4" s="280"/>
      <c r="V4" s="280"/>
      <c r="W4" s="280"/>
      <c r="X4" s="280"/>
      <c r="Y4" s="28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80"/>
      <c r="K5" s="330"/>
      <c r="L5" s="324"/>
      <c r="M5" s="329" t="e">
        <f>VLOOKUP(Currency,Traits,2,FALSE)</f>
        <v>#N/A</v>
      </c>
      <c r="N5" s="328"/>
      <c r="O5" s="327"/>
      <c r="P5" s="327"/>
      <c r="Q5" s="324"/>
      <c r="R5" s="324"/>
      <c r="S5" s="326" t="e">
        <f>VLOOKUP(Currency,Traits,3,FALSE)</f>
        <v>#N/A</v>
      </c>
      <c r="T5" s="324"/>
      <c r="U5" s="324"/>
      <c r="V5" s="325">
        <f>MAX(X7:X22)</f>
        <v>0</v>
      </c>
      <c r="W5" s="324"/>
      <c r="X5" s="324"/>
      <c r="Y5" s="32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AudLiborSwapIsdaFixPm.xml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80"/>
      <c r="K6" s="303"/>
      <c r="L6" s="321" t="s">
        <v>23</v>
      </c>
      <c r="M6" s="320" t="str">
        <f>_xll.RData(M7:M21,N6:O6,"RTFEED:IDN",,,N7)</f>
        <v>Paused at 12:08:05</v>
      </c>
      <c r="N6" s="320" t="s">
        <v>228</v>
      </c>
      <c r="O6" s="320" t="s">
        <v>234</v>
      </c>
      <c r="P6" s="320" t="s">
        <v>227</v>
      </c>
      <c r="Q6" s="319" t="s">
        <v>226</v>
      </c>
      <c r="R6" s="322"/>
      <c r="S6" s="321" t="s">
        <v>191</v>
      </c>
      <c r="T6" s="320" t="s">
        <v>225</v>
      </c>
      <c r="U6" s="320" t="s">
        <v>224</v>
      </c>
      <c r="V6" s="320" t="s">
        <v>223</v>
      </c>
      <c r="W6" s="319" t="s">
        <v>222</v>
      </c>
      <c r="X6" s="318"/>
      <c r="Y6" s="294"/>
    </row>
    <row r="7" spans="1:25" s="17" customFormat="1" x14ac:dyDescent="0.2">
      <c r="B7" s="27"/>
      <c r="C7" s="39" t="s">
        <v>8</v>
      </c>
      <c r="D7" s="25" t="s">
        <v>17</v>
      </c>
      <c r="E7" s="38" t="str">
        <f t="shared" ref="E7:E38" si="0">PROPER(Currency)&amp;FamilyName&amp;FixingType&amp;$C7</f>
        <v>AudLiborSwapIsdaFixPm1Y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80"/>
      <c r="K7" s="303"/>
      <c r="L7" s="317" t="s">
        <v>8</v>
      </c>
      <c r="M7" s="312" t="e">
        <f t="shared" ref="M7:M21" si="1">Currency&amp;$M$5&amp;$L7&amp;"="</f>
        <v>#N/A</v>
      </c>
      <c r="N7" s="316" t="s">
        <v>253</v>
      </c>
      <c r="O7" s="315" t="s">
        <v>253</v>
      </c>
      <c r="P7" s="315" t="b">
        <f t="shared" ref="P7:P21" si="2">IF(AND(ISNUMBER($O7),$O7&lt;&gt;0%),TRUE,FALSE)</f>
        <v>0</v>
      </c>
      <c r="Q7" s="314" t="e">
        <f>IF($P7,_xll.qlIndexAddFixings($S7,$N7,$O7/100,TRUE,ISERROR($T7)),NA())</f>
        <v>#N/A</v>
      </c>
      <c r="R7" s="298"/>
      <c r="S7" s="313" t="e">
        <f t="shared" ref="S7:S21" si="3">PROPER(Currency)&amp;$S$5&amp;$L7</f>
        <v>#N/A</v>
      </c>
      <c r="T7" s="312" t="e">
        <f>_xll.qlIndexFixing($S7,$N7,TRUE,$P7)</f>
        <v>#VALUE!</v>
      </c>
      <c r="U7" s="312" t="e">
        <f>IF($Q7,_xll.qlIndexFixing($S7,$N7,FALSE,$P7),"-")</f>
        <v>#N/A</v>
      </c>
      <c r="V7" s="312" t="e">
        <f t="shared" ref="V7:V21" si="4">T7-U7</f>
        <v>#VALUE!</v>
      </c>
      <c r="W7" s="311" t="e">
        <f>_xll.qlIndexFixing($S7,$N7,TRUE,$U7)</f>
        <v>#VALUE!</v>
      </c>
      <c r="X7" s="335">
        <f t="shared" ref="X7:X21" si="5">IF(ISERROR(V7),0,ABS(V7))</f>
        <v>0</v>
      </c>
      <c r="Y7" s="294"/>
    </row>
    <row r="8" spans="1:25" s="17" customFormat="1" x14ac:dyDescent="0.2">
      <c r="B8" s="27"/>
      <c r="C8" s="39" t="s">
        <v>84</v>
      </c>
      <c r="D8" s="25" t="s">
        <v>17</v>
      </c>
      <c r="E8" s="38" t="str">
        <f t="shared" si="0"/>
        <v>AudLiborSwapIsdaFixPm2Y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80"/>
      <c r="K8" s="303"/>
      <c r="L8" s="310" t="s">
        <v>84</v>
      </c>
      <c r="M8" s="305" t="e">
        <f t="shared" si="1"/>
        <v>#N/A</v>
      </c>
      <c r="N8" s="309" t="s">
        <v>253</v>
      </c>
      <c r="O8" s="308" t="s">
        <v>253</v>
      </c>
      <c r="P8" s="308" t="b">
        <f t="shared" si="2"/>
        <v>0</v>
      </c>
      <c r="Q8" s="307" t="e">
        <f>IF($P8,_xll.qlIndexAddFixings($S8,$N8,$O8/100,TRUE,ISERROR($T8)),NA())</f>
        <v>#N/A</v>
      </c>
      <c r="R8" s="298"/>
      <c r="S8" s="306" t="e">
        <f t="shared" si="3"/>
        <v>#N/A</v>
      </c>
      <c r="T8" s="305" t="e">
        <f>_xll.qlIndexFixing($S8,$N8,TRUE,$P8)</f>
        <v>#VALUE!</v>
      </c>
      <c r="U8" s="305" t="e">
        <f>IF($Q8,_xll.qlIndexFixing($S8,$N8,FALSE,$P8),"-")</f>
        <v>#N/A</v>
      </c>
      <c r="V8" s="305" t="e">
        <f t="shared" si="4"/>
        <v>#VALUE!</v>
      </c>
      <c r="W8" s="304" t="e">
        <f>_xll.qlIndexFixing($S8,$N8,TRUE,$U8)</f>
        <v>#VALUE!</v>
      </c>
      <c r="X8" s="335">
        <f t="shared" si="5"/>
        <v>0</v>
      </c>
      <c r="Y8" s="294"/>
    </row>
    <row r="9" spans="1:25" s="17" customFormat="1" x14ac:dyDescent="0.2">
      <c r="B9" s="27"/>
      <c r="C9" s="39" t="s">
        <v>83</v>
      </c>
      <c r="D9" s="25" t="s">
        <v>17</v>
      </c>
      <c r="E9" s="38" t="str">
        <f t="shared" si="0"/>
        <v>AudLiborSwapIsdaFixPm3Y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80"/>
      <c r="K9" s="303"/>
      <c r="L9" s="310" t="s">
        <v>83</v>
      </c>
      <c r="M9" s="305" t="e">
        <f t="shared" si="1"/>
        <v>#N/A</v>
      </c>
      <c r="N9" s="309" t="s">
        <v>253</v>
      </c>
      <c r="O9" s="308" t="s">
        <v>253</v>
      </c>
      <c r="P9" s="308" t="b">
        <f t="shared" si="2"/>
        <v>0</v>
      </c>
      <c r="Q9" s="307" t="e">
        <f>IF($P9,_xll.qlIndexAddFixings($S9,$N9,$O9/100,TRUE,ISERROR($T9)),NA())</f>
        <v>#N/A</v>
      </c>
      <c r="R9" s="298"/>
      <c r="S9" s="306" t="e">
        <f t="shared" si="3"/>
        <v>#N/A</v>
      </c>
      <c r="T9" s="305" t="e">
        <f>_xll.qlIndexFixing($S9,$N9,TRUE,$P9)</f>
        <v>#VALUE!</v>
      </c>
      <c r="U9" s="305" t="e">
        <f>IF($Q9,_xll.qlIndexFixing($S9,$N9,FALSE,$P9),"-")</f>
        <v>#N/A</v>
      </c>
      <c r="V9" s="305" t="e">
        <f t="shared" si="4"/>
        <v>#VALUE!</v>
      </c>
      <c r="W9" s="304" t="e">
        <f>_xll.qlIndexFixing($S9,$N9,TRUE,$U9)</f>
        <v>#VALUE!</v>
      </c>
      <c r="X9" s="335">
        <f t="shared" si="5"/>
        <v>0</v>
      </c>
      <c r="Y9" s="294"/>
    </row>
    <row r="10" spans="1:25" s="17" customFormat="1" x14ac:dyDescent="0.2">
      <c r="B10" s="27"/>
      <c r="C10" s="39" t="s">
        <v>82</v>
      </c>
      <c r="D10" s="25" t="s">
        <v>17</v>
      </c>
      <c r="E10" s="38" t="str">
        <f t="shared" si="0"/>
        <v>AudLiborSwapIsdaFixPm4Y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80"/>
      <c r="K10" s="303"/>
      <c r="L10" s="310" t="s">
        <v>82</v>
      </c>
      <c r="M10" s="305" t="e">
        <f t="shared" si="1"/>
        <v>#N/A</v>
      </c>
      <c r="N10" s="309" t="s">
        <v>253</v>
      </c>
      <c r="O10" s="308" t="s">
        <v>253</v>
      </c>
      <c r="P10" s="308" t="b">
        <f t="shared" si="2"/>
        <v>0</v>
      </c>
      <c r="Q10" s="307" t="e">
        <f>IF($P10,_xll.qlIndexAddFixings($S10,$N10,$O10/100,TRUE,ISERROR($T10)),NA())</f>
        <v>#N/A</v>
      </c>
      <c r="R10" s="298"/>
      <c r="S10" s="306" t="e">
        <f t="shared" si="3"/>
        <v>#N/A</v>
      </c>
      <c r="T10" s="305" t="e">
        <f>_xll.qlIndexFixing($S10,$N10,TRUE,$P10)</f>
        <v>#VALUE!</v>
      </c>
      <c r="U10" s="305" t="e">
        <f>IF($Q10,_xll.qlIndexFixing($S10,$N10,FALSE,$P10),"-")</f>
        <v>#N/A</v>
      </c>
      <c r="V10" s="305" t="e">
        <f t="shared" si="4"/>
        <v>#VALUE!</v>
      </c>
      <c r="W10" s="304" t="e">
        <f>_xll.qlIndexFixing($S10,$N10,TRUE,$U10)</f>
        <v>#VALUE!</v>
      </c>
      <c r="X10" s="335">
        <f t="shared" si="5"/>
        <v>0</v>
      </c>
      <c r="Y10" s="294"/>
    </row>
    <row r="11" spans="1:25" s="17" customFormat="1" x14ac:dyDescent="0.2">
      <c r="B11" s="27"/>
      <c r="C11" s="39" t="s">
        <v>81</v>
      </c>
      <c r="D11" s="25" t="s">
        <v>17</v>
      </c>
      <c r="E11" s="38" t="str">
        <f t="shared" si="0"/>
        <v>AudLiborSwapIsdaFixPm5Y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80"/>
      <c r="K11" s="303"/>
      <c r="L11" s="310" t="s">
        <v>81</v>
      </c>
      <c r="M11" s="305" t="e">
        <f t="shared" si="1"/>
        <v>#N/A</v>
      </c>
      <c r="N11" s="309" t="s">
        <v>253</v>
      </c>
      <c r="O11" s="308" t="s">
        <v>253</v>
      </c>
      <c r="P11" s="308" t="b">
        <f t="shared" si="2"/>
        <v>0</v>
      </c>
      <c r="Q11" s="307" t="e">
        <f>IF($P11,_xll.qlIndexAddFixings($S11,$N11,$O11/100,TRUE,ISERROR($T11)),NA())</f>
        <v>#N/A</v>
      </c>
      <c r="R11" s="298"/>
      <c r="S11" s="306" t="e">
        <f t="shared" si="3"/>
        <v>#N/A</v>
      </c>
      <c r="T11" s="305" t="e">
        <f>_xll.qlIndexFixing($S11,$N11,TRUE,$P11)</f>
        <v>#VALUE!</v>
      </c>
      <c r="U11" s="305" t="e">
        <f>IF($Q11,_xll.qlIndexFixing($S11,$N11,FALSE,$P11),"-")</f>
        <v>#N/A</v>
      </c>
      <c r="V11" s="305" t="e">
        <f t="shared" si="4"/>
        <v>#VALUE!</v>
      </c>
      <c r="W11" s="304" t="e">
        <f>_xll.qlIndexFixing($S11,$N11,TRUE,$U11)</f>
        <v>#VALUE!</v>
      </c>
      <c r="X11" s="335">
        <f t="shared" si="5"/>
        <v>0</v>
      </c>
      <c r="Y11" s="294"/>
    </row>
    <row r="12" spans="1:25" s="17" customFormat="1" x14ac:dyDescent="0.2">
      <c r="B12" s="27"/>
      <c r="C12" s="39" t="s">
        <v>80</v>
      </c>
      <c r="D12" s="25" t="s">
        <v>17</v>
      </c>
      <c r="E12" s="38" t="str">
        <f t="shared" si="0"/>
        <v>AudLiborSwapIsdaFixPm6Y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80"/>
      <c r="K12" s="303"/>
      <c r="L12" s="310" t="s">
        <v>80</v>
      </c>
      <c r="M12" s="305" t="e">
        <f t="shared" si="1"/>
        <v>#N/A</v>
      </c>
      <c r="N12" s="309" t="s">
        <v>253</v>
      </c>
      <c r="O12" s="308" t="s">
        <v>253</v>
      </c>
      <c r="P12" s="308" t="b">
        <f t="shared" si="2"/>
        <v>0</v>
      </c>
      <c r="Q12" s="307" t="e">
        <f>IF($P12,_xll.qlIndexAddFixings($S12,$N12,$O12/100,TRUE,ISERROR($T12)),NA())</f>
        <v>#N/A</v>
      </c>
      <c r="R12" s="298"/>
      <c r="S12" s="306" t="e">
        <f t="shared" si="3"/>
        <v>#N/A</v>
      </c>
      <c r="T12" s="305" t="e">
        <f>_xll.qlIndexFixing($S12,$N12,TRUE,$P12)</f>
        <v>#VALUE!</v>
      </c>
      <c r="U12" s="305" t="e">
        <f>IF($Q12,_xll.qlIndexFixing($S12,$N12,FALSE,$P12),"-")</f>
        <v>#N/A</v>
      </c>
      <c r="V12" s="305" t="e">
        <f t="shared" si="4"/>
        <v>#VALUE!</v>
      </c>
      <c r="W12" s="304" t="e">
        <f>_xll.qlIndexFixing($S12,$N12,TRUE,$U12)</f>
        <v>#VALUE!</v>
      </c>
      <c r="X12" s="335">
        <f t="shared" si="5"/>
        <v>0</v>
      </c>
      <c r="Y12" s="294"/>
    </row>
    <row r="13" spans="1:25" s="17" customFormat="1" x14ac:dyDescent="0.2">
      <c r="B13" s="27"/>
      <c r="C13" s="39" t="s">
        <v>79</v>
      </c>
      <c r="D13" s="25" t="s">
        <v>17</v>
      </c>
      <c r="E13" s="38" t="str">
        <f t="shared" si="0"/>
        <v>AudLiborSwapIsdaFixPm7Y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80"/>
      <c r="K13" s="303"/>
      <c r="L13" s="310" t="s">
        <v>79</v>
      </c>
      <c r="M13" s="305" t="e">
        <f t="shared" si="1"/>
        <v>#N/A</v>
      </c>
      <c r="N13" s="309" t="s">
        <v>253</v>
      </c>
      <c r="O13" s="308" t="s">
        <v>253</v>
      </c>
      <c r="P13" s="308" t="b">
        <f t="shared" si="2"/>
        <v>0</v>
      </c>
      <c r="Q13" s="307" t="e">
        <f>IF($P13,_xll.qlIndexAddFixings($S13,$N13,$O13/100,TRUE,ISERROR($T13)),NA())</f>
        <v>#N/A</v>
      </c>
      <c r="R13" s="298"/>
      <c r="S13" s="306" t="e">
        <f t="shared" si="3"/>
        <v>#N/A</v>
      </c>
      <c r="T13" s="305" t="e">
        <f>_xll.qlIndexFixing($S13,$N13,TRUE,$P13)</f>
        <v>#VALUE!</v>
      </c>
      <c r="U13" s="305" t="e">
        <f>IF($Q13,_xll.qlIndexFixing($S13,$N13,FALSE,$P13),"-")</f>
        <v>#N/A</v>
      </c>
      <c r="V13" s="305" t="e">
        <f t="shared" si="4"/>
        <v>#VALUE!</v>
      </c>
      <c r="W13" s="304" t="e">
        <f>_xll.qlIndexFixing($S13,$N13,TRUE,$U13)</f>
        <v>#VALUE!</v>
      </c>
      <c r="X13" s="335">
        <f t="shared" si="5"/>
        <v>0</v>
      </c>
      <c r="Y13" s="294"/>
    </row>
    <row r="14" spans="1:25" s="17" customFormat="1" x14ac:dyDescent="0.2">
      <c r="B14" s="27"/>
      <c r="C14" s="39" t="s">
        <v>78</v>
      </c>
      <c r="D14" s="25" t="s">
        <v>17</v>
      </c>
      <c r="E14" s="38" t="str">
        <f t="shared" si="0"/>
        <v>AudLiborSwapIsdaFixPm8Y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80"/>
      <c r="K14" s="303"/>
      <c r="L14" s="310" t="s">
        <v>78</v>
      </c>
      <c r="M14" s="305" t="e">
        <f t="shared" si="1"/>
        <v>#N/A</v>
      </c>
      <c r="N14" s="309" t="s">
        <v>253</v>
      </c>
      <c r="O14" s="308" t="s">
        <v>253</v>
      </c>
      <c r="P14" s="308" t="b">
        <f t="shared" si="2"/>
        <v>0</v>
      </c>
      <c r="Q14" s="307" t="e">
        <f>IF($P14,_xll.qlIndexAddFixings($S14,$N14,$O14/100,TRUE,ISERROR($T14)),NA())</f>
        <v>#N/A</v>
      </c>
      <c r="R14" s="298"/>
      <c r="S14" s="306" t="e">
        <f t="shared" si="3"/>
        <v>#N/A</v>
      </c>
      <c r="T14" s="305" t="e">
        <f>_xll.qlIndexFixing($S14,$N14,TRUE,$P14)</f>
        <v>#VALUE!</v>
      </c>
      <c r="U14" s="305" t="e">
        <f>IF($Q14,_xll.qlIndexFixing($S14,$N14,FALSE,$P14),"-")</f>
        <v>#N/A</v>
      </c>
      <c r="V14" s="305" t="e">
        <f t="shared" si="4"/>
        <v>#VALUE!</v>
      </c>
      <c r="W14" s="304" t="e">
        <f>_xll.qlIndexFixing($S14,$N14,TRUE,$U14)</f>
        <v>#VALUE!</v>
      </c>
      <c r="X14" s="335">
        <f t="shared" si="5"/>
        <v>0</v>
      </c>
      <c r="Y14" s="294"/>
    </row>
    <row r="15" spans="1:25" s="17" customFormat="1" x14ac:dyDescent="0.2">
      <c r="B15" s="27"/>
      <c r="C15" s="39" t="s">
        <v>77</v>
      </c>
      <c r="D15" s="25" t="s">
        <v>17</v>
      </c>
      <c r="E15" s="38" t="str">
        <f t="shared" si="0"/>
        <v>AudLiborSwapIsdaFixPm9Y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80"/>
      <c r="K15" s="303"/>
      <c r="L15" s="310" t="s">
        <v>77</v>
      </c>
      <c r="M15" s="305" t="e">
        <f t="shared" si="1"/>
        <v>#N/A</v>
      </c>
      <c r="N15" s="309" t="s">
        <v>253</v>
      </c>
      <c r="O15" s="308" t="s">
        <v>253</v>
      </c>
      <c r="P15" s="308" t="b">
        <f t="shared" si="2"/>
        <v>0</v>
      </c>
      <c r="Q15" s="307" t="e">
        <f>IF($P15,_xll.qlIndexAddFixings($S15,$N15,$O15/100,TRUE,ISERROR($T15)),NA())</f>
        <v>#N/A</v>
      </c>
      <c r="R15" s="298"/>
      <c r="S15" s="306" t="e">
        <f t="shared" si="3"/>
        <v>#N/A</v>
      </c>
      <c r="T15" s="305" t="e">
        <f>_xll.qlIndexFixing($S15,$N15,TRUE,$P15)</f>
        <v>#VALUE!</v>
      </c>
      <c r="U15" s="305" t="e">
        <f>IF($Q15,_xll.qlIndexFixing($S15,$N15,FALSE,$P15),"-")</f>
        <v>#N/A</v>
      </c>
      <c r="V15" s="305" t="e">
        <f t="shared" si="4"/>
        <v>#VALUE!</v>
      </c>
      <c r="W15" s="304" t="e">
        <f>_xll.qlIndexFixing($S15,$N15,TRUE,$U15)</f>
        <v>#VALUE!</v>
      </c>
      <c r="X15" s="335">
        <f t="shared" si="5"/>
        <v>0</v>
      </c>
      <c r="Y15" s="294"/>
    </row>
    <row r="16" spans="1:25" s="17" customFormat="1" x14ac:dyDescent="0.2">
      <c r="B16" s="27"/>
      <c r="C16" s="39" t="s">
        <v>76</v>
      </c>
      <c r="D16" s="25" t="s">
        <v>17</v>
      </c>
      <c r="E16" s="38" t="str">
        <f t="shared" si="0"/>
        <v>AudLiborSwapIsdaFixPm10Y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80"/>
      <c r="K16" s="303"/>
      <c r="L16" s="310" t="s">
        <v>76</v>
      </c>
      <c r="M16" s="305" t="e">
        <f t="shared" si="1"/>
        <v>#N/A</v>
      </c>
      <c r="N16" s="309" t="s">
        <v>253</v>
      </c>
      <c r="O16" s="308" t="s">
        <v>253</v>
      </c>
      <c r="P16" s="308" t="b">
        <f t="shared" si="2"/>
        <v>0</v>
      </c>
      <c r="Q16" s="307" t="e">
        <f>IF($P16,_xll.qlIndexAddFixings($S16,$N16,$O16/100,TRUE,ISERROR($T16)),NA())</f>
        <v>#N/A</v>
      </c>
      <c r="R16" s="298"/>
      <c r="S16" s="306" t="e">
        <f t="shared" si="3"/>
        <v>#N/A</v>
      </c>
      <c r="T16" s="305" t="e">
        <f>_xll.qlIndexFixing($S16,$N16,TRUE,$P16)</f>
        <v>#VALUE!</v>
      </c>
      <c r="U16" s="305" t="e">
        <f>IF($Q16,_xll.qlIndexFixing($S16,$N16,FALSE,$P16),"-")</f>
        <v>#N/A</v>
      </c>
      <c r="V16" s="305" t="e">
        <f t="shared" si="4"/>
        <v>#VALUE!</v>
      </c>
      <c r="W16" s="304" t="e">
        <f>_xll.qlIndexFixing($S16,$N16,TRUE,$U16)</f>
        <v>#VALUE!</v>
      </c>
      <c r="X16" s="335">
        <f t="shared" si="5"/>
        <v>0</v>
      </c>
      <c r="Y16" s="294"/>
    </row>
    <row r="17" spans="2:25" s="17" customFormat="1" x14ac:dyDescent="0.2">
      <c r="B17" s="27"/>
      <c r="C17" s="39" t="s">
        <v>75</v>
      </c>
      <c r="D17" s="25" t="s">
        <v>17</v>
      </c>
      <c r="E17" s="38" t="str">
        <f t="shared" si="0"/>
        <v>AudLiborSwapIsdaFixPm11Y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80"/>
      <c r="K17" s="303"/>
      <c r="L17" s="310" t="s">
        <v>74</v>
      </c>
      <c r="M17" s="305" t="e">
        <f t="shared" si="1"/>
        <v>#N/A</v>
      </c>
      <c r="N17" s="309" t="s">
        <v>253</v>
      </c>
      <c r="O17" s="308" t="s">
        <v>253</v>
      </c>
      <c r="P17" s="308" t="b">
        <f t="shared" si="2"/>
        <v>0</v>
      </c>
      <c r="Q17" s="307" t="e">
        <f>IF($P17,_xll.qlIndexAddFixings($S17,$N17,$O17/100,TRUE,ISERROR($T17)),NA())</f>
        <v>#N/A</v>
      </c>
      <c r="R17" s="298"/>
      <c r="S17" s="306" t="e">
        <f t="shared" si="3"/>
        <v>#N/A</v>
      </c>
      <c r="T17" s="305" t="e">
        <f>_xll.qlIndexFixing($S17,$N17,TRUE,$P17)</f>
        <v>#VALUE!</v>
      </c>
      <c r="U17" s="305" t="e">
        <f>IF($Q17,_xll.qlIndexFixing($S17,$N17,FALSE,$P17),"-")</f>
        <v>#N/A</v>
      </c>
      <c r="V17" s="305" t="e">
        <f t="shared" si="4"/>
        <v>#VALUE!</v>
      </c>
      <c r="W17" s="304" t="e">
        <f>_xll.qlIndexFixing($S17,$N17,TRUE,$U17)</f>
        <v>#VALUE!</v>
      </c>
      <c r="X17" s="335">
        <f t="shared" si="5"/>
        <v>0</v>
      </c>
      <c r="Y17" s="294"/>
    </row>
    <row r="18" spans="2:25" s="17" customFormat="1" x14ac:dyDescent="0.2">
      <c r="B18" s="27"/>
      <c r="C18" s="39" t="s">
        <v>74</v>
      </c>
      <c r="D18" s="25" t="s">
        <v>17</v>
      </c>
      <c r="E18" s="38" t="str">
        <f t="shared" si="0"/>
        <v>AudLiborSwapIsdaFixPm12Y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80"/>
      <c r="K18" s="303"/>
      <c r="L18" s="310" t="s">
        <v>71</v>
      </c>
      <c r="M18" s="305" t="e">
        <f t="shared" si="1"/>
        <v>#N/A</v>
      </c>
      <c r="N18" s="309" t="s">
        <v>253</v>
      </c>
      <c r="O18" s="308" t="s">
        <v>253</v>
      </c>
      <c r="P18" s="308" t="b">
        <f t="shared" si="2"/>
        <v>0</v>
      </c>
      <c r="Q18" s="307" t="e">
        <f>IF($P18,_xll.qlIndexAddFixings($S18,$N18,$O18/100,TRUE,ISERROR($T18)),NA())</f>
        <v>#N/A</v>
      </c>
      <c r="R18" s="298"/>
      <c r="S18" s="306" t="e">
        <f t="shared" si="3"/>
        <v>#N/A</v>
      </c>
      <c r="T18" s="305" t="e">
        <f>_xll.qlIndexFixing($S18,$N18,TRUE,$P18)</f>
        <v>#VALUE!</v>
      </c>
      <c r="U18" s="305" t="e">
        <f>IF($Q18,_xll.qlIndexFixing($S18,$N18,FALSE,$P18),"-")</f>
        <v>#N/A</v>
      </c>
      <c r="V18" s="305" t="e">
        <f t="shared" si="4"/>
        <v>#VALUE!</v>
      </c>
      <c r="W18" s="304" t="e">
        <f>_xll.qlIndexFixing($S18,$N18,TRUE,$U18)</f>
        <v>#VALUE!</v>
      </c>
      <c r="X18" s="335">
        <f t="shared" si="5"/>
        <v>0</v>
      </c>
      <c r="Y18" s="294"/>
    </row>
    <row r="19" spans="2:25" s="17" customFormat="1" x14ac:dyDescent="0.2">
      <c r="B19" s="27"/>
      <c r="C19" s="39" t="s">
        <v>73</v>
      </c>
      <c r="D19" s="25" t="s">
        <v>17</v>
      </c>
      <c r="E19" s="38" t="str">
        <f t="shared" si="0"/>
        <v>AudLiborSwapIsdaFixPm13Y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80"/>
      <c r="K19" s="303"/>
      <c r="L19" s="310" t="s">
        <v>66</v>
      </c>
      <c r="M19" s="305" t="e">
        <f t="shared" si="1"/>
        <v>#N/A</v>
      </c>
      <c r="N19" s="309" t="s">
        <v>253</v>
      </c>
      <c r="O19" s="308" t="s">
        <v>253</v>
      </c>
      <c r="P19" s="308" t="b">
        <f t="shared" si="2"/>
        <v>0</v>
      </c>
      <c r="Q19" s="307" t="e">
        <f>IF($P19,_xll.qlIndexAddFixings($S19,$N19,$O19/100,TRUE,ISERROR($T19)),NA())</f>
        <v>#N/A</v>
      </c>
      <c r="R19" s="298"/>
      <c r="S19" s="306" t="e">
        <f t="shared" si="3"/>
        <v>#N/A</v>
      </c>
      <c r="T19" s="305" t="e">
        <f>_xll.qlIndexFixing($S19,$N19,TRUE,$P19)</f>
        <v>#VALUE!</v>
      </c>
      <c r="U19" s="305" t="e">
        <f>IF($Q19,_xll.qlIndexFixing($S19,$N19,FALSE,$P19),"-")</f>
        <v>#N/A</v>
      </c>
      <c r="V19" s="305" t="e">
        <f t="shared" si="4"/>
        <v>#VALUE!</v>
      </c>
      <c r="W19" s="304" t="e">
        <f>_xll.qlIndexFixing($S19,$N19,TRUE,$U19)</f>
        <v>#VALUE!</v>
      </c>
      <c r="X19" s="335">
        <f t="shared" si="5"/>
        <v>0</v>
      </c>
      <c r="Y19" s="294"/>
    </row>
    <row r="20" spans="2:25" s="17" customFormat="1" x14ac:dyDescent="0.2">
      <c r="B20" s="27"/>
      <c r="C20" s="39" t="s">
        <v>72</v>
      </c>
      <c r="D20" s="25" t="s">
        <v>17</v>
      </c>
      <c r="E20" s="38" t="str">
        <f t="shared" si="0"/>
        <v>AudLiborSwapIsdaFixPm14Y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80"/>
      <c r="K20" s="303"/>
      <c r="L20" s="310" t="s">
        <v>61</v>
      </c>
      <c r="M20" s="305" t="e">
        <f t="shared" si="1"/>
        <v>#N/A</v>
      </c>
      <c r="N20" s="309" t="s">
        <v>253</v>
      </c>
      <c r="O20" s="308" t="s">
        <v>253</v>
      </c>
      <c r="P20" s="308" t="b">
        <f t="shared" si="2"/>
        <v>0</v>
      </c>
      <c r="Q20" s="307" t="e">
        <f>IF($P20,_xll.qlIndexAddFixings($S20,$N20,$O20/100,TRUE,ISERROR($T20)),NA())</f>
        <v>#N/A</v>
      </c>
      <c r="R20" s="298"/>
      <c r="S20" s="306" t="e">
        <f t="shared" si="3"/>
        <v>#N/A</v>
      </c>
      <c r="T20" s="305" t="e">
        <f>_xll.qlIndexFixing($S20,$N20,TRUE,$P20)</f>
        <v>#VALUE!</v>
      </c>
      <c r="U20" s="305" t="e">
        <f>IF($Q20,_xll.qlIndexFixing($S20,$N20,FALSE,$P20),"-")</f>
        <v>#N/A</v>
      </c>
      <c r="V20" s="305" t="e">
        <f t="shared" si="4"/>
        <v>#VALUE!</v>
      </c>
      <c r="W20" s="304" t="e">
        <f>_xll.qlIndexFixing($S20,$N20,TRUE,$U20)</f>
        <v>#VALUE!</v>
      </c>
      <c r="X20" s="335">
        <f t="shared" si="5"/>
        <v>0</v>
      </c>
      <c r="Y20" s="294"/>
    </row>
    <row r="21" spans="2:25" s="17" customFormat="1" x14ac:dyDescent="0.2">
      <c r="B21" s="27"/>
      <c r="C21" s="39" t="s">
        <v>71</v>
      </c>
      <c r="D21" s="25" t="s">
        <v>17</v>
      </c>
      <c r="E21" s="38" t="str">
        <f t="shared" si="0"/>
        <v>AudLiborSwapIsdaFixPm15Y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80"/>
      <c r="K21" s="303"/>
      <c r="L21" s="302" t="s">
        <v>56</v>
      </c>
      <c r="M21" s="296" t="e">
        <f t="shared" si="1"/>
        <v>#N/A</v>
      </c>
      <c r="N21" s="301" t="s">
        <v>253</v>
      </c>
      <c r="O21" s="300" t="s">
        <v>253</v>
      </c>
      <c r="P21" s="300" t="b">
        <f t="shared" si="2"/>
        <v>0</v>
      </c>
      <c r="Q21" s="299" t="e">
        <f>IF($P21,_xll.qlIndexAddFixings($S21,$N21,$O21/100,TRUE,ISERROR($T21)),NA())</f>
        <v>#N/A</v>
      </c>
      <c r="R21" s="298"/>
      <c r="S21" s="297" t="e">
        <f t="shared" si="3"/>
        <v>#N/A</v>
      </c>
      <c r="T21" s="296" t="e">
        <f>_xll.qlIndexFixing($S21,$N21,TRUE,$P21)</f>
        <v>#VALUE!</v>
      </c>
      <c r="U21" s="296" t="e">
        <f>IF($Q21,_xll.qlIndexFixing($S21,$N21,FALSE,$P21),"-")</f>
        <v>#N/A</v>
      </c>
      <c r="V21" s="296" t="e">
        <f t="shared" si="4"/>
        <v>#VALUE!</v>
      </c>
      <c r="W21" s="295" t="e">
        <f>_xll.qlIndexFixing($S21,$N21,TRUE,$U21)</f>
        <v>#VALUE!</v>
      </c>
      <c r="X21" s="334">
        <f t="shared" si="5"/>
        <v>0</v>
      </c>
      <c r="Y21" s="294"/>
    </row>
    <row r="22" spans="2:25" s="17" customFormat="1" ht="12" thickBot="1" x14ac:dyDescent="0.25">
      <c r="B22" s="27"/>
      <c r="C22" s="39" t="s">
        <v>70</v>
      </c>
      <c r="D22" s="25" t="s">
        <v>17</v>
      </c>
      <c r="E22" s="38" t="str">
        <f t="shared" si="0"/>
        <v>AudLiborSwapIsdaFixPm16Y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80"/>
      <c r="K22" s="293"/>
      <c r="L22" s="292"/>
      <c r="M22" s="292"/>
      <c r="N22" s="292"/>
      <c r="O22" s="292"/>
      <c r="P22" s="292"/>
      <c r="Q22" s="292"/>
      <c r="R22" s="291"/>
      <c r="S22" s="291"/>
      <c r="T22" s="291"/>
      <c r="U22" s="291"/>
      <c r="V22" s="291"/>
      <c r="W22" s="291"/>
      <c r="X22" s="291"/>
      <c r="Y22" s="290"/>
    </row>
    <row r="23" spans="2:25" s="17" customFormat="1" ht="12" thickBot="1" x14ac:dyDescent="0.25">
      <c r="B23" s="27"/>
      <c r="C23" s="39" t="s">
        <v>69</v>
      </c>
      <c r="D23" s="25" t="s">
        <v>17</v>
      </c>
      <c r="E23" s="38" t="str">
        <f t="shared" si="0"/>
        <v>AudLiborSwapIsdaFixPm17Y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80"/>
      <c r="K23" s="280"/>
      <c r="L23" s="280"/>
      <c r="M23" s="280"/>
      <c r="N23" s="289"/>
      <c r="O23" s="288"/>
      <c r="P23" s="288"/>
      <c r="Q23" s="280"/>
      <c r="R23" s="280"/>
      <c r="S23" s="280"/>
      <c r="T23" s="280"/>
      <c r="U23" s="280"/>
      <c r="V23" s="280"/>
      <c r="W23" s="280"/>
      <c r="X23" s="280"/>
      <c r="Y23" s="280"/>
    </row>
    <row r="24" spans="2:25" s="17" customFormat="1" x14ac:dyDescent="0.2">
      <c r="B24" s="27"/>
      <c r="C24" s="39" t="s">
        <v>68</v>
      </c>
      <c r="D24" s="25" t="s">
        <v>17</v>
      </c>
      <c r="E24" s="38" t="str">
        <f t="shared" si="0"/>
        <v>AudLiborSwapIsdaFixPm18Y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80"/>
      <c r="K24" s="280"/>
      <c r="L24" s="287" t="s">
        <v>100</v>
      </c>
      <c r="M24" s="339" t="s">
        <v>237</v>
      </c>
      <c r="N24" s="338" t="s">
        <v>237</v>
      </c>
      <c r="O24" s="280"/>
      <c r="P24" s="280"/>
      <c r="Q24" s="280"/>
      <c r="R24" s="280"/>
      <c r="S24" s="280"/>
      <c r="T24" s="280"/>
      <c r="U24" s="280"/>
      <c r="V24" s="280"/>
      <c r="W24" s="280"/>
      <c r="X24" s="280"/>
      <c r="Y24" s="280"/>
    </row>
    <row r="25" spans="2:25" s="17" customFormat="1" x14ac:dyDescent="0.2">
      <c r="B25" s="27"/>
      <c r="C25" s="39" t="s">
        <v>67</v>
      </c>
      <c r="D25" s="25" t="s">
        <v>17</v>
      </c>
      <c r="E25" s="38" t="str">
        <f t="shared" si="0"/>
        <v>AudLiborSwapIsdaFixPm19Y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80"/>
      <c r="K25" s="280"/>
      <c r="L25" s="284" t="s">
        <v>99</v>
      </c>
      <c r="M25" s="283" t="s">
        <v>239</v>
      </c>
      <c r="N25" s="282" t="s">
        <v>238</v>
      </c>
      <c r="O25" s="280"/>
      <c r="P25" s="280"/>
      <c r="Q25" s="280"/>
      <c r="R25" s="280"/>
      <c r="S25" s="280"/>
      <c r="T25" s="280"/>
      <c r="U25" s="280"/>
      <c r="V25" s="280"/>
      <c r="W25" s="280"/>
      <c r="X25" s="280"/>
      <c r="Y25" s="280"/>
    </row>
    <row r="26" spans="2:25" s="17" customFormat="1" x14ac:dyDescent="0.2">
      <c r="B26" s="27"/>
      <c r="C26" s="39" t="s">
        <v>66</v>
      </c>
      <c r="D26" s="25" t="s">
        <v>17</v>
      </c>
      <c r="E26" s="38" t="str">
        <f t="shared" si="0"/>
        <v>AudLiborSwapIsdaFixPm20Y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80"/>
      <c r="K26" s="280"/>
      <c r="L26" s="284" t="s">
        <v>221</v>
      </c>
      <c r="M26" s="283" t="s">
        <v>236</v>
      </c>
      <c r="N26" s="282" t="s">
        <v>235</v>
      </c>
      <c r="O26" s="280"/>
      <c r="P26" s="280"/>
      <c r="Q26" s="280"/>
      <c r="R26" s="280"/>
      <c r="S26" s="280"/>
      <c r="T26" s="280"/>
      <c r="U26" s="280"/>
      <c r="V26" s="280"/>
      <c r="W26" s="280"/>
      <c r="X26" s="280"/>
      <c r="Y26" s="280"/>
    </row>
    <row r="27" spans="2:25" s="17" customFormat="1" x14ac:dyDescent="0.2">
      <c r="B27" s="27"/>
      <c r="C27" s="39" t="s">
        <v>65</v>
      </c>
      <c r="D27" s="25" t="s">
        <v>17</v>
      </c>
      <c r="E27" s="38" t="str">
        <f t="shared" si="0"/>
        <v>AudLiborSwapIsdaFixPm21Y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80"/>
      <c r="K27" s="280"/>
      <c r="L27" s="284" t="s">
        <v>220</v>
      </c>
      <c r="M27" s="337" t="s">
        <v>237</v>
      </c>
      <c r="N27" s="336" t="s">
        <v>237</v>
      </c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</row>
    <row r="28" spans="2:25" s="17" customFormat="1" x14ac:dyDescent="0.2">
      <c r="B28" s="27"/>
      <c r="C28" s="39" t="s">
        <v>64</v>
      </c>
      <c r="D28" s="25" t="s">
        <v>17</v>
      </c>
      <c r="E28" s="38" t="str">
        <f t="shared" si="0"/>
        <v>AudLiborSwapIsdaFixPm22Y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80"/>
      <c r="K28" s="280"/>
      <c r="L28" s="284" t="s">
        <v>98</v>
      </c>
      <c r="M28" s="337" t="s">
        <v>237</v>
      </c>
      <c r="N28" s="336" t="s">
        <v>237</v>
      </c>
      <c r="O28" s="280"/>
      <c r="P28" s="280"/>
      <c r="Q28" s="280"/>
      <c r="R28" s="280"/>
      <c r="S28" s="280"/>
      <c r="T28" s="280"/>
      <c r="U28" s="280"/>
      <c r="V28" s="280"/>
      <c r="W28" s="280"/>
      <c r="X28" s="280"/>
      <c r="Y28" s="280"/>
    </row>
    <row r="29" spans="2:25" s="17" customFormat="1" x14ac:dyDescent="0.2">
      <c r="B29" s="27"/>
      <c r="C29" s="39" t="s">
        <v>63</v>
      </c>
      <c r="D29" s="25" t="s">
        <v>17</v>
      </c>
      <c r="E29" s="38" t="str">
        <f t="shared" si="0"/>
        <v>AudLiborSwapIsdaFixPm23Y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80"/>
      <c r="K29" s="280"/>
      <c r="L29" s="284" t="s">
        <v>97</v>
      </c>
      <c r="M29" s="283" t="s">
        <v>236</v>
      </c>
      <c r="N29" s="282" t="s">
        <v>235</v>
      </c>
      <c r="O29" s="280"/>
      <c r="P29" s="280"/>
      <c r="Q29" s="280"/>
      <c r="R29" s="280"/>
      <c r="S29" s="280"/>
      <c r="T29" s="280"/>
      <c r="U29" s="280"/>
      <c r="V29" s="280"/>
      <c r="W29" s="280"/>
      <c r="X29" s="280"/>
      <c r="Y29" s="280"/>
    </row>
    <row r="30" spans="2:25" s="17" customFormat="1" ht="12" thickBot="1" x14ac:dyDescent="0.25">
      <c r="B30" s="27"/>
      <c r="C30" s="39" t="s">
        <v>62</v>
      </c>
      <c r="D30" s="25" t="s">
        <v>17</v>
      </c>
      <c r="E30" s="38" t="str">
        <f t="shared" si="0"/>
        <v>AudLiborSwapIsdaFixPm24Y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80"/>
      <c r="K30" s="280"/>
      <c r="L30" s="281" t="s">
        <v>93</v>
      </c>
      <c r="M30" s="333" t="s">
        <v>236</v>
      </c>
      <c r="N30" s="332" t="s">
        <v>235</v>
      </c>
      <c r="O30" s="280"/>
      <c r="P30" s="280"/>
      <c r="Q30" s="280"/>
      <c r="R30" s="280"/>
      <c r="S30" s="280"/>
      <c r="T30" s="280"/>
      <c r="U30" s="280"/>
      <c r="V30" s="280"/>
      <c r="W30" s="280"/>
      <c r="X30" s="280"/>
      <c r="Y30" s="280"/>
    </row>
    <row r="31" spans="2:25" s="17" customFormat="1" x14ac:dyDescent="0.2">
      <c r="B31" s="27"/>
      <c r="C31" s="39" t="s">
        <v>61</v>
      </c>
      <c r="D31" s="25" t="s">
        <v>17</v>
      </c>
      <c r="E31" s="38" t="str">
        <f t="shared" si="0"/>
        <v>AudLiborSwapIsdaFixPm25Y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39" t="s">
        <v>60</v>
      </c>
      <c r="D32" s="25" t="s">
        <v>17</v>
      </c>
      <c r="E32" s="38" t="str">
        <f t="shared" si="0"/>
        <v>AudLiborSwapIsdaFixPm26Y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39" t="s">
        <v>59</v>
      </c>
      <c r="D33" s="25" t="s">
        <v>17</v>
      </c>
      <c r="E33" s="38" t="str">
        <f t="shared" si="0"/>
        <v>AudLiborSwapIsdaFixPm27Y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39" t="s">
        <v>58</v>
      </c>
      <c r="D34" s="25" t="s">
        <v>17</v>
      </c>
      <c r="E34" s="38" t="str">
        <f t="shared" si="0"/>
        <v>AudLiborSwapIsdaFixPm28Y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39" t="s">
        <v>57</v>
      </c>
      <c r="D35" s="25" t="s">
        <v>17</v>
      </c>
      <c r="E35" s="38" t="str">
        <f t="shared" si="0"/>
        <v>AudLiborSwapIsdaFixPm29Y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39" t="s">
        <v>56</v>
      </c>
      <c r="D36" s="25" t="s">
        <v>17</v>
      </c>
      <c r="E36" s="38" t="str">
        <f t="shared" si="0"/>
        <v>AudLiborSwapIsdaFixPm30Y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39" t="s">
        <v>55</v>
      </c>
      <c r="D37" s="25" t="s">
        <v>17</v>
      </c>
      <c r="E37" s="38" t="str">
        <f t="shared" si="0"/>
        <v>AudLiborSwapIsdaFixPm31Y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39" t="s">
        <v>54</v>
      </c>
      <c r="D38" s="25" t="s">
        <v>17</v>
      </c>
      <c r="E38" s="38" t="str">
        <f t="shared" si="0"/>
        <v>AudLiborSwapIsdaFixPm32Y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39" t="s">
        <v>53</v>
      </c>
      <c r="D39" s="25" t="s">
        <v>17</v>
      </c>
      <c r="E39" s="38" t="str">
        <f t="shared" ref="E39:E66" si="6">PROPER(Currency)&amp;FamilyName&amp;FixingType&amp;$C39</f>
        <v>AudLiborSwapIsdaFixPm33Y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39" t="s">
        <v>52</v>
      </c>
      <c r="D40" s="25" t="s">
        <v>17</v>
      </c>
      <c r="E40" s="38" t="str">
        <f t="shared" si="6"/>
        <v>AudLiborSwapIsdaFixPm34Y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39" t="s">
        <v>51</v>
      </c>
      <c r="D41" s="25" t="s">
        <v>17</v>
      </c>
      <c r="E41" s="38" t="str">
        <f t="shared" si="6"/>
        <v>AudLiborSwapIsdaFixPm35Y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39" t="s">
        <v>50</v>
      </c>
      <c r="D42" s="25" t="s">
        <v>17</v>
      </c>
      <c r="E42" s="38" t="str">
        <f t="shared" si="6"/>
        <v>AudLiborSwapIsdaFixPm36Y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39" t="s">
        <v>49</v>
      </c>
      <c r="D43" s="25" t="s">
        <v>17</v>
      </c>
      <c r="E43" s="38" t="str">
        <f t="shared" si="6"/>
        <v>AudLiborSwapIsdaFixPm37Y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39" t="s">
        <v>48</v>
      </c>
      <c r="D44" s="25" t="s">
        <v>17</v>
      </c>
      <c r="E44" s="38" t="str">
        <f t="shared" si="6"/>
        <v>AudLiborSwapIsdaFixPm38Y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39" t="s">
        <v>47</v>
      </c>
      <c r="D45" s="25" t="s">
        <v>17</v>
      </c>
      <c r="E45" s="38" t="str">
        <f t="shared" si="6"/>
        <v>AudLiborSwapIsdaFixPm39Y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39" t="s">
        <v>46</v>
      </c>
      <c r="D46" s="25" t="s">
        <v>17</v>
      </c>
      <c r="E46" s="38" t="str">
        <f t="shared" si="6"/>
        <v>AudLiborSwapIsdaFixPm40Y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39" t="s">
        <v>45</v>
      </c>
      <c r="D47" s="25" t="s">
        <v>17</v>
      </c>
      <c r="E47" s="38" t="str">
        <f t="shared" si="6"/>
        <v>AudLiborSwapIsdaFixPm41Y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39" t="s">
        <v>44</v>
      </c>
      <c r="D48" s="25" t="s">
        <v>17</v>
      </c>
      <c r="E48" s="38" t="str">
        <f t="shared" si="6"/>
        <v>AudLiborSwapIsdaFixPm42Y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39" t="s">
        <v>43</v>
      </c>
      <c r="D49" s="25" t="s">
        <v>17</v>
      </c>
      <c r="E49" s="38" t="str">
        <f t="shared" si="6"/>
        <v>AudLiborSwapIsdaFixPm43Y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39" t="s">
        <v>42</v>
      </c>
      <c r="D50" s="25" t="s">
        <v>17</v>
      </c>
      <c r="E50" s="38" t="str">
        <f t="shared" si="6"/>
        <v>AudLiborSwapIsdaFixPm44Y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39" t="s">
        <v>41</v>
      </c>
      <c r="D51" s="25" t="s">
        <v>17</v>
      </c>
      <c r="E51" s="38" t="str">
        <f t="shared" si="6"/>
        <v>AudLiborSwapIsdaFixPm45Y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39" t="s">
        <v>40</v>
      </c>
      <c r="D52" s="25" t="s">
        <v>17</v>
      </c>
      <c r="E52" s="38" t="str">
        <f t="shared" si="6"/>
        <v>AudLiborSwapIsdaFixPm46Y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39" t="s">
        <v>39</v>
      </c>
      <c r="D53" s="25" t="s">
        <v>17</v>
      </c>
      <c r="E53" s="38" t="str">
        <f t="shared" si="6"/>
        <v>AudLiborSwapIsdaFixPm47Y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39" t="s">
        <v>38</v>
      </c>
      <c r="D54" s="25" t="s">
        <v>17</v>
      </c>
      <c r="E54" s="38" t="str">
        <f t="shared" si="6"/>
        <v>AudLiborSwapIsdaFixPm48Y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39" t="s">
        <v>37</v>
      </c>
      <c r="D55" s="25" t="s">
        <v>17</v>
      </c>
      <c r="E55" s="38" t="str">
        <f t="shared" si="6"/>
        <v>AudLiborSwapIsdaFixPm49Y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39" t="s">
        <v>36</v>
      </c>
      <c r="D56" s="25" t="s">
        <v>17</v>
      </c>
      <c r="E56" s="38" t="str">
        <f t="shared" si="6"/>
        <v>AudLiborSwapIsdaFixPm50Y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39" t="s">
        <v>35</v>
      </c>
      <c r="D57" s="25" t="s">
        <v>17</v>
      </c>
      <c r="E57" s="38" t="str">
        <f t="shared" si="6"/>
        <v>AudLiborSwapIsdaFixPm51Y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39" t="s">
        <v>34</v>
      </c>
      <c r="D58" s="25" t="s">
        <v>17</v>
      </c>
      <c r="E58" s="38" t="str">
        <f t="shared" si="6"/>
        <v>AudLiborSwapIsdaFixPm52Y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39" t="s">
        <v>33</v>
      </c>
      <c r="D59" s="25" t="s">
        <v>17</v>
      </c>
      <c r="E59" s="38" t="str">
        <f t="shared" si="6"/>
        <v>AudLiborSwapIsdaFixPm53Y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39" t="s">
        <v>32</v>
      </c>
      <c r="D60" s="25" t="s">
        <v>17</v>
      </c>
      <c r="E60" s="38" t="str">
        <f t="shared" si="6"/>
        <v>AudLiborSwapIsdaFixPm54Y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39" t="s">
        <v>31</v>
      </c>
      <c r="D61" s="25" t="s">
        <v>17</v>
      </c>
      <c r="E61" s="38" t="str">
        <f t="shared" si="6"/>
        <v>AudLiborSwapIsdaFixPm55Y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39" t="s">
        <v>30</v>
      </c>
      <c r="D62" s="25" t="s">
        <v>17</v>
      </c>
      <c r="E62" s="38" t="str">
        <f t="shared" si="6"/>
        <v>AudLiborSwapIsdaFixPm56Y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39" t="s">
        <v>29</v>
      </c>
      <c r="D63" s="25" t="s">
        <v>17</v>
      </c>
      <c r="E63" s="38" t="str">
        <f t="shared" si="6"/>
        <v>AudLiborSwapIsdaFixPm57Y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39" t="s">
        <v>28</v>
      </c>
      <c r="D64" s="25" t="s">
        <v>17</v>
      </c>
      <c r="E64" s="38" t="str">
        <f t="shared" si="6"/>
        <v>AudLiborSwapIsdaFixPm58Y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39" t="s">
        <v>27</v>
      </c>
      <c r="D65" s="25" t="s">
        <v>17</v>
      </c>
      <c r="E65" s="38" t="str">
        <f t="shared" si="6"/>
        <v>AudLiborSwapIsdaFixPm59Y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39" t="s">
        <v>26</v>
      </c>
      <c r="D66" s="25" t="s">
        <v>17</v>
      </c>
      <c r="E66" s="38" t="str">
        <f t="shared" si="6"/>
        <v>AudLiborSwapIsdaFixPm60Y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101</vt:i4>
      </vt:variant>
    </vt:vector>
  </HeadingPairs>
  <TitlesOfParts>
    <vt:vector size="119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Swaps1M</vt:lpstr>
      <vt:lpstr>Swap3M</vt:lpstr>
      <vt:lpstr>Swap6M</vt:lpstr>
      <vt:lpstr>BasisSwap1M3M</vt:lpstr>
      <vt:lpstr>BasisSwap3M6M</vt:lpstr>
      <vt:lpstr>Libor</vt:lpstr>
      <vt:lpstr>LiborSwapIsdaFixAm</vt:lpstr>
      <vt:lpstr>LiborSwapIsdaFixPm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BasisSwap1M3M!Conventions</vt:lpstr>
      <vt:lpstr>BasisSwap3M6M!Conventions</vt:lpstr>
      <vt:lpstr>Counter</vt:lpstr>
      <vt:lpstr>Currency</vt:lpstr>
      <vt:lpstr>Discounting</vt:lpstr>
      <vt:lpstr>EvaluationDate</vt:lpstr>
      <vt:lpstr>Libor!FamilyName</vt:lpstr>
      <vt:lpstr>LiborSwapIsdaFixAm!FamilyName</vt:lpstr>
      <vt:lpstr>LiborSwapIsdaFixPm!FamilyName</vt:lpstr>
      <vt:lpstr>FamilyName</vt:lpstr>
      <vt:lpstr>BBSWSwapForBasisCalc!FamilyName2</vt:lpstr>
      <vt:lpstr>BBSWSwapForBasisCalc!FileName</vt:lpstr>
      <vt:lpstr>LiborSwapIsdaFixAm!FileName</vt:lpstr>
      <vt:lpstr>LiborSwapIsdaFixPm!FileName</vt:lpstr>
      <vt:lpstr>FileOverwrite</vt:lpstr>
      <vt:lpstr>BBSWSwapForBasisCalc!FixingType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Swaps1M!Instruments</vt:lpstr>
      <vt:lpstr>Instruments</vt:lpstr>
      <vt:lpstr>InterpolationType</vt:lpstr>
      <vt:lpstr>LastFixingsTrigger</vt:lpstr>
      <vt:lpstr>LastUpdate</vt:lpstr>
      <vt:lpstr>Futures1M!LiffeCodes</vt:lpstr>
      <vt:lpstr>LiveDataFeed</vt:lpstr>
      <vt:lpstr>Futures1M!MeanReversion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LiborSwapIsdaFixAm!Traits</vt:lpstr>
      <vt:lpstr>LiborSwapIsdaFixPm!Traits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2014-06-17T11:01:56Z</dcterms:modified>
</cp:coreProperties>
</file>