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345"/>
  </bookViews>
  <sheets>
    <sheet name="General Settings" sheetId="4" r:id="rId1"/>
    <sheet name="Triggers" sheetId="24" r:id="rId2"/>
    <sheet name="Calculation" sheetId="12" r:id="rId3"/>
  </sheets>
  <definedNames>
    <definedName name="AllTriggers">Triggers!$C$2:$C$5</definedName>
    <definedName name="Calendar">'General Settings'!$D$5</definedName>
    <definedName name="Currency">'General Settings'!$D$4</definedName>
    <definedName name="DayCounter">'General Settings'!$D$12</definedName>
    <definedName name="EvaluationDate">Triggers!$C$2</definedName>
    <definedName name="GENERAL_SETTINGS">'General Settings'!$B$2</definedName>
    <definedName name="IborType">'General Settings'!$D$6</definedName>
    <definedName name="InterestRatesTrigger">Triggers!$C$4</definedName>
    <definedName name="LastDayInNextYear">'General Settings'!$D$14</definedName>
    <definedName name="LastDayInYear">'General Settings'!$D$13</definedName>
    <definedName name="LastFixingsTrigger">Triggers!$C$5</definedName>
    <definedName name="LastUpdate">'General Settings'!$E$16</definedName>
    <definedName name="LiveDataFeed">'General Settings'!$E$19</definedName>
    <definedName name="OisCurve">'General Settings'!$D$10</definedName>
    <definedName name="OisEngine">'General Settings'!$D$11</definedName>
    <definedName name="OvernightIndex">'General Settings'!$D$7</definedName>
    <definedName name="SettlementDate">'General Settings'!$D$9</definedName>
    <definedName name="TriggerCounter">'General Settings'!#REF!</definedName>
  </definedNames>
  <calcPr calcId="145621"/>
</workbook>
</file>

<file path=xl/calcChain.xml><?xml version="1.0" encoding="utf-8"?>
<calcChain xmlns="http://schemas.openxmlformats.org/spreadsheetml/2006/main">
  <c r="D6" i="4" l="1"/>
  <c r="D26" i="12" s="1"/>
  <c r="D5" i="12"/>
  <c r="A3" i="12"/>
  <c r="A16" i="12"/>
  <c r="A7" i="12"/>
  <c r="A26" i="12"/>
  <c r="D27" i="12"/>
  <c r="D25" i="12"/>
  <c r="D13" i="12"/>
  <c r="D8" i="12"/>
  <c r="D14" i="12"/>
  <c r="D12" i="12"/>
  <c r="D6" i="12"/>
  <c r="D9" i="12"/>
  <c r="D21" i="12"/>
  <c r="D19" i="12"/>
  <c r="D17" i="12"/>
  <c r="D20" i="12"/>
  <c r="D24" i="12"/>
  <c r="D23" i="12"/>
  <c r="A17" i="12"/>
  <c r="D18" i="12"/>
  <c r="D15" i="12"/>
  <c r="D22" i="12"/>
  <c r="D2" i="12"/>
  <c r="C2" i="24"/>
  <c r="F24" i="12"/>
  <c r="F9" i="12"/>
  <c r="E8" i="12"/>
  <c r="E2" i="12"/>
  <c r="F12" i="12"/>
  <c r="E20" i="12"/>
  <c r="D9" i="4"/>
  <c r="E22" i="12"/>
  <c r="B1" i="4"/>
  <c r="F13" i="12"/>
  <c r="E19" i="12"/>
  <c r="F19" i="12"/>
  <c r="B19" i="12" s="1"/>
  <c r="E13" i="12"/>
  <c r="F18" i="12"/>
  <c r="F17" i="12"/>
  <c r="F35" i="12"/>
  <c r="F2" i="12"/>
  <c r="F21" i="12"/>
  <c r="F25" i="12"/>
  <c r="F5" i="12"/>
  <c r="E24" i="12"/>
  <c r="B24" i="12" s="1"/>
  <c r="B2" i="12"/>
  <c r="F46" i="12"/>
  <c r="E5" i="12"/>
  <c r="F14" i="12"/>
  <c r="F6" i="12"/>
  <c r="F37" i="12"/>
  <c r="F23" i="12"/>
  <c r="B13" i="12"/>
  <c r="E15" i="12"/>
  <c r="E9" i="12"/>
  <c r="D10" i="12" s="1"/>
  <c r="F45" i="12"/>
  <c r="F8" i="12"/>
  <c r="E27" i="12"/>
  <c r="B8" i="12"/>
  <c r="F41" i="12"/>
  <c r="E21" i="12"/>
  <c r="B21" i="12" s="1"/>
  <c r="E25" i="12"/>
  <c r="F47" i="12"/>
  <c r="E23" i="12"/>
  <c r="F34" i="12"/>
  <c r="E18" i="12"/>
  <c r="B18" i="12" s="1"/>
  <c r="F15" i="12"/>
  <c r="B15" i="12" s="1"/>
  <c r="E14" i="12"/>
  <c r="B14" i="12" s="1"/>
  <c r="F36" i="12"/>
  <c r="E12" i="12"/>
  <c r="B12" i="12" s="1"/>
  <c r="F27" i="12"/>
  <c r="B27" i="12" s="1"/>
  <c r="B23" i="12"/>
  <c r="F44" i="12"/>
  <c r="B5" i="12"/>
  <c r="E17" i="12"/>
  <c r="F20" i="12"/>
  <c r="B20" i="12" s="1"/>
  <c r="F22" i="12"/>
  <c r="E6" i="12"/>
  <c r="B6" i="12" s="1"/>
  <c r="B25" i="12"/>
  <c r="B22" i="12"/>
  <c r="B17" i="12"/>
  <c r="B9" i="12"/>
  <c r="G15" i="12"/>
  <c r="G20" i="12"/>
  <c r="G19" i="12"/>
  <c r="G5" i="12"/>
  <c r="G23" i="12"/>
  <c r="G12" i="12"/>
  <c r="G6" i="12"/>
  <c r="G10" i="12"/>
  <c r="G2" i="12"/>
  <c r="G21" i="12"/>
  <c r="G24" i="12"/>
  <c r="G9" i="12"/>
  <c r="G14" i="12"/>
  <c r="G13" i="12"/>
  <c r="G18" i="12"/>
  <c r="G17" i="12"/>
  <c r="G27" i="12"/>
  <c r="G25" i="12"/>
  <c r="G8" i="12"/>
  <c r="G26" i="12"/>
  <c r="G22" i="12"/>
  <c r="F49" i="12"/>
  <c r="F48" i="12"/>
  <c r="F43" i="12"/>
  <c r="F40" i="12"/>
  <c r="F39" i="12"/>
  <c r="F42" i="12"/>
  <c r="F38" i="12"/>
  <c r="F10" i="12"/>
  <c r="A27" i="12" l="1"/>
  <c r="D10" i="4"/>
  <c r="A4" i="12"/>
  <c r="A8" i="12"/>
  <c r="D16" i="12"/>
  <c r="K43" i="12"/>
  <c r="O27" i="12"/>
  <c r="K34" i="12"/>
  <c r="N21" i="12"/>
  <c r="O23" i="12"/>
  <c r="N24" i="12"/>
  <c r="O10" i="12"/>
  <c r="K49" i="12"/>
  <c r="O9" i="12"/>
  <c r="N6" i="12"/>
  <c r="K41" i="12"/>
  <c r="K37" i="12"/>
  <c r="F4" i="12"/>
  <c r="O4" i="12" s="1"/>
  <c r="N13" i="12"/>
  <c r="N20" i="12"/>
  <c r="N12" i="12"/>
  <c r="N23" i="12"/>
  <c r="O6" i="12"/>
  <c r="O25" i="12"/>
  <c r="O19" i="12"/>
  <c r="K48" i="12"/>
  <c r="K40" i="12"/>
  <c r="O22" i="12"/>
  <c r="N27" i="12"/>
  <c r="O14" i="12"/>
  <c r="O21" i="12"/>
  <c r="N19" i="12"/>
  <c r="O12" i="12"/>
  <c r="O24" i="12"/>
  <c r="K36" i="12"/>
  <c r="K47" i="12"/>
  <c r="O8" i="12"/>
  <c r="K44" i="12"/>
  <c r="O2" i="12"/>
  <c r="O13" i="12"/>
  <c r="N2" i="12"/>
  <c r="K39" i="12"/>
  <c r="N14" i="12"/>
  <c r="O20" i="12"/>
  <c r="K45" i="12"/>
  <c r="K35" i="12"/>
  <c r="N8" i="12"/>
  <c r="K42" i="12"/>
  <c r="O15" i="12"/>
  <c r="N25" i="12"/>
  <c r="N9" i="12"/>
  <c r="O17" i="12"/>
  <c r="N22" i="12"/>
  <c r="K38" i="12"/>
  <c r="N18" i="12"/>
  <c r="N17" i="12"/>
  <c r="N15" i="12"/>
  <c r="K46" i="12"/>
  <c r="O18" i="12"/>
  <c r="E44" i="12"/>
  <c r="E39" i="12"/>
  <c r="E43" i="12"/>
  <c r="E35" i="12"/>
  <c r="E41" i="12"/>
  <c r="E47" i="12"/>
  <c r="E34" i="12"/>
  <c r="E46" i="12"/>
  <c r="E40" i="12"/>
  <c r="E42" i="12"/>
  <c r="E36" i="12"/>
  <c r="E38" i="12"/>
  <c r="E49" i="12"/>
  <c r="E48" i="12"/>
  <c r="E45" i="12"/>
  <c r="E37" i="12"/>
  <c r="E10" i="12"/>
  <c r="B41" i="12"/>
  <c r="B45" i="12"/>
  <c r="B39" i="12"/>
  <c r="B37" i="12"/>
  <c r="D14" i="4"/>
  <c r="D11" i="4"/>
  <c r="B49" i="12"/>
  <c r="B35" i="12"/>
  <c r="D13" i="4"/>
  <c r="B46" i="12"/>
  <c r="B42" i="12"/>
  <c r="C13" i="12"/>
  <c r="B43" i="12"/>
  <c r="C21" i="12"/>
  <c r="C2" i="12"/>
  <c r="C9" i="12"/>
  <c r="C24" i="12"/>
  <c r="B44" i="12"/>
  <c r="B47" i="12"/>
  <c r="C6" i="12"/>
  <c r="C12" i="12"/>
  <c r="C19" i="12"/>
  <c r="B40" i="12"/>
  <c r="B48" i="12"/>
  <c r="C5" i="12"/>
  <c r="C23" i="12"/>
  <c r="C8" i="12"/>
  <c r="B38" i="12"/>
  <c r="B34" i="12"/>
  <c r="C18" i="12"/>
  <c r="C25" i="12"/>
  <c r="B36" i="12"/>
  <c r="E26" i="12"/>
  <c r="F26" i="12" s="1"/>
  <c r="B26" i="12"/>
  <c r="E16" i="12"/>
  <c r="F16" i="12"/>
  <c r="B16" i="12" s="1"/>
  <c r="H5" i="12"/>
  <c r="H23" i="12"/>
  <c r="H8" i="12"/>
  <c r="H18" i="12"/>
  <c r="H25" i="12"/>
  <c r="H19" i="12"/>
  <c r="G16" i="12"/>
  <c r="H24" i="12"/>
  <c r="H12" i="12"/>
  <c r="H13" i="12"/>
  <c r="H21" i="12"/>
  <c r="H2" i="12"/>
  <c r="H9" i="12"/>
  <c r="H6" i="12"/>
  <c r="B10" i="12"/>
  <c r="C10" i="12" s="1"/>
  <c r="H10" i="12" s="1"/>
  <c r="D11" i="12"/>
  <c r="C20" i="12"/>
  <c r="H20" i="12" s="1"/>
  <c r="C17" i="12"/>
  <c r="H17" i="12" s="1"/>
  <c r="C14" i="12"/>
  <c r="H14" i="12" s="1"/>
  <c r="C22" i="12"/>
  <c r="H22" i="12" s="1"/>
  <c r="C27" i="12"/>
  <c r="H27" i="12" s="1"/>
  <c r="C15" i="12"/>
  <c r="H15" i="12" s="1"/>
  <c r="G11" i="12"/>
  <c r="F11" i="12"/>
  <c r="E11" i="12"/>
  <c r="B11" i="12"/>
  <c r="C11" i="12" s="1"/>
  <c r="H11" i="12" s="1"/>
  <c r="N11" i="12" l="1"/>
  <c r="O11" i="12"/>
  <c r="N10" i="12"/>
  <c r="T10" i="12" s="1"/>
  <c r="I8" i="12"/>
  <c r="I19" i="12"/>
  <c r="J19" i="12" s="1"/>
  <c r="I24" i="12"/>
  <c r="I2" i="12"/>
  <c r="I17" i="12"/>
  <c r="J17" i="12" s="1"/>
  <c r="I14" i="12"/>
  <c r="J14" i="12" s="1"/>
  <c r="I27" i="12"/>
  <c r="J27" i="12" s="1"/>
  <c r="I25" i="12"/>
  <c r="I23" i="12"/>
  <c r="J23" i="12" s="1"/>
  <c r="I12" i="12"/>
  <c r="J12" i="12" s="1"/>
  <c r="I10" i="12"/>
  <c r="J10" i="12" s="1"/>
  <c r="I20" i="12"/>
  <c r="J20" i="12" s="1"/>
  <c r="I13" i="12"/>
  <c r="J13" i="12" s="1"/>
  <c r="I22" i="12"/>
  <c r="J22" i="12" s="1"/>
  <c r="I15" i="12"/>
  <c r="I18" i="12"/>
  <c r="I5" i="12"/>
  <c r="I6" i="12"/>
  <c r="I9" i="12"/>
  <c r="I21" i="12"/>
  <c r="J21" i="12" s="1"/>
  <c r="I11" i="12"/>
  <c r="J11" i="12" s="1"/>
  <c r="O26" i="12"/>
  <c r="N26" i="12"/>
  <c r="O16" i="12"/>
  <c r="N16" i="12"/>
  <c r="D3" i="12"/>
  <c r="D7" i="12"/>
  <c r="U13" i="12"/>
  <c r="T13" i="12"/>
  <c r="P13" i="12"/>
  <c r="P24" i="12"/>
  <c r="U24" i="12"/>
  <c r="T24" i="12"/>
  <c r="U15" i="12"/>
  <c r="P15" i="12"/>
  <c r="T15" i="12"/>
  <c r="U12" i="12"/>
  <c r="T12" i="12"/>
  <c r="P12" i="12"/>
  <c r="T19" i="12"/>
  <c r="P19" i="12"/>
  <c r="U19" i="12"/>
  <c r="P23" i="12"/>
  <c r="T23" i="12"/>
  <c r="U23" i="12"/>
  <c r="P25" i="12"/>
  <c r="T25" i="12"/>
  <c r="U25" i="12"/>
  <c r="U14" i="12"/>
  <c r="P14" i="12"/>
  <c r="T14" i="12"/>
  <c r="P27" i="12"/>
  <c r="T27" i="12"/>
  <c r="U27" i="12"/>
  <c r="T2" i="12"/>
  <c r="P2" i="12"/>
  <c r="U2" i="12"/>
  <c r="T8" i="12"/>
  <c r="U8" i="12"/>
  <c r="P8" i="12"/>
  <c r="P9" i="12"/>
  <c r="T9" i="12"/>
  <c r="U9" i="12"/>
  <c r="T6" i="12"/>
  <c r="U6" i="12"/>
  <c r="P6" i="12"/>
  <c r="U17" i="12"/>
  <c r="P17" i="12"/>
  <c r="T17" i="12"/>
  <c r="P20" i="12"/>
  <c r="U20" i="12"/>
  <c r="T20" i="12"/>
  <c r="P22" i="12"/>
  <c r="T22" i="12"/>
  <c r="U22" i="12"/>
  <c r="P21" i="12"/>
  <c r="U21" i="12"/>
  <c r="T21" i="12"/>
  <c r="U18" i="12"/>
  <c r="T18" i="12"/>
  <c r="P18" i="12"/>
  <c r="U10" i="12"/>
  <c r="P11" i="12"/>
  <c r="U11" i="12"/>
  <c r="T11" i="12"/>
  <c r="J24" i="12"/>
  <c r="C44" i="12"/>
  <c r="L44" i="12" s="1"/>
  <c r="C45" i="12"/>
  <c r="L45" i="12" s="1"/>
  <c r="C43" i="12"/>
  <c r="L43" i="12" s="1"/>
  <c r="C41" i="12"/>
  <c r="L41" i="12" s="1"/>
  <c r="C36" i="12"/>
  <c r="L36" i="12" s="1"/>
  <c r="C42" i="12"/>
  <c r="L42" i="12" s="1"/>
  <c r="C34" i="12"/>
  <c r="L34" i="12" s="1"/>
  <c r="C46" i="12"/>
  <c r="L46" i="12" s="1"/>
  <c r="C38" i="12"/>
  <c r="L38" i="12" s="1"/>
  <c r="C35" i="12"/>
  <c r="L35" i="12" s="1"/>
  <c r="C48" i="12"/>
  <c r="L48" i="12" s="1"/>
  <c r="C49" i="12"/>
  <c r="L49" i="12" s="1"/>
  <c r="C40" i="12"/>
  <c r="L40" i="12" s="1"/>
  <c r="C37" i="12"/>
  <c r="L37" i="12" s="1"/>
  <c r="C47" i="12"/>
  <c r="L47" i="12" s="1"/>
  <c r="C39" i="12"/>
  <c r="L39" i="12" s="1"/>
  <c r="C16" i="12"/>
  <c r="H16" i="12" s="1"/>
  <c r="E7" i="12"/>
  <c r="E3" i="12"/>
  <c r="F7" i="12"/>
  <c r="B7" i="12"/>
  <c r="F3" i="12"/>
  <c r="B3" i="12" s="1"/>
  <c r="C26" i="12"/>
  <c r="H26" i="12" s="1"/>
  <c r="G7" i="12"/>
  <c r="G3" i="12"/>
  <c r="P10" i="12" l="1"/>
  <c r="P26" i="12"/>
  <c r="I26" i="12"/>
  <c r="I16" i="12"/>
  <c r="T16" i="12"/>
  <c r="P16" i="12"/>
  <c r="J16" i="12"/>
  <c r="J18" i="12" s="1"/>
  <c r="U16" i="12"/>
  <c r="U26" i="12"/>
  <c r="T26" i="12"/>
  <c r="E4" i="12"/>
  <c r="O3" i="12"/>
  <c r="O7" i="12"/>
  <c r="N3" i="12"/>
  <c r="N7" i="12"/>
  <c r="J8" i="12"/>
  <c r="C3" i="12"/>
  <c r="H3" i="12" s="1"/>
  <c r="C7" i="12"/>
  <c r="H7" i="12" s="1"/>
  <c r="B4" i="12"/>
  <c r="X18" i="12" a="1"/>
  <c r="Z18" i="12" a="1"/>
  <c r="K21" i="12"/>
  <c r="Y18" i="12" a="1"/>
  <c r="K23" i="12"/>
  <c r="K20" i="12"/>
  <c r="K22" i="12"/>
  <c r="K24" i="12"/>
  <c r="K19" i="12"/>
  <c r="I7" i="12" l="1"/>
  <c r="J7" i="12" s="1"/>
  <c r="I3" i="12"/>
  <c r="J3" i="12" s="1"/>
  <c r="J26" i="12"/>
  <c r="U7" i="12"/>
  <c r="T7" i="12"/>
  <c r="P7" i="12"/>
  <c r="T3" i="12"/>
  <c r="U3" i="12"/>
  <c r="P3" i="12"/>
  <c r="G4" i="12"/>
  <c r="N4" i="12"/>
  <c r="Y18" i="12"/>
  <c r="Y19" i="12"/>
  <c r="Y20" i="12"/>
  <c r="Z20" i="12"/>
  <c r="Z19" i="12"/>
  <c r="Z18" i="12"/>
  <c r="X20" i="12"/>
  <c r="X18" i="12"/>
  <c r="X19" i="12"/>
  <c r="P31" i="12"/>
  <c r="C4" i="12"/>
  <c r="H4" i="12" s="1"/>
  <c r="K27" i="12"/>
  <c r="L19" i="12"/>
  <c r="L22" i="12"/>
  <c r="L20" i="12"/>
  <c r="L23" i="12"/>
  <c r="L24" i="12"/>
  <c r="L21" i="12"/>
  <c r="L27" i="12"/>
  <c r="K26" i="12" l="1"/>
  <c r="I4" i="12"/>
  <c r="J4" i="12" s="1"/>
  <c r="J9" i="12"/>
  <c r="U4" i="12"/>
  <c r="T4" i="12"/>
  <c r="P4" i="12"/>
  <c r="AF18" i="12" a="1"/>
  <c r="L26" i="12"/>
  <c r="X9" i="12" a="1"/>
  <c r="K14" i="12"/>
  <c r="K12" i="12"/>
  <c r="K10" i="12"/>
  <c r="Y9" i="12" a="1"/>
  <c r="K13" i="12"/>
  <c r="K11" i="12"/>
  <c r="Z9" i="12" a="1"/>
  <c r="L10" i="12"/>
  <c r="L13" i="12"/>
  <c r="L12" i="12"/>
  <c r="L11" i="12"/>
  <c r="L14" i="12"/>
  <c r="K4" i="12"/>
  <c r="Z9" i="12" l="1"/>
  <c r="Z10" i="12"/>
  <c r="Z11" i="12"/>
  <c r="Y9" i="12"/>
  <c r="Y10" i="12"/>
  <c r="Y11" i="12"/>
  <c r="X9" i="12"/>
  <c r="X10" i="12"/>
  <c r="X11" i="12"/>
  <c r="Q32" i="12"/>
  <c r="Q31" i="12"/>
  <c r="Q49" i="12" s="1"/>
  <c r="J49" i="12" s="1"/>
  <c r="N31" i="12"/>
  <c r="K3" i="12"/>
  <c r="Q39" i="12"/>
  <c r="J39" i="12" s="1"/>
  <c r="AF19" i="12"/>
  <c r="AH20" i="12"/>
  <c r="AG18" i="12"/>
  <c r="AG19" i="12"/>
  <c r="AH19" i="12"/>
  <c r="AH18" i="12"/>
  <c r="AF18" i="12"/>
  <c r="AF20" i="12"/>
  <c r="AG20" i="12"/>
  <c r="L4" i="12"/>
  <c r="L3" i="12"/>
  <c r="Q41" i="12" l="1"/>
  <c r="J41" i="12" s="1"/>
  <c r="Q48" i="12"/>
  <c r="J48" i="12" s="1"/>
  <c r="Q35" i="12"/>
  <c r="J35" i="12" s="1"/>
  <c r="Q45" i="12"/>
  <c r="J45" i="12" s="1"/>
  <c r="Q36" i="12"/>
  <c r="J36" i="12" s="1"/>
  <c r="Q43" i="12"/>
  <c r="J43" i="12" s="1"/>
  <c r="Q37" i="12"/>
  <c r="J37" i="12" s="1"/>
  <c r="Q42" i="12"/>
  <c r="J42" i="12" s="1"/>
  <c r="Q44" i="12"/>
  <c r="J44" i="12" s="1"/>
  <c r="AF9" i="12" a="1"/>
  <c r="AG11" i="12" s="1"/>
  <c r="Q38" i="12"/>
  <c r="J38" i="12" s="1"/>
  <c r="Q47" i="12"/>
  <c r="J47" i="12" s="1"/>
  <c r="Q34" i="12"/>
  <c r="J34" i="12" s="1"/>
  <c r="Q40" i="12"/>
  <c r="J40" i="12" s="1"/>
  <c r="Q46" i="12"/>
  <c r="J46" i="12" s="1"/>
  <c r="N32" i="12"/>
  <c r="N34" i="12" s="1"/>
  <c r="G34" i="12" s="1"/>
  <c r="AH11" i="12"/>
  <c r="AH9" i="12"/>
  <c r="N37" i="12"/>
  <c r="G37" i="12" s="1"/>
  <c r="AF11" i="12" l="1"/>
  <c r="AF9" i="12"/>
  <c r="AH10" i="12"/>
  <c r="AG10" i="12"/>
  <c r="AG9" i="12"/>
  <c r="AF10" i="12"/>
  <c r="N38" i="12"/>
  <c r="G38" i="12" s="1"/>
  <c r="N35" i="12"/>
  <c r="G35" i="12" s="1"/>
  <c r="N36" i="12"/>
  <c r="G36" i="12" s="1"/>
  <c r="K18" i="12"/>
  <c r="H31" i="12"/>
  <c r="G31" i="12"/>
  <c r="G32" i="12" l="1"/>
  <c r="K9" i="12"/>
  <c r="AD9" i="12" a="1"/>
  <c r="I31" i="12"/>
  <c r="J31" i="12"/>
  <c r="L18" i="12"/>
  <c r="P32" i="12" l="1"/>
  <c r="I32" i="12"/>
  <c r="AD11" i="12"/>
  <c r="AD9" i="12"/>
  <c r="AD10" i="12"/>
  <c r="O31" i="12"/>
  <c r="J32" i="12"/>
  <c r="L9" i="12"/>
  <c r="AD18" i="12" a="1"/>
  <c r="O32" i="12" l="1"/>
  <c r="O34" i="12" s="1"/>
  <c r="H34" i="12" s="1"/>
  <c r="O37" i="12"/>
  <c r="H37" i="12" s="1"/>
  <c r="O36" i="12"/>
  <c r="H36" i="12" s="1"/>
  <c r="AD19" i="12"/>
  <c r="AD20" i="12"/>
  <c r="AD18" i="12"/>
  <c r="AB18" i="12" s="1" a="1"/>
  <c r="AB19" i="12" s="1"/>
  <c r="U31" i="12" s="1"/>
  <c r="H32" i="12"/>
  <c r="P36" i="12"/>
  <c r="I36" i="12" s="1"/>
  <c r="P41" i="12"/>
  <c r="I41" i="12" s="1"/>
  <c r="P38" i="12"/>
  <c r="I38" i="12" s="1"/>
  <c r="P39" i="12"/>
  <c r="I39" i="12" s="1"/>
  <c r="P40" i="12"/>
  <c r="I40" i="12" s="1"/>
  <c r="P37" i="12"/>
  <c r="I37" i="12" s="1"/>
  <c r="P34" i="12"/>
  <c r="I34" i="12" s="1"/>
  <c r="P43" i="12"/>
  <c r="P50" i="12" s="1"/>
  <c r="P35" i="12"/>
  <c r="I35" i="12" s="1"/>
  <c r="P42" i="12"/>
  <c r="I42" i="12" s="1"/>
  <c r="N50" i="12"/>
  <c r="Q50" i="12"/>
  <c r="AB9" i="12" a="1"/>
  <c r="AB11" i="12" s="1"/>
  <c r="T32" i="12" s="1"/>
  <c r="O35" i="12" l="1"/>
  <c r="H35" i="12" s="1"/>
  <c r="O40" i="12"/>
  <c r="O50" i="12" s="1"/>
  <c r="O39" i="12"/>
  <c r="H39" i="12" s="1"/>
  <c r="O38" i="12"/>
  <c r="H38" i="12" s="1"/>
  <c r="I43" i="12"/>
  <c r="AB18" i="12"/>
  <c r="AB20" i="12"/>
  <c r="U32" i="12" s="1"/>
  <c r="AB9" i="12"/>
  <c r="AB10" i="12"/>
  <c r="T31" i="12" s="1"/>
  <c r="H40" i="12" l="1"/>
  <c r="AJ9" i="12" a="1"/>
  <c r="T30" i="12"/>
  <c r="U30" i="12"/>
  <c r="AJ18" i="12" a="1"/>
  <c r="AJ20" i="12" l="1"/>
  <c r="AJ19" i="12"/>
  <c r="AJ18" i="12"/>
  <c r="U37" i="12"/>
  <c r="U43" i="12"/>
  <c r="U41" i="12"/>
  <c r="U36" i="12"/>
  <c r="U40" i="12"/>
  <c r="U35" i="12"/>
  <c r="U42" i="12"/>
  <c r="U39" i="12"/>
  <c r="U38" i="12"/>
  <c r="U34" i="12"/>
  <c r="T38" i="12"/>
  <c r="T34" i="12"/>
  <c r="T35" i="12"/>
  <c r="T37" i="12"/>
  <c r="T40" i="12"/>
  <c r="T39" i="12"/>
  <c r="T36" i="12"/>
  <c r="AJ11" i="12"/>
  <c r="AJ9" i="12"/>
  <c r="AJ10" i="12"/>
</calcChain>
</file>

<file path=xl/sharedStrings.xml><?xml version="1.0" encoding="utf-8"?>
<sst xmlns="http://schemas.openxmlformats.org/spreadsheetml/2006/main" count="101" uniqueCount="65">
  <si>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</si>
  <si>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</si>
  <si>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</si>
  <si>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</si>
  <si>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</si>
  <si>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</si>
  <si>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</si>
  <si>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</si>
  <si>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</si>
  <si>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</si>
  <si>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</si>
  <si>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</si>
  <si>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</si>
  <si>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</si>
  <si>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</si>
  <si>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</si>
  <si>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</si>
  <si>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</si>
  <si>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</si>
  <si>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</si>
  <si>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</si>
  <si>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</si>
  <si>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</si>
  <si>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</si>
  <si>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</si>
  <si>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</si>
  <si>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</si>
  <si>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</si>
  <si>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</si>
  <si>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IborType</t>
  </si>
  <si>
    <t>TARGET</t>
  </si>
  <si>
    <t>Evaluation Date</t>
  </si>
  <si>
    <t>Interest Rates Trigger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</si>
  <si>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</si>
  <si>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</si>
  <si>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</si>
  <si>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</si>
  <si>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</si>
  <si>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</si>
  <si>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</si>
  <si>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</si>
  <si>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</si>
  <si>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</si>
  <si>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</si>
  <si>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</si>
  <si>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</si>
  <si>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</si>
  <si>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</si>
  <si>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</si>
  <si>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</si>
  <si>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</si>
  <si>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Eonia</t>
  </si>
  <si>
    <t>EUR</t>
  </si>
  <si>
    <t>parallel shift first guess</t>
  </si>
  <si>
    <t>parallel shift monotonicity</t>
  </si>
  <si>
    <t>integrated</t>
  </si>
  <si>
    <t>instantaneous</t>
  </si>
  <si>
    <t>fwd spread</t>
  </si>
  <si>
    <t>solution</t>
  </si>
  <si>
    <t>LastDayInNextYear</t>
  </si>
  <si>
    <t>LastDayInYear</t>
  </si>
  <si>
    <t>Actual/360</t>
  </si>
  <si>
    <t>DayCounter</t>
  </si>
  <si>
    <t>***='C:\Users\erik\Documents\repos\launcher\R010202\Workbooks\MarketData\ReutersFeed\EUR_InterestRateQuotesFeed.xls'!TriggerCounter</t>
  </si>
  <si>
    <t>***='C:\Users\erik\Documents\repos\launcher\R010202\Workbooks\MarketData\ReutersFeed\EUR_MMIndicesAddLastFixing.xls'!TriggerCounter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</si>
</sst>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0.00000000000"/>
  </numFmts>
  <fonts count="14" x14ac:knownFonts="1">
    <font>
      <sz val="8"/>
      <name val="Arial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14"/>
      <name val="Arial"/>
      <family val="2"/>
    </font>
    <font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70" fontId="2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1" fillId="0" borderId="0"/>
    <xf numFmtId="171" fontId="6" fillId="0" borderId="0"/>
    <xf numFmtId="9" fontId="1" fillId="0" borderId="0" applyFont="0" applyFill="0" applyBorder="0" applyAlignment="0" applyProtection="0"/>
    <xf numFmtId="169" fontId="3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73">
    <xf numFmtId="0" fontId="0" fillId="0" borderId="0" xfId="0"/>
    <xf numFmtId="0" fontId="7" fillId="0" borderId="0" xfId="0" applyFont="1"/>
    <xf numFmtId="165" fontId="7" fillId="0" borderId="1" xfId="7" applyNumberFormat="1" applyFont="1" applyBorder="1"/>
    <xf numFmtId="165" fontId="7" fillId="0" borderId="2" xfId="7" applyNumberFormat="1" applyFont="1" applyBorder="1"/>
    <xf numFmtId="165" fontId="7" fillId="0" borderId="3" xfId="7" applyNumberFormat="1" applyFont="1" applyBorder="1"/>
    <xf numFmtId="0" fontId="7" fillId="0" borderId="0" xfId="0" applyFont="1" applyBorder="1"/>
    <xf numFmtId="166" fontId="7" fillId="0" borderId="0" xfId="0" applyNumberFormat="1" applyFont="1" applyBorder="1" applyAlignment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 applyAlignment="1"/>
    <xf numFmtId="0" fontId="7" fillId="0" borderId="7" xfId="0" applyFont="1" applyBorder="1"/>
    <xf numFmtId="0" fontId="7" fillId="0" borderId="8" xfId="0" applyFont="1" applyBorder="1" applyAlignment="1"/>
    <xf numFmtId="0" fontId="7" fillId="0" borderId="9" xfId="0" applyFont="1" applyBorder="1"/>
    <xf numFmtId="165" fontId="7" fillId="0" borderId="5" xfId="0" applyNumberFormat="1" applyFont="1" applyBorder="1"/>
    <xf numFmtId="165" fontId="7" fillId="0" borderId="10" xfId="0" applyNumberFormat="1" applyFont="1" applyBorder="1"/>
    <xf numFmtId="165" fontId="7" fillId="0" borderId="0" xfId="7" applyNumberFormat="1" applyFont="1" applyBorder="1"/>
    <xf numFmtId="165" fontId="7" fillId="0" borderId="9" xfId="0" applyNumberFormat="1" applyFont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66" fontId="7" fillId="0" borderId="1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right"/>
    </xf>
    <xf numFmtId="172" fontId="7" fillId="0" borderId="5" xfId="0" applyNumberFormat="1" applyFont="1" applyBorder="1"/>
    <xf numFmtId="0" fontId="7" fillId="0" borderId="8" xfId="0" applyFont="1" applyBorder="1" applyAlignment="1">
      <alignment horizontal="right"/>
    </xf>
    <xf numFmtId="172" fontId="7" fillId="0" borderId="9" xfId="0" applyNumberFormat="1" applyFont="1" applyBorder="1"/>
    <xf numFmtId="0" fontId="7" fillId="0" borderId="8" xfId="0" applyFont="1" applyFill="1" applyBorder="1" applyAlignment="1">
      <alignment horizontal="right"/>
    </xf>
    <xf numFmtId="172" fontId="7" fillId="0" borderId="10" xfId="0" applyNumberFormat="1" applyFont="1" applyBorder="1"/>
    <xf numFmtId="165" fontId="7" fillId="0" borderId="8" xfId="0" applyNumberFormat="1" applyFont="1" applyBorder="1" applyAlignment="1"/>
    <xf numFmtId="0" fontId="7" fillId="0" borderId="14" xfId="0" applyFont="1" applyBorder="1"/>
    <xf numFmtId="0" fontId="7" fillId="0" borderId="8" xfId="0" applyFont="1" applyBorder="1"/>
    <xf numFmtId="0" fontId="7" fillId="0" borderId="6" xfId="0" applyFont="1" applyBorder="1"/>
    <xf numFmtId="0" fontId="7" fillId="0" borderId="6" xfId="0" applyFont="1" applyBorder="1" applyAlignment="1">
      <alignment horizontal="right"/>
    </xf>
    <xf numFmtId="165" fontId="8" fillId="0" borderId="0" xfId="7" applyNumberFormat="1" applyFont="1" applyBorder="1"/>
    <xf numFmtId="165" fontId="8" fillId="3" borderId="0" xfId="7" applyNumberFormat="1" applyFont="1" applyFill="1" applyBorder="1"/>
    <xf numFmtId="165" fontId="8" fillId="0" borderId="4" xfId="7" applyNumberFormat="1" applyFont="1" applyBorder="1"/>
    <xf numFmtId="165" fontId="8" fillId="0" borderId="7" xfId="7" applyNumberFormat="1" applyFont="1" applyBorder="1"/>
    <xf numFmtId="165" fontId="8" fillId="3" borderId="8" xfId="7" applyNumberFormat="1" applyFont="1" applyFill="1" applyBorder="1" applyAlignment="1"/>
    <xf numFmtId="165" fontId="7" fillId="0" borderId="11" xfId="0" applyNumberFormat="1" applyFont="1" applyBorder="1"/>
    <xf numFmtId="165" fontId="7" fillId="0" borderId="12" xfId="0" applyNumberFormat="1" applyFont="1" applyBorder="1"/>
    <xf numFmtId="165" fontId="7" fillId="0" borderId="13" xfId="0" applyNumberFormat="1" applyFont="1" applyBorder="1"/>
    <xf numFmtId="0" fontId="7" fillId="4" borderId="0" xfId="0" applyFont="1" applyFill="1" applyBorder="1"/>
    <xf numFmtId="0" fontId="7" fillId="4" borderId="0" xfId="4" applyFont="1" applyFill="1" applyBorder="1"/>
    <xf numFmtId="0" fontId="7" fillId="4" borderId="9" xfId="4" applyFont="1" applyFill="1" applyBorder="1"/>
    <xf numFmtId="0" fontId="7" fillId="5" borderId="0" xfId="5" applyFont="1" applyFill="1"/>
    <xf numFmtId="168" fontId="7" fillId="4" borderId="0" xfId="4" applyNumberFormat="1" applyFont="1" applyFill="1" applyBorder="1" applyAlignment="1">
      <alignment horizontal="center"/>
    </xf>
    <xf numFmtId="0" fontId="7" fillId="4" borderId="0" xfId="4" applyFont="1" applyFill="1" applyBorder="1" applyAlignment="1">
      <alignment horizontal="center"/>
    </xf>
    <xf numFmtId="0" fontId="10" fillId="4" borderId="0" xfId="4" applyFont="1" applyFill="1" applyBorder="1" applyAlignment="1">
      <alignment horizontal="right"/>
    </xf>
    <xf numFmtId="167" fontId="8" fillId="4" borderId="0" xfId="4" applyNumberFormat="1" applyFont="1" applyFill="1" applyBorder="1" applyAlignment="1">
      <alignment horizontal="left"/>
    </xf>
    <xf numFmtId="0" fontId="8" fillId="4" borderId="0" xfId="4" quotePrefix="1" applyFont="1" applyFill="1" applyBorder="1" applyAlignment="1">
      <alignment horizontal="left"/>
    </xf>
    <xf numFmtId="0" fontId="7" fillId="4" borderId="7" xfId="4" applyFont="1" applyFill="1" applyBorder="1"/>
    <xf numFmtId="0" fontId="7" fillId="4" borderId="10" xfId="4" applyFont="1" applyFill="1" applyBorder="1"/>
    <xf numFmtId="0" fontId="7" fillId="6" borderId="0" xfId="4" applyFont="1" applyFill="1" applyBorder="1"/>
    <xf numFmtId="0" fontId="7" fillId="6" borderId="0" xfId="4" applyFont="1" applyFill="1"/>
    <xf numFmtId="0" fontId="7" fillId="4" borderId="8" xfId="4" applyFont="1" applyFill="1" applyBorder="1"/>
    <xf numFmtId="0" fontId="7" fillId="0" borderId="0" xfId="4" applyFont="1"/>
    <xf numFmtId="0" fontId="7" fillId="4" borderId="0" xfId="4" applyFont="1" applyFill="1" applyAlignment="1">
      <alignment horizontal="right"/>
    </xf>
    <xf numFmtId="0" fontId="8" fillId="4" borderId="0" xfId="4" applyFont="1" applyFill="1" applyAlignment="1">
      <alignment horizontal="right"/>
    </xf>
    <xf numFmtId="0" fontId="7" fillId="4" borderId="6" xfId="4" applyFont="1" applyFill="1" applyBorder="1"/>
    <xf numFmtId="0" fontId="7" fillId="4" borderId="0" xfId="4" applyFont="1" applyFill="1"/>
    <xf numFmtId="0" fontId="7" fillId="0" borderId="0" xfId="0" applyFont="1" applyAlignment="1">
      <alignment horizontal="right"/>
    </xf>
    <xf numFmtId="165" fontId="8" fillId="3" borderId="9" xfId="7" applyNumberFormat="1" applyFont="1" applyFill="1" applyBorder="1"/>
    <xf numFmtId="165" fontId="8" fillId="3" borderId="2" xfId="7" applyNumberFormat="1" applyFont="1" applyFill="1" applyBorder="1" applyAlignment="1"/>
    <xf numFmtId="165" fontId="8" fillId="3" borderId="5" xfId="7" applyNumberFormat="1" applyFont="1" applyFill="1" applyBorder="1"/>
    <xf numFmtId="165" fontId="8" fillId="3" borderId="1" xfId="7" applyNumberFormat="1" applyFont="1" applyFill="1" applyBorder="1" applyAlignment="1"/>
    <xf numFmtId="0" fontId="7" fillId="4" borderId="1" xfId="4" applyFont="1" applyFill="1" applyBorder="1" applyAlignment="1">
      <alignment horizontal="center"/>
    </xf>
    <xf numFmtId="168" fontId="7" fillId="4" borderId="2" xfId="4" applyNumberFormat="1" applyFont="1" applyFill="1" applyBorder="1" applyAlignment="1">
      <alignment horizontal="center"/>
    </xf>
    <xf numFmtId="0" fontId="7" fillId="5" borderId="1" xfId="4" applyFont="1" applyFill="1" applyBorder="1" applyAlignment="1">
      <alignment horizontal="right"/>
    </xf>
    <xf numFmtId="0" fontId="7" fillId="5" borderId="2" xfId="4" applyFont="1" applyFill="1" applyBorder="1" applyAlignment="1">
      <alignment horizontal="right"/>
    </xf>
    <xf numFmtId="0" fontId="7" fillId="5" borderId="15" xfId="4" applyFont="1" applyFill="1" applyBorder="1" applyAlignment="1">
      <alignment horizontal="right"/>
    </xf>
    <xf numFmtId="166" fontId="7" fillId="4" borderId="2" xfId="7" applyNumberFormat="1" applyFont="1" applyFill="1" applyBorder="1" applyAlignment="1">
      <alignment horizontal="center"/>
    </xf>
    <xf numFmtId="166" fontId="7" fillId="4" borderId="13" xfId="7" applyNumberFormat="1" applyFont="1" applyFill="1" applyBorder="1" applyAlignment="1">
      <alignment horizontal="center"/>
    </xf>
    <xf numFmtId="165" fontId="7" fillId="0" borderId="8" xfId="7" applyNumberFormat="1" applyFont="1" applyBorder="1" applyAlignment="1"/>
    <xf numFmtId="172" fontId="7" fillId="0" borderId="4" xfId="0" applyNumberFormat="1" applyFont="1" applyBorder="1" applyAlignment="1"/>
    <xf numFmtId="172" fontId="7" fillId="0" borderId="7" xfId="0" applyNumberFormat="1" applyFont="1" applyBorder="1" applyAlignment="1"/>
    <xf numFmtId="172" fontId="7" fillId="0" borderId="0" xfId="0" applyNumberFormat="1" applyFont="1" applyBorder="1" applyAlignment="1"/>
    <xf numFmtId="172" fontId="7" fillId="0" borderId="9" xfId="0" applyNumberFormat="1" applyFont="1" applyBorder="1" applyAlignment="1"/>
    <xf numFmtId="172" fontId="7" fillId="4" borderId="13" xfId="7" applyNumberFormat="1" applyFont="1" applyFill="1" applyBorder="1" applyAlignment="1">
      <alignment horizontal="center"/>
    </xf>
    <xf numFmtId="0" fontId="7" fillId="4" borderId="8" xfId="0" applyFont="1" applyFill="1" applyBorder="1"/>
    <xf numFmtId="0" fontId="7" fillId="4" borderId="9" xfId="0" applyFont="1" applyFill="1" applyBorder="1"/>
    <xf numFmtId="0" fontId="7" fillId="4" borderId="0" xfId="0" applyFont="1" applyFill="1"/>
    <xf numFmtId="0" fontId="9" fillId="5" borderId="15" xfId="0" applyFont="1" applyFill="1" applyBorder="1" applyProtection="1"/>
    <xf numFmtId="172" fontId="7" fillId="7" borderId="13" xfId="0" applyNumberFormat="1" applyFont="1" applyFill="1" applyBorder="1" applyAlignment="1" applyProtection="1">
      <alignment horizontal="right"/>
    </xf>
    <xf numFmtId="0" fontId="7" fillId="0" borderId="15" xfId="0" applyFont="1" applyBorder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10" xfId="0" applyFont="1" applyFill="1" applyBorder="1"/>
    <xf numFmtId="0" fontId="7" fillId="0" borderId="8" xfId="0" applyFont="1" applyFill="1" applyBorder="1"/>
    <xf numFmtId="165" fontId="7" fillId="0" borderId="0" xfId="0" applyNumberFormat="1" applyFont="1"/>
    <xf numFmtId="0" fontId="7" fillId="0" borderId="0" xfId="0" applyFont="1" applyAlignment="1">
      <alignment horizontal="center"/>
    </xf>
    <xf numFmtId="166" fontId="7" fillId="0" borderId="4" xfId="0" applyNumberFormat="1" applyFont="1" applyBorder="1" applyAlignment="1"/>
    <xf numFmtId="165" fontId="7" fillId="0" borderId="4" xfId="0" applyNumberFormat="1" applyFont="1" applyBorder="1" applyAlignment="1"/>
    <xf numFmtId="165" fontId="7" fillId="0" borderId="0" xfId="7" applyNumberFormat="1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165" fontId="7" fillId="0" borderId="8" xfId="0" applyNumberFormat="1" applyFont="1" applyBorder="1"/>
    <xf numFmtId="165" fontId="7" fillId="0" borderId="0" xfId="0" applyNumberFormat="1" applyFont="1" applyBorder="1"/>
    <xf numFmtId="165" fontId="8" fillId="3" borderId="6" xfId="7" applyNumberFormat="1" applyFont="1" applyFill="1" applyBorder="1" applyAlignment="1"/>
    <xf numFmtId="165" fontId="8" fillId="3" borderId="7" xfId="7" applyNumberFormat="1" applyFont="1" applyFill="1" applyBorder="1"/>
    <xf numFmtId="165" fontId="8" fillId="3" borderId="10" xfId="7" applyNumberFormat="1" applyFont="1" applyFill="1" applyBorder="1"/>
    <xf numFmtId="165" fontId="7" fillId="0" borderId="1" xfId="0" applyNumberFormat="1" applyFont="1" applyBorder="1"/>
    <xf numFmtId="165" fontId="7" fillId="0" borderId="2" xfId="0" applyNumberFormat="1" applyFont="1" applyBorder="1"/>
    <xf numFmtId="165" fontId="7" fillId="0" borderId="3" xfId="0" applyNumberFormat="1" applyFont="1" applyBorder="1"/>
    <xf numFmtId="173" fontId="7" fillId="0" borderId="1" xfId="0" applyNumberFormat="1" applyFont="1" applyBorder="1"/>
    <xf numFmtId="173" fontId="7" fillId="0" borderId="2" xfId="0" applyNumberFormat="1" applyFont="1" applyBorder="1"/>
    <xf numFmtId="173" fontId="7" fillId="0" borderId="3" xfId="0" applyNumberFormat="1" applyFont="1" applyBorder="1"/>
    <xf numFmtId="173" fontId="7" fillId="0" borderId="14" xfId="0" applyNumberFormat="1" applyFont="1" applyBorder="1"/>
    <xf numFmtId="173" fontId="7" fillId="0" borderId="4" xfId="0" applyNumberFormat="1" applyFont="1" applyBorder="1"/>
    <xf numFmtId="173" fontId="7" fillId="0" borderId="5" xfId="0" applyNumberFormat="1" applyFont="1" applyBorder="1"/>
    <xf numFmtId="173" fontId="7" fillId="0" borderId="8" xfId="0" applyNumberFormat="1" applyFont="1" applyBorder="1"/>
    <xf numFmtId="173" fontId="7" fillId="0" borderId="0" xfId="0" applyNumberFormat="1" applyFont="1" applyBorder="1"/>
    <xf numFmtId="173" fontId="7" fillId="0" borderId="9" xfId="0" applyNumberFormat="1" applyFont="1" applyBorder="1"/>
    <xf numFmtId="173" fontId="7" fillId="0" borderId="6" xfId="0" applyNumberFormat="1" applyFont="1" applyBorder="1"/>
    <xf numFmtId="173" fontId="7" fillId="0" borderId="7" xfId="0" applyNumberFormat="1" applyFont="1" applyBorder="1"/>
    <xf numFmtId="173" fontId="7" fillId="0" borderId="10" xfId="0" applyNumberFormat="1" applyFont="1" applyBorder="1"/>
    <xf numFmtId="2" fontId="7" fillId="0" borderId="14" xfId="0" applyNumberFormat="1" applyFont="1" applyBorder="1"/>
    <xf numFmtId="2" fontId="7" fillId="0" borderId="4" xfId="0" applyNumberFormat="1" applyFont="1" applyBorder="1"/>
    <xf numFmtId="2" fontId="7" fillId="0" borderId="5" xfId="0" applyNumberFormat="1" applyFont="1" applyBorder="1"/>
    <xf numFmtId="2" fontId="7" fillId="0" borderId="8" xfId="0" applyNumberFormat="1" applyFont="1" applyBorder="1"/>
    <xf numFmtId="2" fontId="7" fillId="0" borderId="0" xfId="0" applyNumberFormat="1" applyFont="1" applyBorder="1"/>
    <xf numFmtId="2" fontId="7" fillId="0" borderId="9" xfId="0" applyNumberFormat="1" applyFont="1" applyBorder="1"/>
    <xf numFmtId="2" fontId="7" fillId="0" borderId="6" xfId="0" applyNumberFormat="1" applyFont="1" applyBorder="1"/>
    <xf numFmtId="2" fontId="7" fillId="0" borderId="7" xfId="0" applyNumberFormat="1" applyFont="1" applyBorder="1"/>
    <xf numFmtId="2" fontId="7" fillId="0" borderId="10" xfId="0" applyNumberFormat="1" applyFont="1" applyBorder="1"/>
    <xf numFmtId="2" fontId="7" fillId="0" borderId="0" xfId="0" applyNumberFormat="1" applyFont="1"/>
    <xf numFmtId="165" fontId="7" fillId="0" borderId="6" xfId="0" applyNumberFormat="1" applyFont="1" applyBorder="1"/>
    <xf numFmtId="165" fontId="7" fillId="0" borderId="7" xfId="0" applyNumberFormat="1" applyFont="1" applyBorder="1"/>
    <xf numFmtId="0" fontId="13" fillId="0" borderId="0" xfId="0" applyFont="1"/>
    <xf numFmtId="0" fontId="7" fillId="8" borderId="8" xfId="0" applyFont="1" applyFill="1" applyBorder="1" applyAlignment="1"/>
    <xf numFmtId="172" fontId="7" fillId="8" borderId="0" xfId="0" applyNumberFormat="1" applyFont="1" applyFill="1" applyBorder="1" applyAlignment="1"/>
    <xf numFmtId="172" fontId="7" fillId="8" borderId="9" xfId="0" applyNumberFormat="1" applyFont="1" applyFill="1" applyBorder="1" applyAlignment="1"/>
    <xf numFmtId="165" fontId="7" fillId="8" borderId="8" xfId="0" applyNumberFormat="1" applyFont="1" applyFill="1" applyBorder="1" applyAlignment="1"/>
    <xf numFmtId="165" fontId="7" fillId="8" borderId="0" xfId="7" applyNumberFormat="1" applyFont="1" applyFill="1" applyBorder="1"/>
    <xf numFmtId="165" fontId="7" fillId="8" borderId="9" xfId="0" applyNumberFormat="1" applyFont="1" applyFill="1" applyBorder="1"/>
    <xf numFmtId="165" fontId="7" fillId="8" borderId="8" xfId="7" applyNumberFormat="1" applyFont="1" applyFill="1" applyBorder="1" applyAlignment="1"/>
    <xf numFmtId="0" fontId="7" fillId="8" borderId="14" xfId="0" applyFont="1" applyFill="1" applyBorder="1" applyAlignment="1"/>
    <xf numFmtId="172" fontId="7" fillId="8" borderId="4" xfId="0" applyNumberFormat="1" applyFont="1" applyFill="1" applyBorder="1" applyAlignment="1"/>
    <xf numFmtId="172" fontId="7" fillId="8" borderId="5" xfId="0" applyNumberFormat="1" applyFont="1" applyFill="1" applyBorder="1" applyAlignment="1"/>
    <xf numFmtId="165" fontId="7" fillId="8" borderId="14" xfId="0" applyNumberFormat="1" applyFont="1" applyFill="1" applyBorder="1" applyAlignment="1"/>
    <xf numFmtId="165" fontId="7" fillId="8" borderId="4" xfId="7" applyNumberFormat="1" applyFont="1" applyFill="1" applyBorder="1"/>
    <xf numFmtId="165" fontId="7" fillId="8" borderId="5" xfId="0" applyNumberFormat="1" applyFont="1" applyFill="1" applyBorder="1"/>
    <xf numFmtId="0" fontId="7" fillId="8" borderId="0" xfId="0" applyFont="1" applyFill="1"/>
    <xf numFmtId="0" fontId="7" fillId="8" borderId="0" xfId="0" applyFont="1" applyFill="1" applyBorder="1"/>
    <xf numFmtId="165" fontId="7" fillId="8" borderId="0" xfId="0" applyNumberFormat="1" applyFont="1" applyFill="1" applyBorder="1"/>
    <xf numFmtId="0" fontId="7" fillId="8" borderId="0" xfId="0" applyNumberFormat="1" applyFont="1" applyFill="1" applyBorder="1"/>
    <xf numFmtId="0" fontId="7" fillId="0" borderId="0" xfId="0" applyNumberFormat="1" applyFont="1" applyBorder="1"/>
    <xf numFmtId="165" fontId="7" fillId="0" borderId="0" xfId="7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8" borderId="0" xfId="0" quotePrefix="1" applyFont="1" applyFill="1" applyBorder="1"/>
    <xf numFmtId="165" fontId="7" fillId="0" borderId="4" xfId="0" applyNumberFormat="1" applyFont="1" applyBorder="1"/>
    <xf numFmtId="0" fontId="8" fillId="0" borderId="0" xfId="0" applyNumberFormat="1" applyFont="1" applyBorder="1"/>
    <xf numFmtId="2" fontId="7" fillId="8" borderId="0" xfId="0" applyNumberFormat="1" applyFont="1" applyFill="1"/>
    <xf numFmtId="165" fontId="8" fillId="9" borderId="8" xfId="7" applyNumberFormat="1" applyFont="1" applyFill="1" applyBorder="1" applyAlignment="1">
      <alignment horizontal="left"/>
    </xf>
    <xf numFmtId="165" fontId="8" fillId="9" borderId="0" xfId="7" applyNumberFormat="1" applyFont="1" applyFill="1" applyBorder="1"/>
    <xf numFmtId="165" fontId="8" fillId="9" borderId="0" xfId="7" applyNumberFormat="1" applyFont="1" applyFill="1" applyBorder="1" applyAlignment="1">
      <alignment horizontal="center"/>
    </xf>
    <xf numFmtId="165" fontId="8" fillId="9" borderId="8" xfId="7" applyNumberFormat="1" applyFont="1" applyFill="1" applyBorder="1" applyAlignment="1"/>
    <xf numFmtId="165" fontId="8" fillId="9" borderId="9" xfId="7" applyNumberFormat="1" applyFont="1" applyFill="1" applyBorder="1"/>
    <xf numFmtId="165" fontId="8" fillId="9" borderId="9" xfId="7" applyNumberFormat="1" applyFont="1" applyFill="1" applyBorder="1" applyAlignment="1">
      <alignment horizontal="right"/>
    </xf>
    <xf numFmtId="174" fontId="7" fillId="0" borderId="0" xfId="0" applyNumberFormat="1" applyFont="1"/>
    <xf numFmtId="0" fontId="13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3" xfId="0" applyFont="1" applyFill="1" applyBorder="1" applyAlignment="1">
      <alignment horizontal="right"/>
    </xf>
    <xf numFmtId="166" fontId="4" fillId="4" borderId="13" xfId="7" applyNumberFormat="1" applyFont="1" applyFill="1" applyBorder="1"/>
    <xf numFmtId="0" fontId="4" fillId="5" borderId="15" xfId="4" applyFont="1" applyFill="1" applyBorder="1"/>
    <xf numFmtId="168" fontId="4" fillId="4" borderId="9" xfId="4" applyNumberFormat="1" applyFont="1" applyFill="1" applyBorder="1" applyAlignment="1">
      <alignment horizontal="center"/>
    </xf>
    <xf numFmtId="0" fontId="4" fillId="5" borderId="2" xfId="4" applyFont="1" applyFill="1" applyBorder="1"/>
    <xf numFmtId="0" fontId="7" fillId="11" borderId="15" xfId="0" quotePrefix="1" applyFont="1" applyFill="1" applyBorder="1"/>
    <xf numFmtId="0" fontId="11" fillId="10" borderId="11" xfId="5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</cellXfs>
  <cellStyles count="11">
    <cellStyle name="Euro" xfId="1"/>
    <cellStyle name="Migliaia (0)_AZIONI" xfId="2"/>
    <cellStyle name="Migliaia_AZIONI" xfId="3"/>
    <cellStyle name="Normal" xfId="0" builtinId="0"/>
    <cellStyle name="Normal_InterestRateQuotesFeed" xfId="4"/>
    <cellStyle name="Normal_SwaptionATMVols" xfId="5"/>
    <cellStyle name="Normale_AZIONI" xfId="6"/>
    <cellStyle name="Percent" xfId="7" builtinId="5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333375</xdr:colOff>
          <xdr:row>14</xdr:row>
          <xdr:rowOff>57150</xdr:rowOff>
        </xdr:from>
        <xdr:to>
          <xdr:col>2</xdr:col>
          <xdr:colOff>1371600</xdr:colOff>
          <xdr:row>16</xdr:row>
          <xdr:rowOff>85725</xdr:rowOff>
        </xdr:to>
        <xdr:sp macro="" textlink="">
          <xdr:nvSpPr>
            <xdr:cNvPr id="3073" name="CommandButton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123825</xdr:rowOff>
        </xdr:from>
        <xdr:to>
          <xdr:col>2</xdr:col>
          <xdr:colOff>1381125</xdr:colOff>
          <xdr:row>19</xdr:row>
          <xdr:rowOff>9525</xdr:rowOff>
        </xdr:to>
        <xdr:sp macro="" textlink="">
          <xdr:nvSpPr>
            <xdr:cNvPr id="3074" name="CommandButton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52"/>
  <sheetViews>
    <sheetView tabSelected="1" workbookViewId="0"/>
  </sheetViews>
  <sheetFormatPr defaultColWidth="10.6640625" defaultRowHeight="11.25" x14ac:dyDescent="0.2"/>
  <cols>
    <col min="1" max="1" width="3.5" style="58" customWidth="1"/>
    <col min="2" max="2" width="6" style="58" customWidth="1"/>
    <col min="3" max="3" width="24.33203125" style="58" customWidth="1"/>
    <col min="4" max="4" width="20.1640625" style="58" bestFit="1" customWidth="1"/>
    <col min="5" max="5" width="32.33203125" style="58" bestFit="1" customWidth="1"/>
    <col min="6" max="6" width="6.33203125" style="58" customWidth="1"/>
    <col min="7" max="16384" width="10.6640625" style="58"/>
  </cols>
  <sheetData>
    <row r="1" spans="1:36" s="52" customFormat="1" x14ac:dyDescent="0.2">
      <c r="B1" s="52" t="str">
        <f>_xll.qlxlVersion(TRUE,EvaluationDate)</f>
        <v>QuantLibXL 1.4.0 - MS VC++ 9.0 - Multithreaded Dynamic Runtime library - Release Configuration - Feb  7 2014 15:33:58</v>
      </c>
    </row>
    <row r="2" spans="1:36" s="52" customFormat="1" ht="18.75" x14ac:dyDescent="0.2">
      <c r="B2" s="170" t="s">
        <v>34</v>
      </c>
      <c r="C2" s="171"/>
      <c r="D2" s="171"/>
      <c r="E2" s="171"/>
      <c r="F2" s="172"/>
    </row>
    <row r="3" spans="1:36" s="54" customFormat="1" x14ac:dyDescent="0.2">
      <c r="A3" s="52"/>
      <c r="B3" s="53"/>
      <c r="C3" s="41"/>
      <c r="D3" s="41"/>
      <c r="E3" s="41"/>
      <c r="F3" s="4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</row>
    <row r="4" spans="1:36" s="54" customFormat="1" x14ac:dyDescent="0.2">
      <c r="A4" s="52"/>
      <c r="B4" s="53"/>
      <c r="C4" s="66" t="s">
        <v>0</v>
      </c>
      <c r="D4" s="64" t="s">
        <v>52</v>
      </c>
      <c r="E4" s="41"/>
      <c r="F4" s="4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</row>
    <row r="5" spans="1:36" s="43" customFormat="1" x14ac:dyDescent="0.2">
      <c r="A5" s="52"/>
      <c r="B5" s="53"/>
      <c r="C5" s="67" t="s">
        <v>16</v>
      </c>
      <c r="D5" s="65" t="s">
        <v>30</v>
      </c>
      <c r="E5" s="41"/>
      <c r="F5" s="4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</row>
    <row r="6" spans="1:36" s="43" customFormat="1" x14ac:dyDescent="0.2">
      <c r="A6" s="52"/>
      <c r="B6" s="53"/>
      <c r="C6" s="67" t="s">
        <v>29</v>
      </c>
      <c r="D6" s="65" t="str">
        <f>IF(UPPER(Currency)&lt;&gt;"EUR","L","")&amp;"ibor"</f>
        <v>ibor</v>
      </c>
      <c r="E6" s="41"/>
      <c r="F6" s="4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</row>
    <row r="7" spans="1:36" s="54" customFormat="1" x14ac:dyDescent="0.2">
      <c r="A7" s="52"/>
      <c r="B7" s="53"/>
      <c r="C7" s="67" t="s">
        <v>27</v>
      </c>
      <c r="D7" s="69" t="s">
        <v>51</v>
      </c>
      <c r="E7" s="41"/>
      <c r="F7" s="4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</row>
    <row r="8" spans="1:36" s="54" customFormat="1" x14ac:dyDescent="0.2">
      <c r="A8" s="52"/>
      <c r="B8" s="53"/>
      <c r="C8" s="41"/>
      <c r="D8" s="44"/>
      <c r="E8" s="41"/>
      <c r="F8" s="4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</row>
    <row r="9" spans="1:36" s="54" customFormat="1" x14ac:dyDescent="0.2">
      <c r="A9" s="52"/>
      <c r="B9" s="53"/>
      <c r="C9" s="68" t="s">
        <v>17</v>
      </c>
      <c r="D9" s="76">
        <f>_xll.qlCalendarAdvance(Calendar,EvaluationDate,"2D","f")</f>
        <v>41683</v>
      </c>
      <c r="E9" s="41"/>
      <c r="F9" s="4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</row>
    <row r="10" spans="1:36" s="54" customFormat="1" x14ac:dyDescent="0.2">
      <c r="A10" s="52"/>
      <c r="B10" s="53"/>
      <c r="C10" s="68" t="s">
        <v>33</v>
      </c>
      <c r="D10" s="70" t="str">
        <f>Currency&amp;IborType&amp;"YCON"</f>
        <v>EURiborYCON</v>
      </c>
      <c r="E10" s="41"/>
      <c r="F10" s="4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</row>
    <row r="11" spans="1:36" s="54" customFormat="1" x14ac:dyDescent="0.2">
      <c r="A11" s="52"/>
      <c r="B11" s="53"/>
      <c r="C11" s="68" t="s">
        <v>28</v>
      </c>
      <c r="D11" s="70" t="str">
        <f>_xll.qlDiscountingSwapEngine(,OisCurve,,,,,EvaluationDate)</f>
        <v>obj_0071d#0000</v>
      </c>
      <c r="E11" s="41"/>
      <c r="F11" s="4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</row>
    <row r="12" spans="1:36" s="54" customFormat="1" x14ac:dyDescent="0.2">
      <c r="A12" s="52"/>
      <c r="B12" s="53"/>
      <c r="C12" s="168" t="s">
        <v>62</v>
      </c>
      <c r="D12" s="167" t="s">
        <v>61</v>
      </c>
      <c r="E12" s="41"/>
      <c r="F12" s="4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</row>
    <row r="13" spans="1:36" s="54" customFormat="1" x14ac:dyDescent="0.2">
      <c r="A13" s="52"/>
      <c r="B13" s="53"/>
      <c r="C13" s="166" t="s">
        <v>60</v>
      </c>
      <c r="D13" s="165">
        <f>_xll.qlCalendarAdjust(Calendar,DATE(YEAR(SettlementDate),12,31),"Preceding")</f>
        <v>42004</v>
      </c>
      <c r="E13" s="41"/>
      <c r="F13" s="4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</row>
    <row r="14" spans="1:36" s="54" customFormat="1" x14ac:dyDescent="0.2">
      <c r="A14" s="52"/>
      <c r="B14" s="53"/>
      <c r="C14" s="166" t="s">
        <v>59</v>
      </c>
      <c r="D14" s="165">
        <f>_xll.qlCalendarAdjust(Calendar,DATE(YEAR(SettlementDate)+1,12,31),"Preceding")</f>
        <v>42369</v>
      </c>
      <c r="E14" s="41"/>
      <c r="F14" s="4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</row>
    <row r="15" spans="1:36" s="54" customFormat="1" x14ac:dyDescent="0.2">
      <c r="A15" s="52"/>
      <c r="B15" s="53"/>
      <c r="C15" s="45"/>
      <c r="D15" s="45"/>
      <c r="E15" s="45"/>
      <c r="F15" s="4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</row>
    <row r="16" spans="1:36" s="54" customFormat="1" x14ac:dyDescent="0.2">
      <c r="A16" s="52"/>
      <c r="B16" s="53"/>
      <c r="C16" s="45"/>
      <c r="D16" s="46" t="s">
        <v>1</v>
      </c>
      <c r="E16" s="47">
        <v>41659.748043981483</v>
      </c>
      <c r="F16" s="4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</row>
    <row r="17" spans="1:36" s="54" customFormat="1" x14ac:dyDescent="0.2">
      <c r="A17" s="52"/>
      <c r="B17" s="53"/>
      <c r="C17" s="45"/>
      <c r="D17" s="55"/>
      <c r="E17" s="56"/>
      <c r="F17" s="4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</row>
    <row r="18" spans="1:36" s="54" customFormat="1" x14ac:dyDescent="0.2">
      <c r="A18" s="52"/>
      <c r="B18" s="53"/>
      <c r="C18" s="45"/>
      <c r="D18" s="46"/>
      <c r="E18" s="56"/>
      <c r="F18" s="4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</row>
    <row r="19" spans="1:36" s="54" customFormat="1" x14ac:dyDescent="0.2">
      <c r="A19" s="52"/>
      <c r="B19" s="53"/>
      <c r="C19" s="45"/>
      <c r="D19" s="46" t="s">
        <v>2</v>
      </c>
      <c r="E19" s="48" t="b">
        <v>0</v>
      </c>
      <c r="F19" s="4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</row>
    <row r="20" spans="1:36" s="52" customFormat="1" x14ac:dyDescent="0.2">
      <c r="B20" s="57"/>
      <c r="C20" s="49"/>
      <c r="D20" s="49"/>
      <c r="E20" s="49"/>
      <c r="F20" s="50"/>
    </row>
    <row r="21" spans="1:36" s="52" customFormat="1" x14ac:dyDescent="0.2">
      <c r="C21" s="51"/>
      <c r="D21" s="51"/>
      <c r="E21" s="51"/>
      <c r="F21" s="51"/>
    </row>
    <row r="22" spans="1:36" s="52" customFormat="1" x14ac:dyDescent="0.2">
      <c r="C22" s="51"/>
      <c r="D22" s="51"/>
      <c r="E22" s="51"/>
      <c r="F22" s="51"/>
    </row>
    <row r="23" spans="1:36" s="52" customFormat="1" x14ac:dyDescent="0.2">
      <c r="E23" s="51"/>
      <c r="F23" s="51"/>
    </row>
    <row r="24" spans="1:36" s="52" customFormat="1" x14ac:dyDescent="0.2">
      <c r="E24" s="51"/>
      <c r="F24" s="51"/>
    </row>
    <row r="25" spans="1:36" s="52" customFormat="1" x14ac:dyDescent="0.2">
      <c r="E25" s="51"/>
      <c r="F25" s="51"/>
    </row>
    <row r="26" spans="1:36" s="52" customFormat="1" x14ac:dyDescent="0.2">
      <c r="E26" s="51"/>
      <c r="F26" s="51"/>
    </row>
    <row r="27" spans="1:36" s="52" customFormat="1" x14ac:dyDescent="0.2"/>
    <row r="28" spans="1:36" s="52" customFormat="1" x14ac:dyDescent="0.2"/>
    <row r="29" spans="1:36" s="52" customFormat="1" x14ac:dyDescent="0.2"/>
    <row r="30" spans="1:36" s="52" customFormat="1" x14ac:dyDescent="0.2"/>
    <row r="31" spans="1:36" s="52" customFormat="1" x14ac:dyDescent="0.2"/>
    <row r="32" spans="1:36" s="52" customFormat="1" x14ac:dyDescent="0.2"/>
    <row r="33" s="52" customFormat="1" x14ac:dyDescent="0.2"/>
    <row r="34" s="52" customFormat="1" x14ac:dyDescent="0.2"/>
    <row r="35" s="52" customFormat="1" x14ac:dyDescent="0.2"/>
    <row r="36" s="52" customFormat="1" x14ac:dyDescent="0.2"/>
    <row r="37" s="52" customFormat="1" x14ac:dyDescent="0.2"/>
    <row r="38" s="52" customFormat="1" x14ac:dyDescent="0.2"/>
    <row r="39" s="52" customFormat="1" x14ac:dyDescent="0.2"/>
    <row r="40" s="52" customFormat="1" x14ac:dyDescent="0.2"/>
    <row r="41" s="52" customFormat="1" x14ac:dyDescent="0.2"/>
    <row r="42" s="52" customFormat="1" x14ac:dyDescent="0.2"/>
    <row r="43" s="52" customFormat="1" x14ac:dyDescent="0.2"/>
    <row r="44" s="52" customFormat="1" x14ac:dyDescent="0.2"/>
    <row r="45" s="52" customFormat="1" x14ac:dyDescent="0.2"/>
    <row r="46" s="52" customFormat="1" x14ac:dyDescent="0.2"/>
    <row r="47" s="52" customFormat="1" x14ac:dyDescent="0.2"/>
    <row r="48" s="52" customFormat="1" x14ac:dyDescent="0.2"/>
    <row r="49" spans="2:6" s="52" customFormat="1" x14ac:dyDescent="0.2"/>
    <row r="50" spans="2:6" s="52" customFormat="1" x14ac:dyDescent="0.2">
      <c r="C50" s="58"/>
      <c r="D50" s="58"/>
    </row>
    <row r="51" spans="2:6" s="52" customFormat="1" x14ac:dyDescent="0.2">
      <c r="C51" s="58"/>
      <c r="D51" s="58"/>
    </row>
    <row r="52" spans="2:6" x14ac:dyDescent="0.2">
      <c r="B52" s="52"/>
      <c r="E52" s="52"/>
      <c r="F52" s="52"/>
    </row>
  </sheetData>
  <mergeCells count="1">
    <mergeCell ref="B2:F2"/>
  </mergeCells>
  <phoneticPr fontId="1" type="noConversion"/>
  <conditionalFormatting sqref="E19">
    <cfRule type="cellIs" dxfId="0" priority="1" stopIfTrue="1" operator="equal">
      <formula>TRUE</formula>
    </cfRule>
  </conditionalFormatting>
  <dataValidations count="3">
    <dataValidation type="list" allowBlank="1" showInputMessage="1" showErrorMessage="1" sqref="D4">
      <formula1>"EUR,USD,GBP,JPY,CHF"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73" r:id="rId4" name="CommandButton1">
          <controlPr defaultSize="0" autoLine="0" r:id="rId5">
            <anchor moveWithCells="1">
              <from>
                <xdr:col>1</xdr:col>
                <xdr:colOff>333375</xdr:colOff>
                <xdr:row>14</xdr:row>
                <xdr:rowOff>57150</xdr:rowOff>
              </from>
              <to>
                <xdr:col>2</xdr:col>
                <xdr:colOff>1371600</xdr:colOff>
                <xdr:row>16</xdr:row>
                <xdr:rowOff>85725</xdr:rowOff>
              </to>
            </anchor>
          </controlPr>
        </control>
      </mc:Choice>
      <mc:Fallback>
        <control shapeId="3073" r:id="rId4" name="CommandButton1"/>
      </mc:Fallback>
    </mc:AlternateContent>
    <mc:AlternateContent xmlns:mc="http://schemas.openxmlformats.org/markup-compatibility/2006">
      <mc:Choice Requires="x14">
        <control shapeId="3074" r:id="rId6" name="CommandButton2">
          <controlPr defaultSize="0" autoLine="0" r:id="rId7">
            <anchor moveWithCells="1">
              <from>
                <xdr:col>2</xdr:col>
                <xdr:colOff>0</xdr:colOff>
                <xdr:row>16</xdr:row>
                <xdr:rowOff>123825</xdr:rowOff>
              </from>
              <to>
                <xdr:col>2</xdr:col>
                <xdr:colOff>1381125</xdr:colOff>
                <xdr:row>19</xdr:row>
                <xdr:rowOff>9525</xdr:rowOff>
              </to>
            </anchor>
          </controlPr>
        </control>
      </mc:Choice>
      <mc:Fallback>
        <control shapeId="3074" r:id="rId6" name="CommandButton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195"/>
  <sheetViews>
    <sheetView workbookViewId="0"/>
  </sheetViews>
  <sheetFormatPr defaultRowHeight="11.25" x14ac:dyDescent="0.2"/>
  <cols>
    <col min="1" max="1" width="3.83203125" style="1" customWidth="1"/>
    <col min="2" max="2" width="27.5" style="1" bestFit="1" customWidth="1"/>
    <col min="3" max="3" width="31.1640625" style="1" customWidth="1"/>
    <col min="4" max="16384" width="9.33203125" style="1"/>
  </cols>
  <sheetData>
    <row r="1" spans="1:26" x14ac:dyDescent="0.2">
      <c r="A1" s="77"/>
      <c r="B1" s="40"/>
      <c r="C1" s="40"/>
      <c r="D1" s="78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spans="1:26" x14ac:dyDescent="0.2">
      <c r="A2" s="77"/>
      <c r="B2" s="80" t="s">
        <v>31</v>
      </c>
      <c r="C2" s="81">
        <f>_xll.qlSettingsEvaluationDate()</f>
        <v>41681</v>
      </c>
      <c r="D2" s="78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spans="1:26" x14ac:dyDescent="0.2">
      <c r="A3" s="77"/>
      <c r="B3" s="40"/>
      <c r="C3" s="40"/>
      <c r="D3" s="78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spans="1:26" x14ac:dyDescent="0.2">
      <c r="A4" s="77"/>
      <c r="B4" s="80" t="s">
        <v>32</v>
      </c>
      <c r="C4" s="169" t="s">
        <v>63</v>
      </c>
      <c r="D4" s="78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spans="1:26" x14ac:dyDescent="0.2">
      <c r="A5" s="77"/>
      <c r="B5" s="80" t="s">
        <v>35</v>
      </c>
      <c r="C5" s="169" t="s">
        <v>64</v>
      </c>
      <c r="D5" s="78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spans="1:26" x14ac:dyDescent="0.2">
      <c r="A6" s="83"/>
      <c r="B6" s="84"/>
      <c r="C6" s="84"/>
      <c r="D6" s="85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spans="1:26" x14ac:dyDescent="0.2">
      <c r="A7" s="79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spans="1:26" x14ac:dyDescent="0.2">
      <c r="A8" s="79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spans="1:26" x14ac:dyDescent="0.2">
      <c r="A9" s="79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spans="1:26" x14ac:dyDescent="0.2">
      <c r="A10" s="79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spans="1:26" x14ac:dyDescent="0.2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spans="1:26" x14ac:dyDescent="0.2">
      <c r="A12" s="79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spans="1:26" x14ac:dyDescent="0.2">
      <c r="A13" s="79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spans="1:26" x14ac:dyDescent="0.2">
      <c r="A14" s="79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spans="1:26" x14ac:dyDescent="0.2">
      <c r="A15" s="79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spans="1:26" x14ac:dyDescent="0.2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spans="1:26" x14ac:dyDescent="0.2">
      <c r="A17" s="79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spans="1:26" x14ac:dyDescent="0.2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spans="1:26" x14ac:dyDescent="0.2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spans="1:26" x14ac:dyDescent="0.2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spans="1:26" x14ac:dyDescent="0.2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spans="1:26" x14ac:dyDescent="0.2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spans="1:26" x14ac:dyDescent="0.2">
      <c r="A23" s="79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spans="1:26" x14ac:dyDescent="0.2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spans="1:26" x14ac:dyDescent="0.2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spans="1:26" x14ac:dyDescent="0.2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spans="1:26" x14ac:dyDescent="0.2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spans="1:26" x14ac:dyDescent="0.2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spans="1:26" x14ac:dyDescent="0.2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spans="1:26" x14ac:dyDescent="0.2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spans="1:26" x14ac:dyDescent="0.2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spans="1:26" x14ac:dyDescent="0.2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spans="1:26" x14ac:dyDescent="0.2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spans="1:26" x14ac:dyDescent="0.2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spans="1:26" x14ac:dyDescent="0.2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spans="1:26" x14ac:dyDescent="0.2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spans="1:26" x14ac:dyDescent="0.2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spans="1:26" x14ac:dyDescent="0.2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spans="1:26" x14ac:dyDescent="0.2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spans="1:26" x14ac:dyDescent="0.2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spans="1:26" x14ac:dyDescent="0.2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spans="1:26" x14ac:dyDescent="0.2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spans="1:26" x14ac:dyDescent="0.2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spans="1:26" x14ac:dyDescent="0.2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spans="1:26" x14ac:dyDescent="0.2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spans="1:26" x14ac:dyDescent="0.2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spans="1:26" x14ac:dyDescent="0.2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spans="1:26" x14ac:dyDescent="0.2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spans="1:26" x14ac:dyDescent="0.2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spans="1:26" x14ac:dyDescent="0.2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spans="1:26" x14ac:dyDescent="0.2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spans="1:26" x14ac:dyDescent="0.2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spans="1:26" x14ac:dyDescent="0.2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spans="1:26" x14ac:dyDescent="0.2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spans="1:26" x14ac:dyDescent="0.2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spans="1:26" x14ac:dyDescent="0.2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spans="1:26" x14ac:dyDescent="0.2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spans="1:26" x14ac:dyDescent="0.2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spans="1:26" x14ac:dyDescent="0.2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spans="1:26" x14ac:dyDescent="0.2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spans="1:26" x14ac:dyDescent="0.2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spans="1:26" x14ac:dyDescent="0.2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spans="1:26" x14ac:dyDescent="0.2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spans="1:26" x14ac:dyDescent="0.2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spans="1:26" x14ac:dyDescent="0.2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spans="1:26" x14ac:dyDescent="0.2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spans="1:26" x14ac:dyDescent="0.2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spans="1:26" x14ac:dyDescent="0.2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spans="1:26" x14ac:dyDescent="0.2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spans="1:26" x14ac:dyDescent="0.2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spans="1:26" x14ac:dyDescent="0.2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spans="1:26" x14ac:dyDescent="0.2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spans="1:26" x14ac:dyDescent="0.2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spans="1:26" x14ac:dyDescent="0.2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spans="1:26" x14ac:dyDescent="0.2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spans="1:26" x14ac:dyDescent="0.2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spans="1:26" x14ac:dyDescent="0.2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spans="1:26" x14ac:dyDescent="0.2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spans="1:26" x14ac:dyDescent="0.2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spans="1:26" x14ac:dyDescent="0.2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spans="1:26" x14ac:dyDescent="0.2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spans="1:26" x14ac:dyDescent="0.2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spans="1:26" x14ac:dyDescent="0.2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spans="1:26" x14ac:dyDescent="0.2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spans="1:26" x14ac:dyDescent="0.2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spans="1:26" x14ac:dyDescent="0.2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spans="1:26" x14ac:dyDescent="0.2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spans="1:26" x14ac:dyDescent="0.2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spans="1:26" x14ac:dyDescent="0.2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spans="1:26" x14ac:dyDescent="0.2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spans="1:26" x14ac:dyDescent="0.2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spans="1:26" x14ac:dyDescent="0.2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spans="1:26" x14ac:dyDescent="0.2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spans="1:26" x14ac:dyDescent="0.2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spans="1:26" x14ac:dyDescent="0.2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spans="1:26" x14ac:dyDescent="0.2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spans="1:26" x14ac:dyDescent="0.2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spans="1:26" x14ac:dyDescent="0.2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spans="1:26" x14ac:dyDescent="0.2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spans="1:26" x14ac:dyDescent="0.2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spans="1:26" x14ac:dyDescent="0.2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spans="1:26" x14ac:dyDescent="0.2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spans="1:26" x14ac:dyDescent="0.2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spans="1:26" x14ac:dyDescent="0.2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spans="1:26" x14ac:dyDescent="0.2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spans="1:26" x14ac:dyDescent="0.2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spans="1:26" x14ac:dyDescent="0.2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spans="1:26" x14ac:dyDescent="0.2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spans="1:26" x14ac:dyDescent="0.2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spans="1:26" x14ac:dyDescent="0.2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spans="1:26" x14ac:dyDescent="0.2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spans="1:26" x14ac:dyDescent="0.2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spans="1:26" x14ac:dyDescent="0.2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spans="1:26" x14ac:dyDescent="0.2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spans="1:26" x14ac:dyDescent="0.2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spans="1:26" x14ac:dyDescent="0.2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spans="1:26" x14ac:dyDescent="0.2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spans="1:26" x14ac:dyDescent="0.2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spans="1:26" x14ac:dyDescent="0.2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spans="1:26" x14ac:dyDescent="0.2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spans="1:26" x14ac:dyDescent="0.2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spans="1:26" x14ac:dyDescent="0.2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spans="1:26" x14ac:dyDescent="0.2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spans="1:26" x14ac:dyDescent="0.2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spans="1:26" x14ac:dyDescent="0.2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spans="1:26" x14ac:dyDescent="0.2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spans="1:26" x14ac:dyDescent="0.2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spans="1:26" x14ac:dyDescent="0.2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spans="1:26" x14ac:dyDescent="0.2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spans="1:26" x14ac:dyDescent="0.2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spans="1:26" x14ac:dyDescent="0.2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spans="1:26" x14ac:dyDescent="0.2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spans="1:26" x14ac:dyDescent="0.2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spans="1:26" x14ac:dyDescent="0.2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spans="1:26" x14ac:dyDescent="0.2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spans="1:26" x14ac:dyDescent="0.2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spans="1:26" x14ac:dyDescent="0.2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spans="1:26" x14ac:dyDescent="0.2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spans="1:26" x14ac:dyDescent="0.2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spans="1:26" x14ac:dyDescent="0.2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spans="1:26" x14ac:dyDescent="0.2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spans="1:26" x14ac:dyDescent="0.2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spans="1:26" x14ac:dyDescent="0.2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spans="1:26" x14ac:dyDescent="0.2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spans="1:26" x14ac:dyDescent="0.2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spans="1:26" x14ac:dyDescent="0.2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spans="1:26" x14ac:dyDescent="0.2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spans="1:26" x14ac:dyDescent="0.2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spans="1:26" x14ac:dyDescent="0.2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spans="1:26" x14ac:dyDescent="0.2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spans="1:26" x14ac:dyDescent="0.2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spans="1:26" x14ac:dyDescent="0.2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spans="1:26" x14ac:dyDescent="0.2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spans="1:26" x14ac:dyDescent="0.2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spans="1:26" x14ac:dyDescent="0.2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spans="1:26" x14ac:dyDescent="0.2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spans="1:26" x14ac:dyDescent="0.2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spans="1:26" x14ac:dyDescent="0.2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spans="1:26" x14ac:dyDescent="0.2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spans="1:26" x14ac:dyDescent="0.2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spans="1:26" x14ac:dyDescent="0.2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spans="1:26" x14ac:dyDescent="0.2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spans="1:26" x14ac:dyDescent="0.2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spans="1:26" x14ac:dyDescent="0.2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spans="1:26" x14ac:dyDescent="0.2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spans="1:26" x14ac:dyDescent="0.2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spans="1:26" x14ac:dyDescent="0.2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spans="1:26" x14ac:dyDescent="0.2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spans="1:26" x14ac:dyDescent="0.2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spans="1:26" x14ac:dyDescent="0.2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spans="1:26" x14ac:dyDescent="0.2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spans="1:26" x14ac:dyDescent="0.2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spans="1:26" x14ac:dyDescent="0.2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spans="1:26" x14ac:dyDescent="0.2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spans="1:26" x14ac:dyDescent="0.2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spans="1:26" x14ac:dyDescent="0.2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spans="1:26" x14ac:dyDescent="0.2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spans="1:26" x14ac:dyDescent="0.2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spans="1:26" x14ac:dyDescent="0.2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spans="1:26" x14ac:dyDescent="0.2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spans="1:26" x14ac:dyDescent="0.2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spans="1:26" x14ac:dyDescent="0.2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spans="1:26" x14ac:dyDescent="0.2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spans="1:26" x14ac:dyDescent="0.2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spans="1:26" x14ac:dyDescent="0.2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spans="1:26" x14ac:dyDescent="0.2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spans="1:26" x14ac:dyDescent="0.2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spans="1:26" x14ac:dyDescent="0.2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spans="1:26" x14ac:dyDescent="0.2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spans="1:26" x14ac:dyDescent="0.2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spans="1:26" x14ac:dyDescent="0.2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spans="1:26" x14ac:dyDescent="0.2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spans="1:26" x14ac:dyDescent="0.2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spans="1:26" x14ac:dyDescent="0.2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spans="1:26" x14ac:dyDescent="0.2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51"/>
  <sheetViews>
    <sheetView topLeftCell="D1" workbookViewId="0">
      <selection activeCell="D1" sqref="D1"/>
    </sheetView>
  </sheetViews>
  <sheetFormatPr defaultRowHeight="11.25" outlineLevelCol="1" x14ac:dyDescent="0.2"/>
  <cols>
    <col min="1" max="1" width="11.6640625" style="1" hidden="1" customWidth="1" outlineLevel="1"/>
    <col min="2" max="2" width="17.83203125" style="1" hidden="1" customWidth="1" outlineLevel="1"/>
    <col min="3" max="3" width="7" style="1" hidden="1" customWidth="1" outlineLevel="1"/>
    <col min="4" max="4" width="31.1640625" style="1" bestFit="1" customWidth="1" collapsed="1"/>
    <col min="5" max="6" width="20.1640625" style="1" bestFit="1" customWidth="1"/>
    <col min="7" max="7" width="9.33203125" style="1" bestFit="1"/>
    <col min="8" max="8" width="10.5" style="1" bestFit="1" customWidth="1"/>
    <col min="9" max="10" width="9.33203125" style="1" bestFit="1"/>
    <col min="11" max="11" width="10.5" style="1" bestFit="1" customWidth="1"/>
    <col min="12" max="12" width="9.33203125" style="1" bestFit="1"/>
    <col min="13" max="13" width="2.33203125" style="1" bestFit="1" customWidth="1"/>
    <col min="14" max="17" width="10.5" style="1" customWidth="1"/>
    <col min="18" max="18" width="2.1640625" style="1" customWidth="1"/>
    <col min="19" max="19" width="3.5" style="1" bestFit="1" customWidth="1"/>
    <col min="20" max="20" width="11.6640625" style="1" bestFit="1" customWidth="1"/>
    <col min="21" max="21" width="10.5" style="1" bestFit="1" customWidth="1"/>
    <col min="22" max="22" width="5.83203125" style="1" bestFit="1" customWidth="1"/>
    <col min="23" max="23" width="3.5" style="1" bestFit="1" customWidth="1"/>
    <col min="24" max="25" width="10.5" style="1" bestFit="1" customWidth="1"/>
    <col min="26" max="26" width="5.83203125" style="1" bestFit="1" customWidth="1"/>
    <col min="27" max="27" width="2.33203125" style="1" bestFit="1" customWidth="1"/>
    <col min="28" max="28" width="10.5" style="1" bestFit="1" customWidth="1"/>
    <col min="29" max="29" width="2.33203125" style="1" bestFit="1" customWidth="1"/>
    <col min="30" max="30" width="9.33203125" style="1" bestFit="1"/>
    <col min="31" max="31" width="2.33203125" style="1" customWidth="1"/>
    <col min="32" max="34" width="10.5" style="1" bestFit="1" customWidth="1"/>
    <col min="35" max="35" width="1.83203125" style="1" customWidth="1"/>
    <col min="36" max="37" width="10.5" style="1" bestFit="1" customWidth="1"/>
    <col min="38" max="38" width="3.5" style="1" bestFit="1" customWidth="1"/>
    <col min="39" max="40" width="10.5" style="1" bestFit="1" customWidth="1"/>
    <col min="41" max="41" width="3.33203125" style="1" customWidth="1"/>
    <col min="42" max="43" width="10.5" style="1" bestFit="1" customWidth="1"/>
    <col min="44" max="16384" width="9.33203125" style="1"/>
  </cols>
  <sheetData>
    <row r="1" spans="1:36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36</v>
      </c>
      <c r="I1" s="20" t="s">
        <v>41</v>
      </c>
      <c r="K1" s="88" t="s">
        <v>45</v>
      </c>
      <c r="L1" s="88" t="s">
        <v>44</v>
      </c>
      <c r="M1" s="88"/>
      <c r="N1" s="59" t="s">
        <v>37</v>
      </c>
      <c r="O1" s="59" t="s">
        <v>38</v>
      </c>
      <c r="P1" s="59" t="s">
        <v>39</v>
      </c>
    </row>
    <row r="2" spans="1:36" x14ac:dyDescent="0.2">
      <c r="A2" s="1">
        <v>1</v>
      </c>
      <c r="B2" s="28" t="str">
        <f>_xll.qlMakeDatedOIS(,E2,F2,OvernightIndex,0,,,,EvaluationDate)</f>
        <v>obj_00708#0000</v>
      </c>
      <c r="C2" s="8" t="b">
        <f>_xll.qlInstrumentSetPricingEngine(B2,OisEngine)</f>
        <v>1</v>
      </c>
      <c r="D2" s="135" t="str">
        <f>Currency&amp;"_YCSTDRH_"&amp;A3&amp;"D"</f>
        <v>EUR_YCSTDRH_1MD</v>
      </c>
      <c r="E2" s="136">
        <f>_xll.qlRateHelperEarliestDate($D2,EvaluationDate)</f>
        <v>41683</v>
      </c>
      <c r="F2" s="137">
        <f>_xll.qlRateHelperLatestDate($D2,EvaluationDate)</f>
        <v>41711</v>
      </c>
      <c r="G2" s="138">
        <f>_xll.qlRateHelperRate($D2,AllTriggers)</f>
        <v>1.31E-3</v>
      </c>
      <c r="H2" s="139" t="e">
        <f>_xll.qlOvernightIndexedSwapFairRate(B2,_xll.ohTrigger(C2,InterestRatesTrigger))</f>
        <v>#NUM!</v>
      </c>
      <c r="I2" s="140" t="e">
        <f>G2-H2</f>
        <v>#NUM!</v>
      </c>
      <c r="J2" s="141" t="b">
        <v>0</v>
      </c>
      <c r="K2" s="141"/>
      <c r="L2" s="141"/>
      <c r="M2" s="142"/>
      <c r="N2" s="144">
        <f t="shared" ref="N2:O4" si="0">E2-SettlementDate</f>
        <v>0</v>
      </c>
      <c r="O2" s="144">
        <f t="shared" si="0"/>
        <v>28</v>
      </c>
      <c r="P2" s="142">
        <f>(O2^2-N2^2)/(O2-N2)</f>
        <v>28</v>
      </c>
      <c r="Q2" s="141"/>
      <c r="R2" s="141"/>
      <c r="S2" s="141"/>
      <c r="T2" s="151">
        <f>(O2^3-N2^3)/3/(O2-N2)</f>
        <v>261.33333333333331</v>
      </c>
      <c r="U2" s="151">
        <f>(O2+N2)/2</f>
        <v>14</v>
      </c>
      <c r="V2" s="151">
        <v>1</v>
      </c>
    </row>
    <row r="3" spans="1:36" x14ac:dyDescent="0.2">
      <c r="A3" s="1" t="str">
        <f>_xll.qlPeriodEquivalent(A2&amp;"M")</f>
        <v>1M</v>
      </c>
      <c r="B3" s="86" t="str">
        <f>_xll.qlMakeDatedOIS(,E3,F3,OvernightIndex,0,,,,EvaluationDate)</f>
        <v>obj_00704#0001</v>
      </c>
      <c r="C3" s="12" t="b">
        <f>_xll.qlInstrumentSetPricingEngine(B3,OisEngine)</f>
        <v>1</v>
      </c>
      <c r="D3" s="128" t="str">
        <f>A4&amp;"LastFixing_Quote"</f>
        <v>Euribor1MLastFixing_Quote</v>
      </c>
      <c r="E3" s="129">
        <f>_xll.qlCalendarAdvance(Calendar,_xll.qlLastFixingQuoteReferenceDate(D3),_xll.qlInterestRateIndexFixingDays(A4)&amp;"D","f",,LastFixingsTrigger)</f>
        <v>41481</v>
      </c>
      <c r="F3" s="130">
        <f>_xll.qlInterestRateIndexMaturity(A4,E3)</f>
        <v>41512</v>
      </c>
      <c r="G3" s="131">
        <f>_xll.qlQuoteValue(D3,AllTriggers)</f>
        <v>1.31E-3</v>
      </c>
      <c r="H3" s="132" t="e">
        <f>_xll.qlOvernightIndexedSwapFairRate(B3,_xll.ohTrigger(C3,InterestRatesTrigger))</f>
        <v>#NUM!</v>
      </c>
      <c r="I3" s="133" t="e">
        <f t="shared" ref="I3:I27" si="1">G3-H3</f>
        <v>#NUM!</v>
      </c>
      <c r="J3" s="141" t="b">
        <f>NOT(ISERROR(I3))</f>
        <v>0</v>
      </c>
      <c r="K3" s="143" t="e">
        <f>K4</f>
        <v>#NUM!</v>
      </c>
      <c r="L3" s="132" t="e">
        <f>_xll.ohFilter($I$2:$I$3,$J$2:$J$3)-K3*_xll.ohFilter($P$2:$P$3,$J$2:$J$3)</f>
        <v>#NUM!</v>
      </c>
      <c r="M3" s="142"/>
      <c r="N3" s="144">
        <f t="shared" si="0"/>
        <v>-202</v>
      </c>
      <c r="O3" s="144">
        <f t="shared" si="0"/>
        <v>-171</v>
      </c>
      <c r="P3" s="142">
        <f>(O3^2-N3^2)/(O3-N3)</f>
        <v>-373</v>
      </c>
      <c r="Q3" s="141"/>
      <c r="R3" s="141"/>
      <c r="S3" s="141"/>
      <c r="T3" s="151">
        <f>(O3^3-N3^3)/3/(O3-N3)</f>
        <v>34862.333333333328</v>
      </c>
      <c r="U3" s="151">
        <f>(O3+N3)/2</f>
        <v>-186.5</v>
      </c>
      <c r="V3" s="151">
        <v>1</v>
      </c>
    </row>
    <row r="4" spans="1:36" x14ac:dyDescent="0.2">
      <c r="A4" s="1" t="str">
        <f>PROPER(Currency)&amp;IborType&amp;Calculation!A3</f>
        <v>Euribor1M</v>
      </c>
      <c r="B4" s="86" t="str">
        <f>_xll.qlMakeDatedOIS(,E4,F4,OvernightIndex,0,,,,EvaluationDate)</f>
        <v>obj_00705#0001</v>
      </c>
      <c r="C4" s="12" t="b">
        <f>_xll.qlInstrumentSetPricingEngine(B4,OisEngine)</f>
        <v>1</v>
      </c>
      <c r="D4" s="11" t="s">
        <v>42</v>
      </c>
      <c r="E4" s="74">
        <f>F3</f>
        <v>41512</v>
      </c>
      <c r="F4" s="75">
        <f>F5</f>
        <v>41743</v>
      </c>
      <c r="G4" s="27">
        <f>((1+G5*(F5-E5)/360)/(1+G3*(F3-E3)/360)-1)/(F4-E4)*360</f>
        <v>1.7742587282182004E-4</v>
      </c>
      <c r="H4" s="15" t="e">
        <f>_xll.qlOvernightIndexedSwapFairRate(B4,_xll.ohTrigger(C4,InterestRatesTrigger))</f>
        <v>#NUM!</v>
      </c>
      <c r="I4" s="16" t="e">
        <f>G4-H4</f>
        <v>#NUM!</v>
      </c>
      <c r="J4" s="1" t="b">
        <f>NOT(ISERROR(I4))</f>
        <v>0</v>
      </c>
      <c r="K4" s="15" t="e">
        <f>(I4-_xll.ohFilter($I$2:$I$3,$J$2:$J$3))/(P4-_xll.ohFilter($P$2:$P$3,$J$2:$J$3))</f>
        <v>#NUM!</v>
      </c>
      <c r="L4" s="15" t="e">
        <f>_xll.ohFilter($I$2:$I$3,$J$2:$J$3)-K4*_xll.ohFilter($P$2:$P$3,$J$2:$J$3)</f>
        <v>#NUM!</v>
      </c>
      <c r="M4" s="5"/>
      <c r="N4" s="145">
        <f t="shared" si="0"/>
        <v>-171</v>
      </c>
      <c r="O4" s="145">
        <f t="shared" si="0"/>
        <v>60</v>
      </c>
      <c r="P4" s="5">
        <f>(O4^2-N4^2)/(O4-N4)</f>
        <v>-111</v>
      </c>
      <c r="T4" s="124">
        <f>(O4^3-N4^3)/3/(O4-N4)</f>
        <v>7527</v>
      </c>
      <c r="U4" s="124">
        <f>(O4+N4)/2</f>
        <v>-55.5</v>
      </c>
      <c r="V4" s="124">
        <v>1</v>
      </c>
    </row>
    <row r="5" spans="1:36" x14ac:dyDescent="0.2">
      <c r="B5" s="86" t="str">
        <f>_xll.qlMakeDatedOIS(,E5,F5,OvernightIndex,0,,,,EvaluationDate)</f>
        <v>obj_00712#0000</v>
      </c>
      <c r="C5" s="12" t="b">
        <f>_xll.qlInstrumentSetPricingEngine(B5,OisEngine)</f>
        <v>1</v>
      </c>
      <c r="D5" s="9" t="str">
        <f>Currency&amp;"_YC1MRH_2X1S"</f>
        <v>EUR_YC1MRH_2X1S</v>
      </c>
      <c r="E5" s="74">
        <f>_xll.qlRateHelperEarliestDate($D5,EvaluationDate)</f>
        <v>41683</v>
      </c>
      <c r="F5" s="75">
        <f>_xll.qlRateHelperLatestDate($D5,EvaluationDate)</f>
        <v>41743</v>
      </c>
      <c r="G5" s="71">
        <f>_xll.qlRateHelperRate($D5,AllTriggers)</f>
        <v>1.3600000000000001E-3</v>
      </c>
      <c r="H5" s="15" t="e">
        <f>_xll.qlOvernightIndexedSwapFairRate(B5,_xll.ohTrigger(C5,InterestRatesTrigger))</f>
        <v>#NUM!</v>
      </c>
      <c r="I5" s="16" t="e">
        <f>G5-H5</f>
        <v>#NUM!</v>
      </c>
      <c r="J5" s="1" t="b">
        <v>0</v>
      </c>
      <c r="K5" s="146"/>
      <c r="L5" s="146"/>
      <c r="M5" s="147"/>
      <c r="N5" s="150"/>
      <c r="O5" s="145"/>
      <c r="P5" s="5"/>
      <c r="T5" s="124"/>
      <c r="U5" s="124"/>
      <c r="V5" s="124"/>
    </row>
    <row r="6" spans="1:36" x14ac:dyDescent="0.2">
      <c r="A6" s="1">
        <v>3</v>
      </c>
      <c r="B6" s="28" t="str">
        <f>_xll.qlMakeDatedOIS(,E6,F6,OvernightIndex,0,,,,EvaluationDate)</f>
        <v>obj_00714#0000</v>
      </c>
      <c r="C6" s="8" t="b">
        <f>_xll.qlInstrumentSetPricingEngine(B6,OisEngine)</f>
        <v>1</v>
      </c>
      <c r="D6" s="135" t="str">
        <f>Currency&amp;"_YCSTDRH_"&amp;A7&amp;"D"</f>
        <v>EUR_YCSTDRH_3MD</v>
      </c>
      <c r="E6" s="136">
        <f>_xll.qlRateHelperEarliestDate($D6,EvaluationDate)</f>
        <v>41683</v>
      </c>
      <c r="F6" s="137">
        <f>_xll.qlRateHelperLatestDate($D6,EvaluationDate)</f>
        <v>41772</v>
      </c>
      <c r="G6" s="138">
        <f>_xll.qlRateHelperRate($D6,AllTriggers)</f>
        <v>2.2500000000000003E-3</v>
      </c>
      <c r="H6" s="139" t="e">
        <f>_xll.qlOvernightIndexedSwapFairRate(B6,_xll.ohTrigger(C6,InterestRatesTrigger))</f>
        <v>#NUM!</v>
      </c>
      <c r="I6" s="140" t="e">
        <f t="shared" si="1"/>
        <v>#NUM!</v>
      </c>
      <c r="J6" s="141" t="b">
        <v>0</v>
      </c>
      <c r="K6" s="142"/>
      <c r="L6" s="142"/>
      <c r="M6" s="142"/>
      <c r="N6" s="144">
        <f t="shared" ref="N6:N27" si="2">E6-SettlementDate</f>
        <v>0</v>
      </c>
      <c r="O6" s="144">
        <f t="shared" ref="O6:O27" si="3">F6-SettlementDate</f>
        <v>89</v>
      </c>
      <c r="P6" s="142">
        <f>(O6^2-N6^2)/(O6-N6)</f>
        <v>89</v>
      </c>
      <c r="Q6" s="141"/>
      <c r="R6" s="141"/>
      <c r="S6" s="141"/>
      <c r="T6" s="151">
        <f t="shared" ref="T6:T14" si="4">(O6^3-N6^3)/3/(O6-N6)</f>
        <v>2640.333333333333</v>
      </c>
      <c r="U6" s="151">
        <f t="shared" ref="U6:U14" si="5">(O6+N6)/2</f>
        <v>44.5</v>
      </c>
      <c r="V6" s="151">
        <v>1</v>
      </c>
    </row>
    <row r="7" spans="1:36" x14ac:dyDescent="0.2">
      <c r="A7" s="1" t="str">
        <f>_xll.qlPeriodEquivalent(A6&amp;"M")</f>
        <v>3M</v>
      </c>
      <c r="B7" s="86" t="str">
        <f>_xll.qlMakeDatedOIS(,E7,F7,OvernightIndex,0,,,,EvaluationDate)</f>
        <v>obj_00703#0001</v>
      </c>
      <c r="C7" s="12" t="b">
        <f>_xll.qlInstrumentSetPricingEngine(B7,OisEngine)</f>
        <v>1</v>
      </c>
      <c r="D7" s="128" t="str">
        <f>A8&amp;"LastFixing_Quote"</f>
        <v>Euribor3MLastFixing_Quote</v>
      </c>
      <c r="E7" s="129">
        <f>_xll.qlCalendarAdvance(Calendar,_xll.qlLastFixingQuoteReferenceDate(D7),_xll.qlInterestRateIndexFixingDays(A8)&amp;"D","f",,LastFixingsTrigger)</f>
        <v>41481</v>
      </c>
      <c r="F7" s="130">
        <f>_xll.qlInterestRateIndexMaturity(A8,E7)</f>
        <v>41575</v>
      </c>
      <c r="G7" s="131">
        <f>_xll.qlQuoteValue(D7,AllTriggers)</f>
        <v>2.2500000000000003E-3</v>
      </c>
      <c r="H7" s="132" t="e">
        <f>_xll.qlOvernightIndexedSwapFairRate(B7,_xll.ohTrigger(C7,InterestRatesTrigger))</f>
        <v>#NUM!</v>
      </c>
      <c r="I7" s="133" t="e">
        <f t="shared" si="1"/>
        <v>#NUM!</v>
      </c>
      <c r="J7" s="141" t="b">
        <f>AND(ISERROR(I8),ISERROR(I9),NOT(ISERROR(I7)))</f>
        <v>0</v>
      </c>
      <c r="K7" s="148"/>
      <c r="L7" s="142"/>
      <c r="M7" s="142"/>
      <c r="N7" s="144">
        <f t="shared" si="2"/>
        <v>-202</v>
      </c>
      <c r="O7" s="144">
        <f t="shared" si="3"/>
        <v>-108</v>
      </c>
      <c r="P7" s="142">
        <f t="shared" ref="P7:P14" si="6">(O7^2-N7^2)/(O7-N7)</f>
        <v>-310</v>
      </c>
      <c r="Q7" s="141"/>
      <c r="R7" s="141"/>
      <c r="S7" s="141"/>
      <c r="T7" s="151">
        <f t="shared" si="4"/>
        <v>24761.333333333336</v>
      </c>
      <c r="U7" s="151">
        <f t="shared" si="5"/>
        <v>-155</v>
      </c>
      <c r="V7" s="151">
        <v>1</v>
      </c>
    </row>
    <row r="8" spans="1:36" x14ac:dyDescent="0.2">
      <c r="A8" s="1" t="str">
        <f>PROPER(Currency)&amp;IborType&amp;Calculation!A7</f>
        <v>Euribor3M</v>
      </c>
      <c r="B8" s="29" t="str">
        <f>_xll.qlMakeDatedOIS(,E8,F8,OvernightIndex,0,,,,EvaluationDate)</f>
        <v>obj_0070a#0000</v>
      </c>
      <c r="C8" s="12" t="b">
        <f>_xll.qlInstrumentSetPricingEngine(B8,OisEngine)</f>
        <v>1</v>
      </c>
      <c r="D8" s="128" t="str">
        <f>Currency&amp;"_YC"&amp;A7&amp;"RH_T"&amp;A6&amp;"F1"</f>
        <v>EUR_YC3MRH_T3F1</v>
      </c>
      <c r="E8" s="129">
        <f>_xll.qlRateHelperEarliestDate($D8,EvaluationDate)</f>
        <v>41683</v>
      </c>
      <c r="F8" s="130">
        <f>_xll.qlRateHelperLatestDate($D8,EvaluationDate)</f>
        <v>41772</v>
      </c>
      <c r="G8" s="134" t="e">
        <f>_xll.qlRateHelperRate($D8,AllTriggers)</f>
        <v>#NUM!</v>
      </c>
      <c r="H8" s="132" t="e">
        <f>_xll.qlOvernightIndexedSwapFairRate(B8,_xll.ohTrigger(C8,InterestRatesTrigger))</f>
        <v>#NUM!</v>
      </c>
      <c r="I8" s="133" t="e">
        <f t="shared" si="1"/>
        <v>#NUM!</v>
      </c>
      <c r="J8" s="141" t="b">
        <f>AND(E8&gt;E7,NOT(ISERROR(I8)))</f>
        <v>0</v>
      </c>
      <c r="K8" s="141"/>
      <c r="L8" s="141"/>
      <c r="M8" s="142"/>
      <c r="N8" s="144">
        <f t="shared" si="2"/>
        <v>0</v>
      </c>
      <c r="O8" s="144">
        <f t="shared" si="3"/>
        <v>89</v>
      </c>
      <c r="P8" s="142">
        <f t="shared" si="6"/>
        <v>89</v>
      </c>
      <c r="Q8" s="141"/>
      <c r="R8" s="141"/>
      <c r="S8" s="141"/>
      <c r="T8" s="151">
        <f t="shared" si="4"/>
        <v>2640.333333333333</v>
      </c>
      <c r="U8" s="151">
        <f t="shared" si="5"/>
        <v>44.5</v>
      </c>
      <c r="V8" s="151">
        <v>1</v>
      </c>
      <c r="AB8" s="1" t="s">
        <v>58</v>
      </c>
      <c r="AF8" s="1" t="s">
        <v>50</v>
      </c>
      <c r="AJ8" s="1" t="s">
        <v>49</v>
      </c>
    </row>
    <row r="9" spans="1:36" x14ac:dyDescent="0.2">
      <c r="B9" s="29" t="str">
        <f>_xll.qlMakeDatedOIS(,E9,F9,OvernightIndex,0,,,,EvaluationDate)</f>
        <v>obj_00718#0000</v>
      </c>
      <c r="C9" s="12" t="b">
        <f>_xll.qlInstrumentSetPricingEngine(B9,OisEngine)</f>
        <v>1</v>
      </c>
      <c r="D9" s="128" t="str">
        <f>Currency&amp;"_YC"&amp;A7&amp;"RH_TOM"&amp;A6&amp;"F1"</f>
        <v>EUR_YC3MRH_TOM3F1</v>
      </c>
      <c r="E9" s="129">
        <f>_xll.qlRateHelperEarliestDate($D9,EvaluationDate)</f>
        <v>41684</v>
      </c>
      <c r="F9" s="130">
        <f>_xll.qlRateHelperLatestDate($D9,EvaluationDate)</f>
        <v>41773</v>
      </c>
      <c r="G9" s="134" t="e">
        <f>_xll.qlRateHelperRate($D9,AllTriggers)</f>
        <v>#NUM!</v>
      </c>
      <c r="H9" s="132" t="e">
        <f>_xll.qlOvernightIndexedSwapFairRate(B9,_xll.ohTrigger(C9,InterestRatesTrigger))</f>
        <v>#NUM!</v>
      </c>
      <c r="I9" s="133" t="e">
        <f t="shared" si="1"/>
        <v>#NUM!</v>
      </c>
      <c r="J9" s="141" t="b">
        <f>AND(NOT(J7),NOT(ISERROR(I9)))</f>
        <v>0</v>
      </c>
      <c r="K9" s="132">
        <f>AVERAGE(_xll.ohFilter(K10:K12,J10:J12))</f>
        <v>0</v>
      </c>
      <c r="L9" s="132">
        <f>_xll.ohFilter($I$6:$I$9,$J$6:$J$9)-K9*_xll.ohFilter($P$6:$P$9,$J$6:$J$9)</f>
        <v>0</v>
      </c>
      <c r="M9" s="142"/>
      <c r="N9" s="144">
        <f t="shared" si="2"/>
        <v>1</v>
      </c>
      <c r="O9" s="144">
        <f t="shared" si="3"/>
        <v>90</v>
      </c>
      <c r="P9" s="142">
        <f t="shared" si="6"/>
        <v>91</v>
      </c>
      <c r="Q9" s="141"/>
      <c r="R9" s="141"/>
      <c r="S9" s="141"/>
      <c r="T9" s="151">
        <f t="shared" si="4"/>
        <v>2730.333333333333</v>
      </c>
      <c r="U9" s="151">
        <f t="shared" si="5"/>
        <v>45.5</v>
      </c>
      <c r="V9" s="151">
        <v>1</v>
      </c>
      <c r="X9" s="115">
        <f t="array" ref="X9:X11">_xll.ohFilter(T6:T14,$J6:$J14)</f>
        <v>0</v>
      </c>
      <c r="Y9" s="116">
        <f t="array" ref="Y9:Y11">_xll.ohFilter(U6:U14,$J6:$J14)</f>
        <v>0</v>
      </c>
      <c r="Z9" s="117">
        <f t="array" ref="Z9:Z11">_xll.ohFilter(V6:V14,$J6:$J14)</f>
        <v>0</v>
      </c>
      <c r="AB9" s="100" t="e">
        <f t="array" ref="AB9:AB11">MMULT(AF9:AH11,AD9:AD11)</f>
        <v>#NUM!</v>
      </c>
      <c r="AD9" s="100">
        <f t="array" ref="AD9:AD11">_xll.ohFilter(I6:I14,$J6:$J14)</f>
        <v>0</v>
      </c>
      <c r="AF9" s="106" t="e">
        <f t="array" ref="AF9:AH11">MINVERSE(X9:Z11)</f>
        <v>#NUM!</v>
      </c>
      <c r="AG9" s="107" t="e">
        <v>#NUM!</v>
      </c>
      <c r="AH9" s="108" t="e">
        <v>#NUM!</v>
      </c>
      <c r="AJ9" s="103" t="e">
        <f t="array" ref="AJ9:AJ11">MMULT(X9:Z11,AB9:AB11)-AD9:AD11</f>
        <v>#NUM!</v>
      </c>
    </row>
    <row r="10" spans="1:36" x14ac:dyDescent="0.2">
      <c r="B10" s="29" t="str">
        <f>_xll.qlMakeDatedOIS(,E10,F10,OvernightIndex,0,,,,EvaluationDate)</f>
        <v>obj_0072a#0000</v>
      </c>
      <c r="C10" s="12" t="b">
        <f>_xll.qlInstrumentSetPricingEngine(B10,OisEngine)</f>
        <v>1</v>
      </c>
      <c r="D10" s="11" t="str">
        <f>Currency&amp;"_YC3MRH_FUT3M"&amp;_xll.qlIMMNextCode(E9,FALSE)</f>
        <v>EUR_YC3MRH_FUT3MG4</v>
      </c>
      <c r="E10" s="74">
        <f>_xll.qlRateHelperEarliestDate($D10,EvaluationDate)</f>
        <v>41689</v>
      </c>
      <c r="F10" s="75">
        <f>_xll.qlRateHelperLatestDate($D10,EvaluationDate)</f>
        <v>41778</v>
      </c>
      <c r="G10" s="71">
        <f>_xll.qlRateHelperRate($D10,AllTriggers)</f>
        <v>3.0500000000001082E-3</v>
      </c>
      <c r="H10" s="15" t="e">
        <f>_xll.qlOvernightIndexedSwapFairRate(B10,_xll.ohTrigger(C10,InterestRatesTrigger))</f>
        <v>#NUM!</v>
      </c>
      <c r="I10" s="16" t="e">
        <f t="shared" si="1"/>
        <v>#NUM!</v>
      </c>
      <c r="J10" s="1" t="b">
        <f>AND(NOT(ISERROR(I10)),E10&lt;&gt;$E$9,E10&lt;&gt;$E$8)</f>
        <v>0</v>
      </c>
      <c r="K10" s="15" t="e">
        <f>(I10-_xll.ohFilter($I$6:$I$9,$J$6:$J$9))/(P10-_xll.ohFilter($P$6:$P$9,$J$6:$J$9))</f>
        <v>#NUM!</v>
      </c>
      <c r="L10" s="15" t="e">
        <f>_xll.ohFilter($I$6:$I$9,$J$6:$J$9)-K10*_xll.ohFilter($P$6:$P$9,$J$6:$J$9)</f>
        <v>#NUM!</v>
      </c>
      <c r="M10" s="5"/>
      <c r="N10" s="145">
        <f t="shared" si="2"/>
        <v>6</v>
      </c>
      <c r="O10" s="145">
        <f t="shared" si="3"/>
        <v>95</v>
      </c>
      <c r="P10" s="5">
        <f t="shared" si="6"/>
        <v>101</v>
      </c>
      <c r="T10" s="124">
        <f t="shared" si="4"/>
        <v>3210.3333333333335</v>
      </c>
      <c r="U10" s="124">
        <f t="shared" si="5"/>
        <v>50.5</v>
      </c>
      <c r="V10" s="124">
        <v>1</v>
      </c>
      <c r="X10" s="118">
        <v>0</v>
      </c>
      <c r="Y10" s="119">
        <v>0</v>
      </c>
      <c r="Z10" s="120">
        <v>0</v>
      </c>
      <c r="AA10" s="88" t="s">
        <v>46</v>
      </c>
      <c r="AB10" s="101" t="e">
        <v>#NUM!</v>
      </c>
      <c r="AC10" s="88" t="s">
        <v>47</v>
      </c>
      <c r="AD10" s="101">
        <v>0</v>
      </c>
      <c r="AF10" s="109" t="e">
        <v>#NUM!</v>
      </c>
      <c r="AG10" s="110" t="e">
        <v>#NUM!</v>
      </c>
      <c r="AH10" s="111" t="e">
        <v>#NUM!</v>
      </c>
      <c r="AJ10" s="104" t="e">
        <v>#NUM!</v>
      </c>
    </row>
    <row r="11" spans="1:36" x14ac:dyDescent="0.2">
      <c r="B11" s="29" t="str">
        <f>_xll.qlMakeDatedOIS(,E11,F11,OvernightIndex,0,,,,EvaluationDate)</f>
        <v>obj_0072b#0000</v>
      </c>
      <c r="C11" s="12" t="b">
        <f>_xll.qlInstrumentSetPricingEngine(B11,OisEngine)</f>
        <v>1</v>
      </c>
      <c r="D11" s="11" t="str">
        <f>Currency&amp;"_YC3MRH_FUT3M"&amp;_xll.qlIMMNextCode(E10,IF(_xll.qlIMMIsIMMdate(E10,TRUE),FALSE,TRUE))</f>
        <v>EUR_YC3MRH_FUT3MH4</v>
      </c>
      <c r="E11" s="74">
        <f>_xll.qlRateHelperEarliestDate($D11,EvaluationDate)</f>
        <v>41717</v>
      </c>
      <c r="F11" s="75">
        <f>_xll.qlRateHelperLatestDate($D11,EvaluationDate)</f>
        <v>41809</v>
      </c>
      <c r="G11" s="71">
        <f>_xll.qlRateHelperRate($D11,AllTriggers)</f>
        <v>2.9749999999999499E-3</v>
      </c>
      <c r="H11" s="15" t="e">
        <f>_xll.qlOvernightIndexedSwapFairRate(B11,_xll.ohTrigger(C11,InterestRatesTrigger))</f>
        <v>#NUM!</v>
      </c>
      <c r="I11" s="16" t="e">
        <f t="shared" si="1"/>
        <v>#NUM!</v>
      </c>
      <c r="J11" s="1" t="b">
        <f>NOT(ISERROR(I11))</f>
        <v>0</v>
      </c>
      <c r="K11" s="15" t="e">
        <f>(I11-_xll.ohFilter($I$6:$I$9,$J$6:$J$9))/(P11-_xll.ohFilter($P$6:$P$9,$J$6:$J$9))</f>
        <v>#NUM!</v>
      </c>
      <c r="L11" s="15" t="e">
        <f>_xll.ohFilter($I$6:$I$9,$J$6:$J$9)-K11*_xll.ohFilter($P$6:$P$9,$J$6:$J$9)</f>
        <v>#NUM!</v>
      </c>
      <c r="M11" s="5"/>
      <c r="N11" s="145">
        <f t="shared" si="2"/>
        <v>34</v>
      </c>
      <c r="O11" s="145">
        <f t="shared" si="3"/>
        <v>126</v>
      </c>
      <c r="P11" s="5">
        <f t="shared" si="6"/>
        <v>160</v>
      </c>
      <c r="T11" s="124">
        <f t="shared" si="4"/>
        <v>7105.333333333333</v>
      </c>
      <c r="U11" s="124">
        <f t="shared" si="5"/>
        <v>80</v>
      </c>
      <c r="V11" s="124">
        <v>1</v>
      </c>
      <c r="X11" s="121">
        <v>0</v>
      </c>
      <c r="Y11" s="122">
        <v>0</v>
      </c>
      <c r="Z11" s="123">
        <v>0</v>
      </c>
      <c r="AB11" s="102" t="e">
        <v>#NUM!</v>
      </c>
      <c r="AD11" s="102">
        <v>0</v>
      </c>
      <c r="AF11" s="112" t="e">
        <v>#NUM!</v>
      </c>
      <c r="AG11" s="113" t="e">
        <v>#NUM!</v>
      </c>
      <c r="AH11" s="114" t="e">
        <v>#NUM!</v>
      </c>
      <c r="AJ11" s="105" t="e">
        <v>#NUM!</v>
      </c>
    </row>
    <row r="12" spans="1:36" x14ac:dyDescent="0.2">
      <c r="B12" s="29" t="str">
        <f>_xll.qlMakeDatedOIS(,E12,F12,OvernightIndex,0,,,,EvaluationDate)</f>
        <v>obj_0070f#0000</v>
      </c>
      <c r="C12" s="12" t="b">
        <f>_xll.qlInstrumentSetPricingEngine(B12,OisEngine)</f>
        <v>1</v>
      </c>
      <c r="D12" s="11" t="str">
        <f>Currency&amp;"_YC"&amp;$A$7&amp;"RH_1x4F"</f>
        <v>EUR_YC3MRH_1x4F</v>
      </c>
      <c r="E12" s="74">
        <f>_xll.qlRateHelperEarliestDate($D12,EvaluationDate)</f>
        <v>41711</v>
      </c>
      <c r="F12" s="75">
        <f>_xll.qlRateHelperLatestDate($D12,EvaluationDate)</f>
        <v>41803</v>
      </c>
      <c r="G12" s="71">
        <f>_xll.qlRateHelperRate($D12,AllTriggers)</f>
        <v>3.0599999999999998E-3</v>
      </c>
      <c r="H12" s="15" t="e">
        <f>_xll.qlOvernightIndexedSwapFairRate(B12,_xll.ohTrigger(C12,InterestRatesTrigger))</f>
        <v>#NUM!</v>
      </c>
      <c r="I12" s="16" t="e">
        <f>G12-H12</f>
        <v>#NUM!</v>
      </c>
      <c r="J12" s="1" t="b">
        <f>AND(NOT(ISERROR(I12)),E12&lt;&gt;$E$11,E12&lt;&gt;$E$10)</f>
        <v>0</v>
      </c>
      <c r="K12" s="15" t="e">
        <f>(I12-_xll.ohFilter($I$6:$I$9,$J$6:$J$9))/(P12-_xll.ohFilter($P$6:$P$9,$J$6:$J$9))</f>
        <v>#NUM!</v>
      </c>
      <c r="L12" s="15" t="e">
        <f>_xll.ohFilter($I$6:$I$9,$J$6:$J$9)-K12*_xll.ohFilter($P$6:$P$9,$J$6:$J$9)</f>
        <v>#NUM!</v>
      </c>
      <c r="M12" s="5"/>
      <c r="N12" s="145">
        <f t="shared" si="2"/>
        <v>28</v>
      </c>
      <c r="O12" s="145">
        <f t="shared" si="3"/>
        <v>120</v>
      </c>
      <c r="P12" s="5">
        <f t="shared" si="6"/>
        <v>148</v>
      </c>
      <c r="T12" s="124">
        <f t="shared" si="4"/>
        <v>6181.333333333333</v>
      </c>
      <c r="U12" s="124">
        <f t="shared" si="5"/>
        <v>74</v>
      </c>
      <c r="V12" s="124">
        <v>1</v>
      </c>
      <c r="X12" s="124"/>
      <c r="Y12" s="124"/>
      <c r="Z12" s="124"/>
    </row>
    <row r="13" spans="1:36" x14ac:dyDescent="0.2">
      <c r="B13" s="29" t="str">
        <f>_xll.qlMakeDatedOIS(,E13,F13,OvernightIndex,0,,,,EvaluationDate)</f>
        <v>obj_00709#0000</v>
      </c>
      <c r="C13" s="12" t="b">
        <f>_xll.qlInstrumentSetPricingEngine(B13,OisEngine)</f>
        <v>1</v>
      </c>
      <c r="D13" s="11" t="str">
        <f>Currency&amp;"_YC"&amp;$A$7&amp;"RH_2x5F"</f>
        <v>EUR_YC3MRH_2x5F</v>
      </c>
      <c r="E13" s="74">
        <f>_xll.qlRateHelperEarliestDate($D13,EvaluationDate)</f>
        <v>41743</v>
      </c>
      <c r="F13" s="75">
        <f>_xll.qlRateHelperLatestDate($D13,EvaluationDate)</f>
        <v>41834</v>
      </c>
      <c r="G13" s="71">
        <f>_xll.qlRateHelperRate($D13,AllTriggers)</f>
        <v>2.97E-3</v>
      </c>
      <c r="H13" s="15" t="e">
        <f>_xll.qlOvernightIndexedSwapFairRate(B13,_xll.ohTrigger(C13,InterestRatesTrigger))</f>
        <v>#NUM!</v>
      </c>
      <c r="I13" s="16" t="e">
        <f>G13-H13</f>
        <v>#NUM!</v>
      </c>
      <c r="J13" s="1" t="b">
        <f>AND(NOT(ISERROR(I13)),E13&lt;&gt;$E$11,E13&lt;&gt;$E$10)</f>
        <v>0</v>
      </c>
      <c r="K13" s="15" t="e">
        <f>(I13-_xll.ohFilter($I$6:$I$9,$J$6:$J$9))/(P13-_xll.ohFilter($P$6:$P$9,$J$6:$J$9))</f>
        <v>#NUM!</v>
      </c>
      <c r="L13" s="15" t="e">
        <f>_xll.ohFilter($I$6:$I$9,$J$6:$J$9)-K13*_xll.ohFilter($P$6:$P$9,$J$6:$J$9)</f>
        <v>#NUM!</v>
      </c>
      <c r="M13" s="5"/>
      <c r="N13" s="145">
        <f t="shared" si="2"/>
        <v>60</v>
      </c>
      <c r="O13" s="145">
        <f t="shared" si="3"/>
        <v>151</v>
      </c>
      <c r="P13" s="5">
        <f t="shared" si="6"/>
        <v>211</v>
      </c>
      <c r="T13" s="124">
        <f t="shared" si="4"/>
        <v>11820.333333333332</v>
      </c>
      <c r="U13" s="124">
        <f t="shared" si="5"/>
        <v>105.5</v>
      </c>
      <c r="V13" s="124">
        <v>1</v>
      </c>
      <c r="X13" s="124"/>
      <c r="Y13" s="124"/>
      <c r="Z13" s="124"/>
    </row>
    <row r="14" spans="1:36" x14ac:dyDescent="0.2">
      <c r="B14" s="29" t="str">
        <f>_xll.qlMakeDatedOIS(,E14,F14,OvernightIndex,0,,,,EvaluationDate)</f>
        <v>obj_0070e#0000</v>
      </c>
      <c r="C14" s="12" t="b">
        <f>_xll.qlInstrumentSetPricingEngine(B14,OisEngine)</f>
        <v>1</v>
      </c>
      <c r="D14" s="9" t="str">
        <f>Currency&amp;"_YC"&amp;A7&amp;"RH_3x6F"</f>
        <v>EUR_YC3MRH_3x6F</v>
      </c>
      <c r="E14" s="74">
        <f>_xll.qlRateHelperEarliestDate($D14,EvaluationDate)</f>
        <v>41772</v>
      </c>
      <c r="F14" s="75">
        <f>_xll.qlRateHelperLatestDate($D14,EvaluationDate)</f>
        <v>41864</v>
      </c>
      <c r="G14" s="71">
        <f>_xll.qlRateHelperRate($D14,AllTriggers)</f>
        <v>2.9399999999999999E-3</v>
      </c>
      <c r="H14" s="15" t="e">
        <f>_xll.qlOvernightIndexedSwapFairRate(B14,_xll.ohTrigger(C14,InterestRatesTrigger))</f>
        <v>#NUM!</v>
      </c>
      <c r="I14" s="16" t="e">
        <f>G14-H14</f>
        <v>#NUM!</v>
      </c>
      <c r="J14" s="1" t="b">
        <f>AND(NOT(ISERROR(I14)),E14&lt;&gt;$E$11,E14&lt;&gt;$E$10)</f>
        <v>0</v>
      </c>
      <c r="K14" s="15" t="e">
        <f>(I14-_xll.ohFilter($I$6:$I$9,$J$6:$J$9))/(P14-_xll.ohFilter($P$6:$P$9,$J$6:$J$9))</f>
        <v>#NUM!</v>
      </c>
      <c r="L14" s="15" t="e">
        <f>_xll.ohFilter($I$6:$I$9,$J$6:$J$9)-K14*_xll.ohFilter($P$6:$P$9,$J$6:$J$9)</f>
        <v>#NUM!</v>
      </c>
      <c r="M14" s="5"/>
      <c r="N14" s="145">
        <f t="shared" si="2"/>
        <v>89</v>
      </c>
      <c r="O14" s="145">
        <f t="shared" si="3"/>
        <v>181</v>
      </c>
      <c r="P14" s="5">
        <f t="shared" si="6"/>
        <v>270</v>
      </c>
      <c r="T14" s="124">
        <f t="shared" si="4"/>
        <v>18930.333333333336</v>
      </c>
      <c r="U14" s="124">
        <f t="shared" si="5"/>
        <v>135</v>
      </c>
      <c r="V14" s="124">
        <v>1</v>
      </c>
      <c r="X14" s="124"/>
      <c r="Y14" s="124"/>
      <c r="Z14" s="124"/>
    </row>
    <row r="15" spans="1:36" x14ac:dyDescent="0.2">
      <c r="A15" s="1">
        <v>6</v>
      </c>
      <c r="B15" s="28" t="str">
        <f>_xll.qlMakeDatedOIS(,E15,F15,OvernightIndex,0,,,,EvaluationDate)</f>
        <v>obj_0070d#0000</v>
      </c>
      <c r="C15" s="8" t="b">
        <f>_xll.qlInstrumentSetPricingEngine(B15,OisEngine)</f>
        <v>1</v>
      </c>
      <c r="D15" s="135" t="str">
        <f>Currency&amp;"_YCSTDRH_"&amp;A16&amp;"D"</f>
        <v>EUR_YCSTDRH_6MD</v>
      </c>
      <c r="E15" s="136">
        <f>_xll.qlRateHelperEarliestDate($D15,EvaluationDate)</f>
        <v>41683</v>
      </c>
      <c r="F15" s="137">
        <f>_xll.qlRateHelperLatestDate($D15,EvaluationDate)</f>
        <v>41864</v>
      </c>
      <c r="G15" s="138">
        <f>_xll.qlRateHelperRate($D15,AllTriggers)</f>
        <v>3.4300000000000003E-3</v>
      </c>
      <c r="H15" s="139" t="e">
        <f>_xll.qlOvernightIndexedSwapFairRate(B15,_xll.ohTrigger(C15,InterestRatesTrigger))</f>
        <v>#NUM!</v>
      </c>
      <c r="I15" s="140" t="e">
        <f t="shared" si="1"/>
        <v>#NUM!</v>
      </c>
      <c r="J15" s="141" t="b">
        <v>0</v>
      </c>
      <c r="K15" s="142"/>
      <c r="L15" s="142"/>
      <c r="M15" s="142"/>
      <c r="N15" s="144">
        <f t="shared" si="2"/>
        <v>0</v>
      </c>
      <c r="O15" s="144">
        <f t="shared" si="3"/>
        <v>181</v>
      </c>
      <c r="P15" s="142">
        <f t="shared" ref="P15:P27" si="7">(O15^2-N15^2)/(O15-N15)</f>
        <v>181</v>
      </c>
      <c r="Q15" s="141"/>
      <c r="R15" s="141"/>
      <c r="S15" s="141"/>
      <c r="T15" s="151">
        <f t="shared" ref="T15:T27" si="8">(O15^3-N15^3)/3/(O15-N15)</f>
        <v>10920.333333333332</v>
      </c>
      <c r="U15" s="151">
        <f t="shared" ref="U15:U27" si="9">(O15+N15)/2</f>
        <v>90.5</v>
      </c>
      <c r="V15" s="151">
        <v>1</v>
      </c>
    </row>
    <row r="16" spans="1:36" x14ac:dyDescent="0.2">
      <c r="A16" s="1" t="str">
        <f>_xll.qlPeriodEquivalent(A15&amp;"M")</f>
        <v>6M</v>
      </c>
      <c r="B16" s="86" t="str">
        <f>_xll.qlMakeDatedOIS(,E16,F16,OvernightIndex,0,,,,EvaluationDate)</f>
        <v>obj_00702#0001</v>
      </c>
      <c r="C16" s="12" t="b">
        <f>_xll.qlInstrumentSetPricingEngine(B16,OisEngine)</f>
        <v>1</v>
      </c>
      <c r="D16" s="128" t="str">
        <f>PROPER(Currency&amp;IborType)&amp;A16&amp;"LastFixing_Quote"</f>
        <v>Euribor6MLastFixing_Quote</v>
      </c>
      <c r="E16" s="129">
        <f>_xll.qlCalendarAdvance(Calendar,_xll.qlLastFixingQuoteReferenceDate(D16),_xll.qlInterestRateIndexFixingDays(A17)&amp;"D","f",,LastFixingsTrigger)</f>
        <v>41481</v>
      </c>
      <c r="F16" s="130">
        <f>_xll.qlInterestRateIndexMaturity(A17,E16)</f>
        <v>41666</v>
      </c>
      <c r="G16" s="131">
        <f>_xll.qlQuoteValue(D16,AllTriggers)</f>
        <v>3.4300000000000003E-3</v>
      </c>
      <c r="H16" s="132" t="e">
        <f>_xll.qlOvernightIndexedSwapFairRate(B16,_xll.ohTrigger(C16,InterestRatesTrigger))</f>
        <v>#NUM!</v>
      </c>
      <c r="I16" s="133" t="e">
        <f t="shared" si="1"/>
        <v>#NUM!</v>
      </c>
      <c r="J16" s="141" t="b">
        <f>AND(ISERROR(I17),ISERROR(I18),NOT(ISERROR(I16)))</f>
        <v>0</v>
      </c>
      <c r="K16" s="142"/>
      <c r="L16" s="142"/>
      <c r="M16" s="142"/>
      <c r="N16" s="144">
        <f t="shared" si="2"/>
        <v>-202</v>
      </c>
      <c r="O16" s="144">
        <f t="shared" si="3"/>
        <v>-17</v>
      </c>
      <c r="P16" s="142">
        <f t="shared" si="7"/>
        <v>-219</v>
      </c>
      <c r="Q16" s="141"/>
      <c r="R16" s="141"/>
      <c r="S16" s="141"/>
      <c r="T16" s="151">
        <f t="shared" si="8"/>
        <v>14842.333333333332</v>
      </c>
      <c r="U16" s="151">
        <f t="shared" si="9"/>
        <v>-109.5</v>
      </c>
      <c r="V16" s="151">
        <v>1</v>
      </c>
    </row>
    <row r="17" spans="1:36" x14ac:dyDescent="0.2">
      <c r="A17" s="1" t="str">
        <f>PROPER(Currency)&amp;IborType&amp;Calculation!A16</f>
        <v>Euribor6M</v>
      </c>
      <c r="B17" s="29" t="str">
        <f>_xll.qlMakeDatedOIS(,E17,F17,OvernightIndex,0,,,,EvaluationDate)</f>
        <v>obj_00717#0000</v>
      </c>
      <c r="C17" s="12" t="b">
        <f>_xll.qlInstrumentSetPricingEngine(B17,OisEngine)</f>
        <v>1</v>
      </c>
      <c r="D17" s="128" t="str">
        <f>Currency&amp;"_YC"&amp;A16&amp;"RH_T"&amp;A15&amp;"F1"</f>
        <v>EUR_YC6MRH_T6F1</v>
      </c>
      <c r="E17" s="129">
        <f>_xll.qlRateHelperEarliestDate($D17,EvaluationDate)</f>
        <v>41683</v>
      </c>
      <c r="F17" s="130">
        <f>_xll.qlRateHelperLatestDate($D17,EvaluationDate)</f>
        <v>41864</v>
      </c>
      <c r="G17" s="131" t="e">
        <f>_xll.qlRateHelperRate($D17,AllTriggers)</f>
        <v>#NUM!</v>
      </c>
      <c r="H17" s="132" t="e">
        <f>_xll.qlOvernightIndexedSwapFairRate(B17,_xll.ohTrigger(C17,InterestRatesTrigger))</f>
        <v>#NUM!</v>
      </c>
      <c r="I17" s="133" t="e">
        <f t="shared" si="1"/>
        <v>#NUM!</v>
      </c>
      <c r="J17" s="141" t="b">
        <f>AND(E17&gt;E16,NOT(ISERROR(I17)))</f>
        <v>0</v>
      </c>
      <c r="K17" s="141"/>
      <c r="L17" s="141"/>
      <c r="M17" s="142"/>
      <c r="N17" s="144">
        <f t="shared" si="2"/>
        <v>0</v>
      </c>
      <c r="O17" s="144">
        <f t="shared" si="3"/>
        <v>181</v>
      </c>
      <c r="P17" s="142">
        <f t="shared" si="7"/>
        <v>181</v>
      </c>
      <c r="Q17" s="141"/>
      <c r="R17" s="141"/>
      <c r="S17" s="141"/>
      <c r="T17" s="151">
        <f t="shared" si="8"/>
        <v>10920.333333333332</v>
      </c>
      <c r="U17" s="151">
        <f t="shared" si="9"/>
        <v>90.5</v>
      </c>
      <c r="V17" s="151">
        <v>1</v>
      </c>
      <c r="AF17" s="1" t="s">
        <v>50</v>
      </c>
      <c r="AJ17" s="1" t="s">
        <v>49</v>
      </c>
    </row>
    <row r="18" spans="1:36" x14ac:dyDescent="0.2">
      <c r="B18" s="29" t="str">
        <f>_xll.qlMakeDatedOIS(,E18,F18,OvernightIndex,0,,,,EvaluationDate)</f>
        <v>obj_0070c#0000</v>
      </c>
      <c r="C18" s="12" t="b">
        <f>_xll.qlInstrumentSetPricingEngine(B18,OisEngine)</f>
        <v>1</v>
      </c>
      <c r="D18" s="128" t="str">
        <f>Currency&amp;"_YC"&amp;A16&amp;"RH_TOM"&amp;A15&amp;"F1"</f>
        <v>EUR_YC6MRH_TOM6F1</v>
      </c>
      <c r="E18" s="129">
        <f>_xll.qlRateHelperEarliestDate($D18,EvaluationDate)</f>
        <v>41684</v>
      </c>
      <c r="F18" s="130">
        <f>_xll.qlRateHelperLatestDate($D18,EvaluationDate)</f>
        <v>41865</v>
      </c>
      <c r="G18" s="131" t="e">
        <f>_xll.qlRateHelperRate($D18,AllTriggers)</f>
        <v>#NUM!</v>
      </c>
      <c r="H18" s="132" t="e">
        <f>_xll.qlOvernightIndexedSwapFairRate(B18,_xll.ohTrigger(C18,InterestRatesTrigger))</f>
        <v>#NUM!</v>
      </c>
      <c r="I18" s="133" t="e">
        <f t="shared" si="1"/>
        <v>#NUM!</v>
      </c>
      <c r="J18" s="141" t="b">
        <f>AND(NOT(J16),NOT(ISERROR(I18)))</f>
        <v>0</v>
      </c>
      <c r="K18" s="132">
        <f>AVERAGE(_xll.ohFilter(K19:K21,J19:J21))</f>
        <v>0</v>
      </c>
      <c r="L18" s="132">
        <f>_xll.ohFilter($I$15:$I$18,$J$15:$J$18)-K18*_xll.ohFilter($P$15:$P$18,$J$15:$J$18)</f>
        <v>0</v>
      </c>
      <c r="M18" s="142"/>
      <c r="N18" s="144">
        <f t="shared" si="2"/>
        <v>1</v>
      </c>
      <c r="O18" s="144">
        <f t="shared" si="3"/>
        <v>182</v>
      </c>
      <c r="P18" s="142">
        <f t="shared" si="7"/>
        <v>183</v>
      </c>
      <c r="Q18" s="141"/>
      <c r="R18" s="141"/>
      <c r="S18" s="141"/>
      <c r="T18" s="151">
        <f t="shared" si="8"/>
        <v>11102.333333333332</v>
      </c>
      <c r="U18" s="151">
        <f t="shared" si="9"/>
        <v>91.5</v>
      </c>
      <c r="V18" s="151">
        <v>1</v>
      </c>
      <c r="X18" s="115">
        <f t="array" ref="X18:X20">_xll.ohFilter(T15:T24,$J15:$J24)</f>
        <v>0</v>
      </c>
      <c r="Y18" s="116">
        <f t="array" ref="Y18:Y20">_xll.ohFilter(U15:U24,$J15:$J24)</f>
        <v>0</v>
      </c>
      <c r="Z18" s="117">
        <f t="array" ref="Z18:Z20">_xll.ohFilter(V15:V24,$J15:$J24)</f>
        <v>0</v>
      </c>
      <c r="AB18" s="100" t="e">
        <f t="array" ref="AB18:AB20">MMULT(AF18:AH20,AD18:AD20)</f>
        <v>#NUM!</v>
      </c>
      <c r="AD18" s="100">
        <f t="array" ref="AD18:AD20">_xll.ohFilter(I15:I24,$J15:$J24)</f>
        <v>0</v>
      </c>
      <c r="AF18" s="106" t="e">
        <f t="array" ref="AF18:AH20">MINVERSE(X18:Z20)</f>
        <v>#NUM!</v>
      </c>
      <c r="AG18" s="107" t="e">
        <v>#NUM!</v>
      </c>
      <c r="AH18" s="108" t="e">
        <v>#NUM!</v>
      </c>
      <c r="AJ18" s="103" t="e">
        <f t="array" ref="AJ18:AJ20">MMULT(X18:Z20,AB18:AB20)-AD18:AD20</f>
        <v>#NUM!</v>
      </c>
    </row>
    <row r="19" spans="1:36" x14ac:dyDescent="0.2">
      <c r="A19" s="1">
        <v>1</v>
      </c>
      <c r="B19" s="29" t="str">
        <f>_xll.qlMakeDatedOIS(,E19,F19,OvernightIndex,0,,,,EvaluationDate)</f>
        <v>obj_00706#0000</v>
      </c>
      <c r="C19" s="12" t="b">
        <f>_xll.qlInstrumentSetPricingEngine(B19,OisEngine)</f>
        <v>1</v>
      </c>
      <c r="D19" s="11" t="str">
        <f t="shared" ref="D19:D24" si="10">Currency&amp;"_YC"&amp;$A$16&amp;"RH_"&amp;A19&amp;"x"&amp;A19+6&amp;"F"</f>
        <v>EUR_YC6MRH_1x7F</v>
      </c>
      <c r="E19" s="74">
        <f>_xll.qlRateHelperEarliestDate($D19,EvaluationDate)</f>
        <v>41711</v>
      </c>
      <c r="F19" s="75">
        <f>_xll.qlRateHelperLatestDate($D19,EvaluationDate)</f>
        <v>41897</v>
      </c>
      <c r="G19" s="27">
        <f>_xll.qlRateHelperRate($D19,AllTriggers)</f>
        <v>4.0200000000000001E-3</v>
      </c>
      <c r="H19" s="15" t="e">
        <f>_xll.qlOvernightIndexedSwapFairRate(B19,_xll.ohTrigger(C19,InterestRatesTrigger))</f>
        <v>#NUM!</v>
      </c>
      <c r="I19" s="16" t="e">
        <f t="shared" ref="I19:I24" si="11">G19-H19</f>
        <v>#NUM!</v>
      </c>
      <c r="J19" s="1" t="b">
        <f t="shared" ref="J19:J24" si="12">NOT(ISERROR(I19))</f>
        <v>0</v>
      </c>
      <c r="K19" s="15" t="e">
        <f>(I19-_xll.ohFilter($I$15:$I$18,$J$15:$J$18))/(P19-_xll.ohFilter($P$15:$P$18,$J$15:$J$18))</f>
        <v>#NUM!</v>
      </c>
      <c r="L19" s="15" t="e">
        <f>_xll.ohFilter($I$15:$I$18,$J$15:$J$18)-K19*_xll.ohFilter($P$15:$P$18,$J$15:$J$18)</f>
        <v>#NUM!</v>
      </c>
      <c r="M19" s="5"/>
      <c r="N19" s="145">
        <f t="shared" si="2"/>
        <v>28</v>
      </c>
      <c r="O19" s="145">
        <f t="shared" si="3"/>
        <v>214</v>
      </c>
      <c r="P19" s="5">
        <f t="shared" si="7"/>
        <v>242</v>
      </c>
      <c r="T19" s="124">
        <f t="shared" si="8"/>
        <v>17524</v>
      </c>
      <c r="U19" s="124">
        <f t="shared" si="9"/>
        <v>121</v>
      </c>
      <c r="V19" s="124">
        <v>1</v>
      </c>
      <c r="X19" s="118">
        <v>0</v>
      </c>
      <c r="Y19" s="119">
        <v>0</v>
      </c>
      <c r="Z19" s="120">
        <v>0</v>
      </c>
      <c r="AA19" s="88" t="s">
        <v>46</v>
      </c>
      <c r="AB19" s="101" t="e">
        <v>#NUM!</v>
      </c>
      <c r="AC19" s="88" t="s">
        <v>47</v>
      </c>
      <c r="AD19" s="101">
        <v>0</v>
      </c>
      <c r="AF19" s="109" t="e">
        <v>#NUM!</v>
      </c>
      <c r="AG19" s="110" t="e">
        <v>#NUM!</v>
      </c>
      <c r="AH19" s="111" t="e">
        <v>#NUM!</v>
      </c>
      <c r="AJ19" s="104" t="e">
        <v>#NUM!</v>
      </c>
    </row>
    <row r="20" spans="1:36" x14ac:dyDescent="0.2">
      <c r="A20" s="1">
        <v>2</v>
      </c>
      <c r="B20" s="29" t="str">
        <f>_xll.qlMakeDatedOIS(,E20,F20,OvernightIndex,0,,,,EvaluationDate)</f>
        <v>obj_00713#0000</v>
      </c>
      <c r="C20" s="12" t="b">
        <f>_xll.qlInstrumentSetPricingEngine(B20,OisEngine)</f>
        <v>1</v>
      </c>
      <c r="D20" s="11" t="str">
        <f t="shared" si="10"/>
        <v>EUR_YC6MRH_2x8F</v>
      </c>
      <c r="E20" s="74">
        <f>_xll.qlRateHelperEarliestDate($D20,EvaluationDate)</f>
        <v>41743</v>
      </c>
      <c r="F20" s="75">
        <f>_xll.qlRateHelperLatestDate($D20,EvaluationDate)</f>
        <v>41926</v>
      </c>
      <c r="G20" s="27">
        <f>_xll.qlRateHelperRate($D20,AllTriggers)</f>
        <v>4.0000000000000001E-3</v>
      </c>
      <c r="H20" s="15" t="e">
        <f>_xll.qlOvernightIndexedSwapFairRate(B20,_xll.ohTrigger(C20,InterestRatesTrigger))</f>
        <v>#NUM!</v>
      </c>
      <c r="I20" s="16" t="e">
        <f t="shared" si="11"/>
        <v>#NUM!</v>
      </c>
      <c r="J20" s="1" t="b">
        <f t="shared" si="12"/>
        <v>0</v>
      </c>
      <c r="K20" s="15" t="e">
        <f>(I20-_xll.ohFilter($I$15:$I$18,$J$15:$J$18))/(P20-_xll.ohFilter($P$15:$P$18,$J$15:$J$18))</f>
        <v>#NUM!</v>
      </c>
      <c r="L20" s="15" t="e">
        <f>_xll.ohFilter($I$15:$I$18,$J$15:$J$18)-K20*_xll.ohFilter($P$15:$P$18,$J$15:$J$18)</f>
        <v>#NUM!</v>
      </c>
      <c r="M20" s="5"/>
      <c r="N20" s="145">
        <f t="shared" si="2"/>
        <v>60</v>
      </c>
      <c r="O20" s="145">
        <f t="shared" si="3"/>
        <v>243</v>
      </c>
      <c r="P20" s="5">
        <f t="shared" si="7"/>
        <v>303</v>
      </c>
      <c r="T20" s="124">
        <f t="shared" si="8"/>
        <v>25743</v>
      </c>
      <c r="U20" s="124">
        <f t="shared" si="9"/>
        <v>151.5</v>
      </c>
      <c r="V20" s="124">
        <v>1</v>
      </c>
      <c r="X20" s="121">
        <v>0</v>
      </c>
      <c r="Y20" s="122">
        <v>0</v>
      </c>
      <c r="Z20" s="123">
        <v>0</v>
      </c>
      <c r="AB20" s="102" t="e">
        <v>#NUM!</v>
      </c>
      <c r="AD20" s="102">
        <v>0</v>
      </c>
      <c r="AF20" s="112" t="e">
        <v>#NUM!</v>
      </c>
      <c r="AG20" s="113" t="e">
        <v>#NUM!</v>
      </c>
      <c r="AH20" s="114" t="e">
        <v>#NUM!</v>
      </c>
      <c r="AJ20" s="105" t="e">
        <v>#NUM!</v>
      </c>
    </row>
    <row r="21" spans="1:36" x14ac:dyDescent="0.2">
      <c r="A21" s="1">
        <v>3</v>
      </c>
      <c r="B21" s="29" t="str">
        <f>_xll.qlMakeDatedOIS(,E21,F21,OvernightIndex,0,,,,EvaluationDate)</f>
        <v>obj_0070b#0000</v>
      </c>
      <c r="C21" s="12" t="b">
        <f>_xll.qlInstrumentSetPricingEngine(B21,OisEngine)</f>
        <v>1</v>
      </c>
      <c r="D21" s="11" t="str">
        <f t="shared" si="10"/>
        <v>EUR_YC6MRH_3x9F</v>
      </c>
      <c r="E21" s="74">
        <f>_xll.qlRateHelperEarliestDate($D21,EvaluationDate)</f>
        <v>41772</v>
      </c>
      <c r="F21" s="75">
        <f>_xll.qlRateHelperLatestDate($D21,EvaluationDate)</f>
        <v>41956</v>
      </c>
      <c r="G21" s="27">
        <f>_xll.qlRateHelperRate($D21,AllTriggers)</f>
        <v>4.0100000000000005E-3</v>
      </c>
      <c r="H21" s="15" t="e">
        <f>_xll.qlOvernightIndexedSwapFairRate(B21,_xll.ohTrigger(C21,InterestRatesTrigger))</f>
        <v>#NUM!</v>
      </c>
      <c r="I21" s="16" t="e">
        <f t="shared" si="11"/>
        <v>#NUM!</v>
      </c>
      <c r="J21" s="1" t="b">
        <f t="shared" si="12"/>
        <v>0</v>
      </c>
      <c r="K21" s="15" t="e">
        <f>(I21-_xll.ohFilter($I$15:$I$18,$J$15:$J$18))/(P21-_xll.ohFilter($P$15:$P$18,$J$15:$J$18))</f>
        <v>#NUM!</v>
      </c>
      <c r="L21" s="15" t="e">
        <f>_xll.ohFilter($I$15:$I$18,$J$15:$J$18)-K21*_xll.ohFilter($P$15:$P$18,$J$15:$J$18)</f>
        <v>#NUM!</v>
      </c>
      <c r="M21" s="5"/>
      <c r="N21" s="145">
        <f t="shared" si="2"/>
        <v>89</v>
      </c>
      <c r="O21" s="145">
        <f t="shared" si="3"/>
        <v>273</v>
      </c>
      <c r="P21" s="5">
        <f t="shared" si="7"/>
        <v>362</v>
      </c>
      <c r="T21" s="124">
        <f t="shared" si="8"/>
        <v>35582.333333333328</v>
      </c>
      <c r="U21" s="124">
        <f t="shared" si="9"/>
        <v>181</v>
      </c>
      <c r="V21" s="124">
        <v>1</v>
      </c>
      <c r="X21" s="124"/>
      <c r="Y21" s="124"/>
      <c r="Z21" s="124"/>
      <c r="AD21" s="87"/>
    </row>
    <row r="22" spans="1:36" x14ac:dyDescent="0.2">
      <c r="A22" s="1">
        <v>4</v>
      </c>
      <c r="B22" s="29" t="str">
        <f>_xll.qlMakeDatedOIS(,E22,F22,OvernightIndex,0,,,,EvaluationDate)</f>
        <v>obj_00716#0000</v>
      </c>
      <c r="C22" s="12" t="b">
        <f>_xll.qlInstrumentSetPricingEngine(B22,OisEngine)</f>
        <v>1</v>
      </c>
      <c r="D22" s="11" t="str">
        <f t="shared" si="10"/>
        <v>EUR_YC6MRH_4x10F</v>
      </c>
      <c r="E22" s="74">
        <f>_xll.qlRateHelperEarliestDate($D22,EvaluationDate)</f>
        <v>41803</v>
      </c>
      <c r="F22" s="75">
        <f>_xll.qlRateHelperLatestDate($D22,EvaluationDate)</f>
        <v>41988</v>
      </c>
      <c r="G22" s="27">
        <f>_xll.qlRateHelperRate($D22,AllTriggers)</f>
        <v>4.0300000000000006E-3</v>
      </c>
      <c r="H22" s="15" t="e">
        <f>_xll.qlOvernightIndexedSwapFairRate(B22,_xll.ohTrigger(C22,InterestRatesTrigger))</f>
        <v>#NUM!</v>
      </c>
      <c r="I22" s="16" t="e">
        <f t="shared" si="11"/>
        <v>#NUM!</v>
      </c>
      <c r="J22" s="1" t="b">
        <f t="shared" si="12"/>
        <v>0</v>
      </c>
      <c r="K22" s="15" t="e">
        <f>(I22-_xll.ohFilter($I$15:$I$18,$J$15:$J$18))/(P22-_xll.ohFilter($P$15:$P$18,$J$15:$J$18))</f>
        <v>#NUM!</v>
      </c>
      <c r="L22" s="15" t="e">
        <f>_xll.ohFilter($I$15:$I$18,$J$15:$J$18)-K22*_xll.ohFilter($P$15:$P$18,$J$15:$J$18)</f>
        <v>#NUM!</v>
      </c>
      <c r="M22" s="5"/>
      <c r="N22" s="145">
        <f t="shared" si="2"/>
        <v>120</v>
      </c>
      <c r="O22" s="145">
        <f t="shared" si="3"/>
        <v>305</v>
      </c>
      <c r="P22" s="5">
        <f t="shared" si="7"/>
        <v>425</v>
      </c>
      <c r="T22" s="124">
        <f t="shared" si="8"/>
        <v>48008.333333333328</v>
      </c>
      <c r="U22" s="124">
        <f t="shared" si="9"/>
        <v>212.5</v>
      </c>
      <c r="V22" s="124">
        <v>1</v>
      </c>
      <c r="X22" s="124"/>
      <c r="Y22" s="124"/>
      <c r="Z22" s="124"/>
      <c r="AD22" s="87"/>
    </row>
    <row r="23" spans="1:36" x14ac:dyDescent="0.2">
      <c r="A23" s="1">
        <v>5</v>
      </c>
      <c r="B23" s="29" t="str">
        <f>_xll.qlMakeDatedOIS(,E23,F23,OvernightIndex,0,,,,EvaluationDate)</f>
        <v>obj_00711#0000</v>
      </c>
      <c r="C23" s="12" t="b">
        <f>_xll.qlInstrumentSetPricingEngine(B23,OisEngine)</f>
        <v>1</v>
      </c>
      <c r="D23" s="11" t="str">
        <f t="shared" si="10"/>
        <v>EUR_YC6MRH_5x11F</v>
      </c>
      <c r="E23" s="74">
        <f>_xll.qlRateHelperEarliestDate($D23,EvaluationDate)</f>
        <v>41834</v>
      </c>
      <c r="F23" s="75">
        <f>_xll.qlRateHelperLatestDate($D23,EvaluationDate)</f>
        <v>42018</v>
      </c>
      <c r="G23" s="27">
        <f>_xll.qlRateHelperRate($D23,AllTriggers)</f>
        <v>4.0500000000000006E-3</v>
      </c>
      <c r="H23" s="15" t="e">
        <f>_xll.qlOvernightIndexedSwapFairRate(B23,_xll.ohTrigger(C23,InterestRatesTrigger))</f>
        <v>#NUM!</v>
      </c>
      <c r="I23" s="16" t="e">
        <f t="shared" si="11"/>
        <v>#NUM!</v>
      </c>
      <c r="J23" s="1" t="b">
        <f t="shared" si="12"/>
        <v>0</v>
      </c>
      <c r="K23" s="15" t="e">
        <f>(I23-_xll.ohFilter($I$15:$I$18,$J$15:$J$18))/(P23-_xll.ohFilter($P$15:$P$18,$J$15:$J$18))</f>
        <v>#NUM!</v>
      </c>
      <c r="L23" s="15" t="e">
        <f>_xll.ohFilter($I$15:$I$18,$J$15:$J$18)-K23*_xll.ohFilter($P$15:$P$18,$J$15:$J$18)</f>
        <v>#NUM!</v>
      </c>
      <c r="M23" s="5"/>
      <c r="N23" s="145">
        <f t="shared" si="2"/>
        <v>151</v>
      </c>
      <c r="O23" s="145">
        <f t="shared" si="3"/>
        <v>335</v>
      </c>
      <c r="P23" s="5">
        <f t="shared" si="7"/>
        <v>486</v>
      </c>
      <c r="T23" s="124">
        <f t="shared" si="8"/>
        <v>61870.333333333336</v>
      </c>
      <c r="U23" s="124">
        <f t="shared" si="9"/>
        <v>243</v>
      </c>
      <c r="V23" s="124">
        <v>1</v>
      </c>
      <c r="X23" s="124"/>
      <c r="Y23" s="124"/>
      <c r="Z23" s="124"/>
      <c r="AD23" s="87"/>
    </row>
    <row r="24" spans="1:36" x14ac:dyDescent="0.2">
      <c r="A24" s="1">
        <v>6</v>
      </c>
      <c r="B24" s="29" t="str">
        <f>_xll.qlMakeDatedOIS(,E24,F24,OvernightIndex,0,,,,EvaluationDate)</f>
        <v>obj_00707#0000</v>
      </c>
      <c r="C24" s="12" t="b">
        <f>_xll.qlInstrumentSetPricingEngine(B24,OisEngine)</f>
        <v>1</v>
      </c>
      <c r="D24" s="11" t="str">
        <f t="shared" si="10"/>
        <v>EUR_YC6MRH_6x12F</v>
      </c>
      <c r="E24" s="74">
        <f>_xll.qlRateHelperEarliestDate($D24,EvaluationDate)</f>
        <v>41864</v>
      </c>
      <c r="F24" s="75">
        <f>_xll.qlRateHelperLatestDate($D24,EvaluationDate)</f>
        <v>42048</v>
      </c>
      <c r="G24" s="27">
        <f>_xll.qlRateHelperRate($D24,AllTriggers)</f>
        <v>4.1399999999999996E-3</v>
      </c>
      <c r="H24" s="15" t="e">
        <f>_xll.qlOvernightIndexedSwapFairRate(B24,_xll.ohTrigger(C24,InterestRatesTrigger))</f>
        <v>#NUM!</v>
      </c>
      <c r="I24" s="16" t="e">
        <f t="shared" si="11"/>
        <v>#NUM!</v>
      </c>
      <c r="J24" s="1" t="b">
        <f t="shared" si="12"/>
        <v>0</v>
      </c>
      <c r="K24" s="15" t="e">
        <f>(I24-_xll.ohFilter($I$15:$I$18,$J$15:$J$18))/(P24-_xll.ohFilter($P$15:$P$18,$J$15:$J$18))</f>
        <v>#NUM!</v>
      </c>
      <c r="L24" s="15" t="e">
        <f>_xll.ohFilter($I$15:$I$18,$J$15:$J$18)-K24*_xll.ohFilter($P$15:$P$18,$J$15:$J$18)</f>
        <v>#NUM!</v>
      </c>
      <c r="M24" s="5"/>
      <c r="N24" s="145">
        <f t="shared" si="2"/>
        <v>181</v>
      </c>
      <c r="O24" s="145">
        <f t="shared" si="3"/>
        <v>365</v>
      </c>
      <c r="P24" s="5">
        <f t="shared" si="7"/>
        <v>546</v>
      </c>
      <c r="T24" s="124">
        <f t="shared" si="8"/>
        <v>77350.333333333343</v>
      </c>
      <c r="U24" s="124">
        <f t="shared" si="9"/>
        <v>273</v>
      </c>
      <c r="V24" s="124">
        <v>1</v>
      </c>
    </row>
    <row r="25" spans="1:36" x14ac:dyDescent="0.2">
      <c r="A25" s="1">
        <v>12</v>
      </c>
      <c r="B25" s="28" t="str">
        <f>_xll.qlMakeDatedOIS(,E25,F25,OvernightIndex,0,,,,EvaluationDate)</f>
        <v>obj_00715#0000</v>
      </c>
      <c r="C25" s="8" t="b">
        <f>_xll.qlInstrumentSetPricingEngine(B25,OisEngine)</f>
        <v>1</v>
      </c>
      <c r="D25" s="135" t="str">
        <f>Currency&amp;"_YCSTDRH_"&amp;A26&amp;"D"</f>
        <v>EUR_YCSTDRH_1YD</v>
      </c>
      <c r="E25" s="136">
        <f>_xll.qlRateHelperEarliestDate($D25,EvaluationDate)</f>
        <v>41683</v>
      </c>
      <c r="F25" s="137">
        <f>_xll.qlRateHelperLatestDate($D25,EvaluationDate)</f>
        <v>42048</v>
      </c>
      <c r="G25" s="138">
        <f>_xll.qlRateHelperRate($D25,AllTriggers)</f>
        <v>5.3500000000000006E-3</v>
      </c>
      <c r="H25" s="139" t="e">
        <f>_xll.qlOvernightIndexedSwapFairRate(B25,_xll.ohTrigger(C25,InterestRatesTrigger))</f>
        <v>#NUM!</v>
      </c>
      <c r="I25" s="140" t="e">
        <f t="shared" si="1"/>
        <v>#NUM!</v>
      </c>
      <c r="J25" s="141" t="b">
        <v>0</v>
      </c>
      <c r="K25" s="141"/>
      <c r="L25" s="141"/>
      <c r="M25" s="142"/>
      <c r="N25" s="144">
        <f t="shared" si="2"/>
        <v>0</v>
      </c>
      <c r="O25" s="144">
        <f t="shared" si="3"/>
        <v>365</v>
      </c>
      <c r="P25" s="142">
        <f t="shared" si="7"/>
        <v>365</v>
      </c>
      <c r="Q25" s="141"/>
      <c r="R25" s="141"/>
      <c r="S25" s="141"/>
      <c r="T25" s="151">
        <f t="shared" si="8"/>
        <v>44408.333333333328</v>
      </c>
      <c r="U25" s="151">
        <f t="shared" si="9"/>
        <v>182.5</v>
      </c>
      <c r="V25" s="151">
        <v>1</v>
      </c>
    </row>
    <row r="26" spans="1:36" x14ac:dyDescent="0.2">
      <c r="A26" s="1" t="str">
        <f>_xll.qlPeriodEquivalent(A25&amp;"M")</f>
        <v>1Y</v>
      </c>
      <c r="B26" s="29" t="str">
        <f>_xll.qlMakeDatedOIS(,E26,F26,OvernightIndex,0,,,,EvaluationDate)</f>
        <v>obj_00701#0001</v>
      </c>
      <c r="C26" s="12" t="b">
        <f>_xll.qlInstrumentSetPricingEngine(B26,OisEngine)</f>
        <v>1</v>
      </c>
      <c r="D26" s="128" t="str">
        <f>PROPER(Currency&amp;IborType)&amp;A26&amp;"LastFixing_Quote"</f>
        <v>Euribor1YLastFixing_Quote</v>
      </c>
      <c r="E26" s="129">
        <f>_xll.qlCalendarAdvance(Calendar,_xll.qlLastFixingQuoteReferenceDate(D26),_xll.qlInterestRateIndexFixingDays(A27)&amp;"D","f",,LastFixingsTrigger)</f>
        <v>41481</v>
      </c>
      <c r="F26" s="130">
        <f>_xll.qlInterestRateIndexMaturity(A27,E26)</f>
        <v>41848</v>
      </c>
      <c r="G26" s="131">
        <f>_xll.qlQuoteValue(D26,AllTriggers)</f>
        <v>5.3500000000000006E-3</v>
      </c>
      <c r="H26" s="132" t="e">
        <f>_xll.qlOvernightIndexedSwapFairRate(B26,_xll.ohTrigger(C26,InterestRatesTrigger))</f>
        <v>#NUM!</v>
      </c>
      <c r="I26" s="133" t="e">
        <f t="shared" si="1"/>
        <v>#NUM!</v>
      </c>
      <c r="J26" s="141" t="b">
        <f>NOT(ISERROR(I26))</f>
        <v>0</v>
      </c>
      <c r="K26" s="143" t="e">
        <f>K27</f>
        <v>#NUM!</v>
      </c>
      <c r="L26" s="132" t="e">
        <f>_xll.ohFilter($I$25:$I$26,$J$25:$J$26)-K26*_xll.ohFilter($P$25:$P$26,$J$25:$J$26)</f>
        <v>#NUM!</v>
      </c>
      <c r="M26" s="142"/>
      <c r="N26" s="144">
        <f t="shared" si="2"/>
        <v>-202</v>
      </c>
      <c r="O26" s="144">
        <f t="shared" si="3"/>
        <v>165</v>
      </c>
      <c r="P26" s="142">
        <f t="shared" si="7"/>
        <v>-37</v>
      </c>
      <c r="Q26" s="141"/>
      <c r="R26" s="141"/>
      <c r="S26" s="141"/>
      <c r="T26" s="151">
        <f t="shared" si="8"/>
        <v>11566.333333333332</v>
      </c>
      <c r="U26" s="151">
        <f t="shared" si="9"/>
        <v>-18.5</v>
      </c>
      <c r="V26" s="151">
        <v>1</v>
      </c>
    </row>
    <row r="27" spans="1:36" x14ac:dyDescent="0.2">
      <c r="A27" s="1" t="str">
        <f>PROPER(Currency)&amp;IborType&amp;Calculation!A26</f>
        <v>Euribor1Y</v>
      </c>
      <c r="B27" s="29" t="str">
        <f>_xll.qlMakeDatedOIS(,E27,F27,OvernightIndex,0,,,,EvaluationDate)</f>
        <v>obj_00710#0000</v>
      </c>
      <c r="C27" s="12" t="b">
        <f>_xll.qlInstrumentSetPricingEngine(B27,OisEngine)</f>
        <v>1</v>
      </c>
      <c r="D27" s="11" t="str">
        <f>Currency&amp;"_YC"&amp;A26&amp;"RH_12x24F"</f>
        <v>EUR_YC1YRH_12x24F</v>
      </c>
      <c r="E27" s="74">
        <f>_xll.qlRateHelperEarliestDate($D27,EvaluationDate)</f>
        <v>42048</v>
      </c>
      <c r="F27" s="75">
        <f>_xll.qlRateHelperLatestDate($D27,EvaluationDate)</f>
        <v>42415</v>
      </c>
      <c r="G27" s="27">
        <f>_xll.qlRateHelperRate($D27,AllTriggers)</f>
        <v>6.7400000000000003E-3</v>
      </c>
      <c r="H27" s="15" t="e">
        <f>_xll.qlOvernightIndexedSwapFairRate(B27,_xll.ohTrigger(C27,InterestRatesTrigger))</f>
        <v>#NUM!</v>
      </c>
      <c r="I27" s="16" t="e">
        <f t="shared" si="1"/>
        <v>#NUM!</v>
      </c>
      <c r="J27" s="1" t="b">
        <f>NOT(ISERROR(I27))</f>
        <v>0</v>
      </c>
      <c r="K27" s="15" t="e">
        <f>(I27-_xll.ohFilter($I$25:$I$26,$J$25:$J$26))/(P27-_xll.ohFilter($P$25:$P$26,$J$25:$J$26))</f>
        <v>#NUM!</v>
      </c>
      <c r="L27" s="15" t="e">
        <f>_xll.ohFilter($I$25:$I$26,$J$25:$J$26)-K27*_xll.ohFilter($P$25:$P$26,$J$25:$J$26)</f>
        <v>#NUM!</v>
      </c>
      <c r="M27" s="5"/>
      <c r="N27" s="145">
        <f t="shared" si="2"/>
        <v>365</v>
      </c>
      <c r="O27" s="145">
        <f t="shared" si="3"/>
        <v>732</v>
      </c>
      <c r="P27" s="5">
        <f t="shared" si="7"/>
        <v>1097</v>
      </c>
      <c r="T27" s="124">
        <f t="shared" si="8"/>
        <v>312076.33333333331</v>
      </c>
      <c r="U27" s="124">
        <f t="shared" si="9"/>
        <v>548.5</v>
      </c>
      <c r="V27" s="124">
        <v>1</v>
      </c>
    </row>
    <row r="28" spans="1:36" x14ac:dyDescent="0.2">
      <c r="B28" s="7"/>
      <c r="C28" s="7"/>
      <c r="D28" s="89"/>
      <c r="E28" s="89"/>
      <c r="F28" s="89"/>
      <c r="G28" s="89"/>
      <c r="H28" s="89"/>
      <c r="I28" s="90"/>
      <c r="O28" s="91"/>
      <c r="U28" s="91"/>
      <c r="V28" s="91"/>
      <c r="W28" s="91"/>
      <c r="X28" s="91"/>
      <c r="Y28" s="91"/>
      <c r="Z28" s="91"/>
      <c r="AC28" s="91"/>
    </row>
    <row r="29" spans="1:36" x14ac:dyDescent="0.2">
      <c r="G29" s="88" t="s">
        <v>40</v>
      </c>
      <c r="H29" s="88" t="s">
        <v>40</v>
      </c>
      <c r="I29" s="88" t="s">
        <v>40</v>
      </c>
      <c r="J29" s="88" t="s">
        <v>40</v>
      </c>
    </row>
    <row r="30" spans="1:36" x14ac:dyDescent="0.2">
      <c r="A30" s="6"/>
      <c r="B30" s="6"/>
      <c r="C30" s="6"/>
      <c r="D30" s="6"/>
      <c r="E30" s="6"/>
      <c r="F30" s="6"/>
      <c r="G30" s="88" t="b">
        <v>0</v>
      </c>
      <c r="H30" s="88" t="b">
        <v>0</v>
      </c>
      <c r="I30" s="88" t="b">
        <v>0</v>
      </c>
      <c r="J30" s="88" t="b">
        <v>0</v>
      </c>
      <c r="M30" s="127" t="s">
        <v>48</v>
      </c>
      <c r="O30" s="88" t="b">
        <v>0</v>
      </c>
      <c r="P30" s="88" t="b">
        <v>0</v>
      </c>
      <c r="S30" s="159" t="s">
        <v>48</v>
      </c>
      <c r="T30" s="149" t="e">
        <f>AB9</f>
        <v>#NUM!</v>
      </c>
      <c r="U30" s="13" t="e">
        <f>AB18</f>
        <v>#NUM!</v>
      </c>
    </row>
    <row r="31" spans="1:36" x14ac:dyDescent="0.2">
      <c r="E31" s="59"/>
      <c r="F31" s="59" t="s">
        <v>53</v>
      </c>
      <c r="G31" s="37">
        <f>_xll.ohFilter(I2:I3,J2:J3)</f>
        <v>0</v>
      </c>
      <c r="H31" s="38">
        <f>_xll.ohFilter(I6:I9,J6:J9)</f>
        <v>0</v>
      </c>
      <c r="I31" s="38">
        <f>_xll.ohFilter(I15:I18,J15:J18)</f>
        <v>0</v>
      </c>
      <c r="J31" s="39">
        <f>_xll.ohFilter(I25:I26,J25:J26)</f>
        <v>0</v>
      </c>
      <c r="M31" s="88" t="s">
        <v>45</v>
      </c>
      <c r="N31" s="87" t="e">
        <f>K4</f>
        <v>#NUM!</v>
      </c>
      <c r="O31" s="87">
        <f>K9</f>
        <v>0</v>
      </c>
      <c r="P31" s="87" t="e">
        <f>AVERAGE(K19:K21)</f>
        <v>#NUM!</v>
      </c>
      <c r="Q31" s="87" t="e">
        <f>K26</f>
        <v>#NUM!</v>
      </c>
      <c r="R31" s="87"/>
      <c r="S31" s="160" t="s">
        <v>45</v>
      </c>
      <c r="T31" s="96" t="e">
        <f>AB10</f>
        <v>#NUM!</v>
      </c>
      <c r="U31" s="16" t="e">
        <f>AB19</f>
        <v>#NUM!</v>
      </c>
    </row>
    <row r="32" spans="1:36" x14ac:dyDescent="0.2">
      <c r="E32" s="59"/>
      <c r="F32" s="59" t="s">
        <v>54</v>
      </c>
      <c r="G32" s="37">
        <f>IF(G31&lt;H31,G31,H31)</f>
        <v>0</v>
      </c>
      <c r="H32" s="38">
        <f>H31</f>
        <v>0</v>
      </c>
      <c r="I32" s="38">
        <f>IF(I31&lt;H31,H31,I31)</f>
        <v>0</v>
      </c>
      <c r="J32" s="39">
        <f>IF(J31&lt;I31,I31,J31)</f>
        <v>0</v>
      </c>
      <c r="M32" s="88" t="s">
        <v>44</v>
      </c>
      <c r="N32" s="87" t="e">
        <f>L4</f>
        <v>#NUM!</v>
      </c>
      <c r="O32" s="87">
        <f>L9</f>
        <v>0</v>
      </c>
      <c r="P32" s="87">
        <f>L18</f>
        <v>0</v>
      </c>
      <c r="Q32" s="87" t="e">
        <f>L26</f>
        <v>#NUM!</v>
      </c>
      <c r="R32" s="87"/>
      <c r="S32" s="160" t="s">
        <v>44</v>
      </c>
      <c r="T32" s="96" t="e">
        <f>AB11</f>
        <v>#NUM!</v>
      </c>
      <c r="U32" s="16" t="e">
        <f>AB20</f>
        <v>#NUM!</v>
      </c>
    </row>
    <row r="33" spans="2:21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43</v>
      </c>
      <c r="L33" s="20" t="s">
        <v>36</v>
      </c>
      <c r="N33" s="17" t="s">
        <v>9</v>
      </c>
      <c r="O33" s="18" t="s">
        <v>3</v>
      </c>
      <c r="P33" s="18" t="s">
        <v>15</v>
      </c>
      <c r="Q33" s="20" t="s">
        <v>24</v>
      </c>
      <c r="R33" s="18"/>
      <c r="S33" s="82"/>
      <c r="T33" s="18" t="s">
        <v>3</v>
      </c>
      <c r="U33" s="20" t="s">
        <v>15</v>
      </c>
    </row>
    <row r="34" spans="2:21" x14ac:dyDescent="0.2">
      <c r="B34" s="28" t="str">
        <f>_xll.qlMakeDatedOIS(,E34,F34,OvernightIndex,0,,,,EvaluationDate)</f>
        <v>obj_00728#0000</v>
      </c>
      <c r="C34" s="7" t="b">
        <f>_xll.qlInstrumentSetPricingEngine(B34,OisEngine)</f>
        <v>1</v>
      </c>
      <c r="D34" s="21" t="s">
        <v>14</v>
      </c>
      <c r="E34" s="72">
        <f t="shared" ref="E34:E49" si="13">SettlementDate</f>
        <v>41683</v>
      </c>
      <c r="F34" s="22">
        <f>_xll.qlCalendarAdvance(Calendar,SettlementDate,D34,"Following")</f>
        <v>41684</v>
      </c>
      <c r="G34" s="32" t="e">
        <f t="shared" ref="G34:J38" si="14">$L34+IF(G$30,G$32,N34)</f>
        <v>#NUM!</v>
      </c>
      <c r="H34" s="32" t="e">
        <f t="shared" si="14"/>
        <v>#NUM!</v>
      </c>
      <c r="I34" s="32" t="e">
        <f t="shared" si="14"/>
        <v>#NUM!</v>
      </c>
      <c r="J34" s="32" t="e">
        <f t="shared" si="14"/>
        <v>#NUM!</v>
      </c>
      <c r="K34" s="92">
        <f t="shared" ref="K34:K49" si="15">F34-$E$8</f>
        <v>1</v>
      </c>
      <c r="L34" s="2" t="e">
        <f>_xll.qlOvernightIndexedSwapFairRate(B34,_xll.ohTrigger(C34,InterestRatesTrigger))</f>
        <v>#NUM!</v>
      </c>
      <c r="N34" s="95" t="e">
        <f>N$31*$K34+N$32</f>
        <v>#NUM!</v>
      </c>
      <c r="O34" s="96">
        <f t="shared" ref="O34:P40" si="16">IF(O$30,T34,O$31*$K34+O$32)</f>
        <v>0</v>
      </c>
      <c r="P34" s="96" t="e">
        <f t="shared" si="16"/>
        <v>#NUM!</v>
      </c>
      <c r="Q34" s="16" t="e">
        <f t="shared" ref="Q34:Q49" si="17">Q$31*$K34+Q$32</f>
        <v>#NUM!</v>
      </c>
      <c r="R34" s="96"/>
      <c r="S34" s="161" t="s">
        <v>14</v>
      </c>
      <c r="T34" s="96" t="e">
        <f t="shared" ref="T34:U40" si="18">$K34*$K34/3*T$30+$K34/2*T$31+T$32</f>
        <v>#NUM!</v>
      </c>
      <c r="U34" s="16" t="e">
        <f t="shared" si="18"/>
        <v>#NUM!</v>
      </c>
    </row>
    <row r="35" spans="2:21" x14ac:dyDescent="0.2">
      <c r="B35" s="29" t="str">
        <f>_xll.qlMakeDatedOIS(,E35,F35,OvernightIndex,0,,,,EvaluationDate)</f>
        <v>obj_0071f#0000</v>
      </c>
      <c r="C35" s="5" t="b">
        <f>_xll.qlInstrumentSetPricingEngine(B35,OisEngine)</f>
        <v>1</v>
      </c>
      <c r="D35" s="23" t="s">
        <v>4</v>
      </c>
      <c r="E35" s="74">
        <f t="shared" si="13"/>
        <v>41683</v>
      </c>
      <c r="F35" s="24">
        <f>_xll.qlCalendarAdvance(Calendar,SettlementDate,D35,"Following")</f>
        <v>41690</v>
      </c>
      <c r="G35" s="32" t="e">
        <f t="shared" si="14"/>
        <v>#NUM!</v>
      </c>
      <c r="H35" s="32" t="e">
        <f t="shared" si="14"/>
        <v>#NUM!</v>
      </c>
      <c r="I35" s="32" t="e">
        <f t="shared" si="14"/>
        <v>#NUM!</v>
      </c>
      <c r="J35" s="32" t="e">
        <f t="shared" si="14"/>
        <v>#NUM!</v>
      </c>
      <c r="K35" s="93">
        <f t="shared" si="15"/>
        <v>7</v>
      </c>
      <c r="L35" s="3" t="e">
        <f>_xll.qlOvernightIndexedSwapFairRate(B35,_xll.ohTrigger(C35,InterestRatesTrigger))</f>
        <v>#NUM!</v>
      </c>
      <c r="N35" s="95" t="e">
        <f>N$31*$K35+N$32</f>
        <v>#NUM!</v>
      </c>
      <c r="O35" s="96">
        <f t="shared" si="16"/>
        <v>0</v>
      </c>
      <c r="P35" s="96" t="e">
        <f t="shared" si="16"/>
        <v>#NUM!</v>
      </c>
      <c r="Q35" s="16" t="e">
        <f t="shared" si="17"/>
        <v>#NUM!</v>
      </c>
      <c r="R35" s="96"/>
      <c r="S35" s="162" t="s">
        <v>4</v>
      </c>
      <c r="T35" s="96" t="e">
        <f t="shared" si="18"/>
        <v>#NUM!</v>
      </c>
      <c r="U35" s="16" t="e">
        <f t="shared" si="18"/>
        <v>#NUM!</v>
      </c>
    </row>
    <row r="36" spans="2:21" x14ac:dyDescent="0.2">
      <c r="B36" s="29" t="str">
        <f>_xll.qlMakeDatedOIS(,E36,F36,OvernightIndex,0,,,,EvaluationDate)</f>
        <v>obj_00729#0000</v>
      </c>
      <c r="C36" s="5" t="b">
        <f>_xll.qlInstrumentSetPricingEngine(B36,OisEngine)</f>
        <v>1</v>
      </c>
      <c r="D36" s="23" t="s">
        <v>5</v>
      </c>
      <c r="E36" s="74">
        <f t="shared" si="13"/>
        <v>41683</v>
      </c>
      <c r="F36" s="24">
        <f>_xll.qlCalendarAdvance(Calendar,SettlementDate,D36,"Following")</f>
        <v>41697</v>
      </c>
      <c r="G36" s="32" t="e">
        <f t="shared" si="14"/>
        <v>#NUM!</v>
      </c>
      <c r="H36" s="32" t="e">
        <f t="shared" si="14"/>
        <v>#NUM!</v>
      </c>
      <c r="I36" s="32" t="e">
        <f t="shared" si="14"/>
        <v>#NUM!</v>
      </c>
      <c r="J36" s="32" t="e">
        <f t="shared" si="14"/>
        <v>#NUM!</v>
      </c>
      <c r="K36" s="93">
        <f t="shared" si="15"/>
        <v>14</v>
      </c>
      <c r="L36" s="3" t="e">
        <f>_xll.qlOvernightIndexedSwapFairRate(B36,_xll.ohTrigger(C36,InterestRatesTrigger))</f>
        <v>#NUM!</v>
      </c>
      <c r="N36" s="95" t="e">
        <f>N$31*$K36+N$32</f>
        <v>#NUM!</v>
      </c>
      <c r="O36" s="96">
        <f t="shared" si="16"/>
        <v>0</v>
      </c>
      <c r="P36" s="96" t="e">
        <f t="shared" si="16"/>
        <v>#NUM!</v>
      </c>
      <c r="Q36" s="16" t="e">
        <f t="shared" si="17"/>
        <v>#NUM!</v>
      </c>
      <c r="R36" s="96"/>
      <c r="S36" s="162" t="s">
        <v>5</v>
      </c>
      <c r="T36" s="96" t="e">
        <f t="shared" si="18"/>
        <v>#NUM!</v>
      </c>
      <c r="U36" s="16" t="e">
        <f t="shared" si="18"/>
        <v>#NUM!</v>
      </c>
    </row>
    <row r="37" spans="2:21" x14ac:dyDescent="0.2">
      <c r="B37" s="30" t="str">
        <f>_xll.qlMakeDatedOIS(,E37,F37,OvernightIndex,0,,,,EvaluationDate)</f>
        <v>obj_0071c#0000</v>
      </c>
      <c r="C37" s="10" t="b">
        <f>_xll.qlInstrumentSetPricingEngine(B37,OisEngine)</f>
        <v>1</v>
      </c>
      <c r="D37" s="31" t="s">
        <v>8</v>
      </c>
      <c r="E37" s="73">
        <f t="shared" si="13"/>
        <v>41683</v>
      </c>
      <c r="F37" s="26">
        <f>_xll.qlCalendarAdvance(Calendar,SettlementDate,D37,"Following")</f>
        <v>41704</v>
      </c>
      <c r="G37" s="35" t="e">
        <f t="shared" si="14"/>
        <v>#NUM!</v>
      </c>
      <c r="H37" s="35" t="e">
        <f t="shared" si="14"/>
        <v>#NUM!</v>
      </c>
      <c r="I37" s="35" t="e">
        <f t="shared" si="14"/>
        <v>#NUM!</v>
      </c>
      <c r="J37" s="35" t="e">
        <f t="shared" si="14"/>
        <v>#NUM!</v>
      </c>
      <c r="K37" s="94">
        <f t="shared" si="15"/>
        <v>21</v>
      </c>
      <c r="L37" s="4" t="e">
        <f>_xll.qlOvernightIndexedSwapFairRate(B37,_xll.ohTrigger(C37,InterestRatesTrigger))</f>
        <v>#NUM!</v>
      </c>
      <c r="N37" s="125" t="e">
        <f>N$31*$K37+N$32</f>
        <v>#NUM!</v>
      </c>
      <c r="O37" s="126">
        <f t="shared" si="16"/>
        <v>0</v>
      </c>
      <c r="P37" s="126" t="e">
        <f t="shared" si="16"/>
        <v>#NUM!</v>
      </c>
      <c r="Q37" s="14" t="e">
        <f t="shared" si="17"/>
        <v>#NUM!</v>
      </c>
      <c r="R37" s="126"/>
      <c r="S37" s="163" t="s">
        <v>8</v>
      </c>
      <c r="T37" s="126" t="e">
        <f t="shared" si="18"/>
        <v>#NUM!</v>
      </c>
      <c r="U37" s="14" t="e">
        <f t="shared" si="18"/>
        <v>#NUM!</v>
      </c>
    </row>
    <row r="38" spans="2:21" x14ac:dyDescent="0.2">
      <c r="B38" s="29" t="str">
        <f>_xll.qlMakeDatedOIS(,E38,F38,OvernightIndex,0,,,,EvaluationDate)</f>
        <v>obj_00727#0000</v>
      </c>
      <c r="C38" s="5" t="b">
        <f>_xll.qlInstrumentSetPricingEngine(B38,OisEngine)</f>
        <v>1</v>
      </c>
      <c r="D38" s="23" t="s">
        <v>9</v>
      </c>
      <c r="E38" s="74">
        <f t="shared" si="13"/>
        <v>41683</v>
      </c>
      <c r="F38" s="24">
        <f>_xll.qlCalendarAdvance(Calendar,SettlementDate,D38,"mf",TRUE)</f>
        <v>41711</v>
      </c>
      <c r="G38" s="34" t="e">
        <f t="shared" si="14"/>
        <v>#NUM!</v>
      </c>
      <c r="H38" s="34" t="e">
        <f t="shared" si="14"/>
        <v>#NUM!</v>
      </c>
      <c r="I38" s="34" t="e">
        <f t="shared" si="14"/>
        <v>#NUM!</v>
      </c>
      <c r="J38" s="34" t="e">
        <f t="shared" si="14"/>
        <v>#NUM!</v>
      </c>
      <c r="K38" s="92">
        <f t="shared" si="15"/>
        <v>28</v>
      </c>
      <c r="L38" s="3" t="e">
        <f>_xll.qlOvernightIndexedSwapFairRate(B38,_xll.ohTrigger(C38,InterestRatesTrigger))</f>
        <v>#NUM!</v>
      </c>
      <c r="N38" s="95" t="e">
        <f>N$31*$K38+N$32</f>
        <v>#NUM!</v>
      </c>
      <c r="O38" s="96">
        <f t="shared" si="16"/>
        <v>0</v>
      </c>
      <c r="P38" s="96" t="e">
        <f t="shared" si="16"/>
        <v>#NUM!</v>
      </c>
      <c r="Q38" s="16" t="e">
        <f t="shared" si="17"/>
        <v>#NUM!</v>
      </c>
      <c r="R38" s="96"/>
      <c r="S38" s="162" t="s">
        <v>9</v>
      </c>
      <c r="T38" s="96" t="e">
        <f t="shared" si="18"/>
        <v>#NUM!</v>
      </c>
      <c r="U38" s="16" t="e">
        <f t="shared" si="18"/>
        <v>#NUM!</v>
      </c>
    </row>
    <row r="39" spans="2:21" x14ac:dyDescent="0.2">
      <c r="B39" s="29" t="str">
        <f>_xll.qlMakeDatedOIS(,E39,F39,OvernightIndex,0,,,,EvaluationDate)</f>
        <v>obj_0071b#0000</v>
      </c>
      <c r="C39" s="5" t="b">
        <f>_xll.qlInstrumentSetPricingEngine(B39,OisEngine)</f>
        <v>1</v>
      </c>
      <c r="D39" s="23" t="s">
        <v>10</v>
      </c>
      <c r="E39" s="74">
        <f t="shared" si="13"/>
        <v>41683</v>
      </c>
      <c r="F39" s="24">
        <f>_xll.qlCalendarAdvance(Calendar,SettlementDate,D39,"mf",TRUE)</f>
        <v>41743</v>
      </c>
      <c r="G39" s="63"/>
      <c r="H39" s="32" t="e">
        <f t="shared" ref="H39:J40" si="19">$L39+IF(H$30,H$32,O39)</f>
        <v>#NUM!</v>
      </c>
      <c r="I39" s="32" t="e">
        <f t="shared" si="19"/>
        <v>#NUM!</v>
      </c>
      <c r="J39" s="32" t="e">
        <f t="shared" si="19"/>
        <v>#NUM!</v>
      </c>
      <c r="K39" s="93">
        <f t="shared" si="15"/>
        <v>60</v>
      </c>
      <c r="L39" s="3" t="e">
        <f>_xll.qlOvernightIndexedSwapFairRate(B39,_xll.ohTrigger(C39,InterestRatesTrigger))</f>
        <v>#NUM!</v>
      </c>
      <c r="N39" s="63"/>
      <c r="O39" s="96">
        <f t="shared" si="16"/>
        <v>0</v>
      </c>
      <c r="P39" s="96" t="e">
        <f t="shared" si="16"/>
        <v>#NUM!</v>
      </c>
      <c r="Q39" s="16" t="e">
        <f t="shared" si="17"/>
        <v>#NUM!</v>
      </c>
      <c r="R39" s="96"/>
      <c r="S39" s="162" t="s">
        <v>10</v>
      </c>
      <c r="T39" s="96" t="e">
        <f t="shared" si="18"/>
        <v>#NUM!</v>
      </c>
      <c r="U39" s="16" t="e">
        <f t="shared" si="18"/>
        <v>#NUM!</v>
      </c>
    </row>
    <row r="40" spans="2:21" x14ac:dyDescent="0.2">
      <c r="B40" s="29" t="str">
        <f>_xll.qlMakeDatedOIS(,E40,F40,OvernightIndex,0,,,,EvaluationDate)</f>
        <v>obj_00725#0000</v>
      </c>
      <c r="C40" s="5" t="b">
        <f>_xll.qlInstrumentSetPricingEngine(B40,OisEngine)</f>
        <v>1</v>
      </c>
      <c r="D40" s="23" t="s">
        <v>3</v>
      </c>
      <c r="E40" s="74">
        <f t="shared" si="13"/>
        <v>41683</v>
      </c>
      <c r="F40" s="24">
        <f>_xll.qlCalendarAdvance(Calendar,SettlementDate,D40,"mf",TRUE)</f>
        <v>41772</v>
      </c>
      <c r="G40" s="61"/>
      <c r="H40" s="32" t="e">
        <f t="shared" si="19"/>
        <v>#NUM!</v>
      </c>
      <c r="I40" s="32" t="e">
        <f t="shared" si="19"/>
        <v>#NUM!</v>
      </c>
      <c r="J40" s="32" t="e">
        <f t="shared" si="19"/>
        <v>#NUM!</v>
      </c>
      <c r="K40" s="93">
        <f t="shared" si="15"/>
        <v>89</v>
      </c>
      <c r="L40" s="3" t="e">
        <f>_xll.qlOvernightIndexedSwapFairRate(B40,_xll.ohTrigger(C40,InterestRatesTrigger))</f>
        <v>#NUM!</v>
      </c>
      <c r="N40" s="61"/>
      <c r="O40" s="96">
        <f t="shared" si="16"/>
        <v>0</v>
      </c>
      <c r="P40" s="96" t="e">
        <f t="shared" si="16"/>
        <v>#NUM!</v>
      </c>
      <c r="Q40" s="16" t="e">
        <f t="shared" si="17"/>
        <v>#NUM!</v>
      </c>
      <c r="R40" s="96"/>
      <c r="S40" s="162" t="s">
        <v>3</v>
      </c>
      <c r="T40" s="96" t="e">
        <f t="shared" si="18"/>
        <v>#NUM!</v>
      </c>
      <c r="U40" s="16" t="e">
        <f t="shared" si="18"/>
        <v>#NUM!</v>
      </c>
    </row>
    <row r="41" spans="2:21" x14ac:dyDescent="0.2">
      <c r="B41" s="29" t="str">
        <f>_xll.qlMakeDatedOIS(,E41,F41,OvernightIndex,0,,,,EvaluationDate)</f>
        <v>obj_00719#0000</v>
      </c>
      <c r="C41" s="5" t="b">
        <f>_xll.qlInstrumentSetPricingEngine(B41,OisEngine)</f>
        <v>1</v>
      </c>
      <c r="D41" s="23" t="s">
        <v>12</v>
      </c>
      <c r="E41" s="74">
        <f t="shared" si="13"/>
        <v>41683</v>
      </c>
      <c r="F41" s="24">
        <f>_xll.qlCalendarAdvance(Calendar,SettlementDate,D41,"mf",TRUE)</f>
        <v>41803</v>
      </c>
      <c r="G41" s="36"/>
      <c r="H41" s="62"/>
      <c r="I41" s="32" t="e">
        <f t="shared" ref="I41:J43" si="20">$L41+IF(I$30,I$32,P41)</f>
        <v>#NUM!</v>
      </c>
      <c r="J41" s="32" t="e">
        <f t="shared" si="20"/>
        <v>#NUM!</v>
      </c>
      <c r="K41" s="93">
        <f t="shared" si="15"/>
        <v>120</v>
      </c>
      <c r="L41" s="3" t="e">
        <f>_xll.qlOvernightIndexedSwapFairRate(B41,_xll.ohTrigger(C41,InterestRatesTrigger))</f>
        <v>#NUM!</v>
      </c>
      <c r="N41" s="36"/>
      <c r="O41" s="62"/>
      <c r="P41" s="96" t="e">
        <f>IF(P$30,U41,P$31*$K41+P$32)</f>
        <v>#NUM!</v>
      </c>
      <c r="Q41" s="16" t="e">
        <f t="shared" si="17"/>
        <v>#NUM!</v>
      </c>
      <c r="R41" s="96"/>
      <c r="S41" s="162" t="s">
        <v>12</v>
      </c>
      <c r="T41" s="62"/>
      <c r="U41" s="16" t="e">
        <f>$K41*$K41/3*U$30+$K41/2*U$31+U$32</f>
        <v>#NUM!</v>
      </c>
    </row>
    <row r="42" spans="2:21" x14ac:dyDescent="0.2">
      <c r="B42" s="29" t="str">
        <f>_xll.qlMakeDatedOIS(,E42,F42,OvernightIndex,0,,,,EvaluationDate)</f>
        <v>obj_00721#0000</v>
      </c>
      <c r="C42" s="5" t="b">
        <f>_xll.qlInstrumentSetPricingEngine(B42,OisEngine)</f>
        <v>1</v>
      </c>
      <c r="D42" s="23" t="s">
        <v>13</v>
      </c>
      <c r="E42" s="74">
        <f t="shared" si="13"/>
        <v>41683</v>
      </c>
      <c r="F42" s="24">
        <f>_xll.qlCalendarAdvance(Calendar,SettlementDate,D42,"mf",TRUE)</f>
        <v>41834</v>
      </c>
      <c r="G42" s="36"/>
      <c r="H42" s="60"/>
      <c r="I42" s="32" t="e">
        <f t="shared" si="20"/>
        <v>#NUM!</v>
      </c>
      <c r="J42" s="32" t="e">
        <f t="shared" si="20"/>
        <v>#NUM!</v>
      </c>
      <c r="K42" s="93">
        <f t="shared" si="15"/>
        <v>151</v>
      </c>
      <c r="L42" s="3" t="e">
        <f>_xll.qlOvernightIndexedSwapFairRate(B42,_xll.ohTrigger(C42,InterestRatesTrigger))</f>
        <v>#NUM!</v>
      </c>
      <c r="N42" s="36"/>
      <c r="O42" s="60"/>
      <c r="P42" s="96" t="e">
        <f>IF(P$30,U42,P$31*$K42+P$32)</f>
        <v>#NUM!</v>
      </c>
      <c r="Q42" s="16" t="e">
        <f t="shared" si="17"/>
        <v>#NUM!</v>
      </c>
      <c r="R42" s="96"/>
      <c r="S42" s="162" t="s">
        <v>13</v>
      </c>
      <c r="T42" s="60"/>
      <c r="U42" s="16" t="e">
        <f>$K42*$K42/3*U$30+$K42/2*U$31+U$32</f>
        <v>#NUM!</v>
      </c>
    </row>
    <row r="43" spans="2:21" x14ac:dyDescent="0.2">
      <c r="B43" s="29" t="str">
        <f>_xll.qlMakeDatedOIS(,E43,F43,OvernightIndex,0,,,,EvaluationDate)</f>
        <v>obj_00722#0000</v>
      </c>
      <c r="C43" s="5" t="b">
        <f>_xll.qlInstrumentSetPricingEngine(B43,OisEngine)</f>
        <v>1</v>
      </c>
      <c r="D43" s="25" t="s">
        <v>15</v>
      </c>
      <c r="E43" s="74">
        <f t="shared" si="13"/>
        <v>41683</v>
      </c>
      <c r="F43" s="24">
        <f>_xll.qlCalendarAdvance(Calendar,SettlementDate,D43,"mf",TRUE)</f>
        <v>41864</v>
      </c>
      <c r="G43" s="36"/>
      <c r="H43" s="60"/>
      <c r="I43" s="32" t="e">
        <f t="shared" si="20"/>
        <v>#NUM!</v>
      </c>
      <c r="J43" s="32" t="e">
        <f t="shared" si="20"/>
        <v>#NUM!</v>
      </c>
      <c r="K43" s="93">
        <f t="shared" si="15"/>
        <v>181</v>
      </c>
      <c r="L43" s="3" t="e">
        <f>_xll.qlOvernightIndexedSwapFairRate(B43,_xll.ohTrigger(C43,InterestRatesTrigger))</f>
        <v>#NUM!</v>
      </c>
      <c r="N43" s="36"/>
      <c r="O43" s="60"/>
      <c r="P43" s="96" t="e">
        <f>IF(P$30,U43,P$31*$K43+P$32)</f>
        <v>#NUM!</v>
      </c>
      <c r="Q43" s="16" t="e">
        <f t="shared" si="17"/>
        <v>#NUM!</v>
      </c>
      <c r="R43" s="96"/>
      <c r="S43" s="164" t="s">
        <v>15</v>
      </c>
      <c r="T43" s="99"/>
      <c r="U43" s="14" t="e">
        <f>$K43*$K43/3*U$30+$K43/2*U$31+U$32</f>
        <v>#NUM!</v>
      </c>
    </row>
    <row r="44" spans="2:21" x14ac:dyDescent="0.2">
      <c r="B44" s="29" t="str">
        <f>_xll.qlMakeDatedOIS(,E44,F44,OvernightIndex,0,,,,EvaluationDate)</f>
        <v>obj_00723#0000</v>
      </c>
      <c r="C44" s="5" t="b">
        <f>_xll.qlInstrumentSetPricingEngine(B44,OisEngine)</f>
        <v>1</v>
      </c>
      <c r="D44" s="25" t="s">
        <v>18</v>
      </c>
      <c r="E44" s="74">
        <f t="shared" si="13"/>
        <v>41683</v>
      </c>
      <c r="F44" s="24">
        <f>_xll.qlCalendarAdvance(Calendar,SettlementDate,D44,"mf",TRUE)</f>
        <v>41897</v>
      </c>
      <c r="G44" s="36"/>
      <c r="H44" s="33"/>
      <c r="I44" s="62"/>
      <c r="J44" s="32" t="e">
        <f t="shared" ref="J44:J49" si="21">$L44+IF(J$30,J$32,Q44)</f>
        <v>#NUM!</v>
      </c>
      <c r="K44" s="93">
        <f t="shared" si="15"/>
        <v>214</v>
      </c>
      <c r="L44" s="3" t="e">
        <f>_xll.qlOvernightIndexedSwapFairRate(B44,_xll.ohTrigger(C44,InterestRatesTrigger))</f>
        <v>#NUM!</v>
      </c>
      <c r="N44" s="152" t="s">
        <v>55</v>
      </c>
      <c r="O44" s="153"/>
      <c r="P44" s="62"/>
      <c r="Q44" s="16" t="e">
        <f t="shared" si="17"/>
        <v>#NUM!</v>
      </c>
      <c r="R44" s="96"/>
      <c r="S44" s="96"/>
    </row>
    <row r="45" spans="2:21" x14ac:dyDescent="0.2">
      <c r="B45" s="29" t="str">
        <f>_xll.qlMakeDatedOIS(,E45,F45,OvernightIndex,0,,,,EvaluationDate)</f>
        <v>obj_0071a#0000</v>
      </c>
      <c r="C45" s="5" t="b">
        <f>_xll.qlInstrumentSetPricingEngine(B45,OisEngine)</f>
        <v>1</v>
      </c>
      <c r="D45" s="25" t="s">
        <v>19</v>
      </c>
      <c r="E45" s="74">
        <f t="shared" si="13"/>
        <v>41683</v>
      </c>
      <c r="F45" s="24">
        <f>_xll.qlCalendarAdvance(Calendar,SettlementDate,D45,"mf",TRUE)</f>
        <v>41925</v>
      </c>
      <c r="G45" s="36"/>
      <c r="H45" s="33"/>
      <c r="I45" s="60"/>
      <c r="J45" s="32" t="e">
        <f t="shared" si="21"/>
        <v>#NUM!</v>
      </c>
      <c r="K45" s="93">
        <f t="shared" si="15"/>
        <v>242</v>
      </c>
      <c r="L45" s="3" t="e">
        <f>_xll.qlOvernightIndexedSwapFairRate(B45,_xll.ohTrigger(C45,InterestRatesTrigger))</f>
        <v>#NUM!</v>
      </c>
      <c r="N45" s="155"/>
      <c r="O45" s="154" t="s">
        <v>56</v>
      </c>
      <c r="P45" s="156"/>
      <c r="Q45" s="16" t="e">
        <f t="shared" si="17"/>
        <v>#NUM!</v>
      </c>
      <c r="R45" s="96"/>
      <c r="S45" s="96"/>
    </row>
    <row r="46" spans="2:21" x14ac:dyDescent="0.2">
      <c r="B46" s="29" t="str">
        <f>_xll.qlMakeDatedOIS(,E46,F46,OvernightIndex,0,,,,EvaluationDate)</f>
        <v>obj_00720#0000</v>
      </c>
      <c r="C46" s="5" t="b">
        <f>_xll.qlInstrumentSetPricingEngine(B46,OisEngine)</f>
        <v>1</v>
      </c>
      <c r="D46" s="25" t="s">
        <v>20</v>
      </c>
      <c r="E46" s="74">
        <f t="shared" si="13"/>
        <v>41683</v>
      </c>
      <c r="F46" s="24">
        <f>_xll.qlCalendarAdvance(Calendar,SettlementDate,D46,"mf",TRUE)</f>
        <v>41956</v>
      </c>
      <c r="G46" s="36"/>
      <c r="H46" s="33"/>
      <c r="I46" s="60"/>
      <c r="J46" s="32" t="e">
        <f t="shared" si="21"/>
        <v>#NUM!</v>
      </c>
      <c r="K46" s="93">
        <f t="shared" si="15"/>
        <v>273</v>
      </c>
      <c r="L46" s="3" t="e">
        <f>_xll.qlOvernightIndexedSwapFairRate(B46,_xll.ohTrigger(C46,InterestRatesTrigger))</f>
        <v>#NUM!</v>
      </c>
      <c r="N46" s="36"/>
      <c r="O46" s="153"/>
      <c r="P46" s="157" t="s">
        <v>57</v>
      </c>
      <c r="Q46" s="16" t="e">
        <f t="shared" si="17"/>
        <v>#NUM!</v>
      </c>
      <c r="R46" s="96"/>
      <c r="S46" s="96"/>
    </row>
    <row r="47" spans="2:21" x14ac:dyDescent="0.2">
      <c r="B47" s="29" t="str">
        <f>_xll.qlMakeDatedOIS(,E47,F47,OvernightIndex,0,,,,EvaluationDate)</f>
        <v>obj_00724#0000</v>
      </c>
      <c r="C47" s="5" t="b">
        <f>_xll.qlInstrumentSetPricingEngine(B47,OisEngine)</f>
        <v>1</v>
      </c>
      <c r="D47" s="25" t="s">
        <v>21</v>
      </c>
      <c r="E47" s="74">
        <f t="shared" si="13"/>
        <v>41683</v>
      </c>
      <c r="F47" s="24">
        <f>_xll.qlCalendarAdvance(Calendar,SettlementDate,D47,"mf",TRUE)</f>
        <v>41988</v>
      </c>
      <c r="G47" s="36"/>
      <c r="H47" s="33"/>
      <c r="I47" s="60"/>
      <c r="J47" s="32" t="e">
        <f t="shared" si="21"/>
        <v>#NUM!</v>
      </c>
      <c r="K47" s="93">
        <f t="shared" si="15"/>
        <v>305</v>
      </c>
      <c r="L47" s="3" t="e">
        <f>_xll.qlOvernightIndexedSwapFairRate(B47,_xll.ohTrigger(C47,InterestRatesTrigger))</f>
        <v>#NUM!</v>
      </c>
      <c r="N47" s="36"/>
      <c r="O47" s="33"/>
      <c r="P47" s="60"/>
      <c r="Q47" s="16" t="e">
        <f t="shared" si="17"/>
        <v>#NUM!</v>
      </c>
      <c r="R47" s="96"/>
      <c r="S47" s="96"/>
    </row>
    <row r="48" spans="2:21" x14ac:dyDescent="0.2">
      <c r="B48" s="29" t="str">
        <f>_xll.qlMakeDatedOIS(,E48,F48,OvernightIndex,0,,,,EvaluationDate)</f>
        <v>obj_00726#0000</v>
      </c>
      <c r="C48" s="5" t="b">
        <f>_xll.qlInstrumentSetPricingEngine(B48,OisEngine)</f>
        <v>1</v>
      </c>
      <c r="D48" s="25" t="s">
        <v>22</v>
      </c>
      <c r="E48" s="74">
        <f t="shared" si="13"/>
        <v>41683</v>
      </c>
      <c r="F48" s="24">
        <f>_xll.qlCalendarAdvance(Calendar,SettlementDate,D48,"mf",TRUE)</f>
        <v>42017</v>
      </c>
      <c r="G48" s="36"/>
      <c r="H48" s="33"/>
      <c r="I48" s="60"/>
      <c r="J48" s="32" t="e">
        <f t="shared" si="21"/>
        <v>#NUM!</v>
      </c>
      <c r="K48" s="93">
        <f t="shared" si="15"/>
        <v>334</v>
      </c>
      <c r="L48" s="3" t="e">
        <f>_xll.qlOvernightIndexedSwapFairRate(B48,_xll.ohTrigger(C48,InterestRatesTrigger))</f>
        <v>#NUM!</v>
      </c>
      <c r="N48" s="36"/>
      <c r="O48" s="33"/>
      <c r="P48" s="60"/>
      <c r="Q48" s="16" t="e">
        <f t="shared" si="17"/>
        <v>#NUM!</v>
      </c>
      <c r="R48" s="96"/>
      <c r="S48" s="96"/>
    </row>
    <row r="49" spans="2:19" x14ac:dyDescent="0.2">
      <c r="B49" s="30" t="str">
        <f>_xll.qlMakeDatedOIS(,E49,F49,OvernightIndex,0,,,,EvaluationDate)</f>
        <v>obj_0071e#0000</v>
      </c>
      <c r="C49" s="10" t="b">
        <f>_xll.qlInstrumentSetPricingEngine(B49,OisEngine)</f>
        <v>1</v>
      </c>
      <c r="D49" s="25" t="s">
        <v>23</v>
      </c>
      <c r="E49" s="74">
        <f t="shared" si="13"/>
        <v>41683</v>
      </c>
      <c r="F49" s="24">
        <f>_xll.qlCalendarAdvance(Calendar,SettlementDate,D49,"mf",TRUE)</f>
        <v>42048</v>
      </c>
      <c r="G49" s="36"/>
      <c r="H49" s="33"/>
      <c r="I49" s="60"/>
      <c r="J49" s="32" t="e">
        <f t="shared" si="21"/>
        <v>#NUM!</v>
      </c>
      <c r="K49" s="93">
        <f t="shared" si="15"/>
        <v>365</v>
      </c>
      <c r="L49" s="3" t="e">
        <f>_xll.qlOvernightIndexedSwapFairRate(B49,_xll.ohTrigger(C49,InterestRatesTrigger))</f>
        <v>#NUM!</v>
      </c>
      <c r="N49" s="97"/>
      <c r="O49" s="98"/>
      <c r="P49" s="99"/>
      <c r="Q49" s="14" t="e">
        <f t="shared" si="17"/>
        <v>#NUM!</v>
      </c>
      <c r="R49" s="96"/>
      <c r="S49" s="96"/>
    </row>
    <row r="50" spans="2:19" x14ac:dyDescent="0.2">
      <c r="D50" s="7"/>
      <c r="E50" s="7"/>
      <c r="F50" s="7"/>
      <c r="G50" s="7"/>
      <c r="H50" s="7"/>
      <c r="I50" s="7"/>
      <c r="J50" s="7"/>
      <c r="K50" s="7"/>
      <c r="L50" s="7"/>
      <c r="N50" s="1" t="e">
        <f>(ROUND(N38,6)=ROUND(G31,6))</f>
        <v>#NUM!</v>
      </c>
      <c r="O50" s="1" t="b">
        <f>OR((ROUND(O40,6)=ROUND(H31,6)),E8=E9)</f>
        <v>1</v>
      </c>
      <c r="P50" s="1" t="e">
        <f>OR(ROUND(P43,6)=ROUND(I31,6),E17=E16)</f>
        <v>#NUM!</v>
      </c>
      <c r="Q50" s="1" t="e">
        <f>(ROUND(Q49,6)=ROUND(J31,6))</f>
        <v>#NUM!</v>
      </c>
    </row>
    <row r="51" spans="2:19" x14ac:dyDescent="0.2">
      <c r="N51" s="158"/>
      <c r="O51" s="158"/>
      <c r="P51" s="158"/>
      <c r="Q51" s="158"/>
      <c r="R51" s="158"/>
      <c r="S51" s="158"/>
    </row>
  </sheetData>
  <phoneticPr fontId="1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General Settings</vt:lpstr>
      <vt:lpstr>Triggers</vt:lpstr>
      <vt:lpstr>Calculation</vt:lpstr>
      <vt:lpstr>AllTriggers</vt:lpstr>
      <vt:lpstr>Calendar</vt:lpstr>
      <vt:lpstr>Currency</vt:lpstr>
      <vt:lpstr>DayCounter</vt:lpstr>
      <vt:lpstr>EvaluationDate</vt:lpstr>
      <vt:lpstr>GENERAL_SETTINGS</vt:lpstr>
      <vt:lpstr>IborType</vt:lpstr>
      <vt:lpstr>InterestRatesTrigger</vt:lpstr>
      <vt:lpstr>LastDayInNextYear</vt:lpstr>
      <vt:lpstr>LastDayInYear</vt:lpstr>
      <vt:lpstr>LastFixingsTrigger</vt:lpstr>
      <vt:lpstr>LastUpdate</vt:lpstr>
      <vt:lpstr>LiveDataFeed</vt:lpstr>
      <vt:lpstr>OisCurve</vt:lpstr>
      <vt:lpstr>OisEngine</vt:lpstr>
      <vt:lpstr>OvernightIndex</vt:lpstr>
      <vt:lpstr>SettlementDate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2008-10-02T09:42:40Z</cp:lastPrinted>
  <dcterms:created xsi:type="dcterms:W3CDTF">2007-10-30T15:41:10Z</dcterms:created>
  <dcterms:modified xsi:type="dcterms:W3CDTF">2014-02-11T13:56:33Z</dcterms:modified>
</cp:coreProperties>
</file>