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525" yWindow="15" windowWidth="18645" windowHeight="11700" tabRatio="879"/>
  </bookViews>
  <sheets>
    <sheet name="General Settings" sheetId="56" r:id="rId1"/>
    <sheet name="Libor" sheetId="6" r:id="rId2"/>
    <sheet name="Deposits" sheetId="15" r:id="rId3"/>
    <sheet name="FRA" sheetId="16" r:id="rId4"/>
    <sheet name="OIS" sheetId="22" r:id="rId5"/>
    <sheet name="Futures3M" sheetId="18" r:id="rId6"/>
    <sheet name="Swap1M" sheetId="23" r:id="rId7"/>
    <sheet name="Swap3M" sheetId="25" r:id="rId8"/>
    <sheet name="SwapIMM" sheetId="24" r:id="rId9"/>
    <sheet name="BasisSwap1MxM" sheetId="11" r:id="rId10"/>
    <sheet name="BasisSwap3M6M" sheetId="12" r:id="rId11"/>
    <sheet name="BasisSwapxM12M" sheetId="13" r:id="rId12"/>
    <sheet name="LiborSwapForBasisCalc" sheetId="63" r:id="rId13"/>
    <sheet name="FuturesHWConvAdj" sheetId="20" r:id="rId14"/>
  </sheets>
  <definedNames>
    <definedName name="Area">'General Settings'!$I$4</definedName>
    <definedName name="AreaIndex">'General Settings'!$I$5</definedName>
    <definedName name="AreaTable">'General Settings'!$L$3:$O$11</definedName>
    <definedName name="Calendar">'General Settings'!$D$23</definedName>
    <definedName name="Contributor" localSheetId="9">BasisSwap1MxM!$O$2</definedName>
    <definedName name="Contributor" localSheetId="10">BasisSwap3M6M!$O$2</definedName>
    <definedName name="Contributor" localSheetId="11">BasisSwapxM12M!$O$2</definedName>
    <definedName name="Contributor" localSheetId="3">FRA!$O$2</definedName>
    <definedName name="Contributor" localSheetId="4">OIS!$O$2</definedName>
    <definedName name="Contributor" localSheetId="7">Swap3M!$O$2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2">LiborSwapForBasisCalc!$F$3</definedName>
    <definedName name="FileName" localSheetId="12">LiborSwapForBasisCalc!$E$8</definedName>
    <definedName name="FileOverwrite">'General Settings'!$I$17</definedName>
    <definedName name="FixingType" localSheetId="12">LiborSwapForBasisCalc!$F$4</definedName>
    <definedName name="FixingType">'General Settings'!$D$17</definedName>
    <definedName name="FuturesCodes" localSheetId="5">Futures3M!$P$5:$P$46</definedName>
    <definedName name="FuturesDates" localSheetId="5">Futures3M!$Q$5:$Q$46</definedName>
    <definedName name="HolidayCheck">'General Settings'!$D$22</definedName>
    <definedName name="IborIndex" localSheetId="5">Futures3M!$I$3</definedName>
    <definedName name="Instrments" localSheetId="10">BasisSwap3M6M!$N$5:$N$42</definedName>
    <definedName name="Instruments" localSheetId="9">BasisSwap1MxM!$N$5:$N$42</definedName>
    <definedName name="Instruments" localSheetId="11">BasisSwapxM12M!$N$5:$N$42</definedName>
    <definedName name="Instruments" localSheetId="3">FRA!$N$5:$N$58</definedName>
    <definedName name="Instruments" localSheetId="4">OIS!$N$5:$N$58</definedName>
    <definedName name="Instruments" localSheetId="6">Swap1M!$N$5:$N$18</definedName>
    <definedName name="Instruments" localSheetId="7">Swap3M!$N$5:$N$42</definedName>
    <definedName name="Instruments" localSheetId="8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5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9">BasisSwap1MxM!$AA$5:$AA$42</definedName>
    <definedName name="Quote" localSheetId="10">BasisSwap3M6M!$AA$5:$AA$42</definedName>
    <definedName name="Quote" localSheetId="11">BasisSwapxM12M!$AA$5:$AA$42</definedName>
    <definedName name="Quote" localSheetId="2">Deposits!$Q$5:$Q$13</definedName>
    <definedName name="Quote" localSheetId="3">FRA!$Y$5:$Y$58</definedName>
    <definedName name="Quote" localSheetId="5">Futures3M!$AC$5:$AC$46</definedName>
    <definedName name="Quote" localSheetId="13">FuturesHWConvAdj!$T$5:$T$6</definedName>
    <definedName name="Quote" localSheetId="4">OIS!$Y$5:$Y$58</definedName>
    <definedName name="Quote" localSheetId="6">Swap1M!$Y$5:$Y$18</definedName>
    <definedName name="Quote" localSheetId="7">Swap3M!$Y$5:$Y$42</definedName>
    <definedName name="QuoteLive" localSheetId="9">BasisSwap1MxM!$W$5:$W$42</definedName>
    <definedName name="QuoteLive" localSheetId="10">BasisSwap3M6M!$W$5:$W$42</definedName>
    <definedName name="QuoteLive" localSheetId="11">BasisSwapxM12M!$W$5:$W$42</definedName>
    <definedName name="QuoteLive" localSheetId="2">Deposits!$M$5:$M$13</definedName>
    <definedName name="QuoteLive" localSheetId="3">FRA!$T$5:$T$58</definedName>
    <definedName name="QuoteLive" localSheetId="5">Futures3M!$X$5:$X$46</definedName>
    <definedName name="QuoteLive" localSheetId="13">FuturesHWConvAdj!$P$5:$P$6</definedName>
    <definedName name="QuoteLive" localSheetId="4">OIS!$T$5:$T$58</definedName>
    <definedName name="QuoteLive" localSheetId="6">Swap1M!$T$5:$T$18</definedName>
    <definedName name="QuoteLive" localSheetId="7">Swap3M!$T$5:$T$42</definedName>
    <definedName name="QuoteLive" localSheetId="8">SwapIMM!$T$5:$T$11</definedName>
    <definedName name="QuoteStatic" localSheetId="9">BasisSwap1MxM!$Y$5:$Y$42</definedName>
    <definedName name="QuoteStatic" localSheetId="10">BasisSwap3M6M!$Y$5:$Y$42</definedName>
    <definedName name="QuoteStatic" localSheetId="11">BasisSwapxM12M!$Y$5:$Y$42</definedName>
    <definedName name="QuoteStatic" localSheetId="2">Deposits!$O$5:$O$13</definedName>
    <definedName name="QuoteStatic" localSheetId="3">FRA!$W$5:$W$58</definedName>
    <definedName name="QuoteStatic" localSheetId="5">Futures3M!$AA$5:$AA$46</definedName>
    <definedName name="QuoteStatic" localSheetId="13">FuturesHWConvAdj!$R$5:$R$6</definedName>
    <definedName name="QuoteStatic" localSheetId="4">OIS!$W$5:$W$58</definedName>
    <definedName name="QuoteStatic" localSheetId="6">Swap1M!$W$5:$W$18</definedName>
    <definedName name="QuoteStatic" localSheetId="7">Swap3M!$W$5:$W$42</definedName>
    <definedName name="QuoteStatic" localSheetId="8">SwapIMM!$W$5:$W$11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>Swap3M!$Y$12</definedName>
    <definedName name="Trigger">'General Settings'!$D$4</definedName>
    <definedName name="TriggerCounter">'General Settings'!$D$7</definedName>
    <definedName name="Volatility" localSheetId="5">Futures3M!$I$1</definedName>
  </definedNames>
  <calcPr calcId="145621"/>
</workbook>
</file>

<file path=xl/calcChain.xml><?xml version="1.0" encoding="utf-8"?>
<calcChain xmlns="http://schemas.openxmlformats.org/spreadsheetml/2006/main">
  <c r="F42" i="25" l="1"/>
  <c r="F34" i="25"/>
  <c r="F26" i="25"/>
  <c r="F18" i="25"/>
  <c r="F10" i="25"/>
  <c r="F40" i="25"/>
  <c r="F24" i="25"/>
  <c r="F8" i="25"/>
  <c r="F31" i="25"/>
  <c r="F15" i="25"/>
  <c r="F38" i="25"/>
  <c r="F22" i="25"/>
  <c r="F14" i="25"/>
  <c r="F6" i="25"/>
  <c r="F29" i="25"/>
  <c r="F21" i="25"/>
  <c r="F13" i="25"/>
  <c r="F36" i="25"/>
  <c r="F20" i="25"/>
  <c r="F12" i="25"/>
  <c r="F27" i="25"/>
  <c r="F11" i="25"/>
  <c r="F41" i="25"/>
  <c r="F33" i="25"/>
  <c r="F25" i="25"/>
  <c r="F17" i="25"/>
  <c r="F9" i="25"/>
  <c r="F32" i="25"/>
  <c r="F16" i="25"/>
  <c r="F39" i="25"/>
  <c r="F23" i="25"/>
  <c r="F7" i="25"/>
  <c r="F30" i="25"/>
  <c r="F37" i="25"/>
  <c r="F28" i="25"/>
  <c r="F35" i="25"/>
  <c r="F19" i="25"/>
  <c r="F5" i="25"/>
  <c r="AA5" i="13" l="1" a="1"/>
  <c r="AA5" i="12" a="1"/>
  <c r="AA5" i="11" a="1"/>
  <c r="Y5" i="25" a="1"/>
  <c r="Y5" i="23" a="1"/>
  <c r="AC5" i="18" a="1"/>
  <c r="Y5" i="22" a="1"/>
  <c r="Y5" i="16" a="1"/>
  <c r="Q5" i="15" a="1"/>
  <c r="Q5" i="15"/>
  <c r="Q6" i="15"/>
  <c r="Q7" i="15"/>
  <c r="T7" i="16" l="1"/>
  <c r="Y7" i="16" s="1"/>
  <c r="U7" i="16"/>
  <c r="T8" i="16"/>
  <c r="Y8" i="16" s="1"/>
  <c r="U8" i="16"/>
  <c r="T9" i="16"/>
  <c r="Y9" i="16" s="1"/>
  <c r="U9" i="16"/>
  <c r="T10" i="16"/>
  <c r="Y10" i="16" s="1"/>
  <c r="U10" i="16"/>
  <c r="T11" i="16"/>
  <c r="Y11" i="16" s="1"/>
  <c r="U11" i="16"/>
  <c r="T12" i="16"/>
  <c r="Y12" i="16" s="1"/>
  <c r="U12" i="16"/>
  <c r="T13" i="16"/>
  <c r="Y13" i="16" s="1"/>
  <c r="U13" i="16"/>
  <c r="T14" i="16"/>
  <c r="Y14" i="16" s="1"/>
  <c r="U14" i="16"/>
  <c r="T15" i="16"/>
  <c r="Y15" i="16" s="1"/>
  <c r="U15" i="16"/>
  <c r="L10" i="16"/>
  <c r="K10" i="16" s="1"/>
  <c r="N10" i="16" s="1"/>
  <c r="L11" i="16"/>
  <c r="K11" i="16" s="1"/>
  <c r="N11" i="16" s="1"/>
  <c r="L12" i="16"/>
  <c r="L13" i="16"/>
  <c r="K13" i="16" s="1"/>
  <c r="N13" i="16" s="1"/>
  <c r="L14" i="16"/>
  <c r="K14" i="16" s="1"/>
  <c r="N14" i="16" s="1"/>
  <c r="K15" i="16"/>
  <c r="N15" i="16" s="1"/>
  <c r="L15" i="16"/>
  <c r="L16" i="16"/>
  <c r="K16" i="16" s="1"/>
  <c r="N16" i="16" s="1"/>
  <c r="E10" i="16"/>
  <c r="E11" i="16"/>
  <c r="E12" i="16"/>
  <c r="E13" i="16"/>
  <c r="E14" i="16"/>
  <c r="E15" i="16"/>
  <c r="E16" i="16"/>
  <c r="T46" i="16"/>
  <c r="Y46" i="16" s="1"/>
  <c r="U46" i="16"/>
  <c r="T47" i="16"/>
  <c r="Y47" i="16" s="1"/>
  <c r="U47" i="16"/>
  <c r="T48" i="16"/>
  <c r="Y48" i="16" s="1"/>
  <c r="U48" i="16"/>
  <c r="T49" i="16"/>
  <c r="Y49" i="16" s="1"/>
  <c r="U49" i="16"/>
  <c r="T50" i="16"/>
  <c r="Y50" i="16" s="1"/>
  <c r="U50" i="16"/>
  <c r="T51" i="16"/>
  <c r="Y51" i="16" s="1"/>
  <c r="U51" i="16"/>
  <c r="T52" i="16"/>
  <c r="Y52" i="16" s="1"/>
  <c r="U52" i="16"/>
  <c r="T53" i="16"/>
  <c r="Y53" i="16" s="1"/>
  <c r="U53" i="16"/>
  <c r="T54" i="16"/>
  <c r="Y54" i="16" s="1"/>
  <c r="U54" i="16"/>
  <c r="T55" i="16"/>
  <c r="Y55" i="16" s="1"/>
  <c r="U55" i="16"/>
  <c r="T56" i="16"/>
  <c r="Y56" i="16" s="1"/>
  <c r="U56" i="16"/>
  <c r="T57" i="16"/>
  <c r="Y57" i="16" s="1"/>
  <c r="U57" i="16"/>
  <c r="L58" i="16"/>
  <c r="K58" i="16" s="1"/>
  <c r="N58" i="16" s="1"/>
  <c r="L46" i="16"/>
  <c r="K46" i="16" s="1"/>
  <c r="N46" i="16" s="1"/>
  <c r="L47" i="16"/>
  <c r="K47" i="16" s="1"/>
  <c r="K48" i="16"/>
  <c r="L48" i="16"/>
  <c r="N48" i="16" s="1"/>
  <c r="L49" i="16"/>
  <c r="K49" i="16" s="1"/>
  <c r="N49" i="16" s="1"/>
  <c r="K50" i="16"/>
  <c r="L50" i="16"/>
  <c r="N50" i="16"/>
  <c r="K51" i="16"/>
  <c r="L51" i="16"/>
  <c r="N51" i="16" s="1"/>
  <c r="L52" i="16"/>
  <c r="K52" i="16" s="1"/>
  <c r="L53" i="16"/>
  <c r="K53" i="16" s="1"/>
  <c r="K54" i="16"/>
  <c r="L54" i="16"/>
  <c r="N54" i="16"/>
  <c r="L55" i="16"/>
  <c r="K55" i="16" s="1"/>
  <c r="K56" i="16"/>
  <c r="L56" i="16"/>
  <c r="N56" i="16" s="1"/>
  <c r="L57" i="16"/>
  <c r="K57" i="16" s="1"/>
  <c r="N57" i="16" s="1"/>
  <c r="F13" i="16"/>
  <c r="F46" i="16"/>
  <c r="F10" i="16"/>
  <c r="F11" i="16"/>
  <c r="F12" i="16"/>
  <c r="F16" i="16"/>
  <c r="F14" i="16"/>
  <c r="F15" i="16"/>
  <c r="Z46" i="16"/>
  <c r="Z10" i="16"/>
  <c r="Z15" i="16"/>
  <c r="Z13" i="16"/>
  <c r="Z14" i="16"/>
  <c r="Z12" i="16"/>
  <c r="Z11" i="16"/>
  <c r="K12" i="16" l="1"/>
  <c r="N12" i="16" s="1"/>
  <c r="N53" i="16"/>
  <c r="N55" i="16"/>
  <c r="N47" i="16"/>
  <c r="N52" i="16"/>
  <c r="E57" i="16"/>
  <c r="E56" i="16"/>
  <c r="E55" i="16"/>
  <c r="E54" i="16"/>
  <c r="E53" i="16"/>
  <c r="E52" i="16"/>
  <c r="E51" i="16"/>
  <c r="E50" i="16"/>
  <c r="E49" i="16"/>
  <c r="E48" i="16"/>
  <c r="E47" i="16"/>
  <c r="E46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36" i="16"/>
  <c r="E36" i="16"/>
  <c r="G46" i="16"/>
  <c r="F51" i="16"/>
  <c r="F47" i="16"/>
  <c r="G13" i="16"/>
  <c r="G10" i="16"/>
  <c r="G11" i="16"/>
  <c r="F50" i="16"/>
  <c r="F57" i="16"/>
  <c r="F54" i="16"/>
  <c r="G15" i="16"/>
  <c r="F48" i="16"/>
  <c r="F36" i="16"/>
  <c r="F55" i="16"/>
  <c r="G14" i="16"/>
  <c r="F53" i="16"/>
  <c r="F49" i="16"/>
  <c r="F56" i="16"/>
  <c r="G12" i="16"/>
  <c r="G16" i="16"/>
  <c r="F52" i="16"/>
  <c r="Z51" i="16"/>
  <c r="Z55" i="16"/>
  <c r="Z56" i="16"/>
  <c r="Z50" i="16"/>
  <c r="Z54" i="16"/>
  <c r="Z57" i="16"/>
  <c r="Z47" i="16"/>
  <c r="Z49" i="16"/>
  <c r="Z48" i="16"/>
  <c r="Z52" i="16"/>
  <c r="Z53" i="16"/>
  <c r="D37" i="16" l="1"/>
  <c r="E37" i="16"/>
  <c r="D38" i="16"/>
  <c r="E38" i="16"/>
  <c r="D39" i="16"/>
  <c r="E39" i="16"/>
  <c r="D40" i="16"/>
  <c r="E40" i="16"/>
  <c r="D41" i="16"/>
  <c r="E41" i="16"/>
  <c r="D42" i="16"/>
  <c r="E42" i="16"/>
  <c r="D43" i="16"/>
  <c r="E43" i="16"/>
  <c r="D44" i="16"/>
  <c r="E44" i="16"/>
  <c r="D45" i="16"/>
  <c r="E45" i="16"/>
  <c r="D58" i="16"/>
  <c r="E58" i="16"/>
  <c r="T58" i="16"/>
  <c r="Y58" i="16" s="1"/>
  <c r="T45" i="16"/>
  <c r="Y45" i="16" s="1"/>
  <c r="T44" i="16"/>
  <c r="Y44" i="16" s="1"/>
  <c r="T43" i="16"/>
  <c r="Y43" i="16" s="1"/>
  <c r="T42" i="16"/>
  <c r="Y42" i="16" s="1"/>
  <c r="T41" i="16"/>
  <c r="Y41" i="16" s="1"/>
  <c r="T40" i="16"/>
  <c r="Y40" i="16" s="1"/>
  <c r="T39" i="16"/>
  <c r="Y39" i="16" s="1"/>
  <c r="T38" i="16"/>
  <c r="Y38" i="16" s="1"/>
  <c r="T37" i="16"/>
  <c r="Y37" i="16" s="1"/>
  <c r="T36" i="16"/>
  <c r="Y36" i="16" s="1"/>
  <c r="T35" i="16"/>
  <c r="Y35" i="16" s="1"/>
  <c r="T34" i="16"/>
  <c r="Y34" i="16" s="1"/>
  <c r="T33" i="16"/>
  <c r="Y33" i="16" s="1"/>
  <c r="T32" i="16"/>
  <c r="Y32" i="16" s="1"/>
  <c r="T31" i="16"/>
  <c r="Y31" i="16" s="1"/>
  <c r="T30" i="16"/>
  <c r="Y30" i="16" s="1"/>
  <c r="T29" i="16"/>
  <c r="Y29" i="16" s="1"/>
  <c r="T28" i="16"/>
  <c r="Y28" i="16" s="1"/>
  <c r="T27" i="16"/>
  <c r="Y27" i="16" s="1"/>
  <c r="T26" i="16"/>
  <c r="Y26" i="16" s="1"/>
  <c r="T25" i="16"/>
  <c r="Y25" i="16" s="1"/>
  <c r="T24" i="16"/>
  <c r="Y24" i="16" s="1"/>
  <c r="T23" i="16"/>
  <c r="Y23" i="16" s="1"/>
  <c r="T22" i="16"/>
  <c r="Y22" i="16" s="1"/>
  <c r="T21" i="16"/>
  <c r="Y21" i="16" s="1"/>
  <c r="T20" i="16"/>
  <c r="Y20" i="16" s="1"/>
  <c r="T19" i="16"/>
  <c r="Y19" i="16" s="1"/>
  <c r="T18" i="16"/>
  <c r="Y18" i="16" s="1"/>
  <c r="T17" i="16"/>
  <c r="Y17" i="16" s="1"/>
  <c r="T16" i="16"/>
  <c r="Y16" i="16" s="1"/>
  <c r="T6" i="16"/>
  <c r="Y6" i="16" s="1"/>
  <c r="U58" i="16"/>
  <c r="U45" i="16"/>
  <c r="U44" i="16"/>
  <c r="U43" i="16"/>
  <c r="U42" i="16"/>
  <c r="U41" i="16"/>
  <c r="U40" i="16"/>
  <c r="U39" i="16"/>
  <c r="U38" i="16"/>
  <c r="U37" i="16"/>
  <c r="U36" i="16"/>
  <c r="U35" i="16"/>
  <c r="U34" i="16"/>
  <c r="U33" i="16"/>
  <c r="U32" i="16"/>
  <c r="U31" i="16"/>
  <c r="U30" i="16"/>
  <c r="U29" i="16"/>
  <c r="U28" i="16"/>
  <c r="U27" i="16"/>
  <c r="U26" i="16"/>
  <c r="U25" i="16"/>
  <c r="U24" i="16"/>
  <c r="U23" i="16"/>
  <c r="U22" i="16"/>
  <c r="U21" i="16"/>
  <c r="U20" i="16"/>
  <c r="U19" i="16"/>
  <c r="U18" i="16"/>
  <c r="U17" i="16"/>
  <c r="U16" i="16"/>
  <c r="U6" i="16"/>
  <c r="L29" i="16"/>
  <c r="K29" i="16" s="1"/>
  <c r="N29" i="16" s="1"/>
  <c r="L30" i="16"/>
  <c r="K30" i="16" s="1"/>
  <c r="N30" i="16" s="1"/>
  <c r="L31" i="16"/>
  <c r="L32" i="16"/>
  <c r="K32" i="16" s="1"/>
  <c r="N32" i="16" s="1"/>
  <c r="L33" i="16"/>
  <c r="K33" i="16" s="1"/>
  <c r="N33" i="16" s="1"/>
  <c r="E23" i="16"/>
  <c r="E24" i="16"/>
  <c r="E25" i="16"/>
  <c r="E26" i="16"/>
  <c r="E27" i="16"/>
  <c r="E28" i="16"/>
  <c r="E29" i="16"/>
  <c r="E30" i="16"/>
  <c r="E31" i="16"/>
  <c r="E32" i="16"/>
  <c r="E33" i="16"/>
  <c r="E34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L23" i="16"/>
  <c r="L24" i="16"/>
  <c r="K24" i="16" s="1"/>
  <c r="L25" i="16"/>
  <c r="K25" i="16" s="1"/>
  <c r="L26" i="16"/>
  <c r="K26" i="16" s="1"/>
  <c r="N26" i="16" s="1"/>
  <c r="L27" i="16"/>
  <c r="F37" i="16"/>
  <c r="F39" i="16"/>
  <c r="G53" i="16"/>
  <c r="G48" i="16"/>
  <c r="F25" i="16"/>
  <c r="F24" i="16"/>
  <c r="F29" i="16"/>
  <c r="F31" i="16"/>
  <c r="G47" i="16"/>
  <c r="F58" i="16"/>
  <c r="F40" i="16"/>
  <c r="F30" i="16"/>
  <c r="G49" i="16"/>
  <c r="G56" i="16"/>
  <c r="F41" i="16"/>
  <c r="F44" i="16"/>
  <c r="F45" i="16"/>
  <c r="G57" i="16"/>
  <c r="G55" i="16"/>
  <c r="G54" i="16"/>
  <c r="F38" i="16"/>
  <c r="F23" i="16"/>
  <c r="F42" i="16"/>
  <c r="F27" i="16"/>
  <c r="G50" i="16"/>
  <c r="G52" i="16"/>
  <c r="F28" i="16"/>
  <c r="F32" i="16"/>
  <c r="F43" i="16"/>
  <c r="G51" i="16"/>
  <c r="G36" i="16"/>
  <c r="F33" i="16"/>
  <c r="F26" i="16"/>
  <c r="F34" i="16"/>
  <c r="K31" i="16" l="1"/>
  <c r="N31" i="16" s="1"/>
  <c r="K27" i="16"/>
  <c r="N27" i="16" s="1"/>
  <c r="K23" i="16"/>
  <c r="N23" i="16" s="1"/>
  <c r="N25" i="16"/>
  <c r="N24" i="16"/>
  <c r="G43" i="16"/>
  <c r="G45" i="16"/>
  <c r="G23" i="16"/>
  <c r="G41" i="16"/>
  <c r="G30" i="16"/>
  <c r="G32" i="16"/>
  <c r="G39" i="16"/>
  <c r="G33" i="16"/>
  <c r="G58" i="16"/>
  <c r="G27" i="16"/>
  <c r="G25" i="16"/>
  <c r="G40" i="16"/>
  <c r="G31" i="16"/>
  <c r="G34" i="16"/>
  <c r="G38" i="16"/>
  <c r="G28" i="16"/>
  <c r="G42" i="16"/>
  <c r="G44" i="16"/>
  <c r="G37" i="16"/>
  <c r="G24" i="16"/>
  <c r="G29" i="16"/>
  <c r="G26" i="16"/>
  <c r="Z32" i="16"/>
  <c r="Z33" i="16"/>
  <c r="Z24" i="16"/>
  <c r="Z23" i="16"/>
  <c r="Z31" i="16"/>
  <c r="Z30" i="16"/>
  <c r="Z26" i="16"/>
  <c r="Z29" i="16"/>
  <c r="Z27" i="16"/>
  <c r="D21" i="56" l="1"/>
  <c r="T5" i="16"/>
  <c r="Y5" i="16" s="1"/>
  <c r="T6" i="24"/>
  <c r="T7" i="24"/>
  <c r="T8" i="24"/>
  <c r="T9" i="24"/>
  <c r="T10" i="24"/>
  <c r="T11" i="24"/>
  <c r="T5" i="24"/>
  <c r="T6" i="25"/>
  <c r="Y6" i="25" s="1"/>
  <c r="T7" i="25"/>
  <c r="Y7" i="25" s="1"/>
  <c r="T8" i="25"/>
  <c r="Y8" i="25" s="1"/>
  <c r="T9" i="25"/>
  <c r="Y9" i="25" s="1"/>
  <c r="T10" i="25"/>
  <c r="Y10" i="25" s="1"/>
  <c r="T11" i="25"/>
  <c r="Y11" i="25" s="1"/>
  <c r="T12" i="25"/>
  <c r="Y12" i="25" s="1"/>
  <c r="T13" i="25"/>
  <c r="Y13" i="25" s="1"/>
  <c r="T14" i="25"/>
  <c r="Y14" i="25" s="1"/>
  <c r="T15" i="25"/>
  <c r="Y15" i="25" s="1"/>
  <c r="T16" i="25"/>
  <c r="Y16" i="25" s="1"/>
  <c r="T17" i="25"/>
  <c r="Y17" i="25" s="1"/>
  <c r="T18" i="25"/>
  <c r="Y18" i="25" s="1"/>
  <c r="T19" i="25"/>
  <c r="Y19" i="25" s="1"/>
  <c r="T20" i="25"/>
  <c r="Y20" i="25" s="1"/>
  <c r="T21" i="25"/>
  <c r="Y21" i="25" s="1"/>
  <c r="T22" i="25"/>
  <c r="Y22" i="25" s="1"/>
  <c r="T23" i="25"/>
  <c r="Y23" i="25" s="1"/>
  <c r="T24" i="25"/>
  <c r="Y24" i="25" s="1"/>
  <c r="T25" i="25"/>
  <c r="Y25" i="25" s="1"/>
  <c r="T26" i="25"/>
  <c r="Y26" i="25" s="1"/>
  <c r="T27" i="25"/>
  <c r="Y27" i="25" s="1"/>
  <c r="T28" i="25"/>
  <c r="Y28" i="25" s="1"/>
  <c r="T29" i="25"/>
  <c r="Y29" i="25" s="1"/>
  <c r="T30" i="25"/>
  <c r="Y30" i="25" s="1"/>
  <c r="T31" i="25"/>
  <c r="Y31" i="25" s="1"/>
  <c r="T32" i="25"/>
  <c r="Y32" i="25" s="1"/>
  <c r="T33" i="25"/>
  <c r="Y33" i="25" s="1"/>
  <c r="T34" i="25"/>
  <c r="Y34" i="25" s="1"/>
  <c r="T35" i="25"/>
  <c r="Y35" i="25" s="1"/>
  <c r="T36" i="25"/>
  <c r="Y36" i="25" s="1"/>
  <c r="T37" i="25"/>
  <c r="Y37" i="25" s="1"/>
  <c r="T38" i="25"/>
  <c r="Y38" i="25" s="1"/>
  <c r="T39" i="25"/>
  <c r="Y39" i="25" s="1"/>
  <c r="T40" i="25"/>
  <c r="Y40" i="25" s="1"/>
  <c r="T41" i="25"/>
  <c r="Y41" i="25" s="1"/>
  <c r="T42" i="25"/>
  <c r="Y42" i="25" s="1"/>
  <c r="T5" i="25"/>
  <c r="Y5" i="25" s="1"/>
  <c r="T6" i="23"/>
  <c r="Y6" i="23" s="1"/>
  <c r="T7" i="23"/>
  <c r="Y7" i="23" s="1"/>
  <c r="T8" i="23"/>
  <c r="Y8" i="23" s="1"/>
  <c r="T9" i="23"/>
  <c r="Y9" i="23" s="1"/>
  <c r="T10" i="23"/>
  <c r="Y10" i="23" s="1"/>
  <c r="T11" i="23"/>
  <c r="Y11" i="23" s="1"/>
  <c r="T12" i="23"/>
  <c r="Y12" i="23" s="1"/>
  <c r="T13" i="23"/>
  <c r="Y13" i="23" s="1"/>
  <c r="T14" i="23"/>
  <c r="Y14" i="23" s="1"/>
  <c r="T15" i="23"/>
  <c r="Y15" i="23" s="1"/>
  <c r="T16" i="23"/>
  <c r="Y16" i="23" s="1"/>
  <c r="T17" i="23"/>
  <c r="Y17" i="23" s="1"/>
  <c r="T18" i="23"/>
  <c r="Y18" i="23" s="1"/>
  <c r="T5" i="23"/>
  <c r="Y5" i="23" s="1"/>
  <c r="T6" i="22"/>
  <c r="Y6" i="22" s="1"/>
  <c r="T7" i="22"/>
  <c r="Y7" i="22" s="1"/>
  <c r="T8" i="22"/>
  <c r="Y8" i="22" s="1"/>
  <c r="T9" i="22"/>
  <c r="Y9" i="22" s="1"/>
  <c r="T10" i="22"/>
  <c r="Y10" i="22" s="1"/>
  <c r="T11" i="22"/>
  <c r="Y11" i="22" s="1"/>
  <c r="T12" i="22"/>
  <c r="Y12" i="22" s="1"/>
  <c r="T13" i="22"/>
  <c r="Y13" i="22" s="1"/>
  <c r="T14" i="22"/>
  <c r="Y14" i="22" s="1"/>
  <c r="T15" i="22"/>
  <c r="Y15" i="22" s="1"/>
  <c r="T16" i="22"/>
  <c r="Y16" i="22" s="1"/>
  <c r="T17" i="22"/>
  <c r="Y17" i="22" s="1"/>
  <c r="T18" i="22"/>
  <c r="Y18" i="22" s="1"/>
  <c r="T19" i="22"/>
  <c r="Y19" i="22" s="1"/>
  <c r="T20" i="22"/>
  <c r="Y20" i="22" s="1"/>
  <c r="T21" i="22"/>
  <c r="Y21" i="22" s="1"/>
  <c r="T22" i="22"/>
  <c r="Y22" i="22" s="1"/>
  <c r="T23" i="22"/>
  <c r="Y23" i="22" s="1"/>
  <c r="T24" i="22"/>
  <c r="Y24" i="22" s="1"/>
  <c r="T25" i="22"/>
  <c r="Y25" i="22" s="1"/>
  <c r="T26" i="22"/>
  <c r="Y26" i="22" s="1"/>
  <c r="T27" i="22"/>
  <c r="Y27" i="22" s="1"/>
  <c r="T28" i="22"/>
  <c r="Y28" i="22" s="1"/>
  <c r="T29" i="22"/>
  <c r="Y29" i="22" s="1"/>
  <c r="T30" i="22"/>
  <c r="Y30" i="22" s="1"/>
  <c r="T31" i="22"/>
  <c r="Y31" i="22" s="1"/>
  <c r="T32" i="22"/>
  <c r="Y32" i="22" s="1"/>
  <c r="T33" i="22"/>
  <c r="Y33" i="22" s="1"/>
  <c r="T34" i="22"/>
  <c r="Y34" i="22" s="1"/>
  <c r="T35" i="22"/>
  <c r="Y35" i="22" s="1"/>
  <c r="T36" i="22"/>
  <c r="Y36" i="22" s="1"/>
  <c r="T37" i="22"/>
  <c r="Y37" i="22" s="1"/>
  <c r="T38" i="22"/>
  <c r="Y38" i="22" s="1"/>
  <c r="T39" i="22"/>
  <c r="Y39" i="22" s="1"/>
  <c r="T40" i="22"/>
  <c r="Y40" i="22" s="1"/>
  <c r="T41" i="22"/>
  <c r="Y41" i="22" s="1"/>
  <c r="T42" i="22"/>
  <c r="Y42" i="22" s="1"/>
  <c r="T43" i="22"/>
  <c r="Y43" i="22" s="1"/>
  <c r="T44" i="22"/>
  <c r="Y44" i="22" s="1"/>
  <c r="T45" i="22"/>
  <c r="Y45" i="22" s="1"/>
  <c r="T46" i="22"/>
  <c r="Y46" i="22" s="1"/>
  <c r="T47" i="22"/>
  <c r="Y47" i="22" s="1"/>
  <c r="T48" i="22"/>
  <c r="Y48" i="22" s="1"/>
  <c r="T49" i="22"/>
  <c r="Y49" i="22" s="1"/>
  <c r="T50" i="22"/>
  <c r="Y50" i="22" s="1"/>
  <c r="T51" i="22"/>
  <c r="Y51" i="22" s="1"/>
  <c r="T52" i="22"/>
  <c r="Y52" i="22" s="1"/>
  <c r="T53" i="22"/>
  <c r="Y53" i="22" s="1"/>
  <c r="T54" i="22"/>
  <c r="Y54" i="22" s="1"/>
  <c r="T55" i="22"/>
  <c r="Y55" i="22" s="1"/>
  <c r="T56" i="22"/>
  <c r="Y56" i="22" s="1"/>
  <c r="T57" i="22"/>
  <c r="Y57" i="22" s="1"/>
  <c r="T58" i="22"/>
  <c r="Y58" i="22" s="1"/>
  <c r="T5" i="22"/>
  <c r="Y5" i="22" s="1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D22" i="56"/>
  <c r="Z34" i="16"/>
  <c r="Z25" i="16"/>
  <c r="Z28" i="16"/>
  <c r="D23" i="56" l="1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U6" i="24"/>
  <c r="U7" i="24"/>
  <c r="U8" i="24"/>
  <c r="U9" i="24"/>
  <c r="U10" i="24"/>
  <c r="U11" i="24"/>
  <c r="U5" i="24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5" i="25"/>
  <c r="U6" i="22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" i="22"/>
  <c r="U6" i="23"/>
  <c r="U7" i="23"/>
  <c r="U8" i="23"/>
  <c r="U9" i="23"/>
  <c r="U10" i="23"/>
  <c r="U11" i="23"/>
  <c r="U12" i="23"/>
  <c r="U13" i="23"/>
  <c r="U14" i="23"/>
  <c r="U15" i="23"/>
  <c r="U16" i="23"/>
  <c r="U17" i="23"/>
  <c r="U18" i="23"/>
  <c r="U5" i="23"/>
  <c r="U5" i="16"/>
  <c r="E5" i="25" l="1"/>
  <c r="G5" i="25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5" i="22"/>
  <c r="F30" i="22"/>
  <c r="F42" i="22"/>
  <c r="F27" i="22"/>
  <c r="F18" i="22"/>
  <c r="F13" i="22"/>
  <c r="F24" i="22"/>
  <c r="F12" i="22"/>
  <c r="F51" i="22"/>
  <c r="F41" i="22"/>
  <c r="F34" i="22"/>
  <c r="F16" i="22"/>
  <c r="F36" i="22"/>
  <c r="F22" i="22"/>
  <c r="F50" i="22"/>
  <c r="F21" i="22"/>
  <c r="F28" i="22"/>
  <c r="F25" i="22"/>
  <c r="F43" i="22"/>
  <c r="F35" i="22"/>
  <c r="F57" i="22"/>
  <c r="F8" i="22"/>
  <c r="F38" i="22"/>
  <c r="F48" i="22"/>
  <c r="F9" i="22"/>
  <c r="F11" i="22"/>
  <c r="F6" i="22"/>
  <c r="F23" i="22"/>
  <c r="F7" i="22"/>
  <c r="F32" i="22"/>
  <c r="F19" i="22"/>
  <c r="F53" i="22"/>
  <c r="F39" i="22"/>
  <c r="F49" i="22"/>
  <c r="F14" i="22"/>
  <c r="F45" i="22"/>
  <c r="F20" i="22"/>
  <c r="F10" i="22"/>
  <c r="F40" i="22"/>
  <c r="F46" i="22"/>
  <c r="F52" i="22"/>
  <c r="F56" i="22"/>
  <c r="F31" i="22"/>
  <c r="F44" i="22"/>
  <c r="F55" i="22"/>
  <c r="F47" i="22"/>
  <c r="F58" i="22"/>
  <c r="F26" i="22"/>
  <c r="F15" i="22"/>
  <c r="F29" i="22"/>
  <c r="F54" i="22"/>
  <c r="F37" i="22"/>
  <c r="F33" i="22"/>
  <c r="F17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L2" i="15" s="1"/>
  <c r="O2" i="23" l="1"/>
  <c r="O2" i="25"/>
  <c r="O2" i="11"/>
  <c r="O2" i="12"/>
  <c r="O2" i="22"/>
  <c r="O2" i="16"/>
  <c r="O2" i="13"/>
  <c r="O2" i="24"/>
  <c r="M9" i="15"/>
  <c r="Q9" i="15" s="1"/>
  <c r="M10" i="15"/>
  <c r="Q10" i="15" s="1"/>
  <c r="M11" i="15"/>
  <c r="Q11" i="15" s="1"/>
  <c r="M12" i="15"/>
  <c r="Q12" i="15" s="1"/>
  <c r="M13" i="15"/>
  <c r="Q13" i="15" s="1"/>
  <c r="M8" i="15"/>
  <c r="Q8" i="15" s="1"/>
  <c r="D28" i="56"/>
  <c r="N6" i="11" l="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K14" i="23"/>
  <c r="B14" i="23" s="1"/>
  <c r="K6" i="23"/>
  <c r="B6" i="23" s="1"/>
  <c r="L12" i="23"/>
  <c r="M7" i="23"/>
  <c r="D7" i="23" s="1"/>
  <c r="M15" i="23"/>
  <c r="D15" i="23" s="1"/>
  <c r="K11" i="23"/>
  <c r="B11" i="23" s="1"/>
  <c r="L17" i="23"/>
  <c r="M18" i="23"/>
  <c r="D18" i="23" s="1"/>
  <c r="M11" i="23"/>
  <c r="D11" i="23" s="1"/>
  <c r="K17" i="23"/>
  <c r="B17" i="23" s="1"/>
  <c r="L7" i="23"/>
  <c r="L5" i="23"/>
  <c r="K8" i="23"/>
  <c r="B8" i="23" s="1"/>
  <c r="M13" i="23"/>
  <c r="D13" i="23" s="1"/>
  <c r="L13" i="23"/>
  <c r="K13" i="23"/>
  <c r="B13" i="23" s="1"/>
  <c r="K5" i="23"/>
  <c r="B5" i="23" s="1"/>
  <c r="L11" i="23"/>
  <c r="M8" i="23"/>
  <c r="D8" i="23" s="1"/>
  <c r="M16" i="23"/>
  <c r="D16" i="23" s="1"/>
  <c r="L9" i="23"/>
  <c r="K18" i="23"/>
  <c r="B18" i="23" s="1"/>
  <c r="L8" i="23"/>
  <c r="K9" i="23"/>
  <c r="B9" i="23" s="1"/>
  <c r="L15" i="23"/>
  <c r="K16" i="23"/>
  <c r="B16" i="23" s="1"/>
  <c r="L14" i="23"/>
  <c r="K15" i="23"/>
  <c r="B15" i="23" s="1"/>
  <c r="M6" i="23"/>
  <c r="D6" i="23" s="1"/>
  <c r="K12" i="23"/>
  <c r="B12" i="23" s="1"/>
  <c r="L18" i="23"/>
  <c r="L10" i="23"/>
  <c r="M9" i="23"/>
  <c r="D9" i="23" s="1"/>
  <c r="M17" i="23"/>
  <c r="D17" i="23" s="1"/>
  <c r="M10" i="23"/>
  <c r="D10" i="23" s="1"/>
  <c r="K10" i="23"/>
  <c r="B10" i="23" s="1"/>
  <c r="L16" i="23"/>
  <c r="M5" i="23"/>
  <c r="D5" i="23" s="1"/>
  <c r="M12" i="23"/>
  <c r="D12" i="23" s="1"/>
  <c r="L6" i="23"/>
  <c r="K7" i="23"/>
  <c r="B7" i="23" s="1"/>
  <c r="M14" i="23"/>
  <c r="D14" i="23" s="1"/>
  <c r="N13" i="12"/>
  <c r="N21" i="12"/>
  <c r="N29" i="12"/>
  <c r="N37" i="12"/>
  <c r="N6" i="12"/>
  <c r="N14" i="12"/>
  <c r="N22" i="12"/>
  <c r="N30" i="12"/>
  <c r="N38" i="12"/>
  <c r="N7" i="12"/>
  <c r="N15" i="12"/>
  <c r="N23" i="12"/>
  <c r="N31" i="12"/>
  <c r="N39" i="12"/>
  <c r="N8" i="12"/>
  <c r="N16" i="12"/>
  <c r="N32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24" i="12"/>
  <c r="N40" i="12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7" i="24"/>
  <c r="F11" i="24"/>
  <c r="F8" i="24"/>
  <c r="F9" i="24"/>
  <c r="F10" i="24"/>
  <c r="F5" i="24"/>
  <c r="F6" i="24"/>
  <c r="F19" i="6"/>
  <c r="N6" i="23" l="1"/>
  <c r="C6" i="23"/>
  <c r="N10" i="23"/>
  <c r="C10" i="23"/>
  <c r="N18" i="23"/>
  <c r="C18" i="23"/>
  <c r="N8" i="23"/>
  <c r="C8" i="23"/>
  <c r="N13" i="23"/>
  <c r="C13" i="23"/>
  <c r="N17" i="23"/>
  <c r="C17" i="23"/>
  <c r="N16" i="23"/>
  <c r="C16" i="23"/>
  <c r="N9" i="23"/>
  <c r="C9" i="23"/>
  <c r="N5" i="23"/>
  <c r="C5" i="23"/>
  <c r="N14" i="23"/>
  <c r="C14" i="23"/>
  <c r="N7" i="23"/>
  <c r="C7" i="23"/>
  <c r="N12" i="23"/>
  <c r="C12" i="23"/>
  <c r="N11" i="23"/>
  <c r="C11" i="23"/>
  <c r="N15" i="23"/>
  <c r="C15" i="23"/>
  <c r="O5" i="12" a="1"/>
  <c r="F16" i="23"/>
  <c r="F17" i="23"/>
  <c r="F18" i="23"/>
  <c r="E16" i="23" l="1"/>
  <c r="E18" i="23"/>
  <c r="E17" i="23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G17" i="23"/>
  <c r="G18" i="23"/>
  <c r="G16" i="23"/>
  <c r="L35" i="16" l="1"/>
  <c r="L36" i="16"/>
  <c r="L37" i="16"/>
  <c r="L38" i="16"/>
  <c r="K38" i="16" s="1"/>
  <c r="L39" i="16"/>
  <c r="K39" i="16" s="1"/>
  <c r="N39" i="16" s="1"/>
  <c r="L40" i="16"/>
  <c r="L41" i="16"/>
  <c r="K41" i="16" s="1"/>
  <c r="L42" i="16"/>
  <c r="K42" i="16" s="1"/>
  <c r="L43" i="16"/>
  <c r="K43" i="16" s="1"/>
  <c r="L44" i="16"/>
  <c r="L45" i="16"/>
  <c r="K45" i="16" s="1"/>
  <c r="K36" i="16"/>
  <c r="D35" i="16"/>
  <c r="E35" i="16" s="1"/>
  <c r="X37" i="18"/>
  <c r="X26" i="18"/>
  <c r="X19" i="18"/>
  <c r="X38" i="18"/>
  <c r="X45" i="18"/>
  <c r="X16" i="18"/>
  <c r="X25" i="18"/>
  <c r="X11" i="18"/>
  <c r="X24" i="18"/>
  <c r="X29" i="18"/>
  <c r="X31" i="18"/>
  <c r="X35" i="18"/>
  <c r="X22" i="18"/>
  <c r="X6" i="18"/>
  <c r="X10" i="18"/>
  <c r="X18" i="18"/>
  <c r="X39" i="18"/>
  <c r="X41" i="18"/>
  <c r="X14" i="18"/>
  <c r="X40" i="18"/>
  <c r="X32" i="18"/>
  <c r="X15" i="18"/>
  <c r="X8" i="18"/>
  <c r="X34" i="18"/>
  <c r="X42" i="18"/>
  <c r="X17" i="18"/>
  <c r="X5" i="18"/>
  <c r="X30" i="18"/>
  <c r="X43" i="18"/>
  <c r="X28" i="18"/>
  <c r="X23" i="18"/>
  <c r="X33" i="18"/>
  <c r="X12" i="18"/>
  <c r="X21" i="18"/>
  <c r="X13" i="18"/>
  <c r="X7" i="18"/>
  <c r="X27" i="18"/>
  <c r="X44" i="18"/>
  <c r="X46" i="18"/>
  <c r="F35" i="16"/>
  <c r="X20" i="18"/>
  <c r="X9" i="18"/>
  <c r="X36" i="18"/>
  <c r="AC36" i="18" l="1"/>
  <c r="AC9" i="18"/>
  <c r="AC20" i="18"/>
  <c r="AC46" i="18"/>
  <c r="AC44" i="18"/>
  <c r="AC27" i="18"/>
  <c r="AC7" i="18"/>
  <c r="AC13" i="18"/>
  <c r="AC21" i="18"/>
  <c r="AC12" i="18"/>
  <c r="AC33" i="18"/>
  <c r="AC23" i="18"/>
  <c r="AC28" i="18"/>
  <c r="AC43" i="18"/>
  <c r="AC30" i="18"/>
  <c r="AC5" i="18"/>
  <c r="AC17" i="18"/>
  <c r="AC42" i="18"/>
  <c r="AC34" i="18"/>
  <c r="AC8" i="18"/>
  <c r="AC15" i="18"/>
  <c r="AC32" i="18"/>
  <c r="AC40" i="18"/>
  <c r="AC14" i="18"/>
  <c r="AC41" i="18"/>
  <c r="AC39" i="18"/>
  <c r="AC18" i="18"/>
  <c r="AC10" i="18"/>
  <c r="AC6" i="18"/>
  <c r="AC22" i="18"/>
  <c r="AC35" i="18"/>
  <c r="AC31" i="18"/>
  <c r="AC29" i="18"/>
  <c r="AC24" i="18"/>
  <c r="AC11" i="18"/>
  <c r="AC25" i="18"/>
  <c r="AC16" i="18"/>
  <c r="AC45" i="18"/>
  <c r="AC38" i="18"/>
  <c r="AC19" i="18"/>
  <c r="AC26" i="18"/>
  <c r="AC37" i="18"/>
  <c r="K40" i="16"/>
  <c r="N40" i="16" s="1"/>
  <c r="N36" i="16"/>
  <c r="N42" i="16"/>
  <c r="K44" i="16"/>
  <c r="N44" i="16" s="1"/>
  <c r="N41" i="16"/>
  <c r="K35" i="16"/>
  <c r="N35" i="16" s="1"/>
  <c r="K37" i="16"/>
  <c r="N37" i="16" s="1"/>
  <c r="N43" i="16"/>
  <c r="N38" i="16"/>
  <c r="N45" i="16"/>
  <c r="F6" i="63"/>
  <c r="L28" i="16"/>
  <c r="L22" i="16"/>
  <c r="K22" i="16" s="1"/>
  <c r="L21" i="16"/>
  <c r="K21" i="16" s="1"/>
  <c r="L20" i="16"/>
  <c r="K20" i="16" s="1"/>
  <c r="L19" i="16"/>
  <c r="K19" i="16" s="1"/>
  <c r="L18" i="16"/>
  <c r="K18" i="16" s="1"/>
  <c r="L9" i="16"/>
  <c r="K9" i="16" s="1"/>
  <c r="L8" i="16"/>
  <c r="K8" i="16" s="1"/>
  <c r="L7" i="16"/>
  <c r="K7" i="16" s="1"/>
  <c r="L6" i="16"/>
  <c r="K6" i="16" s="1"/>
  <c r="L17" i="16"/>
  <c r="K17" i="16" s="1"/>
  <c r="G35" i="16"/>
  <c r="K34" i="16" l="1"/>
  <c r="N34" i="16"/>
  <c r="O5" i="16" s="1" a="1"/>
  <c r="K28" i="16"/>
  <c r="N28" i="16"/>
  <c r="F5" i="63"/>
  <c r="O11" i="16" l="1"/>
  <c r="O19" i="16"/>
  <c r="O27" i="16"/>
  <c r="O35" i="16"/>
  <c r="O43" i="16"/>
  <c r="O51" i="16"/>
  <c r="O12" i="16"/>
  <c r="O20" i="16"/>
  <c r="O28" i="16"/>
  <c r="O36" i="16"/>
  <c r="O44" i="16"/>
  <c r="O52" i="16"/>
  <c r="O5" i="16"/>
  <c r="O13" i="16"/>
  <c r="O21" i="16"/>
  <c r="O29" i="16"/>
  <c r="O37" i="16"/>
  <c r="O45" i="16"/>
  <c r="O53" i="16"/>
  <c r="O6" i="16"/>
  <c r="O14" i="16"/>
  <c r="O22" i="16"/>
  <c r="O30" i="16"/>
  <c r="O38" i="16"/>
  <c r="O46" i="16"/>
  <c r="O54" i="16"/>
  <c r="O7" i="16"/>
  <c r="O15" i="16"/>
  <c r="O31" i="16"/>
  <c r="O39" i="16"/>
  <c r="O47" i="16"/>
  <c r="O55" i="16"/>
  <c r="O16" i="16"/>
  <c r="O24" i="16"/>
  <c r="O32" i="16"/>
  <c r="O40" i="16"/>
  <c r="O48" i="16"/>
  <c r="O56" i="16"/>
  <c r="O9" i="16"/>
  <c r="O25" i="16"/>
  <c r="O41" i="16"/>
  <c r="O57" i="16"/>
  <c r="O18" i="16"/>
  <c r="O26" i="16"/>
  <c r="O42" i="16"/>
  <c r="O58" i="16"/>
  <c r="O23" i="16"/>
  <c r="O8" i="16"/>
  <c r="O17" i="16"/>
  <c r="O33" i="16"/>
  <c r="O49" i="16"/>
  <c r="O10" i="16"/>
  <c r="O34" i="16"/>
  <c r="O50" i="16"/>
  <c r="E8" i="63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H5" i="6" l="1"/>
  <c r="I5" i="6"/>
  <c r="G5" i="6"/>
  <c r="K7" i="6"/>
  <c r="L8" i="15" s="1"/>
  <c r="K8" i="6"/>
  <c r="L9" i="15" s="1"/>
  <c r="K9" i="6"/>
  <c r="L10" i="15" s="1"/>
  <c r="K10" i="6"/>
  <c r="L11" i="15" s="1"/>
  <c r="K11" i="6"/>
  <c r="L12" i="15" s="1"/>
  <c r="K12" i="6"/>
  <c r="L13" i="15" s="1"/>
  <c r="K6" i="6"/>
  <c r="E4" i="6"/>
  <c r="I13" i="6"/>
  <c r="G7" i="6"/>
  <c r="H13" i="6"/>
  <c r="G9" i="6"/>
  <c r="D11" i="6"/>
  <c r="E9" i="6"/>
  <c r="D6" i="6"/>
  <c r="E7" i="6"/>
  <c r="D12" i="6"/>
  <c r="D13" i="6"/>
  <c r="D8" i="6"/>
  <c r="D10" i="6"/>
  <c r="N22" i="6"/>
  <c r="K17" i="6"/>
  <c r="K22" i="6"/>
  <c r="N17" i="6"/>
  <c r="D14" i="56" l="1"/>
  <c r="E11" i="6"/>
  <c r="F11" i="6" s="1"/>
  <c r="F9" i="6"/>
  <c r="H9" i="6"/>
  <c r="E8" i="6"/>
  <c r="H11" i="6"/>
  <c r="E12" i="6"/>
  <c r="H12" i="6" s="1"/>
  <c r="O17" i="6"/>
  <c r="G13" i="6"/>
  <c r="G12" i="6"/>
  <c r="G11" i="6"/>
  <c r="F7" i="6"/>
  <c r="G8" i="6"/>
  <c r="F8" i="6"/>
  <c r="G10" i="6"/>
  <c r="H7" i="6"/>
  <c r="G6" i="6"/>
  <c r="D5" i="18" a="1"/>
  <c r="E6" i="6"/>
  <c r="H8" i="6"/>
  <c r="E10" i="6"/>
  <c r="F35" i="63"/>
  <c r="F17" i="63"/>
  <c r="F67" i="63"/>
  <c r="F44" i="63"/>
  <c r="F64" i="63"/>
  <c r="F9" i="63"/>
  <c r="F65" i="63"/>
  <c r="F31" i="63"/>
  <c r="F40" i="63"/>
  <c r="F14" i="63"/>
  <c r="F57" i="63"/>
  <c r="F46" i="63"/>
  <c r="F66" i="63"/>
  <c r="F33" i="63"/>
  <c r="F54" i="63"/>
  <c r="F24" i="63"/>
  <c r="F25" i="63"/>
  <c r="F63" i="63"/>
  <c r="F53" i="63"/>
  <c r="F12" i="63"/>
  <c r="F51" i="63"/>
  <c r="F41" i="63"/>
  <c r="F19" i="63"/>
  <c r="F59" i="63"/>
  <c r="F39" i="63"/>
  <c r="F48" i="63"/>
  <c r="F29" i="63"/>
  <c r="F49" i="63"/>
  <c r="F27" i="63"/>
  <c r="F37" i="63"/>
  <c r="F30" i="63"/>
  <c r="F13" i="63"/>
  <c r="F62" i="63"/>
  <c r="F16" i="63"/>
  <c r="F22" i="63"/>
  <c r="F20" i="63"/>
  <c r="F55" i="63"/>
  <c r="F60" i="63"/>
  <c r="F52" i="63"/>
  <c r="F32" i="63"/>
  <c r="F61" i="63"/>
  <c r="F10" i="63"/>
  <c r="F36" i="63"/>
  <c r="F15" i="63"/>
  <c r="F11" i="63"/>
  <c r="F21" i="63"/>
  <c r="F18" i="63"/>
  <c r="F47" i="63"/>
  <c r="F68" i="63"/>
  <c r="F34" i="63"/>
  <c r="F58" i="63"/>
  <c r="F28" i="63"/>
  <c r="F26" i="63"/>
  <c r="F23" i="63"/>
  <c r="F56" i="63"/>
  <c r="F38" i="63"/>
  <c r="F45" i="63"/>
  <c r="F42" i="63"/>
  <c r="F43" i="63"/>
  <c r="F50" i="63"/>
  <c r="D5" i="18" l="1"/>
  <c r="H5" i="18" s="1"/>
  <c r="D22" i="18"/>
  <c r="H22" i="18" s="1"/>
  <c r="D39" i="18"/>
  <c r="H39" i="18" s="1"/>
  <c r="D33" i="18"/>
  <c r="H33" i="18" s="1"/>
  <c r="D19" i="18"/>
  <c r="H19" i="18" s="1"/>
  <c r="D44" i="18"/>
  <c r="H44" i="18" s="1"/>
  <c r="D30" i="18"/>
  <c r="H30" i="18" s="1"/>
  <c r="D8" i="18"/>
  <c r="H8" i="18" s="1"/>
  <c r="D27" i="18"/>
  <c r="H27" i="18" s="1"/>
  <c r="D17" i="18"/>
  <c r="H17" i="18" s="1"/>
  <c r="D21" i="18"/>
  <c r="H21" i="18" s="1"/>
  <c r="D38" i="18"/>
  <c r="H38" i="18" s="1"/>
  <c r="D16" i="18"/>
  <c r="H16" i="18" s="1"/>
  <c r="D35" i="18"/>
  <c r="H35" i="18" s="1"/>
  <c r="D46" i="18"/>
  <c r="H46" i="18" s="1"/>
  <c r="D18" i="18"/>
  <c r="H18" i="18" s="1"/>
  <c r="D37" i="18"/>
  <c r="H37" i="18" s="1"/>
  <c r="D32" i="18"/>
  <c r="H32" i="18" s="1"/>
  <c r="D12" i="18"/>
  <c r="H12" i="18" s="1"/>
  <c r="D15" i="18"/>
  <c r="H15" i="18" s="1"/>
  <c r="D40" i="18"/>
  <c r="H40" i="18" s="1"/>
  <c r="D20" i="18"/>
  <c r="H20" i="18" s="1"/>
  <c r="D23" i="18"/>
  <c r="H23" i="18" s="1"/>
  <c r="D42" i="18"/>
  <c r="H42" i="18" s="1"/>
  <c r="D14" i="18"/>
  <c r="H14" i="18" s="1"/>
  <c r="D25" i="18"/>
  <c r="H25" i="18" s="1"/>
  <c r="D36" i="18"/>
  <c r="H36" i="18" s="1"/>
  <c r="D13" i="18"/>
  <c r="H13" i="18" s="1"/>
  <c r="D41" i="18"/>
  <c r="H41" i="18" s="1"/>
  <c r="D10" i="18"/>
  <c r="H10" i="18" s="1"/>
  <c r="D29" i="18"/>
  <c r="H29" i="18" s="1"/>
  <c r="D24" i="18"/>
  <c r="H24" i="18" s="1"/>
  <c r="D43" i="18"/>
  <c r="H43" i="18" s="1"/>
  <c r="D7" i="18"/>
  <c r="H7" i="18" s="1"/>
  <c r="D26" i="18"/>
  <c r="H26" i="18" s="1"/>
  <c r="D45" i="18"/>
  <c r="H45" i="18" s="1"/>
  <c r="D34" i="18"/>
  <c r="H34" i="18" s="1"/>
  <c r="D6" i="18"/>
  <c r="H6" i="18" s="1"/>
  <c r="D9" i="18"/>
  <c r="H9" i="18" s="1"/>
  <c r="D28" i="18"/>
  <c r="H28" i="18" s="1"/>
  <c r="D31" i="18"/>
  <c r="H31" i="18" s="1"/>
  <c r="D11" i="18"/>
  <c r="H11" i="18" s="1"/>
  <c r="G15" i="63"/>
  <c r="G51" i="63"/>
  <c r="G23" i="63"/>
  <c r="G59" i="63"/>
  <c r="G36" i="63"/>
  <c r="G26" i="63"/>
  <c r="G56" i="63"/>
  <c r="G11" i="63"/>
  <c r="G55" i="63"/>
  <c r="G54" i="63"/>
  <c r="G29" i="63"/>
  <c r="G22" i="63"/>
  <c r="G38" i="63"/>
  <c r="F12" i="6"/>
  <c r="G58" i="63"/>
  <c r="G63" i="63"/>
  <c r="G33" i="63"/>
  <c r="G64" i="63"/>
  <c r="G44" i="63"/>
  <c r="L17" i="6"/>
  <c r="G13" i="63"/>
  <c r="G24" i="63"/>
  <c r="G47" i="63"/>
  <c r="G25" i="63"/>
  <c r="G43" i="63"/>
  <c r="O22" i="6"/>
  <c r="G67" i="63"/>
  <c r="G53" i="63"/>
  <c r="G68" i="63"/>
  <c r="G50" i="63"/>
  <c r="G46" i="63"/>
  <c r="G34" i="63"/>
  <c r="G20" i="63"/>
  <c r="G42" i="63"/>
  <c r="F6" i="6"/>
  <c r="G27" i="63"/>
  <c r="G40" i="63"/>
  <c r="G16" i="63"/>
  <c r="G30" i="63"/>
  <c r="G37" i="63"/>
  <c r="G39" i="63"/>
  <c r="G48" i="63"/>
  <c r="G19" i="63"/>
  <c r="G28" i="63"/>
  <c r="G57" i="63"/>
  <c r="G49" i="63"/>
  <c r="G10" i="63"/>
  <c r="G60" i="63"/>
  <c r="G65" i="63"/>
  <c r="G41" i="63"/>
  <c r="G35" i="63"/>
  <c r="G18" i="63"/>
  <c r="G9" i="63"/>
  <c r="G45" i="63"/>
  <c r="G21" i="63"/>
  <c r="H6" i="6"/>
  <c r="G66" i="63"/>
  <c r="G31" i="63"/>
  <c r="L22" i="6"/>
  <c r="G52" i="63"/>
  <c r="G62" i="63"/>
  <c r="G12" i="63"/>
  <c r="G61" i="63"/>
  <c r="G32" i="63"/>
  <c r="G17" i="63"/>
  <c r="G14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P5" i="20" l="1"/>
  <c r="T5" i="20" s="1" a="1"/>
  <c r="O28" i="25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Z5" i="25"/>
  <c r="L4" i="20"/>
  <c r="T5" i="20" l="1"/>
  <c r="T6" i="20"/>
  <c r="Q12" i="18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N17" i="16" l="1"/>
  <c r="N18" i="16" l="1"/>
  <c r="N19" i="16" l="1"/>
  <c r="N20" i="16" l="1"/>
  <c r="N21" i="16" l="1"/>
  <c r="N22" i="16" l="1"/>
  <c r="O5" i="23" l="1" a="1"/>
  <c r="Z42" i="16"/>
  <c r="Z41" i="16"/>
  <c r="Z39" i="16"/>
  <c r="Z43" i="16"/>
  <c r="Z45" i="16"/>
  <c r="Z38" i="16"/>
  <c r="Z44" i="16"/>
  <c r="Z37" i="16"/>
  <c r="Z35" i="16"/>
  <c r="Z36" i="16"/>
  <c r="Z40" i="16"/>
  <c r="O12" i="23" l="1"/>
  <c r="O5" i="23"/>
  <c r="O13" i="23"/>
  <c r="O10" i="23"/>
  <c r="O6" i="23"/>
  <c r="O14" i="23"/>
  <c r="O18" i="23"/>
  <c r="O7" i="23"/>
  <c r="O15" i="23"/>
  <c r="O8" i="23"/>
  <c r="O16" i="23"/>
  <c r="O9" i="23"/>
  <c r="O17" i="23"/>
  <c r="O11" i="23"/>
  <c r="O5" i="24" a="1"/>
  <c r="Z18" i="23"/>
  <c r="O11" i="24" l="1"/>
  <c r="O9" i="24"/>
  <c r="O5" i="24"/>
  <c r="O10" i="24"/>
  <c r="O6" i="24"/>
  <c r="O7" i="24"/>
  <c r="O8" i="24"/>
  <c r="Y5" i="24" a="1"/>
  <c r="Y11" i="24" s="1"/>
  <c r="Z16" i="23"/>
  <c r="Z17" i="23"/>
  <c r="Y5" i="24" l="1"/>
  <c r="Y6" i="24"/>
  <c r="Y7" i="24"/>
  <c r="Y8" i="24"/>
  <c r="Y9" i="24"/>
  <c r="Y10" i="24"/>
  <c r="T5" i="11"/>
  <c r="V5" i="11" l="1"/>
  <c r="T6" i="11"/>
  <c r="V6" i="11" l="1"/>
  <c r="T7" i="11"/>
  <c r="V7" i="11" l="1"/>
  <c r="T8" i="11"/>
  <c r="V8" i="11" l="1"/>
  <c r="T9" i="11"/>
  <c r="V9" i="11" l="1"/>
  <c r="T10" i="11"/>
  <c r="V10" i="11" l="1"/>
  <c r="T11" i="11"/>
  <c r="V11" i="11" l="1"/>
  <c r="T12" i="11"/>
  <c r="V12" i="11" l="1"/>
  <c r="T13" i="11"/>
  <c r="V13" i="11" l="1"/>
  <c r="T14" i="11"/>
  <c r="V14" i="11" l="1"/>
  <c r="T15" i="11"/>
  <c r="V15" i="11" l="1"/>
  <c r="T16" i="11"/>
  <c r="V16" i="11" l="1"/>
  <c r="T17" i="11"/>
  <c r="V17" i="11" l="1"/>
  <c r="T18" i="11"/>
  <c r="V18" i="11" l="1"/>
  <c r="T19" i="11"/>
  <c r="V19" i="11" l="1"/>
  <c r="T20" i="11"/>
  <c r="V20" i="11" l="1"/>
  <c r="T21" i="11"/>
  <c r="V21" i="11" l="1"/>
  <c r="T22" i="11"/>
  <c r="V22" i="11" l="1"/>
  <c r="T23" i="11"/>
  <c r="V23" i="11" l="1"/>
  <c r="T24" i="11"/>
  <c r="V24" i="11" l="1"/>
  <c r="T25" i="11"/>
  <c r="V25" i="11" l="1"/>
  <c r="T26" i="11"/>
  <c r="V26" i="11" l="1"/>
  <c r="T27" i="11"/>
  <c r="V27" i="11" l="1"/>
  <c r="T28" i="11"/>
  <c r="V28" i="11" l="1"/>
  <c r="T29" i="11"/>
  <c r="V29" i="11" l="1"/>
  <c r="T30" i="11"/>
  <c r="V30" i="11" l="1"/>
  <c r="T31" i="11"/>
  <c r="V31" i="11" l="1"/>
  <c r="T32" i="11"/>
  <c r="V32" i="11" l="1"/>
  <c r="T33" i="11"/>
  <c r="V33" i="11" l="1"/>
  <c r="T34" i="11"/>
  <c r="V34" i="11" l="1"/>
  <c r="T35" i="11"/>
  <c r="V35" i="11" l="1"/>
  <c r="T36" i="11"/>
  <c r="V36" i="11" l="1"/>
  <c r="T37" i="11"/>
  <c r="V37" i="11" l="1"/>
  <c r="T38" i="11"/>
  <c r="V38" i="11" l="1"/>
  <c r="T39" i="11"/>
  <c r="V39" i="11" l="1"/>
  <c r="T40" i="11"/>
  <c r="V40" i="11" l="1"/>
  <c r="T41" i="11"/>
  <c r="V41" i="11" l="1"/>
  <c r="T42" i="11"/>
  <c r="O5" i="11" l="1" a="1"/>
  <c r="V42" i="11"/>
  <c r="T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V5" i="12"/>
  <c r="T6" i="12"/>
  <c r="V6" i="12" l="1"/>
  <c r="T7" i="12"/>
  <c r="V7" i="12" l="1"/>
  <c r="T8" i="12"/>
  <c r="V8" i="12" l="1"/>
  <c r="T9" i="12"/>
  <c r="V9" i="12" l="1"/>
  <c r="T10" i="12"/>
  <c r="V10" i="12" l="1"/>
  <c r="T11" i="12"/>
  <c r="V11" i="12" l="1"/>
  <c r="T12" i="12"/>
  <c r="V12" i="12" l="1"/>
  <c r="T13" i="12"/>
  <c r="V13" i="12" l="1"/>
  <c r="T14" i="12"/>
  <c r="V14" i="12" l="1"/>
  <c r="T15" i="12"/>
  <c r="V15" i="12" l="1"/>
  <c r="T16" i="12"/>
  <c r="V16" i="12" l="1"/>
  <c r="T17" i="12"/>
  <c r="V17" i="12" l="1"/>
  <c r="T18" i="12"/>
  <c r="V18" i="12" l="1"/>
  <c r="T19" i="12"/>
  <c r="V19" i="12" l="1"/>
  <c r="T20" i="12"/>
  <c r="V20" i="12" l="1"/>
  <c r="T21" i="12"/>
  <c r="V21" i="12" l="1"/>
  <c r="T22" i="12"/>
  <c r="V22" i="12" l="1"/>
  <c r="T23" i="12"/>
  <c r="V23" i="12" l="1"/>
  <c r="T24" i="12"/>
  <c r="V24" i="12" l="1"/>
  <c r="T25" i="12"/>
  <c r="V25" i="12" l="1"/>
  <c r="T26" i="12"/>
  <c r="V26" i="12" l="1"/>
  <c r="T27" i="12"/>
  <c r="V27" i="12" l="1"/>
  <c r="T28" i="12"/>
  <c r="V28" i="12" l="1"/>
  <c r="T29" i="12"/>
  <c r="V29" i="12" l="1"/>
  <c r="T30" i="12"/>
  <c r="V30" i="12" l="1"/>
  <c r="T31" i="12"/>
  <c r="V31" i="12" l="1"/>
  <c r="T32" i="12"/>
  <c r="V32" i="12" l="1"/>
  <c r="T33" i="12"/>
  <c r="V33" i="12" l="1"/>
  <c r="T34" i="12"/>
  <c r="V34" i="12" l="1"/>
  <c r="T35" i="12"/>
  <c r="V35" i="12" l="1"/>
  <c r="T36" i="12"/>
  <c r="V36" i="12" l="1"/>
  <c r="T37" i="12"/>
  <c r="V37" i="12" l="1"/>
  <c r="T38" i="12"/>
  <c r="V38" i="12" l="1"/>
  <c r="T39" i="12"/>
  <c r="V39" i="12" l="1"/>
  <c r="T40" i="12"/>
  <c r="V40" i="12" l="1"/>
  <c r="T41" i="12"/>
  <c r="V41" i="12" l="1"/>
  <c r="T42" i="12"/>
  <c r="V42" i="12" l="1"/>
  <c r="T5" i="13"/>
  <c r="V5" i="13" l="1"/>
  <c r="T6" i="13"/>
  <c r="V6" i="13" l="1"/>
  <c r="T7" i="13"/>
  <c r="V7" i="13" l="1"/>
  <c r="T8" i="13"/>
  <c r="V8" i="13" l="1"/>
  <c r="T9" i="13"/>
  <c r="V9" i="13" l="1"/>
  <c r="T10" i="13"/>
  <c r="V10" i="13" l="1"/>
  <c r="T11" i="13"/>
  <c r="V11" i="13" l="1"/>
  <c r="T12" i="13"/>
  <c r="V12" i="13" l="1"/>
  <c r="T13" i="13"/>
  <c r="V13" i="13" l="1"/>
  <c r="T14" i="13"/>
  <c r="V14" i="13" l="1"/>
  <c r="T15" i="13"/>
  <c r="V15" i="13" l="1"/>
  <c r="T16" i="13"/>
  <c r="V16" i="13" l="1"/>
  <c r="T17" i="13"/>
  <c r="V17" i="13" l="1"/>
  <c r="T18" i="13"/>
  <c r="V18" i="13" l="1"/>
  <c r="T19" i="13"/>
  <c r="V19" i="13" l="1"/>
  <c r="T20" i="13"/>
  <c r="V20" i="13" l="1"/>
  <c r="T21" i="13"/>
  <c r="V21" i="13" l="1"/>
  <c r="T22" i="13"/>
  <c r="V22" i="13" l="1"/>
  <c r="T23" i="13"/>
  <c r="V23" i="13" l="1"/>
  <c r="T24" i="13"/>
  <c r="V24" i="13" l="1"/>
  <c r="T25" i="13"/>
  <c r="V25" i="13" l="1"/>
  <c r="T26" i="13"/>
  <c r="V26" i="13" l="1"/>
  <c r="T27" i="13"/>
  <c r="V27" i="13" l="1"/>
  <c r="T28" i="13"/>
  <c r="V28" i="13" l="1"/>
  <c r="T29" i="13"/>
  <c r="V29" i="13" l="1"/>
  <c r="T30" i="13"/>
  <c r="V30" i="13" l="1"/>
  <c r="T31" i="13"/>
  <c r="V31" i="13" l="1"/>
  <c r="T32" i="13"/>
  <c r="V32" i="13" l="1"/>
  <c r="T33" i="13"/>
  <c r="V33" i="13" l="1"/>
  <c r="T34" i="13"/>
  <c r="V34" i="13" l="1"/>
  <c r="T35" i="13"/>
  <c r="V35" i="13" l="1"/>
  <c r="T36" i="13"/>
  <c r="V36" i="13" l="1"/>
  <c r="T37" i="13"/>
  <c r="V37" i="13" l="1"/>
  <c r="T38" i="13"/>
  <c r="V38" i="13" l="1"/>
  <c r="T39" i="13"/>
  <c r="V39" i="13" l="1"/>
  <c r="T40" i="13"/>
  <c r="V40" i="13" l="1"/>
  <c r="T41" i="13"/>
  <c r="V41" i="13" l="1"/>
  <c r="T42" i="13"/>
  <c r="O5" i="13" l="1" a="1"/>
  <c r="O5" i="13" s="1"/>
  <c r="V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O5" i="22" l="1" a="1"/>
  <c r="O58" i="22" s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N7" i="6" l="1"/>
  <c r="Q7" i="6"/>
  <c r="O6" i="6"/>
  <c r="N8" i="6" l="1"/>
  <c r="N9" i="6"/>
  <c r="N10" i="6"/>
  <c r="N11" i="6"/>
  <c r="N12" i="6"/>
  <c r="Q9" i="6"/>
  <c r="O7" i="6"/>
  <c r="Q11" i="6"/>
  <c r="Q12" i="6"/>
  <c r="R6" i="6"/>
  <c r="Q8" i="6"/>
  <c r="K5" i="6"/>
  <c r="S6" i="6" l="1"/>
  <c r="U6" i="6" s="1"/>
  <c r="R7" i="6"/>
  <c r="O9" i="6"/>
  <c r="O8" i="6"/>
  <c r="T6" i="6"/>
  <c r="D5" i="56"/>
  <c r="O11" i="6"/>
  <c r="O12" i="6"/>
  <c r="S7" i="6" l="1"/>
  <c r="T7" i="6"/>
  <c r="R12" i="6"/>
  <c r="R11" i="6"/>
  <c r="R9" i="6"/>
  <c r="R8" i="6"/>
  <c r="S8" i="6" l="1"/>
  <c r="S12" i="6"/>
  <c r="S11" i="6"/>
  <c r="S9" i="6"/>
  <c r="T11" i="6"/>
  <c r="T9" i="6"/>
  <c r="T12" i="6"/>
  <c r="T8" i="6"/>
  <c r="B1" i="56"/>
  <c r="E5" i="23" l="1"/>
  <c r="E6" i="23"/>
  <c r="E7" i="23"/>
  <c r="E8" i="23"/>
  <c r="E9" i="23"/>
  <c r="E10" i="23"/>
  <c r="E11" i="23"/>
  <c r="E12" i="23"/>
  <c r="E13" i="23"/>
  <c r="E14" i="23"/>
  <c r="E15" i="23"/>
  <c r="F14" i="23"/>
  <c r="F7" i="23"/>
  <c r="F10" i="23"/>
  <c r="F5" i="23"/>
  <c r="F11" i="23"/>
  <c r="F13" i="23"/>
  <c r="F15" i="23"/>
  <c r="F9" i="23"/>
  <c r="F6" i="23"/>
  <c r="F8" i="23"/>
  <c r="F12" i="23"/>
  <c r="Z8" i="22"/>
  <c r="Z7" i="22"/>
  <c r="Z6" i="22"/>
  <c r="Z5" i="22"/>
  <c r="E12" i="25" l="1"/>
  <c r="G57" i="22"/>
  <c r="Z5" i="24"/>
  <c r="G51" i="22"/>
  <c r="G10" i="24"/>
  <c r="G30" i="22"/>
  <c r="G8" i="24"/>
  <c r="G34" i="22"/>
  <c r="G49" i="22"/>
  <c r="G10" i="22"/>
  <c r="Z6" i="24"/>
  <c r="G58" i="22"/>
  <c r="G21" i="22"/>
  <c r="G44" i="22"/>
  <c r="G10" i="23"/>
  <c r="G53" i="22"/>
  <c r="G11" i="22"/>
  <c r="G27" i="22"/>
  <c r="G20" i="22"/>
  <c r="G9" i="23"/>
  <c r="G13" i="23"/>
  <c r="Z10" i="24"/>
  <c r="G22" i="22"/>
  <c r="G14" i="22"/>
  <c r="G7" i="23"/>
  <c r="G17" i="22"/>
  <c r="Z8" i="24"/>
  <c r="G6" i="22"/>
  <c r="G6" i="24"/>
  <c r="G54" i="22"/>
  <c r="G25" i="22"/>
  <c r="G42" i="22"/>
  <c r="G37" i="22"/>
  <c r="G19" i="22"/>
  <c r="G46" i="22"/>
  <c r="G6" i="23"/>
  <c r="G56" i="22"/>
  <c r="G48" i="22"/>
  <c r="G29" i="22"/>
  <c r="Z9" i="24"/>
  <c r="G15" i="23"/>
  <c r="G5" i="23"/>
  <c r="G36" i="22"/>
  <c r="G11" i="23"/>
  <c r="G5" i="22"/>
  <c r="G41" i="22"/>
  <c r="G5" i="24"/>
  <c r="G26" i="22"/>
  <c r="G12" i="23"/>
  <c r="G23" i="22"/>
  <c r="G28" i="22"/>
  <c r="G55" i="22"/>
  <c r="G15" i="22"/>
  <c r="G40" i="22"/>
  <c r="G45" i="22"/>
  <c r="G7" i="22"/>
  <c r="G7" i="24"/>
  <c r="G35" i="22"/>
  <c r="G9" i="24"/>
  <c r="G14" i="23"/>
  <c r="G8" i="22"/>
  <c r="G50" i="22"/>
  <c r="G18" i="22"/>
  <c r="Z7" i="24"/>
  <c r="G39" i="22"/>
  <c r="Z11" i="24"/>
  <c r="G8" i="23"/>
  <c r="G38" i="22"/>
  <c r="G32" i="22"/>
  <c r="G12" i="22"/>
  <c r="G31" i="22"/>
  <c r="G33" i="22"/>
  <c r="G43" i="22"/>
  <c r="G13" i="22"/>
  <c r="G16" i="22"/>
  <c r="G9" i="22"/>
  <c r="G24" i="22"/>
  <c r="G52" i="22"/>
  <c r="G11" i="24"/>
  <c r="G47" i="22"/>
  <c r="Z44" i="22"/>
  <c r="Z37" i="22"/>
  <c r="Z11" i="23"/>
  <c r="Z28" i="22"/>
  <c r="Z35" i="22"/>
  <c r="Z12" i="22"/>
  <c r="Z16" i="22"/>
  <c r="Z9" i="22"/>
  <c r="Z50" i="22"/>
  <c r="Z14" i="23"/>
  <c r="Z46" i="22"/>
  <c r="Z57" i="22"/>
  <c r="Z27" i="22"/>
  <c r="Z10" i="22"/>
  <c r="Z48" i="22"/>
  <c r="Z9" i="23"/>
  <c r="Z24" i="22"/>
  <c r="Z47" i="22"/>
  <c r="Z19" i="22"/>
  <c r="Z38" i="22"/>
  <c r="Z21" i="22"/>
  <c r="Z11" i="22"/>
  <c r="Z39" i="22"/>
  <c r="Z31" i="22"/>
  <c r="Z56" i="22"/>
  <c r="Z40" i="22"/>
  <c r="Z14" i="22"/>
  <c r="Z58" i="22"/>
  <c r="Z20" i="22"/>
  <c r="Z30" i="22"/>
  <c r="Z32" i="22"/>
  <c r="Z55" i="22"/>
  <c r="Z42" i="22"/>
  <c r="Z54" i="22"/>
  <c r="Z10" i="23"/>
  <c r="Z52" i="22"/>
  <c r="Z6" i="23"/>
  <c r="Z43" i="22"/>
  <c r="Z8" i="23"/>
  <c r="Z25" i="22"/>
  <c r="Z23" i="22"/>
  <c r="Z12" i="23"/>
  <c r="Z26" i="22"/>
  <c r="Z22" i="22"/>
  <c r="Z51" i="22"/>
  <c r="Z7" i="23"/>
  <c r="Z15" i="22"/>
  <c r="Z34" i="22"/>
  <c r="Z45" i="22"/>
  <c r="Z15" i="23"/>
  <c r="Z36" i="22"/>
  <c r="Z5" i="23"/>
  <c r="Z13" i="23"/>
  <c r="Z29" i="22"/>
  <c r="Z53" i="22"/>
  <c r="Z49" i="22"/>
  <c r="Z18" i="22"/>
  <c r="Z17" i="22"/>
  <c r="Z33" i="22"/>
  <c r="Z13" i="22"/>
  <c r="Z41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37" i="25"/>
  <c r="G19" i="25"/>
  <c r="G24" i="25"/>
  <c r="G12" i="25"/>
  <c r="G21" i="25"/>
  <c r="G8" i="25"/>
  <c r="G11" i="25"/>
  <c r="G13" i="25"/>
  <c r="G16" i="25"/>
  <c r="G29" i="25"/>
  <c r="Z26" i="25"/>
  <c r="Z22" i="25"/>
  <c r="Z24" i="25"/>
  <c r="Z9" i="25"/>
  <c r="Z11" i="25"/>
  <c r="Z14" i="25"/>
  <c r="Z32" i="25"/>
  <c r="Z17" i="25"/>
  <c r="Z15" i="25"/>
  <c r="Z12" i="25"/>
  <c r="Z27" i="25"/>
  <c r="Z34" i="25"/>
  <c r="Z30" i="25"/>
  <c r="Z23" i="25"/>
  <c r="Z18" i="25"/>
  <c r="Z42" i="25"/>
  <c r="Z8" i="25"/>
  <c r="Z16" i="25"/>
  <c r="Z37" i="25"/>
  <c r="Z41" i="25"/>
  <c r="Z38" i="25"/>
  <c r="Z20" i="25"/>
  <c r="Z6" i="25"/>
  <c r="Z33" i="25"/>
  <c r="Z7" i="25"/>
  <c r="Z39" i="25"/>
  <c r="Z19" i="25"/>
  <c r="Z28" i="25"/>
  <c r="Z35" i="25"/>
  <c r="Z10" i="25"/>
  <c r="Z25" i="25"/>
  <c r="Z31" i="25"/>
  <c r="Z29" i="25"/>
  <c r="Z36" i="25"/>
  <c r="Z21" i="25"/>
  <c r="Z13" i="25"/>
  <c r="Z40" i="25"/>
  <c r="B5" i="20" l="1"/>
  <c r="B6" i="20"/>
  <c r="E6" i="16"/>
  <c r="E7" i="16"/>
  <c r="E8" i="16"/>
  <c r="E9" i="16"/>
  <c r="D17" i="16"/>
  <c r="E17" i="16" s="1"/>
  <c r="D18" i="16"/>
  <c r="E18" i="16" s="1"/>
  <c r="D19" i="16"/>
  <c r="E19" i="16" s="1"/>
  <c r="D20" i="16"/>
  <c r="E20" i="16" s="1"/>
  <c r="D21" i="16"/>
  <c r="E21" i="16" s="1"/>
  <c r="D22" i="16"/>
  <c r="E22" i="16" s="1"/>
  <c r="E5" i="15"/>
  <c r="E6" i="15"/>
  <c r="E7" i="15"/>
  <c r="E8" i="15"/>
  <c r="E9" i="15"/>
  <c r="E10" i="15"/>
  <c r="E11" i="15"/>
  <c r="E12" i="15"/>
  <c r="E13" i="15"/>
  <c r="C5" i="20"/>
  <c r="G10" i="25"/>
  <c r="F8" i="15"/>
  <c r="F6" i="16"/>
  <c r="F7" i="15"/>
  <c r="G7" i="25"/>
  <c r="G33" i="25"/>
  <c r="F10" i="15"/>
  <c r="G38" i="25"/>
  <c r="F11" i="15"/>
  <c r="G14" i="25"/>
  <c r="G17" i="25"/>
  <c r="G28" i="25"/>
  <c r="G23" i="25"/>
  <c r="G31" i="25"/>
  <c r="F18" i="16"/>
  <c r="G41" i="25"/>
  <c r="F9" i="15"/>
  <c r="F19" i="16"/>
  <c r="G30" i="25"/>
  <c r="F21" i="16"/>
  <c r="G35" i="25"/>
  <c r="F22" i="16"/>
  <c r="G15" i="25"/>
  <c r="F7" i="16"/>
  <c r="G27" i="25"/>
  <c r="F5" i="15"/>
  <c r="G18" i="25"/>
  <c r="F6" i="15"/>
  <c r="F9" i="16"/>
  <c r="G25" i="25"/>
  <c r="F13" i="15"/>
  <c r="F8" i="16"/>
  <c r="G32" i="25"/>
  <c r="G6" i="25"/>
  <c r="G40" i="25"/>
  <c r="F20" i="16"/>
  <c r="G22" i="25"/>
  <c r="G20" i="25"/>
  <c r="G9" i="25"/>
  <c r="G26" i="25"/>
  <c r="C6" i="20"/>
  <c r="G34" i="25"/>
  <c r="G39" i="25"/>
  <c r="F17" i="16"/>
  <c r="G36" i="25"/>
  <c r="F12" i="15"/>
  <c r="G42" i="25"/>
  <c r="Z22" i="16"/>
  <c r="Z21" i="16"/>
  <c r="Z19" i="16"/>
  <c r="Z20" i="16"/>
  <c r="Z18" i="16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F7" i="18"/>
  <c r="F40" i="18"/>
  <c r="F43" i="18"/>
  <c r="F5" i="18"/>
  <c r="F10" i="18"/>
  <c r="F24" i="18"/>
  <c r="F23" i="18"/>
  <c r="F14" i="18"/>
  <c r="F13" i="18"/>
  <c r="G12" i="15"/>
  <c r="F17" i="18"/>
  <c r="G21" i="16"/>
  <c r="G8" i="16"/>
  <c r="G5" i="15"/>
  <c r="F38" i="18"/>
  <c r="F25" i="18"/>
  <c r="F44" i="18"/>
  <c r="F21" i="18"/>
  <c r="F27" i="18"/>
  <c r="G9" i="15"/>
  <c r="G7" i="15"/>
  <c r="F15" i="18"/>
  <c r="F20" i="18"/>
  <c r="F12" i="18"/>
  <c r="F37" i="18"/>
  <c r="F41" i="18"/>
  <c r="F36" i="18"/>
  <c r="F18" i="18"/>
  <c r="F34" i="18"/>
  <c r="F46" i="18"/>
  <c r="F45" i="18"/>
  <c r="F8" i="18"/>
  <c r="F19" i="18"/>
  <c r="F29" i="18"/>
  <c r="F16" i="18"/>
  <c r="F6" i="18"/>
  <c r="D6" i="20"/>
  <c r="G20" i="16"/>
  <c r="G18" i="16"/>
  <c r="F42" i="18"/>
  <c r="G7" i="16"/>
  <c r="F22" i="18"/>
  <c r="G6" i="15"/>
  <c r="F32" i="18"/>
  <c r="G10" i="15"/>
  <c r="G11" i="15"/>
  <c r="G8" i="15"/>
  <c r="F31" i="18"/>
  <c r="F28" i="18"/>
  <c r="G9" i="16"/>
  <c r="G13" i="15"/>
  <c r="F30" i="18"/>
  <c r="F39" i="18"/>
  <c r="F33" i="18"/>
  <c r="G19" i="16"/>
  <c r="G22" i="16"/>
  <c r="G6" i="16"/>
  <c r="G17" i="16"/>
  <c r="F35" i="18"/>
  <c r="F11" i="18"/>
  <c r="D5" i="20"/>
  <c r="F9" i="18"/>
  <c r="F26" i="18"/>
  <c r="AD13" i="18"/>
  <c r="AD32" i="18"/>
  <c r="AD21" i="18"/>
  <c r="AD17" i="18"/>
  <c r="AD19" i="18"/>
  <c r="AD43" i="18"/>
  <c r="R10" i="15"/>
  <c r="AD37" i="18"/>
  <c r="AD38" i="18"/>
  <c r="AD29" i="18"/>
  <c r="AD9" i="18"/>
  <c r="AD8" i="18"/>
  <c r="Z17" i="16"/>
  <c r="AD35" i="18"/>
  <c r="AD11" i="18"/>
  <c r="AD30" i="18"/>
  <c r="U5" i="20"/>
  <c r="AD36" i="18"/>
  <c r="AD5" i="18"/>
  <c r="AD25" i="18"/>
  <c r="AD28" i="18"/>
  <c r="AD42" i="18"/>
  <c r="AD31" i="18"/>
  <c r="AD26" i="18"/>
  <c r="AD18" i="18"/>
  <c r="AD33" i="18"/>
  <c r="AD15" i="18"/>
  <c r="AD22" i="18"/>
  <c r="AD34" i="18"/>
  <c r="R11" i="15"/>
  <c r="AD24" i="18"/>
  <c r="R12" i="15"/>
  <c r="AD14" i="18"/>
  <c r="AD44" i="18"/>
  <c r="Z6" i="16"/>
  <c r="AD20" i="18"/>
  <c r="AD27" i="18"/>
  <c r="R9" i="15"/>
  <c r="Z7" i="16"/>
  <c r="R7" i="15"/>
  <c r="AD45" i="18"/>
  <c r="Z16" i="16"/>
  <c r="AD10" i="18"/>
  <c r="R8" i="15"/>
  <c r="AD41" i="18"/>
  <c r="AD39" i="18"/>
  <c r="AD6" i="18"/>
  <c r="Z58" i="16"/>
  <c r="U6" i="20"/>
  <c r="AD40" i="18"/>
  <c r="AD7" i="18"/>
  <c r="AD12" i="18"/>
  <c r="R6" i="15"/>
  <c r="R5" i="15"/>
  <c r="AD23" i="18"/>
  <c r="Z8" i="16"/>
  <c r="AD16" i="18"/>
  <c r="AD46" i="18"/>
  <c r="R13" i="15"/>
  <c r="Z9" i="16"/>
  <c r="E5" i="13" l="1"/>
  <c r="E5" i="11"/>
  <c r="E5" i="12"/>
  <c r="G9" i="18"/>
  <c r="G20" i="18"/>
  <c r="G12" i="18"/>
  <c r="F5" i="12"/>
  <c r="G15" i="18"/>
  <c r="G37" i="18"/>
  <c r="G41" i="18"/>
  <c r="G45" i="18"/>
  <c r="G33" i="18"/>
  <c r="G31" i="18"/>
  <c r="G21" i="18"/>
  <c r="G23" i="18"/>
  <c r="G39" i="18"/>
  <c r="G43" i="18"/>
  <c r="G11" i="18"/>
  <c r="G18" i="18"/>
  <c r="F5" i="11"/>
  <c r="G13" i="18"/>
  <c r="F5" i="13"/>
  <c r="G28" i="18"/>
  <c r="G46" i="18"/>
  <c r="G27" i="18"/>
  <c r="G7" i="18"/>
  <c r="G8" i="18"/>
  <c r="G38" i="18"/>
  <c r="G35" i="18"/>
  <c r="G36" i="18"/>
  <c r="G42" i="18"/>
  <c r="A4" i="18"/>
  <c r="G10" i="18"/>
  <c r="G16" i="18"/>
  <c r="G32" i="18"/>
  <c r="G25" i="18"/>
  <c r="G6" i="18"/>
  <c r="G22" i="18"/>
  <c r="G44" i="18"/>
  <c r="G29" i="18"/>
  <c r="G30" i="18"/>
  <c r="G19" i="18"/>
  <c r="G17" i="18"/>
  <c r="G14" i="18"/>
  <c r="G34" i="18"/>
  <c r="G24" i="18"/>
  <c r="G40" i="18"/>
  <c r="G26" i="18"/>
  <c r="U2" i="20"/>
  <c r="E6" i="13" l="1"/>
  <c r="E6" i="12"/>
  <c r="E6" i="11"/>
  <c r="G5" i="13"/>
  <c r="G5" i="11"/>
  <c r="F6" i="12"/>
  <c r="G5" i="12"/>
  <c r="F6" i="13"/>
  <c r="F6" i="11"/>
  <c r="E7" i="13" l="1"/>
  <c r="E7" i="12"/>
  <c r="E7" i="11"/>
  <c r="G6" i="13"/>
  <c r="F7" i="12"/>
  <c r="G6" i="12"/>
  <c r="F7" i="13"/>
  <c r="G6" i="11"/>
  <c r="F7" i="11"/>
  <c r="E8" i="13" l="1"/>
  <c r="E8" i="12"/>
  <c r="E8" i="11"/>
  <c r="F8" i="11"/>
  <c r="F8" i="13"/>
  <c r="G7" i="12"/>
  <c r="G7" i="13"/>
  <c r="G7" i="11"/>
  <c r="F8" i="12"/>
  <c r="E9" i="13" l="1"/>
  <c r="E9" i="12"/>
  <c r="E9" i="11"/>
  <c r="G8" i="12"/>
  <c r="G8" i="13"/>
  <c r="F9" i="11"/>
  <c r="F9" i="12"/>
  <c r="G8" i="11"/>
  <c r="F9" i="13"/>
  <c r="E10" i="13" l="1"/>
  <c r="E10" i="12"/>
  <c r="E10" i="11"/>
  <c r="F10" i="13"/>
  <c r="G9" i="11"/>
  <c r="F10" i="12"/>
  <c r="G9" i="12"/>
  <c r="F10" i="11"/>
  <c r="G9" i="13"/>
  <c r="E11" i="13" l="1"/>
  <c r="E11" i="12"/>
  <c r="E11" i="11"/>
  <c r="F11" i="13"/>
  <c r="G10" i="12"/>
  <c r="F11" i="11"/>
  <c r="G10" i="13"/>
  <c r="F11" i="12"/>
  <c r="G10" i="11"/>
  <c r="E12" i="13" l="1"/>
  <c r="E12" i="12"/>
  <c r="E12" i="11"/>
  <c r="G11" i="13"/>
  <c r="G11" i="12"/>
  <c r="F12" i="12"/>
  <c r="F12" i="11"/>
  <c r="F12" i="13"/>
  <c r="G11" i="11"/>
  <c r="E13" i="13" l="1"/>
  <c r="E13" i="12"/>
  <c r="E13" i="11"/>
  <c r="G12" i="11"/>
  <c r="G12" i="12"/>
  <c r="F13" i="12"/>
  <c r="F13" i="13"/>
  <c r="G12" i="13"/>
  <c r="F13" i="11"/>
  <c r="E14" i="13" l="1"/>
  <c r="E14" i="12"/>
  <c r="E14" i="11"/>
  <c r="G13" i="13"/>
  <c r="F14" i="13"/>
  <c r="F14" i="11"/>
  <c r="G13" i="11"/>
  <c r="F14" i="12"/>
  <c r="G13" i="12"/>
  <c r="E15" i="13" l="1"/>
  <c r="E15" i="12"/>
  <c r="E15" i="11"/>
  <c r="F15" i="13"/>
  <c r="G14" i="12"/>
  <c r="G14" i="13"/>
  <c r="F15" i="11"/>
  <c r="F15" i="12"/>
  <c r="G14" i="11"/>
  <c r="E16" i="13" l="1"/>
  <c r="E16" i="12"/>
  <c r="E16" i="11"/>
  <c r="G15" i="12"/>
  <c r="G15" i="11"/>
  <c r="F16" i="11"/>
  <c r="F16" i="12"/>
  <c r="G15" i="13"/>
  <c r="F16" i="13"/>
  <c r="E17" i="13" l="1"/>
  <c r="E17" i="12"/>
  <c r="E17" i="11"/>
  <c r="F17" i="11"/>
  <c r="G16" i="11"/>
  <c r="F17" i="13"/>
  <c r="G16" i="12"/>
  <c r="G16" i="13"/>
  <c r="F17" i="12"/>
  <c r="E18" i="13" l="1"/>
  <c r="E18" i="12"/>
  <c r="E18" i="11"/>
  <c r="G17" i="11"/>
  <c r="F18" i="11"/>
  <c r="G17" i="12"/>
  <c r="F18" i="13"/>
  <c r="G17" i="13"/>
  <c r="F18" i="12"/>
  <c r="E19" i="13" l="1"/>
  <c r="E19" i="12"/>
  <c r="E19" i="11"/>
  <c r="F19" i="13"/>
  <c r="G18" i="11"/>
  <c r="G18" i="12"/>
  <c r="G18" i="13"/>
  <c r="F19" i="12"/>
  <c r="F19" i="11"/>
  <c r="E20" i="13" l="1"/>
  <c r="E20" i="12"/>
  <c r="E20" i="11"/>
  <c r="F20" i="11"/>
  <c r="G19" i="12"/>
  <c r="G19" i="11"/>
  <c r="F20" i="12"/>
  <c r="F20" i="13"/>
  <c r="G19" i="13"/>
  <c r="E21" i="13" l="1"/>
  <c r="E21" i="12"/>
  <c r="E21" i="11"/>
  <c r="G20" i="12"/>
  <c r="F21" i="12"/>
  <c r="F21" i="13"/>
  <c r="G20" i="11"/>
  <c r="F21" i="11"/>
  <c r="G20" i="13"/>
  <c r="E22" i="13" l="1"/>
  <c r="E22" i="12"/>
  <c r="E22" i="11"/>
  <c r="F22" i="12"/>
  <c r="G21" i="13"/>
  <c r="F22" i="13"/>
  <c r="F22" i="11"/>
  <c r="G21" i="12"/>
  <c r="G21" i="11"/>
  <c r="E23" i="13" l="1"/>
  <c r="E23" i="12"/>
  <c r="E23" i="11"/>
  <c r="G22" i="11"/>
  <c r="G22" i="13"/>
  <c r="F23" i="13"/>
  <c r="F23" i="11"/>
  <c r="F23" i="12"/>
  <c r="G22" i="12"/>
  <c r="E24" i="13" l="1"/>
  <c r="E24" i="12"/>
  <c r="E24" i="11"/>
  <c r="F24" i="12"/>
  <c r="F24" i="13"/>
  <c r="G23" i="11"/>
  <c r="G23" i="13"/>
  <c r="G23" i="12"/>
  <c r="F24" i="11"/>
  <c r="E25" i="13" l="1"/>
  <c r="E25" i="12"/>
  <c r="E25" i="11"/>
  <c r="F25" i="11"/>
  <c r="G24" i="12"/>
  <c r="G24" i="11"/>
  <c r="F25" i="13"/>
  <c r="G24" i="13"/>
  <c r="F25" i="12"/>
  <c r="E26" i="13" l="1"/>
  <c r="E26" i="12"/>
  <c r="E26" i="11"/>
  <c r="F26" i="12"/>
  <c r="F26" i="11"/>
  <c r="G25" i="12"/>
  <c r="F26" i="13"/>
  <c r="G25" i="11"/>
  <c r="G25" i="13"/>
  <c r="E27" i="13" l="1"/>
  <c r="E27" i="12"/>
  <c r="E27" i="11"/>
  <c r="F27" i="13"/>
  <c r="G26" i="12"/>
  <c r="F27" i="12"/>
  <c r="F27" i="11"/>
  <c r="G26" i="11"/>
  <c r="G26" i="13"/>
  <c r="E28" i="13" l="1"/>
  <c r="E28" i="12"/>
  <c r="E28" i="11"/>
  <c r="F28" i="11"/>
  <c r="F28" i="12"/>
  <c r="G27" i="12"/>
  <c r="G27" i="13"/>
  <c r="F28" i="13"/>
  <c r="G27" i="11"/>
  <c r="E29" i="13" l="1"/>
  <c r="E29" i="12"/>
  <c r="E29" i="11"/>
  <c r="G28" i="11"/>
  <c r="F29" i="12"/>
  <c r="F29" i="13"/>
  <c r="F29" i="11"/>
  <c r="G28" i="12"/>
  <c r="G28" i="13"/>
  <c r="E30" i="13" l="1"/>
  <c r="E30" i="12"/>
  <c r="E30" i="11"/>
  <c r="F30" i="12"/>
  <c r="F30" i="11"/>
  <c r="G29" i="11"/>
  <c r="F30" i="13"/>
  <c r="G29" i="12"/>
  <c r="G29" i="13"/>
  <c r="E31" i="13" l="1"/>
  <c r="E31" i="12"/>
  <c r="E31" i="11"/>
  <c r="G30" i="13"/>
  <c r="F31" i="11"/>
  <c r="G30" i="12"/>
  <c r="F31" i="12"/>
  <c r="G30" i="11"/>
  <c r="F31" i="13"/>
  <c r="E32" i="13" l="1"/>
  <c r="E32" i="12"/>
  <c r="E32" i="11"/>
  <c r="F32" i="11"/>
  <c r="G31" i="13"/>
  <c r="G31" i="12"/>
  <c r="F32" i="13"/>
  <c r="F32" i="12"/>
  <c r="G31" i="11"/>
  <c r="E33" i="13" l="1"/>
  <c r="E33" i="12"/>
  <c r="E33" i="11"/>
  <c r="F33" i="12"/>
  <c r="F33" i="11"/>
  <c r="G32" i="13"/>
  <c r="G32" i="12"/>
  <c r="G32" i="11"/>
  <c r="F33" i="13"/>
  <c r="E34" i="13" l="1"/>
  <c r="E34" i="12"/>
  <c r="E34" i="11"/>
  <c r="G33" i="12"/>
  <c r="G33" i="11"/>
  <c r="G33" i="13"/>
  <c r="F34" i="11"/>
  <c r="F34" i="13"/>
  <c r="F34" i="12"/>
  <c r="E35" i="13" l="1"/>
  <c r="E35" i="12"/>
  <c r="E35" i="11"/>
  <c r="G34" i="11"/>
  <c r="F35" i="12"/>
  <c r="G34" i="12"/>
  <c r="F35" i="11"/>
  <c r="F35" i="13"/>
  <c r="G34" i="13"/>
  <c r="E36" i="13" l="1"/>
  <c r="E36" i="12"/>
  <c r="E36" i="11"/>
  <c r="G35" i="11"/>
  <c r="F36" i="13"/>
  <c r="G35" i="13"/>
  <c r="F36" i="12"/>
  <c r="F36" i="11"/>
  <c r="G35" i="12"/>
  <c r="E37" i="13" l="1"/>
  <c r="E37" i="12"/>
  <c r="E37" i="11"/>
  <c r="G36" i="12"/>
  <c r="G36" i="11"/>
  <c r="F37" i="13"/>
  <c r="G36" i="13"/>
  <c r="F37" i="11"/>
  <c r="F37" i="12"/>
  <c r="E38" i="13" l="1"/>
  <c r="E38" i="12"/>
  <c r="E38" i="11"/>
  <c r="F38" i="12"/>
  <c r="G37" i="11"/>
  <c r="F38" i="13"/>
  <c r="F38" i="11"/>
  <c r="G37" i="12"/>
  <c r="G37" i="13"/>
  <c r="E39" i="13" l="1"/>
  <c r="E39" i="12"/>
  <c r="E39" i="11"/>
  <c r="G38" i="12"/>
  <c r="G38" i="13"/>
  <c r="F39" i="11"/>
  <c r="G38" i="11"/>
  <c r="F39" i="13"/>
  <c r="F39" i="12"/>
  <c r="E40" i="13" l="1"/>
  <c r="E40" i="12"/>
  <c r="E40" i="11"/>
  <c r="F40" i="12"/>
  <c r="F40" i="13"/>
  <c r="F40" i="11"/>
  <c r="G39" i="13"/>
  <c r="G39" i="11"/>
  <c r="G39" i="12"/>
  <c r="E41" i="13" l="1"/>
  <c r="E42" i="13"/>
  <c r="E42" i="12"/>
  <c r="E41" i="12"/>
  <c r="E42" i="11"/>
  <c r="E41" i="11"/>
  <c r="U3" i="12"/>
  <c r="U3" i="13"/>
  <c r="I11" i="6"/>
  <c r="I6" i="6"/>
  <c r="F42" i="11"/>
  <c r="I7" i="6"/>
  <c r="G40" i="11"/>
  <c r="F41" i="13"/>
  <c r="I9" i="6"/>
  <c r="G42" i="11"/>
  <c r="I8" i="6"/>
  <c r="F41" i="12"/>
  <c r="F41" i="11"/>
  <c r="G40" i="12"/>
  <c r="F42" i="12"/>
  <c r="I12" i="6"/>
  <c r="F42" i="13"/>
  <c r="G40" i="13"/>
  <c r="U8" i="6" l="1"/>
  <c r="U7" i="6"/>
  <c r="U9" i="6"/>
  <c r="U11" i="6"/>
  <c r="U12" i="6"/>
  <c r="W5" i="12" a="1"/>
  <c r="W5" i="13" a="1"/>
  <c r="G41" i="12"/>
  <c r="G42" i="13"/>
  <c r="G41" i="11"/>
  <c r="G41" i="13"/>
  <c r="G42" i="12"/>
  <c r="W31" i="13" l="1"/>
  <c r="AA31" i="13" s="1"/>
  <c r="W22" i="13"/>
  <c r="AA22" i="13" s="1"/>
  <c r="W38" i="13"/>
  <c r="AA38" i="13" s="1"/>
  <c r="W15" i="13"/>
  <c r="AA15" i="13" s="1"/>
  <c r="W12" i="13"/>
  <c r="AA12" i="13" s="1"/>
  <c r="W33" i="13"/>
  <c r="AA33" i="13" s="1"/>
  <c r="W16" i="13"/>
  <c r="AA16" i="13" s="1"/>
  <c r="W32" i="13"/>
  <c r="AA32" i="13" s="1"/>
  <c r="W17" i="13"/>
  <c r="AA17" i="13" s="1"/>
  <c r="W37" i="13"/>
  <c r="AA37" i="13" s="1"/>
  <c r="W35" i="13"/>
  <c r="AA35" i="13" s="1"/>
  <c r="W18" i="13"/>
  <c r="AA18" i="13" s="1"/>
  <c r="W34" i="13"/>
  <c r="AA34" i="13" s="1"/>
  <c r="W19" i="13"/>
  <c r="AA19" i="13" s="1"/>
  <c r="W23" i="13"/>
  <c r="AA23" i="13" s="1"/>
  <c r="W28" i="13"/>
  <c r="AA28" i="13" s="1"/>
  <c r="W5" i="13"/>
  <c r="AA5" i="13" s="1"/>
  <c r="W21" i="13"/>
  <c r="AA21" i="13" s="1"/>
  <c r="W25" i="13"/>
  <c r="AA25" i="13" s="1"/>
  <c r="W14" i="13"/>
  <c r="AA14" i="13" s="1"/>
  <c r="W30" i="13"/>
  <c r="AA30" i="13" s="1"/>
  <c r="W7" i="13"/>
  <c r="AA7" i="13" s="1"/>
  <c r="W27" i="13"/>
  <c r="AA27" i="13" s="1"/>
  <c r="W8" i="13"/>
  <c r="AA8" i="13" s="1"/>
  <c r="W24" i="13"/>
  <c r="AA24" i="13" s="1"/>
  <c r="W9" i="13"/>
  <c r="AA9" i="13" s="1"/>
  <c r="W20" i="13"/>
  <c r="AA20" i="13" s="1"/>
  <c r="W10" i="13"/>
  <c r="AA10" i="13" s="1"/>
  <c r="W26" i="13"/>
  <c r="AA26" i="13" s="1"/>
  <c r="W11" i="13"/>
  <c r="AA11" i="13" s="1"/>
  <c r="W6" i="13"/>
  <c r="AA6" i="13" s="1"/>
  <c r="W36" i="13"/>
  <c r="AA36" i="13" s="1"/>
  <c r="W13" i="13"/>
  <c r="AA13" i="13" s="1"/>
  <c r="W29" i="13"/>
  <c r="AA29" i="13" s="1"/>
  <c r="W20" i="12"/>
  <c r="AA20" i="12" s="1"/>
  <c r="W36" i="12"/>
  <c r="AA36" i="12" s="1"/>
  <c r="W21" i="12"/>
  <c r="AA21" i="12" s="1"/>
  <c r="W37" i="12"/>
  <c r="AA37" i="12" s="1"/>
  <c r="W38" i="12"/>
  <c r="AA38" i="12" s="1"/>
  <c r="W25" i="12"/>
  <c r="AA25" i="12" s="1"/>
  <c r="W12" i="12"/>
  <c r="AA12" i="12" s="1"/>
  <c r="W15" i="12"/>
  <c r="AA15" i="12" s="1"/>
  <c r="W16" i="12"/>
  <c r="AA16" i="12" s="1"/>
  <c r="W8" i="12"/>
  <c r="AA8" i="12" s="1"/>
  <c r="W22" i="12"/>
  <c r="AA22" i="12" s="1"/>
  <c r="W23" i="12"/>
  <c r="AA23" i="12" s="1"/>
  <c r="W24" i="12"/>
  <c r="AA24" i="12" s="1"/>
  <c r="W10" i="12"/>
  <c r="AA10" i="12" s="1"/>
  <c r="W26" i="12"/>
  <c r="AA26" i="12" s="1"/>
  <c r="W11" i="12"/>
  <c r="AA11" i="12" s="1"/>
  <c r="W27" i="12"/>
  <c r="AA27" i="12" s="1"/>
  <c r="W28" i="12"/>
  <c r="AA28" i="12" s="1"/>
  <c r="W13" i="12"/>
  <c r="AA13" i="12" s="1"/>
  <c r="W29" i="12"/>
  <c r="AA29" i="12" s="1"/>
  <c r="W14" i="12"/>
  <c r="AA14" i="12" s="1"/>
  <c r="W30" i="12"/>
  <c r="AA30" i="12" s="1"/>
  <c r="W9" i="12"/>
  <c r="AA9" i="12" s="1"/>
  <c r="W31" i="12"/>
  <c r="AA31" i="12" s="1"/>
  <c r="W6" i="12"/>
  <c r="AA6" i="12" s="1"/>
  <c r="W32" i="12"/>
  <c r="AA32" i="12" s="1"/>
  <c r="W7" i="12"/>
  <c r="AA7" i="12" s="1"/>
  <c r="W17" i="12"/>
  <c r="AA17" i="12" s="1"/>
  <c r="W33" i="12"/>
  <c r="AA33" i="12" s="1"/>
  <c r="W18" i="12"/>
  <c r="AA18" i="12" s="1"/>
  <c r="W34" i="12"/>
  <c r="AA34" i="12" s="1"/>
  <c r="W5" i="12"/>
  <c r="AA5" i="12" s="1"/>
  <c r="W19" i="12"/>
  <c r="AA19" i="12" s="1"/>
  <c r="W35" i="12"/>
  <c r="AA35" i="12" s="1"/>
  <c r="W39" i="13" l="1"/>
  <c r="AA39" i="13" s="1"/>
  <c r="W39" i="12"/>
  <c r="AA39" i="12" s="1"/>
  <c r="U3" i="11"/>
  <c r="W40" i="13" l="1"/>
  <c r="AA40" i="13" s="1"/>
  <c r="W40" i="12"/>
  <c r="AA40" i="12" s="1"/>
  <c r="W5" i="11" a="1"/>
  <c r="W41" i="13" l="1"/>
  <c r="AA41" i="13" s="1"/>
  <c r="W41" i="12"/>
  <c r="AA41" i="12" s="1"/>
  <c r="W6" i="11"/>
  <c r="AA6" i="11" s="1"/>
  <c r="W5" i="11"/>
  <c r="AA5" i="11" s="1"/>
  <c r="W7" i="11"/>
  <c r="AA7" i="11" s="1"/>
  <c r="W8" i="11"/>
  <c r="AA8" i="11" s="1"/>
  <c r="W9" i="11"/>
  <c r="AA9" i="11" s="1"/>
  <c r="W10" i="11"/>
  <c r="AA10" i="11" s="1"/>
  <c r="W42" i="13" l="1"/>
  <c r="AA42" i="13" s="1"/>
  <c r="W42" i="12"/>
  <c r="AA42" i="12" s="1"/>
  <c r="W11" i="11"/>
  <c r="AA11" i="11" s="1"/>
  <c r="W12" i="11"/>
  <c r="AA12" i="11" s="1"/>
  <c r="W13" i="11"/>
  <c r="AA13" i="11" s="1"/>
  <c r="W14" i="11"/>
  <c r="AA14" i="11" s="1"/>
  <c r="W15" i="11"/>
  <c r="AA15" i="11" s="1"/>
  <c r="W16" i="11"/>
  <c r="AA16" i="11" s="1"/>
  <c r="W17" i="11"/>
  <c r="AA17" i="11" s="1"/>
  <c r="W18" i="11"/>
  <c r="AA18" i="11" s="1"/>
  <c r="W19" i="11"/>
  <c r="AA19" i="11" s="1"/>
  <c r="W20" i="11"/>
  <c r="AA20" i="11" s="1"/>
  <c r="W21" i="11"/>
  <c r="AA21" i="11" s="1"/>
  <c r="W22" i="11"/>
  <c r="AA22" i="11" s="1"/>
  <c r="W23" i="11"/>
  <c r="AA23" i="11" s="1"/>
  <c r="W24" i="11"/>
  <c r="AA24" i="11" s="1"/>
  <c r="W25" i="11"/>
  <c r="AA25" i="11" s="1"/>
  <c r="W26" i="11"/>
  <c r="AA26" i="11" s="1"/>
  <c r="W27" i="11"/>
  <c r="AA27" i="11" s="1"/>
  <c r="W28" i="11"/>
  <c r="AA28" i="11" s="1"/>
  <c r="W29" i="11"/>
  <c r="AA29" i="11" s="1"/>
  <c r="W30" i="11"/>
  <c r="AA30" i="11" s="1"/>
  <c r="W31" i="11"/>
  <c r="AA31" i="11" s="1"/>
  <c r="W32" i="11"/>
  <c r="AA32" i="11" s="1"/>
  <c r="W33" i="11"/>
  <c r="AA33" i="11" s="1"/>
  <c r="W34" i="11"/>
  <c r="AA34" i="11" s="1"/>
  <c r="W35" i="11"/>
  <c r="AA35" i="11" s="1"/>
  <c r="W36" i="11"/>
  <c r="AA36" i="11" s="1"/>
  <c r="W37" i="11"/>
  <c r="AA37" i="11" s="1"/>
  <c r="W38" i="11"/>
  <c r="AA38" i="11" s="1"/>
  <c r="Z2" i="24"/>
  <c r="W39" i="11" l="1"/>
  <c r="AA39" i="11" s="1"/>
  <c r="AB27" i="13"/>
  <c r="AB8" i="13"/>
  <c r="AB41" i="13"/>
  <c r="AB23" i="13"/>
  <c r="AB5" i="13"/>
  <c r="AB28" i="13"/>
  <c r="AB26" i="13"/>
  <c r="AB14" i="13"/>
  <c r="AB39" i="13"/>
  <c r="AB33" i="13"/>
  <c r="AB30" i="13"/>
  <c r="AB31" i="13"/>
  <c r="AB9" i="13"/>
  <c r="AB40" i="13"/>
  <c r="AB34" i="13"/>
  <c r="AB38" i="13"/>
  <c r="AB13" i="13"/>
  <c r="AB22" i="13"/>
  <c r="AB25" i="13"/>
  <c r="AB10" i="13"/>
  <c r="AB20" i="13"/>
  <c r="AB19" i="13"/>
  <c r="AB29" i="13"/>
  <c r="AB7" i="13"/>
  <c r="AB11" i="13"/>
  <c r="AB24" i="13"/>
  <c r="AB35" i="13"/>
  <c r="AB32" i="13"/>
  <c r="AB18" i="13"/>
  <c r="AB21" i="13"/>
  <c r="AB16" i="13"/>
  <c r="AB17" i="13"/>
  <c r="AB42" i="13"/>
  <c r="AB15" i="13"/>
  <c r="AB6" i="13"/>
  <c r="AB37" i="13"/>
  <c r="AB12" i="13"/>
  <c r="AB36" i="13"/>
  <c r="W40" i="11" l="1"/>
  <c r="AA40" i="11" s="1"/>
  <c r="AB30" i="12"/>
  <c r="AB41" i="12"/>
  <c r="AB26" i="12"/>
  <c r="AB38" i="12"/>
  <c r="AB32" i="12"/>
  <c r="AB14" i="12"/>
  <c r="AB27" i="12"/>
  <c r="AB22" i="12"/>
  <c r="AB35" i="12"/>
  <c r="AB36" i="12"/>
  <c r="AB20" i="12"/>
  <c r="AB37" i="12"/>
  <c r="AB31" i="12"/>
  <c r="AB29" i="12"/>
  <c r="AB7" i="12"/>
  <c r="AB34" i="12"/>
  <c r="AB5" i="12"/>
  <c r="AB13" i="12"/>
  <c r="AB28" i="12"/>
  <c r="AB9" i="12"/>
  <c r="AB21" i="12"/>
  <c r="AB16" i="12"/>
  <c r="AB42" i="12"/>
  <c r="AB11" i="12"/>
  <c r="AB39" i="12"/>
  <c r="AB33" i="12"/>
  <c r="AB23" i="12"/>
  <c r="AB8" i="12"/>
  <c r="AB40" i="12"/>
  <c r="AB10" i="12"/>
  <c r="AB15" i="12"/>
  <c r="AB12" i="12"/>
  <c r="AB24" i="12"/>
  <c r="AB25" i="12"/>
  <c r="AB17" i="12"/>
  <c r="AB19" i="12"/>
  <c r="AB18" i="12"/>
  <c r="AB6" i="12"/>
  <c r="W41" i="11" l="1"/>
  <c r="AA41" i="11" s="1"/>
  <c r="W42" i="11" l="1"/>
  <c r="AA42" i="11" s="1"/>
  <c r="P5" i="18" a="1"/>
  <c r="P6" i="18" l="1"/>
  <c r="P5" i="18"/>
  <c r="P7" i="18"/>
  <c r="P8" i="18"/>
  <c r="AB27" i="11"/>
  <c r="AB37" i="11"/>
  <c r="AB11" i="11"/>
  <c r="AB15" i="11"/>
  <c r="AB24" i="11"/>
  <c r="AB21" i="11"/>
  <c r="AB13" i="11"/>
  <c r="AB40" i="11"/>
  <c r="AB35" i="11"/>
  <c r="AB36" i="11"/>
  <c r="AB25" i="11"/>
  <c r="AB34" i="11"/>
  <c r="AB22" i="11"/>
  <c r="AB18" i="11"/>
  <c r="AB42" i="11"/>
  <c r="AB31" i="11"/>
  <c r="AB23" i="11"/>
  <c r="AB16" i="11"/>
  <c r="AB9" i="11"/>
  <c r="AB29" i="11"/>
  <c r="AB20" i="11"/>
  <c r="AB12" i="11"/>
  <c r="AB8" i="11"/>
  <c r="AB17" i="11"/>
  <c r="AB7" i="11"/>
  <c r="AB33" i="11"/>
  <c r="AB30" i="11"/>
  <c r="AB5" i="11"/>
  <c r="AB6" i="11"/>
  <c r="AB26" i="11"/>
  <c r="AB32" i="11"/>
  <c r="AB41" i="11"/>
  <c r="AB14" i="11"/>
  <c r="AB10" i="11"/>
  <c r="AB38" i="11"/>
  <c r="AB19" i="11"/>
  <c r="AB28" i="11"/>
  <c r="AB39" i="11"/>
  <c r="P9" i="18" l="1"/>
  <c r="P10" i="18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R5" i="18" l="1" a="1"/>
  <c r="Z2" i="25"/>
  <c r="AB2" i="13"/>
  <c r="AB2" i="12"/>
  <c r="AD2" i="18"/>
  <c r="O4" i="23"/>
  <c r="O4" i="22"/>
  <c r="O4" i="24"/>
  <c r="R12" i="18" l="1"/>
  <c r="R20" i="18"/>
  <c r="R28" i="18"/>
  <c r="R36" i="18"/>
  <c r="R44" i="18"/>
  <c r="R5" i="18"/>
  <c r="R13" i="18"/>
  <c r="R21" i="18"/>
  <c r="R29" i="18"/>
  <c r="R37" i="18"/>
  <c r="R45" i="18"/>
  <c r="R6" i="18"/>
  <c r="R14" i="18"/>
  <c r="R22" i="18"/>
  <c r="R30" i="18"/>
  <c r="R38" i="18"/>
  <c r="R46" i="18"/>
  <c r="R7" i="18"/>
  <c r="R15" i="18"/>
  <c r="R23" i="18"/>
  <c r="R31" i="18"/>
  <c r="R39" i="18"/>
  <c r="R8" i="18"/>
  <c r="R16" i="18"/>
  <c r="R24" i="18"/>
  <c r="R32" i="18"/>
  <c r="R40" i="18"/>
  <c r="R9" i="18"/>
  <c r="R17" i="18"/>
  <c r="R25" i="18"/>
  <c r="R33" i="18"/>
  <c r="R41" i="18"/>
  <c r="R10" i="18"/>
  <c r="R18" i="18"/>
  <c r="R26" i="18"/>
  <c r="R34" i="18"/>
  <c r="R42" i="18"/>
  <c r="R11" i="18"/>
  <c r="R19" i="18"/>
  <c r="R27" i="18"/>
  <c r="R35" i="18"/>
  <c r="R43" i="18"/>
  <c r="I3" i="18"/>
  <c r="Q10" i="6"/>
  <c r="H10" i="6"/>
  <c r="F10" i="6"/>
  <c r="I30" i="18"/>
  <c r="I13" i="18"/>
  <c r="I23" i="18"/>
  <c r="I33" i="18"/>
  <c r="I10" i="18"/>
  <c r="R2" i="15"/>
  <c r="I25" i="18"/>
  <c r="I32" i="18"/>
  <c r="I26" i="18"/>
  <c r="I16" i="18"/>
  <c r="I7" i="18"/>
  <c r="I39" i="18"/>
  <c r="I43" i="18"/>
  <c r="I19" i="18"/>
  <c r="I9" i="18"/>
  <c r="I21" i="18"/>
  <c r="I34" i="18"/>
  <c r="I45" i="18"/>
  <c r="I44" i="18"/>
  <c r="I24" i="18"/>
  <c r="I22" i="18"/>
  <c r="I28" i="18"/>
  <c r="I12" i="18"/>
  <c r="I35" i="18"/>
  <c r="I6" i="18"/>
  <c r="I42" i="18"/>
  <c r="I46" i="18"/>
  <c r="I31" i="18"/>
  <c r="I15" i="18"/>
  <c r="I40" i="18"/>
  <c r="I5" i="18"/>
  <c r="I38" i="18"/>
  <c r="I14" i="18"/>
  <c r="I36" i="18"/>
  <c r="I17" i="18"/>
  <c r="I27" i="18"/>
  <c r="I41" i="18"/>
  <c r="I29" i="18"/>
  <c r="I8" i="18"/>
  <c r="I20" i="18"/>
  <c r="I37" i="18"/>
  <c r="I11" i="18"/>
  <c r="I18" i="18"/>
  <c r="L6" i="15" l="1"/>
  <c r="L7" i="15"/>
  <c r="L5" i="15"/>
  <c r="O10" i="6"/>
  <c r="I10" i="6"/>
  <c r="D8" i="56"/>
  <c r="J36" i="18"/>
  <c r="J5" i="18"/>
  <c r="J15" i="18"/>
  <c r="J43" i="18"/>
  <c r="J41" i="18"/>
  <c r="J20" i="18"/>
  <c r="J22" i="18"/>
  <c r="J34" i="18"/>
  <c r="J9" i="18"/>
  <c r="J11" i="18"/>
  <c r="J17" i="18"/>
  <c r="J29" i="18"/>
  <c r="J26" i="18"/>
  <c r="J31" i="18"/>
  <c r="J16" i="18"/>
  <c r="J44" i="18"/>
  <c r="J23" i="18"/>
  <c r="J38" i="18"/>
  <c r="J27" i="18"/>
  <c r="J35" i="18"/>
  <c r="J6" i="18"/>
  <c r="J10" i="18"/>
  <c r="J12" i="18"/>
  <c r="J39" i="18"/>
  <c r="J24" i="18"/>
  <c r="J18" i="18"/>
  <c r="J28" i="18"/>
  <c r="J30" i="18"/>
  <c r="J7" i="18"/>
  <c r="J46" i="18"/>
  <c r="J45" i="18"/>
  <c r="J25" i="18"/>
  <c r="J21" i="18"/>
  <c r="J40" i="18"/>
  <c r="J33" i="18"/>
  <c r="J37" i="18"/>
  <c r="J8" i="18"/>
  <c r="J32" i="18"/>
  <c r="J13" i="18"/>
  <c r="J42" i="18"/>
  <c r="J14" i="18"/>
  <c r="J19" i="18"/>
  <c r="L4" i="15"/>
  <c r="E5" i="16" l="1"/>
  <c r="F5" i="16"/>
  <c r="R10" i="6"/>
  <c r="T10" i="6"/>
  <c r="Z2" i="22"/>
  <c r="AB2" i="11"/>
  <c r="Z2" i="23"/>
  <c r="Z5" i="16"/>
  <c r="O4" i="11"/>
  <c r="O4" i="12"/>
  <c r="O4" i="25"/>
  <c r="S10" i="6" l="1"/>
  <c r="U10" i="6" s="1"/>
  <c r="L5" i="16"/>
  <c r="K5" i="16" s="1"/>
  <c r="N5" i="16" s="1"/>
  <c r="G5" i="16"/>
  <c r="Z2" i="16"/>
  <c r="D7" i="56"/>
  <c r="R4" i="18"/>
  <c r="O4" i="13"/>
  <c r="O4" i="16"/>
</calcChain>
</file>

<file path=xl/sharedStrings.xml><?xml version="1.0" encoding="utf-8"?>
<sst xmlns="http://schemas.openxmlformats.org/spreadsheetml/2006/main" count="1649" uniqueCount="282">
  <si>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</si>
  <si>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</si>
  <si>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</si>
  <si>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</si>
  <si>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</si>
  <si>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</si>
  <si>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</si>
  <si>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</si>
  <si>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</si>
  <si>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</si>
  <si>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</si>
  <si>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</si>
  <si>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</si>
  <si>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</si>
  <si>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</si>
  <si>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</si>
  <si>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</si>
  <si>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</si>
  <si>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</si>
  <si>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</si>
  <si>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</si>
  <si>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</si>
  <si>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</si>
  <si>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</si>
  <si>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</si>
  <si>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</si>
  <si>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</si>
  <si>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</si>
  <si>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</si>
  <si>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</si>
  <si>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</si>
  <si>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</si>
  <si>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</si>
  <si>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</si>
  <si>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</si>
  <si>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</si>
  <si>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</si>
  <si>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</si>
  <si>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</si>
  <si>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</si>
  <si>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</si>
  <si>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</si>
  <si>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</si>
  <si>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</si>
  <si>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</si>
  <si>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</si>
  <si>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</si>
  <si>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</si>
  <si>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</si>
  <si>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</si>
  <si>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</si>
  <si>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</si>
  <si>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</si>
  <si>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</si>
  <si>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</si>
  <si>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</si>
  <si>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</si>
  <si>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</si>
  <si>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</si>
  <si>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</si>
  <si>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</si>
  <si>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</si>
  <si>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</si>
  <si>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</si>
  <si>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</si>
  <si>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</si>
  <si>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</si>
  <si>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</si>
  <si>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</si>
  <si>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</si>
  <si>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</si>
  <si>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</si>
  <si>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</si>
  <si>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</si>
  <si>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</si>
  <si>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</si>
  <si>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</si>
  <si>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</si>
  <si>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</si>
  <si>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</si>
  <si>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</si>
  <si>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</si>
  <si>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</si>
  <si>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</si>
  <si>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</si>
  <si>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</si>
  <si>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</si>
  <si>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</si>
  <si>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</si>
  <si>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</si>
  <si>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</si>
  <si>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USD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</si>
  <si>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</si>
  <si>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</si>
  <si>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</si>
  <si>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</si>
  <si>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</si>
  <si>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</si>
  <si>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</si>
  <si>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</si>
  <si>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</si>
  <si>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</si>
  <si>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</si>
  <si>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1YD</t>
  </si>
  <si>
    <t>6MD</t>
  </si>
  <si>
    <t>3MD</t>
  </si>
  <si>
    <t>2MD</t>
  </si>
  <si>
    <t>1MD</t>
  </si>
  <si>
    <t>SWD</t>
  </si>
  <si>
    <t>SND</t>
  </si>
  <si>
    <t>TND</t>
  </si>
  <si>
    <t>OND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</si>
  <si>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</si>
  <si>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</si>
  <si>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</si>
  <si>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</si>
  <si>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</si>
  <si>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</si>
  <si>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</si>
  <si>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</si>
  <si>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</si>
  <si>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</si>
  <si>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</si>
  <si>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</si>
  <si>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</si>
  <si>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</si>
  <si>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</si>
  <si>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</si>
  <si>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</si>
  <si>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</si>
  <si>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</si>
  <si>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</si>
  <si>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</si>
  <si>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</si>
  <si>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</si>
  <si>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</si>
  <si>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</si>
  <si>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</si>
  <si>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</si>
  <si>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</si>
  <si>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</si>
  <si>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</si>
  <si>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</si>
  <si>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AM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</si>
  <si>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</si>
  <si>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</si>
  <si>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</si>
  <si>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</si>
  <si>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</si>
  <si>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</si>
  <si>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</si>
  <si>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</si>
  <si>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</si>
  <si>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</si>
  <si>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</si>
  <si>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</si>
  <si>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</si>
  <si>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</si>
  <si>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</si>
  <si>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TN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</si>
  <si>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</si>
  <si>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</si>
  <si>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</si>
  <si>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</si>
  <si>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</si>
  <si>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</si>
  <si>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</si>
  <si>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</si>
  <si>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</si>
  <si>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</si>
  <si>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</si>
  <si>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</si>
  <si>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</si>
  <si>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</si>
  <si>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</si>
  <si>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</si>
  <si>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</si>
  <si>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</si>
  <si>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</si>
  <si>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</si>
  <si>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</si>
  <si>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</si>
  <si>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</si>
  <si>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</si>
  <si>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</si>
  <si>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</si>
  <si>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</si>
  <si>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</si>
  <si>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</si>
  <si>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</si>
  <si>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</si>
  <si>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</si>
  <si>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</si>
  <si>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</si>
  <si>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</si>
  <si>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JoinHolidays</t>
  </si>
  <si>
    <t>UnitedStates::Settlement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</si>
  <si>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</si>
  <si>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</si>
  <si>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</si>
  <si>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</si>
  <si>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</si>
  <si>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</si>
  <si>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</si>
  <si>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</si>
  <si>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</si>
  <si>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</si>
  <si>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</si>
  <si>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</si>
  <si>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</si>
  <si>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</si>
  <si>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</si>
  <si>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</si>
  <si>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</si>
  <si>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</si>
  <si>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</si>
  <si>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>USD6MFSR=</t>
  </si>
  <si>
    <t>USD1YFSR=</t>
  </si>
  <si>
    <t>USD3MFSR=</t>
  </si>
  <si>
    <t>USD1MFSR=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</si>
  <si>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</si>
  <si>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</si>
  <si>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</si>
  <si>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</si>
  <si>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</si>
  <si>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</si>
  <si>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</si>
  <si>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</si>
  <si>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</si>
  <si>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</si>
  <si>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</si>
  <si>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</si>
  <si>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</si>
  <si>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</si>
  <si>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</si>
  <si>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</si>
  <si>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</si>
  <si>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</si>
  <si>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</si>
  <si>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</si>
  <si>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</si>
  <si>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</si>
  <si>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</si>
  <si>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</si>
  <si>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</si>
  <si>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</si>
  <si>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</si>
  <si>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</si>
  <si>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</si>
  <si>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</si>
  <si>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</si>
  <si>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</si>
  <si>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</si>
  <si>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</si>
  <si>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</si>
  <si>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FRA</t>
  </si>
  <si>
    <t>Deposits</t>
  </si>
  <si>
    <t>Swap1M</t>
  </si>
  <si>
    <t>Swap3M</t>
  </si>
  <si>
    <t>SwapIMM</t>
  </si>
  <si>
    <t>BasisSwap1MxM</t>
  </si>
  <si>
    <t>BasisSwap3M6M</t>
  </si>
  <si>
    <t>BasisSwapxM12M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</si>
  <si>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</si>
  <si>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</si>
  <si>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</si>
  <si>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</si>
  <si>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</si>
  <si>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</si>
  <si>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</si>
  <si>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</si>
  <si>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</si>
  <si>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</si>
  <si>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</si>
  <si>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</si>
  <si>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</si>
  <si>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</si>
  <si>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</si>
  <si>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</si>
  <si>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</si>
  <si>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LAST_QUOTE</t>
  </si>
  <si>
    <t>The record could not be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</si>
</sst>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165" fontId="3" fillId="5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416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3" borderId="4" xfId="2" applyFont="1" applyFill="1" applyBorder="1"/>
    <xf numFmtId="164" fontId="8" fillId="4" borderId="5" xfId="1" applyNumberFormat="1" applyFont="1" applyFill="1" applyBorder="1" applyAlignment="1" applyProtection="1">
      <alignment horizontal="left"/>
    </xf>
    <xf numFmtId="169" fontId="8" fillId="0" borderId="23" xfId="12" applyNumberFormat="1" applyFont="1" applyFill="1" applyBorder="1" applyAlignment="1">
      <alignment horizontal="center"/>
    </xf>
    <xf numFmtId="169" fontId="8" fillId="0" borderId="24" xfId="12" applyNumberFormat="1" applyFont="1" applyFill="1" applyBorder="1" applyAlignment="1">
      <alignment horizontal="center"/>
    </xf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21" xfId="2" applyFont="1" applyFill="1" applyBorder="1"/>
    <xf numFmtId="0" fontId="9" fillId="3" borderId="5" xfId="1" applyNumberFormat="1" applyFont="1" applyFill="1" applyBorder="1" applyAlignment="1">
      <alignment horizontal="center" vertical="center" wrapText="1"/>
    </xf>
    <xf numFmtId="0" fontId="8" fillId="3" borderId="0" xfId="2" applyFont="1" applyFill="1" applyBorder="1" applyAlignment="1">
      <alignment horizontal="center" vertical="center" wrapText="1"/>
    </xf>
    <xf numFmtId="0" fontId="8" fillId="3" borderId="24" xfId="2" applyFont="1" applyFill="1" applyBorder="1"/>
    <xf numFmtId="0" fontId="8" fillId="3" borderId="24" xfId="1" applyFont="1" applyFill="1" applyBorder="1"/>
    <xf numFmtId="0" fontId="8" fillId="3" borderId="10" xfId="2" applyFont="1" applyFill="1" applyBorder="1"/>
    <xf numFmtId="0" fontId="10" fillId="3" borderId="9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3" borderId="3" xfId="13" applyFont="1" applyFill="1" applyBorder="1"/>
    <xf numFmtId="0" fontId="8" fillId="3" borderId="2" xfId="13" applyFont="1" applyFill="1" applyBorder="1"/>
    <xf numFmtId="0" fontId="8" fillId="3" borderId="1" xfId="13" applyFont="1" applyFill="1" applyBorder="1"/>
    <xf numFmtId="0" fontId="8" fillId="6" borderId="10" xfId="1" applyFont="1" applyFill="1" applyBorder="1"/>
    <xf numFmtId="0" fontId="8" fillId="6" borderId="9" xfId="1" applyFont="1" applyFill="1" applyBorder="1"/>
    <xf numFmtId="0" fontId="8" fillId="6" borderId="8" xfId="1" applyFont="1" applyFill="1" applyBorder="1"/>
    <xf numFmtId="0" fontId="8" fillId="6" borderId="7" xfId="2" applyFont="1" applyFill="1" applyBorder="1"/>
    <xf numFmtId="0" fontId="8" fillId="6" borderId="0" xfId="2" applyFont="1" applyFill="1" applyBorder="1"/>
    <xf numFmtId="0" fontId="8" fillId="6" borderId="9" xfId="2" applyFont="1" applyFill="1" applyBorder="1"/>
    <xf numFmtId="0" fontId="8" fillId="6" borderId="0" xfId="1" applyFont="1" applyFill="1" applyBorder="1"/>
    <xf numFmtId="176" fontId="8" fillId="6" borderId="10" xfId="12" applyNumberFormat="1" applyFont="1" applyFill="1" applyBorder="1" applyAlignment="1"/>
    <xf numFmtId="0" fontId="8" fillId="6" borderId="11" xfId="1" applyFont="1" applyFill="1" applyBorder="1"/>
    <xf numFmtId="0" fontId="8" fillId="6" borderId="0" xfId="1" applyFont="1" applyFill="1"/>
    <xf numFmtId="0" fontId="8" fillId="6" borderId="4" xfId="1" applyFont="1" applyFill="1" applyBorder="1"/>
    <xf numFmtId="0" fontId="8" fillId="6" borderId="29" xfId="1" applyFont="1" applyFill="1" applyBorder="1"/>
    <xf numFmtId="168" fontId="8" fillId="6" borderId="30" xfId="12" applyNumberFormat="1" applyFont="1" applyFill="1" applyBorder="1" applyAlignment="1"/>
    <xf numFmtId="0" fontId="8" fillId="6" borderId="7" xfId="1" applyFont="1" applyFill="1" applyBorder="1"/>
    <xf numFmtId="176" fontId="8" fillId="6" borderId="32" xfId="12" applyNumberFormat="1" applyFont="1" applyFill="1" applyBorder="1" applyAlignment="1">
      <alignment horizontal="center" vertical="center"/>
    </xf>
    <xf numFmtId="168" fontId="8" fillId="6" borderId="33" xfId="12" applyNumberFormat="1" applyFont="1" applyFill="1" applyBorder="1" applyAlignment="1">
      <alignment vertical="center"/>
    </xf>
    <xf numFmtId="0" fontId="8" fillId="6" borderId="3" xfId="2" applyFont="1" applyFill="1" applyBorder="1"/>
    <xf numFmtId="0" fontId="8" fillId="6" borderId="2" xfId="2" applyFont="1" applyFill="1" applyBorder="1"/>
    <xf numFmtId="0" fontId="8" fillId="6" borderId="2" xfId="1" applyFont="1" applyFill="1" applyBorder="1"/>
    <xf numFmtId="0" fontId="8" fillId="6" borderId="1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9" borderId="23" xfId="1" applyFont="1" applyFill="1" applyBorder="1" applyAlignment="1"/>
    <xf numFmtId="0" fontId="8" fillId="9" borderId="5" xfId="1" applyFont="1" applyFill="1" applyBorder="1" applyAlignment="1"/>
    <xf numFmtId="0" fontId="8" fillId="9" borderId="24" xfId="1" applyFont="1" applyFill="1" applyBorder="1" applyAlignment="1"/>
    <xf numFmtId="0" fontId="8" fillId="9" borderId="12" xfId="1" applyFont="1" applyFill="1" applyBorder="1" applyAlignment="1"/>
    <xf numFmtId="0" fontId="8" fillId="3" borderId="8" xfId="1" applyFont="1" applyFill="1" applyBorder="1"/>
    <xf numFmtId="15" fontId="8" fillId="3" borderId="4" xfId="1" applyNumberFormat="1" applyFont="1" applyFill="1" applyBorder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0" fontId="8" fillId="3" borderId="7" xfId="11" applyFont="1" applyFill="1" applyBorder="1"/>
    <xf numFmtId="0" fontId="8" fillId="3" borderId="4" xfId="11" applyFont="1" applyFill="1" applyBorder="1"/>
    <xf numFmtId="0" fontId="14" fillId="8" borderId="26" xfId="1" applyFont="1" applyFill="1" applyBorder="1" applyAlignment="1">
      <alignment horizontal="centerContinuous" vertical="center"/>
    </xf>
    <xf numFmtId="0" fontId="10" fillId="8" borderId="27" xfId="1" applyFont="1" applyFill="1" applyBorder="1" applyAlignment="1">
      <alignment horizontal="centerContinuous" vertical="center"/>
    </xf>
    <xf numFmtId="0" fontId="10" fillId="8" borderId="28" xfId="1" applyFont="1" applyFill="1" applyBorder="1" applyAlignment="1">
      <alignment horizontal="centerContinuous" vertical="center"/>
    </xf>
    <xf numFmtId="175" fontId="8" fillId="3" borderId="23" xfId="1" applyNumberFormat="1" applyFont="1" applyFill="1" applyBorder="1" applyAlignment="1">
      <alignment horizontal="center"/>
    </xf>
    <xf numFmtId="171" fontId="8" fillId="3" borderId="12" xfId="1" applyNumberFormat="1" applyFont="1" applyFill="1" applyBorder="1" applyAlignment="1">
      <alignment horizontal="center"/>
    </xf>
    <xf numFmtId="0" fontId="8" fillId="9" borderId="19" xfId="1" applyFont="1" applyFill="1" applyBorder="1" applyAlignment="1"/>
    <xf numFmtId="0" fontId="8" fillId="9" borderId="17" xfId="1" applyFont="1" applyFill="1" applyBorder="1" applyAlignment="1"/>
    <xf numFmtId="0" fontId="8" fillId="0" borderId="0" xfId="1" applyFont="1"/>
    <xf numFmtId="0" fontId="8" fillId="3" borderId="21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0" fontId="8" fillId="0" borderId="22" xfId="4" applyNumberFormat="1" applyFont="1" applyFill="1" applyBorder="1" applyAlignment="1">
      <alignment horizontal="center"/>
    </xf>
    <xf numFmtId="0" fontId="8" fillId="0" borderId="19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>
      <alignment horizontal="center"/>
    </xf>
    <xf numFmtId="169" fontId="8" fillId="0" borderId="23" xfId="4" applyNumberFormat="1" applyFont="1" applyFill="1" applyBorder="1" applyAlignment="1"/>
    <xf numFmtId="169" fontId="8" fillId="0" borderId="24" xfId="4" applyNumberFormat="1" applyFont="1" applyFill="1" applyBorder="1" applyAlignment="1"/>
    <xf numFmtId="169" fontId="8" fillId="0" borderId="12" xfId="4" applyNumberFormat="1" applyFont="1" applyFill="1" applyBorder="1" applyAlignment="1"/>
    <xf numFmtId="168" fontId="8" fillId="0" borderId="23" xfId="4" applyNumberFormat="1" applyFont="1" applyFill="1" applyBorder="1" applyAlignment="1"/>
    <xf numFmtId="168" fontId="8" fillId="0" borderId="24" xfId="4" applyNumberFormat="1" applyFont="1" applyFill="1" applyBorder="1" applyAlignment="1"/>
    <xf numFmtId="168" fontId="8" fillId="0" borderId="12" xfId="4" applyNumberFormat="1" applyFont="1" applyFill="1" applyBorder="1" applyAlignment="1"/>
    <xf numFmtId="168" fontId="10" fillId="8" borderId="5" xfId="4" applyNumberFormat="1" applyFont="1" applyFill="1" applyBorder="1" applyAlignment="1">
      <alignment horizontal="center" vertical="center" wrapText="1"/>
    </xf>
    <xf numFmtId="169" fontId="10" fillId="8" borderId="5" xfId="4" applyNumberFormat="1" applyFont="1" applyFill="1" applyBorder="1" applyAlignment="1">
      <alignment horizontal="center" vertical="center" wrapText="1"/>
    </xf>
    <xf numFmtId="169" fontId="10" fillId="8" borderId="6" xfId="4" applyNumberFormat="1" applyFont="1" applyFill="1" applyBorder="1" applyAlignment="1">
      <alignment horizontal="center" vertical="center" wrapText="1"/>
    </xf>
    <xf numFmtId="0" fontId="8" fillId="10" borderId="23" xfId="1" applyNumberFormat="1" applyFont="1" applyFill="1" applyBorder="1" applyAlignment="1"/>
    <xf numFmtId="0" fontId="8" fillId="10" borderId="24" xfId="1" applyNumberFormat="1" applyFont="1" applyFill="1" applyBorder="1" applyAlignment="1"/>
    <xf numFmtId="0" fontId="8" fillId="10" borderId="12" xfId="1" applyNumberFormat="1" applyFont="1" applyFill="1" applyBorder="1" applyAlignment="1"/>
    <xf numFmtId="0" fontId="8" fillId="8" borderId="14" xfId="1" applyFont="1" applyFill="1" applyBorder="1" applyAlignment="1">
      <alignment vertical="center"/>
    </xf>
    <xf numFmtId="0" fontId="8" fillId="8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15" fontId="8" fillId="3" borderId="4" xfId="1" applyNumberFormat="1" applyFont="1" applyFill="1" applyBorder="1"/>
    <xf numFmtId="0" fontId="8" fillId="8" borderId="5" xfId="1" applyFont="1" applyFill="1" applyBorder="1"/>
    <xf numFmtId="0" fontId="8" fillId="8" borderId="5" xfId="1" applyFont="1" applyFill="1" applyBorder="1" applyAlignment="1">
      <alignment vertical="center"/>
    </xf>
    <xf numFmtId="0" fontId="8" fillId="8" borderId="5" xfId="1" applyNumberFormat="1" applyFont="1" applyFill="1" applyBorder="1" applyAlignment="1" applyProtection="1">
      <alignment horizontal="center" vertical="center"/>
    </xf>
    <xf numFmtId="0" fontId="10" fillId="8" borderId="5" xfId="1" applyFont="1" applyFill="1" applyBorder="1" applyAlignment="1">
      <alignment horizontal="center" vertical="center" wrapText="1"/>
    </xf>
    <xf numFmtId="0" fontId="8" fillId="6" borderId="7" xfId="1" applyFont="1" applyFill="1" applyBorder="1"/>
    <xf numFmtId="0" fontId="8" fillId="0" borderId="5" xfId="1" applyFont="1" applyFill="1" applyBorder="1" applyAlignment="1">
      <alignment horizontal="center"/>
    </xf>
    <xf numFmtId="0" fontId="10" fillId="7" borderId="5" xfId="1" applyFont="1" applyFill="1" applyBorder="1" applyAlignment="1">
      <alignment horizontal="center" vertical="center" wrapText="1"/>
    </xf>
    <xf numFmtId="0" fontId="10" fillId="8" borderId="6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5" xfId="1" applyFont="1" applyFill="1" applyBorder="1"/>
    <xf numFmtId="0" fontId="8" fillId="10" borderId="22" xfId="1" applyNumberFormat="1" applyFont="1" applyFill="1" applyBorder="1" applyAlignment="1"/>
    <xf numFmtId="0" fontId="8" fillId="10" borderId="21" xfId="1" applyNumberFormat="1" applyFont="1" applyFill="1" applyBorder="1" applyAlignment="1"/>
    <xf numFmtId="0" fontId="8" fillId="10" borderId="19" xfId="1" applyNumberFormat="1" applyFont="1" applyFill="1" applyBorder="1" applyAlignment="1"/>
    <xf numFmtId="0" fontId="8" fillId="10" borderId="0" xfId="1" applyNumberFormat="1" applyFont="1" applyFill="1" applyBorder="1" applyAlignment="1"/>
    <xf numFmtId="0" fontId="8" fillId="10" borderId="17" xfId="1" applyNumberFormat="1" applyFont="1" applyFill="1" applyBorder="1" applyAlignment="1"/>
    <xf numFmtId="0" fontId="8" fillId="10" borderId="20" xfId="1" applyNumberFormat="1" applyFont="1" applyFill="1" applyBorder="1" applyAlignment="1"/>
    <xf numFmtId="0" fontId="8" fillId="10" borderId="18" xfId="1" applyNumberFormat="1" applyFont="1" applyFill="1" applyBorder="1" applyAlignment="1"/>
    <xf numFmtId="0" fontId="8" fillId="10" borderId="13" xfId="1" applyNumberFormat="1" applyFont="1" applyFill="1" applyBorder="1" applyAlignment="1"/>
    <xf numFmtId="0" fontId="8" fillId="6" borderId="24" xfId="4" applyNumberFormat="1" applyFont="1" applyFill="1" applyBorder="1" applyAlignment="1"/>
    <xf numFmtId="168" fontId="8" fillId="6" borderId="18" xfId="4" applyNumberFormat="1" applyFont="1" applyFill="1" applyBorder="1" applyAlignment="1"/>
    <xf numFmtId="169" fontId="8" fillId="6" borderId="20" xfId="4" applyNumberFormat="1" applyFont="1" applyFill="1" applyBorder="1" applyAlignment="1">
      <alignment horizontal="center"/>
    </xf>
    <xf numFmtId="169" fontId="8" fillId="6" borderId="18" xfId="4" applyNumberFormat="1" applyFont="1" applyFill="1" applyBorder="1" applyAlignment="1">
      <alignment horizontal="center"/>
    </xf>
    <xf numFmtId="0" fontId="8" fillId="6" borderId="12" xfId="4" applyNumberFormat="1" applyFont="1" applyFill="1" applyBorder="1" applyAlignment="1"/>
    <xf numFmtId="169" fontId="8" fillId="6" borderId="13" xfId="4" applyNumberFormat="1" applyFont="1" applyFill="1" applyBorder="1" applyAlignment="1">
      <alignment horizontal="center"/>
    </xf>
    <xf numFmtId="0" fontId="8" fillId="6" borderId="23" xfId="4" applyNumberFormat="1" applyFont="1" applyFill="1" applyBorder="1" applyAlignment="1"/>
    <xf numFmtId="168" fontId="8" fillId="6" borderId="20" xfId="4" applyNumberFormat="1" applyFont="1" applyFill="1" applyBorder="1" applyAlignment="1"/>
    <xf numFmtId="168" fontId="8" fillId="6" borderId="13" xfId="4" applyNumberFormat="1" applyFont="1" applyFill="1" applyBorder="1" applyAlignment="1"/>
    <xf numFmtId="0" fontId="8" fillId="7" borderId="5" xfId="1" applyFont="1" applyFill="1" applyBorder="1" applyAlignment="1">
      <alignment horizontal="center"/>
    </xf>
    <xf numFmtId="174" fontId="13" fillId="3" borderId="12" xfId="1" applyNumberFormat="1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8" fillId="0" borderId="22" xfId="1" applyFont="1" applyFill="1" applyBorder="1"/>
    <xf numFmtId="0" fontId="8" fillId="0" borderId="21" xfId="1" applyFont="1" applyBorder="1"/>
    <xf numFmtId="0" fontId="8" fillId="0" borderId="20" xfId="1" applyFont="1" applyBorder="1"/>
    <xf numFmtId="0" fontId="8" fillId="0" borderId="19" xfId="1" applyFont="1" applyBorder="1"/>
    <xf numFmtId="0" fontId="8" fillId="0" borderId="0" xfId="1" applyFont="1" applyBorder="1"/>
    <xf numFmtId="0" fontId="8" fillId="0" borderId="18" xfId="1" applyFont="1" applyBorder="1"/>
    <xf numFmtId="0" fontId="8" fillId="3" borderId="19" xfId="1" applyFont="1" applyFill="1" applyBorder="1" applyAlignment="1">
      <alignment horizontal="left"/>
    </xf>
    <xf numFmtId="0" fontId="8" fillId="0" borderId="17" xfId="1" applyFont="1" applyBorder="1"/>
    <xf numFmtId="0" fontId="8" fillId="0" borderId="16" xfId="1" applyFont="1" applyBorder="1"/>
    <xf numFmtId="0" fontId="8" fillId="0" borderId="13" xfId="1" applyFont="1" applyBorder="1"/>
    <xf numFmtId="0" fontId="8" fillId="0" borderId="22" xfId="1" applyFont="1" applyBorder="1"/>
    <xf numFmtId="0" fontId="8" fillId="0" borderId="21" xfId="1" applyFont="1" applyFill="1" applyBorder="1"/>
    <xf numFmtId="0" fontId="8" fillId="0" borderId="0" xfId="1" applyFont="1" applyFill="1" applyBorder="1"/>
    <xf numFmtId="0" fontId="8" fillId="0" borderId="16" xfId="1" applyFont="1" applyFill="1" applyBorder="1"/>
    <xf numFmtId="0" fontId="8" fillId="8" borderId="5" xfId="1" applyFont="1" applyFill="1" applyBorder="1" applyAlignment="1">
      <alignment horizontal="center" vertical="center"/>
    </xf>
    <xf numFmtId="0" fontId="8" fillId="0" borderId="21" xfId="1" applyFont="1" applyBorder="1" applyAlignment="1">
      <alignment horizontal="left"/>
    </xf>
    <xf numFmtId="0" fontId="8" fillId="0" borderId="2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13" fillId="10" borderId="18" xfId="1" applyNumberFormat="1" applyFont="1" applyFill="1" applyBorder="1" applyAlignment="1" applyProtection="1"/>
    <xf numFmtId="0" fontId="8" fillId="0" borderId="16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18" xfId="1" applyFont="1" applyBorder="1" applyAlignment="1">
      <alignment horizontal="center" vertical="center"/>
    </xf>
    <xf numFmtId="10" fontId="8" fillId="0" borderId="18" xfId="4" applyNumberFormat="1" applyFont="1" applyBorder="1"/>
    <xf numFmtId="10" fontId="8" fillId="6" borderId="18" xfId="4" applyNumberFormat="1" applyFont="1" applyFill="1" applyBorder="1"/>
    <xf numFmtId="0" fontId="8" fillId="6" borderId="18" xfId="1" applyFont="1" applyFill="1" applyBorder="1"/>
    <xf numFmtId="0" fontId="8" fillId="3" borderId="22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10" borderId="22" xfId="1" applyFont="1" applyFill="1" applyBorder="1" applyAlignment="1"/>
    <xf numFmtId="0" fontId="8" fillId="10" borderId="20" xfId="1" applyFont="1" applyFill="1" applyBorder="1" applyAlignment="1"/>
    <xf numFmtId="0" fontId="8" fillId="10" borderId="19" xfId="1" applyFont="1" applyFill="1" applyBorder="1" applyAlignment="1"/>
    <xf numFmtId="0" fontId="8" fillId="10" borderId="18" xfId="1" applyFont="1" applyFill="1" applyBorder="1" applyAlignment="1"/>
    <xf numFmtId="0" fontId="8" fillId="10" borderId="17" xfId="1" applyFont="1" applyFill="1" applyBorder="1" applyAlignment="1"/>
    <xf numFmtId="0" fontId="8" fillId="10" borderId="13" xfId="1" applyFont="1" applyFill="1" applyBorder="1" applyAlignment="1"/>
    <xf numFmtId="0" fontId="8" fillId="8" borderId="6" xfId="1" applyFont="1" applyFill="1" applyBorder="1" applyAlignment="1">
      <alignment horizontal="center" vertical="center"/>
    </xf>
    <xf numFmtId="0" fontId="8" fillId="0" borderId="22" xfId="1" applyFont="1" applyBorder="1" applyAlignment="1"/>
    <xf numFmtId="0" fontId="8" fillId="3" borderId="20" xfId="1" applyFont="1" applyFill="1" applyBorder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6" xfId="1" applyFont="1" applyFill="1" applyBorder="1" applyAlignment="1">
      <alignment horizontal="left"/>
    </xf>
    <xf numFmtId="0" fontId="8" fillId="3" borderId="13" xfId="1" applyFont="1" applyFill="1" applyBorder="1"/>
    <xf numFmtId="0" fontId="8" fillId="8" borderId="23" xfId="1" applyFont="1" applyFill="1" applyBorder="1" applyAlignment="1">
      <alignment horizontal="center"/>
    </xf>
    <xf numFmtId="0" fontId="10" fillId="8" borderId="23" xfId="1" applyFont="1" applyFill="1" applyBorder="1" applyAlignment="1">
      <alignment horizontal="center" vertical="center" wrapText="1"/>
    </xf>
    <xf numFmtId="0" fontId="10" fillId="7" borderId="23" xfId="1" applyFont="1" applyFill="1" applyBorder="1" applyAlignment="1">
      <alignment horizontal="center" vertical="center" wrapText="1"/>
    </xf>
    <xf numFmtId="168" fontId="10" fillId="8" borderId="23" xfId="4" applyNumberFormat="1" applyFont="1" applyFill="1" applyBorder="1" applyAlignment="1">
      <alignment horizontal="center" vertical="center" wrapText="1"/>
    </xf>
    <xf numFmtId="169" fontId="10" fillId="8" borderId="23" xfId="4" applyNumberFormat="1" applyFont="1" applyFill="1" applyBorder="1" applyAlignment="1">
      <alignment horizontal="center" vertical="center" wrapText="1"/>
    </xf>
    <xf numFmtId="0" fontId="8" fillId="0" borderId="23" xfId="4" applyNumberFormat="1" applyFont="1" applyFill="1" applyBorder="1" applyAlignment="1">
      <alignment horizontal="center"/>
    </xf>
    <xf numFmtId="0" fontId="8" fillId="0" borderId="23" xfId="4" applyNumberFormat="1" applyFont="1" applyFill="1" applyBorder="1" applyAlignment="1"/>
    <xf numFmtId="0" fontId="8" fillId="0" borderId="24" xfId="4" applyNumberFormat="1" applyFont="1" applyFill="1" applyBorder="1" applyAlignment="1">
      <alignment horizontal="center"/>
    </xf>
    <xf numFmtId="0" fontId="8" fillId="0" borderId="24" xfId="4" applyNumberFormat="1" applyFont="1" applyFill="1" applyBorder="1" applyAlignment="1"/>
    <xf numFmtId="0" fontId="8" fillId="0" borderId="12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>
      <alignment horizontal="center"/>
    </xf>
    <xf numFmtId="169" fontId="8" fillId="0" borderId="12" xfId="4" applyNumberFormat="1" applyFont="1" applyFill="1" applyBorder="1" applyAlignment="1">
      <alignment horizontal="center"/>
    </xf>
    <xf numFmtId="168" fontId="8" fillId="6" borderId="24" xfId="4" applyNumberFormat="1" applyFont="1" applyFill="1" applyBorder="1" applyAlignment="1"/>
    <xf numFmtId="168" fontId="8" fillId="6" borderId="23" xfId="4" applyNumberFormat="1" applyFont="1" applyFill="1" applyBorder="1" applyAlignment="1"/>
    <xf numFmtId="168" fontId="8" fillId="6" borderId="12" xfId="4" applyNumberFormat="1" applyFont="1" applyFill="1" applyBorder="1" applyAlignment="1"/>
    <xf numFmtId="0" fontId="8" fillId="6" borderId="0" xfId="1" applyFont="1" applyFill="1" applyBorder="1" applyAlignment="1"/>
    <xf numFmtId="0" fontId="8" fillId="0" borderId="16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23" xfId="4" applyNumberFormat="1" applyFont="1" applyBorder="1" applyAlignment="1"/>
    <xf numFmtId="168" fontId="8" fillId="0" borderId="24" xfId="4" applyNumberFormat="1" applyFont="1" applyBorder="1" applyAlignment="1"/>
    <xf numFmtId="0" fontId="8" fillId="0" borderId="0" xfId="1" applyFont="1" applyFill="1" applyBorder="1" applyAlignment="1"/>
    <xf numFmtId="0" fontId="8" fillId="9" borderId="0" xfId="1" applyFont="1" applyFill="1"/>
    <xf numFmtId="0" fontId="8" fillId="9" borderId="0" xfId="1" applyFont="1" applyFill="1" applyAlignment="1">
      <alignment horizontal="left"/>
    </xf>
    <xf numFmtId="168" fontId="8" fillId="0" borderId="12" xfId="4" applyNumberFormat="1" applyFont="1" applyBorder="1" applyAlignment="1"/>
    <xf numFmtId="0" fontId="13" fillId="9" borderId="0" xfId="1" applyNumberFormat="1" applyFont="1" applyFill="1" applyBorder="1" applyAlignment="1" applyProtection="1"/>
    <xf numFmtId="0" fontId="8" fillId="9" borderId="0" xfId="1" applyFont="1" applyFill="1" applyAlignment="1">
      <alignment horizontal="center" vertical="center"/>
    </xf>
    <xf numFmtId="169" fontId="8" fillId="0" borderId="20" xfId="4" applyNumberFormat="1" applyFont="1" applyFill="1" applyBorder="1" applyAlignment="1">
      <alignment horizontal="center"/>
    </xf>
    <xf numFmtId="169" fontId="8" fillId="0" borderId="18" xfId="4" applyNumberFormat="1" applyFont="1" applyFill="1" applyBorder="1" applyAlignment="1">
      <alignment horizontal="center"/>
    </xf>
    <xf numFmtId="169" fontId="8" fillId="0" borderId="13" xfId="4" applyNumberFormat="1" applyFont="1" applyFill="1" applyBorder="1" applyAlignment="1">
      <alignment horizontal="center"/>
    </xf>
    <xf numFmtId="0" fontId="8" fillId="10" borderId="23" xfId="1" applyFont="1" applyFill="1" applyBorder="1" applyAlignment="1"/>
    <xf numFmtId="0" fontId="8" fillId="10" borderId="24" xfId="1" applyFont="1" applyFill="1" applyBorder="1" applyAlignment="1"/>
    <xf numFmtId="0" fontId="8" fillId="10" borderId="12" xfId="1" applyFont="1" applyFill="1" applyBorder="1" applyAlignment="1"/>
    <xf numFmtId="164" fontId="13" fillId="11" borderId="23" xfId="1" applyNumberFormat="1" applyFont="1" applyFill="1" applyBorder="1" applyAlignment="1" applyProtection="1">
      <alignment horizontal="left"/>
    </xf>
    <xf numFmtId="164" fontId="13" fillId="11" borderId="24" xfId="1" applyNumberFormat="1" applyFont="1" applyFill="1" applyBorder="1" applyAlignment="1" applyProtection="1">
      <alignment horizontal="left"/>
    </xf>
    <xf numFmtId="164" fontId="13" fillId="11" borderId="12" xfId="1" applyNumberFormat="1" applyFont="1" applyFill="1" applyBorder="1" applyAlignment="1" applyProtection="1">
      <alignment horizontal="left"/>
    </xf>
    <xf numFmtId="0" fontId="13" fillId="11" borderId="23" xfId="1" applyNumberFormat="1" applyFont="1" applyFill="1" applyBorder="1" applyAlignment="1" applyProtection="1"/>
    <xf numFmtId="0" fontId="13" fillId="11" borderId="24" xfId="1" applyNumberFormat="1" applyFont="1" applyFill="1" applyBorder="1" applyAlignment="1" applyProtection="1"/>
    <xf numFmtId="0" fontId="13" fillId="11" borderId="12" xfId="1" applyNumberFormat="1" applyFont="1" applyFill="1" applyBorder="1" applyAlignment="1" applyProtection="1"/>
    <xf numFmtId="0" fontId="16" fillId="9" borderId="0" xfId="1" applyFont="1" applyFill="1"/>
    <xf numFmtId="0" fontId="8" fillId="3" borderId="34" xfId="1" applyFont="1" applyFill="1" applyBorder="1"/>
    <xf numFmtId="0" fontId="8" fillId="3" borderId="7" xfId="1" applyFont="1" applyFill="1" applyBorder="1" applyAlignment="1">
      <alignment horizontal="left"/>
    </xf>
    <xf numFmtId="0" fontId="8" fillId="3" borderId="7" xfId="1" applyFont="1" applyFill="1" applyBorder="1" applyAlignment="1">
      <alignment horizontal="center"/>
    </xf>
    <xf numFmtId="169" fontId="8" fillId="0" borderId="23" xfId="10" applyNumberFormat="1" applyFont="1" applyFill="1" applyBorder="1" applyAlignment="1">
      <alignment horizontal="center"/>
    </xf>
    <xf numFmtId="0" fontId="8" fillId="3" borderId="20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0" fontId="8" fillId="12" borderId="23" xfId="1" applyNumberFormat="1" applyFont="1" applyFill="1" applyBorder="1" applyAlignment="1" applyProtection="1"/>
    <xf numFmtId="168" fontId="8" fillId="0" borderId="24" xfId="4" applyNumberFormat="1" applyFont="1" applyBorder="1"/>
    <xf numFmtId="10" fontId="8" fillId="9" borderId="0" xfId="4" applyNumberFormat="1" applyFont="1" applyFill="1"/>
    <xf numFmtId="169" fontId="8" fillId="0" borderId="24" xfId="10" applyNumberFormat="1" applyFont="1" applyFill="1" applyBorder="1" applyAlignment="1">
      <alignment horizontal="center"/>
    </xf>
    <xf numFmtId="0" fontId="8" fillId="3" borderId="18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12" borderId="24" xfId="1" applyNumberFormat="1" applyFont="1" applyFill="1" applyBorder="1" applyAlignment="1" applyProtection="1"/>
    <xf numFmtId="169" fontId="8" fillId="0" borderId="12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left"/>
    </xf>
    <xf numFmtId="0" fontId="8" fillId="12" borderId="12" xfId="1" applyNumberFormat="1" applyFont="1" applyFill="1" applyBorder="1" applyAlignment="1" applyProtection="1"/>
    <xf numFmtId="168" fontId="8" fillId="0" borderId="12" xfId="4" applyNumberFormat="1" applyFont="1" applyBorder="1"/>
    <xf numFmtId="0" fontId="8" fillId="3" borderId="15" xfId="1" applyFont="1" applyFill="1" applyBorder="1"/>
    <xf numFmtId="0" fontId="8" fillId="3" borderId="13" xfId="1" applyFont="1" applyFill="1" applyBorder="1" applyAlignment="1">
      <alignment horizontal="center"/>
    </xf>
    <xf numFmtId="0" fontId="15" fillId="9" borderId="0" xfId="0" applyFont="1" applyFill="1"/>
    <xf numFmtId="0" fontId="10" fillId="8" borderId="14" xfId="1" applyFont="1" applyFill="1" applyBorder="1" applyAlignment="1">
      <alignment horizontal="center" vertical="center" wrapText="1"/>
    </xf>
    <xf numFmtId="0" fontId="8" fillId="8" borderId="5" xfId="1" applyFont="1" applyFill="1" applyBorder="1" applyAlignment="1">
      <alignment horizontal="center"/>
    </xf>
    <xf numFmtId="168" fontId="8" fillId="0" borderId="24" xfId="4" applyNumberFormat="1" applyFont="1" applyFill="1" applyBorder="1" applyAlignment="1">
      <alignment horizontal="center"/>
    </xf>
    <xf numFmtId="168" fontId="8" fillId="0" borderId="12" xfId="4" applyNumberFormat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21" xfId="1" applyFont="1" applyBorder="1" applyAlignment="1"/>
    <xf numFmtId="0" fontId="8" fillId="8" borderId="22" xfId="1" applyFont="1" applyFill="1" applyBorder="1" applyAlignment="1">
      <alignment horizontal="center"/>
    </xf>
    <xf numFmtId="0" fontId="8" fillId="8" borderId="20" xfId="1" applyFont="1" applyFill="1" applyBorder="1" applyAlignment="1">
      <alignment horizontal="center"/>
    </xf>
    <xf numFmtId="0" fontId="8" fillId="0" borderId="20" xfId="4" applyNumberFormat="1" applyFont="1" applyFill="1" applyBorder="1" applyAlignment="1">
      <alignment horizontal="center"/>
    </xf>
    <xf numFmtId="0" fontId="8" fillId="0" borderId="18" xfId="4" applyNumberFormat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9" borderId="0" xfId="1" applyFont="1" applyFill="1" applyAlignment="1">
      <alignment horizontal="center"/>
    </xf>
    <xf numFmtId="0" fontId="8" fillId="3" borderId="21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168" fontId="8" fillId="0" borderId="23" xfId="4" applyNumberFormat="1" applyFont="1" applyFill="1" applyBorder="1" applyAlignment="1">
      <alignment horizontal="center"/>
    </xf>
    <xf numFmtId="0" fontId="8" fillId="0" borderId="24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6" borderId="24" xfId="4" applyNumberFormat="1" applyFont="1" applyFill="1" applyBorder="1" applyAlignment="1">
      <alignment vertical="center"/>
    </xf>
    <xf numFmtId="0" fontId="8" fillId="6" borderId="0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/>
    <xf numFmtId="0" fontId="8" fillId="6" borderId="24" xfId="4" applyNumberFormat="1" applyFont="1" applyFill="1" applyBorder="1" applyAlignment="1">
      <alignment horizontal="center"/>
    </xf>
    <xf numFmtId="169" fontId="8" fillId="6" borderId="24" xfId="4" applyNumberFormat="1" applyFont="1" applyFill="1" applyBorder="1" applyAlignment="1"/>
    <xf numFmtId="0" fontId="8" fillId="13" borderId="24" xfId="1" applyNumberFormat="1" applyFont="1" applyFill="1" applyBorder="1" applyAlignment="1" applyProtection="1"/>
    <xf numFmtId="0" fontId="8" fillId="13" borderId="12" xfId="1" applyNumberFormat="1" applyFont="1" applyFill="1" applyBorder="1" applyAlignment="1" applyProtection="1"/>
    <xf numFmtId="0" fontId="8" fillId="6" borderId="12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/>
    <xf numFmtId="169" fontId="8" fillId="6" borderId="24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>
      <alignment horizontal="center"/>
    </xf>
    <xf numFmtId="0" fontId="8" fillId="6" borderId="24" xfId="1" applyFont="1" applyFill="1" applyBorder="1" applyAlignment="1">
      <alignment horizontal="center"/>
    </xf>
    <xf numFmtId="0" fontId="8" fillId="6" borderId="12" xfId="1" applyFont="1" applyFill="1" applyBorder="1" applyAlignment="1">
      <alignment horizontal="center"/>
    </xf>
    <xf numFmtId="0" fontId="8" fillId="6" borderId="23" xfId="4" applyNumberFormat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>
      <alignment vertical="center"/>
    </xf>
    <xf numFmtId="2" fontId="8" fillId="0" borderId="24" xfId="4" applyNumberFormat="1" applyFont="1" applyFill="1" applyBorder="1" applyAlignment="1"/>
    <xf numFmtId="49" fontId="8" fillId="0" borderId="24" xfId="4" applyNumberFormat="1" applyFont="1" applyFill="1" applyBorder="1" applyAlignment="1">
      <alignment horizontal="center"/>
    </xf>
    <xf numFmtId="0" fontId="8" fillId="13" borderId="24" xfId="1" applyNumberFormat="1" applyFont="1" applyFill="1" applyBorder="1" applyAlignment="1" applyProtection="1">
      <alignment vertical="center"/>
    </xf>
    <xf numFmtId="49" fontId="8" fillId="0" borderId="12" xfId="4" applyNumberFormat="1" applyFont="1" applyFill="1" applyBorder="1" applyAlignment="1">
      <alignment horizontal="center"/>
    </xf>
    <xf numFmtId="0" fontId="8" fillId="13" borderId="12" xfId="1" applyNumberFormat="1" applyFont="1" applyFill="1" applyBorder="1" applyAlignment="1" applyProtection="1">
      <alignment vertical="center"/>
    </xf>
    <xf numFmtId="2" fontId="8" fillId="0" borderId="12" xfId="4" applyNumberFormat="1" applyFont="1" applyFill="1" applyBorder="1" applyAlignment="1"/>
    <xf numFmtId="2" fontId="8" fillId="0" borderId="24" xfId="4" applyNumberFormat="1" applyFont="1" applyBorder="1" applyAlignment="1"/>
    <xf numFmtId="2" fontId="8" fillId="0" borderId="23" xfId="4" applyNumberFormat="1" applyFont="1" applyFill="1" applyBorder="1" applyAlignment="1"/>
    <xf numFmtId="0" fontId="16" fillId="6" borderId="24" xfId="1" applyFont="1" applyFill="1" applyBorder="1"/>
    <xf numFmtId="0" fontId="8" fillId="6" borderId="24" xfId="1" applyFont="1" applyFill="1" applyBorder="1"/>
    <xf numFmtId="2" fontId="8" fillId="3" borderId="19" xfId="1" applyNumberFormat="1" applyFont="1" applyFill="1" applyBorder="1" applyAlignment="1"/>
    <xf numFmtId="0" fontId="8" fillId="3" borderId="19" xfId="1" applyFont="1" applyFill="1" applyBorder="1" applyAlignment="1"/>
    <xf numFmtId="0" fontId="8" fillId="3" borderId="12" xfId="1" applyFont="1" applyFill="1" applyBorder="1" applyAlignment="1"/>
    <xf numFmtId="2" fontId="8" fillId="0" borderId="19" xfId="4" applyNumberFormat="1" applyFont="1" applyFill="1" applyBorder="1" applyAlignment="1"/>
    <xf numFmtId="2" fontId="8" fillId="6" borderId="24" xfId="1" applyNumberFormat="1" applyFont="1" applyFill="1" applyBorder="1"/>
    <xf numFmtId="2" fontId="8" fillId="6" borderId="12" xfId="1" applyNumberFormat="1" applyFont="1" applyFill="1" applyBorder="1"/>
    <xf numFmtId="2" fontId="8" fillId="6" borderId="23" xfId="1" applyNumberFormat="1" applyFont="1" applyFill="1" applyBorder="1"/>
    <xf numFmtId="0" fontId="8" fillId="3" borderId="5" xfId="1" applyFont="1" applyFill="1" applyBorder="1" applyAlignment="1"/>
    <xf numFmtId="0" fontId="8" fillId="3" borderId="5" xfId="1" applyFont="1" applyFill="1" applyBorder="1"/>
    <xf numFmtId="2" fontId="8" fillId="7" borderId="24" xfId="4" applyNumberFormat="1" applyFont="1" applyFill="1" applyBorder="1" applyAlignment="1"/>
    <xf numFmtId="2" fontId="8" fillId="7" borderId="12" xfId="4" applyNumberFormat="1" applyFont="1" applyFill="1" applyBorder="1" applyAlignment="1"/>
    <xf numFmtId="0" fontId="8" fillId="9" borderId="0" xfId="2" applyFont="1" applyFill="1"/>
    <xf numFmtId="0" fontId="8" fillId="9" borderId="0" xfId="13" applyFont="1" applyFill="1"/>
    <xf numFmtId="0" fontId="8" fillId="8" borderId="5" xfId="13" applyNumberFormat="1" applyFont="1" applyFill="1" applyBorder="1"/>
    <xf numFmtId="0" fontId="8" fillId="8" borderId="23" xfId="13" applyFont="1" applyFill="1" applyBorder="1" applyAlignment="1">
      <alignment horizontal="center"/>
    </xf>
    <xf numFmtId="0" fontId="8" fillId="8" borderId="24" xfId="13" applyFont="1" applyFill="1" applyBorder="1" applyAlignment="1">
      <alignment horizontal="center"/>
    </xf>
    <xf numFmtId="0" fontId="8" fillId="8" borderId="12" xfId="13" applyFont="1" applyFill="1" applyBorder="1" applyAlignment="1">
      <alignment horizontal="center"/>
    </xf>
    <xf numFmtId="0" fontId="8" fillId="14" borderId="20" xfId="13" applyNumberFormat="1" applyFont="1" applyFill="1" applyBorder="1" applyAlignment="1" applyProtection="1"/>
    <xf numFmtId="0" fontId="8" fillId="14" borderId="18" xfId="13" applyNumberFormat="1" applyFont="1" applyFill="1" applyBorder="1" applyAlignment="1" applyProtection="1"/>
    <xf numFmtId="0" fontId="8" fillId="14" borderId="13" xfId="13" applyNumberFormat="1" applyFont="1" applyFill="1" applyBorder="1" applyAlignment="1" applyProtection="1"/>
    <xf numFmtId="0" fontId="8" fillId="13" borderId="23" xfId="13" applyNumberFormat="1" applyFont="1" applyFill="1" applyBorder="1" applyAlignment="1" applyProtection="1"/>
    <xf numFmtId="0" fontId="8" fillId="13" borderId="24" xfId="13" applyNumberFormat="1" applyFont="1" applyFill="1" applyBorder="1" applyAlignment="1" applyProtection="1"/>
    <xf numFmtId="0" fontId="8" fillId="13" borderId="12" xfId="13" applyNumberFormat="1" applyFont="1" applyFill="1" applyBorder="1" applyAlignment="1" applyProtection="1"/>
    <xf numFmtId="0" fontId="8" fillId="13" borderId="6" xfId="13" applyNumberFormat="1" applyFont="1" applyFill="1" applyBorder="1" applyAlignment="1" applyProtection="1">
      <alignment horizontal="center"/>
    </xf>
    <xf numFmtId="0" fontId="8" fillId="8" borderId="5" xfId="2" applyFont="1" applyFill="1" applyBorder="1"/>
    <xf numFmtId="0" fontId="9" fillId="8" borderId="5" xfId="13" applyFont="1" applyFill="1" applyBorder="1" applyAlignment="1">
      <alignment horizontal="center"/>
    </xf>
    <xf numFmtId="0" fontId="8" fillId="15" borderId="6" xfId="13" applyNumberFormat="1" applyFont="1" applyFill="1" applyBorder="1" applyAlignment="1" applyProtection="1">
      <alignment horizontal="center"/>
    </xf>
    <xf numFmtId="0" fontId="8" fillId="15" borderId="5" xfId="13" applyNumberFormat="1" applyFont="1" applyFill="1" applyBorder="1" applyAlignment="1" applyProtection="1">
      <alignment horizontal="center" vertical="center"/>
    </xf>
    <xf numFmtId="0" fontId="8" fillId="6" borderId="23" xfId="13" applyFont="1" applyFill="1" applyBorder="1" applyAlignment="1">
      <alignment horizontal="center"/>
    </xf>
    <xf numFmtId="0" fontId="8" fillId="6" borderId="23" xfId="2" applyFont="1" applyFill="1" applyBorder="1"/>
    <xf numFmtId="0" fontId="8" fillId="6" borderId="24" xfId="13" applyFont="1" applyFill="1" applyBorder="1" applyAlignment="1">
      <alignment horizontal="center"/>
    </xf>
    <xf numFmtId="0" fontId="8" fillId="6" borderId="24" xfId="2" applyFont="1" applyFill="1" applyBorder="1"/>
    <xf numFmtId="0" fontId="8" fillId="6" borderId="12" xfId="13" applyFont="1" applyFill="1" applyBorder="1" applyAlignment="1">
      <alignment horizontal="center"/>
    </xf>
    <xf numFmtId="0" fontId="8" fillId="6" borderId="12" xfId="2" applyFont="1" applyFill="1" applyBorder="1"/>
    <xf numFmtId="0" fontId="8" fillId="13" borderId="5" xfId="13" applyNumberFormat="1" applyFont="1" applyFill="1" applyBorder="1" applyAlignment="1" applyProtection="1">
      <alignment horizontal="center"/>
    </xf>
    <xf numFmtId="0" fontId="17" fillId="3" borderId="8" xfId="1" applyFont="1" applyFill="1" applyBorder="1"/>
    <xf numFmtId="0" fontId="18" fillId="3" borderId="0" xfId="1" applyFont="1" applyFill="1" applyBorder="1"/>
    <xf numFmtId="0" fontId="17" fillId="3" borderId="4" xfId="1" applyFont="1" applyFill="1" applyBorder="1"/>
    <xf numFmtId="0" fontId="8" fillId="8" borderId="5" xfId="1" applyFont="1" applyFill="1" applyBorder="1" applyAlignment="1">
      <alignment horizontal="center" vertical="center" wrapText="1"/>
    </xf>
    <xf numFmtId="0" fontId="17" fillId="3" borderId="19" xfId="1" applyFont="1" applyFill="1" applyBorder="1"/>
    <xf numFmtId="0" fontId="10" fillId="3" borderId="23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left"/>
    </xf>
    <xf numFmtId="170" fontId="8" fillId="3" borderId="22" xfId="10" applyNumberFormat="1" applyFont="1" applyFill="1" applyBorder="1" applyAlignment="1">
      <alignment horizontal="center"/>
    </xf>
    <xf numFmtId="0" fontId="17" fillId="3" borderId="7" xfId="1" applyFont="1" applyFill="1" applyBorder="1"/>
    <xf numFmtId="1" fontId="8" fillId="0" borderId="23" xfId="4" applyNumberFormat="1" applyFont="1" applyFill="1" applyBorder="1" applyAlignment="1">
      <alignment horizontal="center"/>
    </xf>
    <xf numFmtId="171" fontId="8" fillId="0" borderId="23" xfId="4" applyNumberFormat="1" applyFont="1" applyFill="1" applyBorder="1" applyAlignment="1">
      <alignment horizontal="center"/>
    </xf>
    <xf numFmtId="164" fontId="8" fillId="0" borderId="23" xfId="4" applyNumberFormat="1" applyFont="1" applyFill="1" applyBorder="1" applyAlignment="1"/>
    <xf numFmtId="0" fontId="8" fillId="3" borderId="24" xfId="1" applyFont="1" applyFill="1" applyBorder="1" applyAlignment="1"/>
    <xf numFmtId="168" fontId="8" fillId="0" borderId="23" xfId="1" applyNumberFormat="1" applyFont="1" applyFill="1" applyBorder="1" applyAlignment="1"/>
    <xf numFmtId="170" fontId="8" fillId="3" borderId="23" xfId="10" applyNumberFormat="1" applyFont="1" applyFill="1" applyBorder="1" applyAlignment="1">
      <alignment horizontal="left"/>
    </xf>
    <xf numFmtId="170" fontId="8" fillId="3" borderId="23" xfId="10" applyNumberFormat="1" applyFont="1" applyFill="1" applyBorder="1" applyAlignment="1">
      <alignment horizontal="center"/>
    </xf>
    <xf numFmtId="0" fontId="10" fillId="3" borderId="24" xfId="1" applyFont="1" applyFill="1" applyBorder="1" applyAlignment="1">
      <alignment horizontal="center"/>
    </xf>
    <xf numFmtId="170" fontId="8" fillId="3" borderId="19" xfId="10" applyNumberFormat="1" applyFont="1" applyFill="1" applyBorder="1" applyAlignment="1">
      <alignment horizontal="center"/>
    </xf>
    <xf numFmtId="164" fontId="13" fillId="13" borderId="24" xfId="1" applyNumberFormat="1" applyFont="1" applyFill="1" applyBorder="1" applyAlignment="1" applyProtection="1">
      <alignment horizontal="left"/>
    </xf>
    <xf numFmtId="1" fontId="8" fillId="0" borderId="24" xfId="4" applyNumberFormat="1" applyFont="1" applyFill="1" applyBorder="1" applyAlignment="1">
      <alignment horizontal="center"/>
    </xf>
    <xf numFmtId="171" fontId="8" fillId="0" borderId="24" xfId="4" applyNumberFormat="1" applyFont="1" applyFill="1" applyBorder="1" applyAlignment="1">
      <alignment horizontal="center"/>
    </xf>
    <xf numFmtId="164" fontId="8" fillId="0" borderId="24" xfId="4" applyNumberFormat="1" applyFont="1" applyFill="1" applyBorder="1" applyAlignment="1"/>
    <xf numFmtId="168" fontId="8" fillId="0" borderId="24" xfId="1" applyNumberFormat="1" applyFont="1" applyFill="1" applyBorder="1" applyAlignment="1"/>
    <xf numFmtId="170" fontId="8" fillId="3" borderId="24" xfId="10" applyNumberFormat="1" applyFont="1" applyFill="1" applyBorder="1" applyAlignment="1">
      <alignment horizontal="left"/>
    </xf>
    <xf numFmtId="170" fontId="8" fillId="3" borderId="24" xfId="10" applyNumberFormat="1" applyFont="1" applyFill="1" applyBorder="1" applyAlignment="1">
      <alignment horizontal="center"/>
    </xf>
    <xf numFmtId="0" fontId="8" fillId="9" borderId="0" xfId="1" quotePrefix="1" applyFont="1" applyFill="1"/>
    <xf numFmtId="168" fontId="8" fillId="0" borderId="24" xfId="1" applyNumberFormat="1" applyFont="1" applyBorder="1" applyAlignment="1"/>
    <xf numFmtId="0" fontId="10" fillId="3" borderId="12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164" fontId="13" fillId="13" borderId="12" xfId="1" applyNumberFormat="1" applyFont="1" applyFill="1" applyBorder="1" applyAlignment="1" applyProtection="1">
      <alignment horizontal="left"/>
    </xf>
    <xf numFmtId="1" fontId="8" fillId="0" borderId="12" xfId="4" applyNumberFormat="1" applyFont="1" applyFill="1" applyBorder="1" applyAlignment="1">
      <alignment horizontal="center"/>
    </xf>
    <xf numFmtId="171" fontId="8" fillId="0" borderId="12" xfId="4" applyNumberFormat="1" applyFont="1" applyFill="1" applyBorder="1" applyAlignment="1">
      <alignment horizontal="center"/>
    </xf>
    <xf numFmtId="164" fontId="8" fillId="0" borderId="12" xfId="4" applyNumberFormat="1" applyFont="1" applyFill="1" applyBorder="1" applyAlignment="1"/>
    <xf numFmtId="168" fontId="8" fillId="0" borderId="12" xfId="1" applyNumberFormat="1" applyFont="1" applyBorder="1" applyAlignment="1"/>
    <xf numFmtId="170" fontId="8" fillId="3" borderId="12" xfId="10" applyNumberFormat="1" applyFont="1" applyFill="1" applyBorder="1" applyAlignment="1">
      <alignment horizontal="left"/>
    </xf>
    <xf numFmtId="170" fontId="8" fillId="3" borderId="12" xfId="10" applyNumberFormat="1" applyFont="1" applyFill="1" applyBorder="1" applyAlignment="1">
      <alignment horizontal="center"/>
    </xf>
    <xf numFmtId="0" fontId="17" fillId="3" borderId="17" xfId="1" applyFont="1" applyFill="1" applyBorder="1"/>
    <xf numFmtId="0" fontId="17" fillId="3" borderId="3" xfId="1" applyFont="1" applyFill="1" applyBorder="1"/>
    <xf numFmtId="0" fontId="8" fillId="15" borderId="5" xfId="1" applyNumberFormat="1" applyFont="1" applyFill="1" applyBorder="1" applyAlignment="1" applyProtection="1">
      <alignment horizontal="center" vertical="center" wrapText="1"/>
    </xf>
    <xf numFmtId="168" fontId="10" fillId="7" borderId="5" xfId="4" applyNumberFormat="1" applyFont="1" applyFill="1" applyBorder="1" applyAlignment="1">
      <alignment horizontal="center" vertical="center" wrapText="1"/>
    </xf>
    <xf numFmtId="171" fontId="10" fillId="8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13" fillId="13" borderId="5" xfId="1" applyNumberFormat="1" applyFont="1" applyFill="1" applyBorder="1" applyAlignment="1" applyProtection="1">
      <alignment horizontal="left"/>
    </xf>
    <xf numFmtId="173" fontId="8" fillId="0" borderId="23" xfId="4" applyNumberFormat="1" applyFont="1" applyFill="1" applyBorder="1" applyAlignment="1"/>
    <xf numFmtId="171" fontId="8" fillId="0" borderId="12" xfId="4" applyNumberFormat="1" applyFont="1" applyFill="1" applyBorder="1" applyAlignment="1"/>
    <xf numFmtId="172" fontId="8" fillId="0" borderId="12" xfId="4" applyNumberFormat="1" applyFont="1" applyFill="1" applyBorder="1" applyAlignment="1"/>
    <xf numFmtId="164" fontId="8" fillId="15" borderId="5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/>
    <xf numFmtId="0" fontId="10" fillId="7" borderId="35" xfId="4" applyNumberFormat="1" applyFont="1" applyFill="1" applyBorder="1" applyAlignment="1">
      <alignment horizontal="center"/>
    </xf>
    <xf numFmtId="0" fontId="8" fillId="0" borderId="21" xfId="4" applyNumberFormat="1" applyFont="1" applyFill="1" applyBorder="1" applyAlignment="1">
      <alignment horizontal="center"/>
    </xf>
    <xf numFmtId="168" fontId="8" fillId="0" borderId="21" xfId="4" applyNumberFormat="1" applyFont="1" applyFill="1" applyBorder="1" applyAlignment="1"/>
    <xf numFmtId="171" fontId="8" fillId="0" borderId="21" xfId="4" applyNumberFormat="1" applyFont="1" applyFill="1" applyBorder="1" applyAlignment="1"/>
    <xf numFmtId="169" fontId="10" fillId="8" borderId="23" xfId="12" applyNumberFormat="1" applyFont="1" applyFill="1" applyBorder="1" applyAlignment="1">
      <alignment horizontal="center" vertical="center" wrapText="1"/>
    </xf>
    <xf numFmtId="0" fontId="9" fillId="8" borderId="5" xfId="1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/>
    <xf numFmtId="0" fontId="8" fillId="14" borderId="12" xfId="1" applyNumberFormat="1" applyFont="1" applyFill="1" applyBorder="1" applyAlignment="1" applyProtection="1"/>
    <xf numFmtId="0" fontId="8" fillId="14" borderId="5" xfId="1" applyNumberFormat="1" applyFont="1" applyFill="1" applyBorder="1" applyAlignment="1" applyProtection="1"/>
    <xf numFmtId="176" fontId="8" fillId="8" borderId="31" xfId="12" applyNumberFormat="1" applyFont="1" applyFill="1" applyBorder="1" applyAlignment="1">
      <alignment horizontal="center" vertical="center" wrapText="1"/>
    </xf>
    <xf numFmtId="168" fontId="8" fillId="8" borderId="25" xfId="12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>
      <alignment horizontal="center" vertical="center"/>
    </xf>
    <xf numFmtId="0" fontId="8" fillId="14" borderId="6" xfId="1" applyNumberFormat="1" applyFont="1" applyFill="1" applyBorder="1" applyAlignment="1" applyProtection="1">
      <alignment horizontal="center" vertical="center"/>
    </xf>
    <xf numFmtId="0" fontId="8" fillId="14" borderId="5" xfId="1" applyNumberFormat="1" applyFont="1" applyFill="1" applyBorder="1" applyAlignment="1" applyProtection="1">
      <alignment horizontal="center"/>
    </xf>
    <xf numFmtId="0" fontId="8" fillId="14" borderId="20" xfId="1" applyNumberFormat="1" applyFont="1" applyFill="1" applyBorder="1" applyAlignment="1" applyProtection="1"/>
    <xf numFmtId="0" fontId="8" fillId="14" borderId="23" xfId="1" applyNumberFormat="1" applyFont="1" applyFill="1" applyBorder="1" applyAlignment="1" applyProtection="1"/>
    <xf numFmtId="0" fontId="8" fillId="14" borderId="18" xfId="1" applyNumberFormat="1" applyFont="1" applyFill="1" applyBorder="1" applyAlignment="1" applyProtection="1"/>
    <xf numFmtId="0" fontId="8" fillId="14" borderId="24" xfId="1" applyNumberFormat="1" applyFont="1" applyFill="1" applyBorder="1" applyAlignment="1" applyProtection="1"/>
    <xf numFmtId="0" fontId="8" fillId="14" borderId="13" xfId="1" applyNumberFormat="1" applyFont="1" applyFill="1" applyBorder="1" applyAlignment="1" applyProtection="1"/>
    <xf numFmtId="164" fontId="8" fillId="14" borderId="12" xfId="1" applyNumberFormat="1" applyFont="1" applyFill="1" applyBorder="1" applyAlignment="1" applyProtection="1">
      <alignment horizontal="left"/>
    </xf>
    <xf numFmtId="169" fontId="10" fillId="7" borderId="5" xfId="12" applyNumberFormat="1" applyFont="1" applyFill="1" applyBorder="1" applyAlignment="1">
      <alignment horizontal="center" vertical="center" wrapText="1"/>
    </xf>
    <xf numFmtId="169" fontId="10" fillId="8" borderId="5" xfId="12" applyNumberFormat="1" applyFont="1" applyFill="1" applyBorder="1" applyAlignment="1">
      <alignment horizontal="center" vertical="center" wrapText="1"/>
    </xf>
    <xf numFmtId="169" fontId="8" fillId="0" borderId="24" xfId="12" applyNumberFormat="1" applyFont="1" applyFill="1" applyBorder="1" applyAlignment="1"/>
    <xf numFmtId="176" fontId="8" fillId="0" borderId="24" xfId="12" applyNumberFormat="1" applyFont="1" applyFill="1" applyBorder="1" applyAlignment="1"/>
    <xf numFmtId="168" fontId="8" fillId="0" borderId="24" xfId="12" applyNumberFormat="1" applyFont="1" applyFill="1" applyBorder="1" applyAlignment="1"/>
    <xf numFmtId="0" fontId="8" fillId="0" borderId="24" xfId="11" applyFont="1" applyBorder="1" applyAlignment="1"/>
    <xf numFmtId="169" fontId="8" fillId="0" borderId="12" xfId="12" applyNumberFormat="1" applyFont="1" applyFill="1" applyBorder="1" applyAlignment="1"/>
    <xf numFmtId="176" fontId="8" fillId="0" borderId="12" xfId="12" applyNumberFormat="1" applyFont="1" applyFill="1" applyBorder="1" applyAlignment="1"/>
    <xf numFmtId="168" fontId="8" fillId="0" borderId="12" xfId="12" applyNumberFormat="1" applyFont="1" applyFill="1" applyBorder="1" applyAlignment="1"/>
    <xf numFmtId="0" fontId="8" fillId="0" borderId="12" xfId="11" applyFont="1" applyBorder="1" applyAlignment="1"/>
    <xf numFmtId="0" fontId="8" fillId="6" borderId="23" xfId="1" applyNumberFormat="1" applyFont="1" applyFill="1" applyBorder="1" applyAlignment="1"/>
    <xf numFmtId="0" fontId="8" fillId="6" borderId="24" xfId="1" applyNumberFormat="1" applyFont="1" applyFill="1" applyBorder="1" applyAlignment="1"/>
    <xf numFmtId="0" fontId="8" fillId="6" borderId="12" xfId="1" applyNumberFormat="1" applyFont="1" applyFill="1" applyBorder="1" applyAlignment="1"/>
    <xf numFmtId="0" fontId="15" fillId="8" borderId="23" xfId="0" applyFont="1" applyFill="1" applyBorder="1"/>
    <xf numFmtId="0" fontId="15" fillId="8" borderId="24" xfId="0" applyFont="1" applyFill="1" applyBorder="1"/>
    <xf numFmtId="0" fontId="15" fillId="8" borderId="12" xfId="0" applyFont="1" applyFill="1" applyBorder="1"/>
    <xf numFmtId="0" fontId="8" fillId="6" borderId="23" xfId="1" applyFont="1" applyFill="1" applyBorder="1" applyAlignment="1">
      <alignment horizontal="center"/>
    </xf>
    <xf numFmtId="0" fontId="13" fillId="3" borderId="23" xfId="1" quotePrefix="1" applyFont="1" applyFill="1" applyBorder="1" applyAlignment="1">
      <alignment horizontal="center"/>
    </xf>
    <xf numFmtId="0" fontId="8" fillId="6" borderId="7" xfId="11" applyFont="1" applyFill="1" applyBorder="1"/>
    <xf numFmtId="171" fontId="8" fillId="6" borderId="0" xfId="1" applyNumberFormat="1" applyFont="1" applyFill="1" applyBorder="1" applyAlignment="1">
      <alignment horizontal="center"/>
    </xf>
    <xf numFmtId="0" fontId="8" fillId="6" borderId="4" xfId="11" applyFont="1" applyFill="1" applyBorder="1"/>
    <xf numFmtId="0" fontId="8" fillId="6" borderId="16" xfId="1" applyFont="1" applyFill="1" applyBorder="1"/>
    <xf numFmtId="0" fontId="8" fillId="6" borderId="16" xfId="1" applyFont="1" applyFill="1" applyBorder="1" applyAlignment="1">
      <alignment horizontal="center"/>
    </xf>
    <xf numFmtId="0" fontId="8" fillId="9" borderId="5" xfId="1" applyFont="1" applyFill="1" applyBorder="1"/>
    <xf numFmtId="168" fontId="10" fillId="8" borderId="14" xfId="4" applyNumberFormat="1" applyFont="1" applyFill="1" applyBorder="1" applyAlignment="1">
      <alignment horizontal="center" vertical="center" wrapText="1"/>
    </xf>
    <xf numFmtId="0" fontId="16" fillId="8" borderId="6" xfId="1" applyFont="1" applyFill="1" applyBorder="1" applyAlignment="1">
      <alignment horizontal="center" vertical="center" wrapText="1"/>
    </xf>
  </cellXfs>
  <cellStyles count="20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4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Paused at 10:47:50</v>
        <stp/>
        <stp>{D549429A-1554-4336-B86D-1E3BFF79133A}_x0000_</stp>
        <tr r="N17" s="6"/>
      </tp>
    </main>
    <main first="pldatasource.rdatartdserver">
      <tp t="s">
        <v>Paused at 10:47:50</v>
        <stp/>
        <stp>{82AEBF14-7E98-4A47-BAB3-990B7AE6B8F8}</stp>
        <tr r="L4" s="15"/>
      </tp>
      <tp t="s">
        <v>Paused at 10:47:50</v>
        <stp/>
        <stp>{A6748782-67EF-4A90-A7C6-73B158DEB193}</stp>
        <tr r="O4" s="23"/>
      </tp>
      <tp t="s">
        <v>Paused at 10:47:50</v>
        <stp/>
        <stp>{129B64BF-D944-4EDB-A55D-B81E4F0B4288}</stp>
        <tr r="O4" s="25"/>
      </tp>
      <tp t="s">
        <v>Paused at 10:47:50</v>
        <stp/>
        <stp>{7D2728D1-A8BD-45C0-AF74-B2B2305DB020}</stp>
        <tr r="L4" s="20"/>
      </tp>
      <tp t="s">
        <v>Paused at 10:47:50</v>
        <stp/>
        <stp>{62ABF561-C512-4CB5-A610-411C6AF1A391}</stp>
        <tr r="O4" s="16"/>
      </tp>
      <tp t="s">
        <v>Paused at 10:47:50</v>
        <stp/>
        <stp>{0D8063E0-FAF4-44AE-B026-6C66B850F04E}</stp>
        <tr r="O4" s="13"/>
      </tp>
      <tp t="s">
        <v>Paused at 10:47:50</v>
        <stp/>
        <stp>{167CD656-A825-4BFD-9D26-801A924D4733}</stp>
        <tr r="O4" s="22"/>
      </tp>
      <tp t="s">
        <v>Paused at 10:47:50</v>
        <stp/>
        <stp>{7791C049-C491-4062-A945-0528EFE90CCE}</stp>
        <tr r="R4" s="18"/>
      </tp>
      <tp t="s">
        <v>Paused at 10:47:50</v>
        <stp/>
        <stp>{EA47DF6A-6063-42FF-8689-CEE95E17C1FA}</stp>
        <tr r="O4" s="11"/>
      </tp>
      <tp t="s">
        <v>Paused at 10:47:50</v>
        <stp/>
        <stp>{B33BC250-1F8A-4A92-AA32-1A2B695D380D}</stp>
        <tr r="O4" s="24"/>
      </tp>
      <tp t="s">
        <v>Paused at 10:47:50</v>
        <stp/>
        <stp>{3B9A55E6-3DA6-4E7B-82BB-8ED3B35A70A3}</stp>
        <tr r="O4" s="12"/>
      </tp>
      <tp t="s">
        <v>Paused at 10:47:50</v>
        <stp/>
        <stp>{0DCBB996-57D4-46A2-B783-B5E1C20E12C1}</stp>
        <tr r="K5" s="6"/>
      </tp>
    </main>
    <main first="pldatasource.rhistoryrtdserver">
      <tp t="s">
        <v>Paused at 10:47:50</v>
        <stp/>
        <stp>{05054FD4-45BE-49EA-9BFC-9EE566C925A2}_x0000_</stp>
        <tr r="K17" s="6"/>
      </tp>
      <tp t="s">
        <v>Paused at 10:47:50</v>
        <stp/>
        <stp>{3E981185-E793-46CE-9B90-067FAE986EE8}_x0000_</stp>
        <tr r="K22" s="6"/>
      </tp>
      <tp t="s">
        <v>Paused at 10:47:50</v>
        <stp/>
        <stp>{25F34AFB-AE1F-4210-8205-77C46763A4E3}_x0000_</stp>
        <tr r="N22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I8" sqref="I8"/>
    </sheetView>
  </sheetViews>
  <sheetFormatPr defaultRowHeight="11.25" outlineLevelCol="1" x14ac:dyDescent="0.2"/>
  <cols>
    <col min="1" max="2" width="2.7109375" style="198" customWidth="1"/>
    <col min="3" max="3" width="22.42578125" style="198" bestFit="1" customWidth="1"/>
    <col min="4" max="4" width="27.5703125" style="198" bestFit="1" customWidth="1"/>
    <col min="5" max="7" width="2.7109375" style="198" customWidth="1"/>
    <col min="8" max="8" width="23.42578125" style="198" bestFit="1" customWidth="1"/>
    <col min="9" max="9" width="28.5703125" style="198" bestFit="1" customWidth="1"/>
    <col min="10" max="11" width="2.7109375" style="198" customWidth="1"/>
    <col min="12" max="12" width="15.140625" style="198" hidden="1" customWidth="1" outlineLevel="1"/>
    <col min="13" max="15" width="20.7109375" style="198" hidden="1" customWidth="1" outlineLevel="1"/>
    <col min="16" max="16" width="9.140625" style="198" collapsed="1"/>
    <col min="17" max="16384" width="9.140625" style="198"/>
  </cols>
  <sheetData>
    <row r="1" spans="2:15" ht="12" thickBot="1" x14ac:dyDescent="0.25">
      <c r="B1" s="198" t="str">
        <f>_xll.qlxlVersion(TRUE,Trigger)</f>
        <v>QuantLibXL 1.6.0 - MS VC++ (version unknown) - Multithreaded Dynamic Runtime library - Release Configuration - May  8 2015 13:08:40</v>
      </c>
    </row>
    <row r="2" spans="2:15" ht="17.25" thickBot="1" x14ac:dyDescent="0.25">
      <c r="B2" s="67" t="s">
        <v>245</v>
      </c>
      <c r="C2" s="68"/>
      <c r="D2" s="68"/>
      <c r="E2" s="69"/>
      <c r="G2" s="67" t="s">
        <v>265</v>
      </c>
      <c r="H2" s="68"/>
      <c r="I2" s="68"/>
      <c r="J2" s="69"/>
      <c r="L2" s="129" t="s">
        <v>263</v>
      </c>
      <c r="M2" s="130" t="s">
        <v>251</v>
      </c>
      <c r="N2" s="129" t="s">
        <v>252</v>
      </c>
      <c r="O2" s="131" t="s">
        <v>254</v>
      </c>
    </row>
    <row r="3" spans="2:15" x14ac:dyDescent="0.2">
      <c r="B3" s="6"/>
      <c r="C3" s="7"/>
      <c r="D3" s="7"/>
      <c r="E3" s="51"/>
      <c r="G3" s="2"/>
      <c r="H3" s="3"/>
      <c r="I3" s="3"/>
      <c r="J3" s="61"/>
      <c r="L3" s="403" t="s">
        <v>256</v>
      </c>
      <c r="M3" s="406" t="s">
        <v>149</v>
      </c>
      <c r="N3" s="406" t="s">
        <v>149</v>
      </c>
      <c r="O3" s="406" t="s">
        <v>149</v>
      </c>
    </row>
    <row r="4" spans="2:15" x14ac:dyDescent="0.2">
      <c r="B4" s="6"/>
      <c r="C4" s="57" t="s">
        <v>6</v>
      </c>
      <c r="D4" s="70">
        <v>42138.444826388892</v>
      </c>
      <c r="E4" s="62"/>
      <c r="G4" s="104"/>
      <c r="H4" s="58" t="s">
        <v>250</v>
      </c>
      <c r="I4" s="127" t="s">
        <v>253</v>
      </c>
      <c r="J4" s="40"/>
      <c r="L4" s="404" t="s">
        <v>255</v>
      </c>
      <c r="M4" s="271" t="s">
        <v>178</v>
      </c>
      <c r="N4" s="271" t="s">
        <v>207</v>
      </c>
      <c r="O4" s="271" t="s">
        <v>178</v>
      </c>
    </row>
    <row r="5" spans="2:15" x14ac:dyDescent="0.2">
      <c r="B5" s="65"/>
      <c r="C5" s="60" t="s">
        <v>192</v>
      </c>
      <c r="D5" s="71">
        <f>_xll.qlSettingsEvaluationDate(Trigger)</f>
        <v>42138</v>
      </c>
      <c r="E5" s="66"/>
      <c r="G5" s="104"/>
      <c r="H5" s="413" t="s">
        <v>264</v>
      </c>
      <c r="I5" s="105">
        <f>INDEX(MATCH(Area,L2:O2,0),0)</f>
        <v>2</v>
      </c>
      <c r="J5" s="40"/>
      <c r="L5" s="404" t="s">
        <v>121</v>
      </c>
      <c r="M5" s="271" t="s">
        <v>223</v>
      </c>
      <c r="N5" s="271" t="s">
        <v>242</v>
      </c>
      <c r="O5" s="271" t="s">
        <v>223</v>
      </c>
    </row>
    <row r="6" spans="2:15" x14ac:dyDescent="0.2">
      <c r="B6" s="408"/>
      <c r="C6" s="192"/>
      <c r="D6" s="409"/>
      <c r="E6" s="410"/>
      <c r="G6" s="104"/>
      <c r="H6" s="411"/>
      <c r="I6" s="412"/>
      <c r="J6" s="40"/>
      <c r="L6" s="404" t="s">
        <v>257</v>
      </c>
      <c r="M6" s="271" t="s">
        <v>242</v>
      </c>
      <c r="N6" s="271" t="s">
        <v>221</v>
      </c>
      <c r="O6" s="271" t="s">
        <v>242</v>
      </c>
    </row>
    <row r="7" spans="2:15" x14ac:dyDescent="0.2">
      <c r="B7" s="6"/>
      <c r="C7" s="57" t="s">
        <v>182</v>
      </c>
      <c r="D7" s="50">
        <f>_xll.ohTrigger(Deposits!R2,FRA!Z2,Futures3M!AD2,FuturesHWConvAdj!U2,Swap1M!Z2,Swap3M!Z2,SwapIMM!Z2,BasisSwap1MxM!AB2,BasisSwap3M6M!AB2,BasisSwapxM12M!AB2,OIS!Z2)</f>
        <v>267</v>
      </c>
      <c r="E7" s="51"/>
      <c r="G7" s="95"/>
      <c r="H7" s="57" t="s">
        <v>175</v>
      </c>
      <c r="I7" s="407" t="b">
        <v>1</v>
      </c>
      <c r="J7" s="99"/>
      <c r="L7" s="404" t="s">
        <v>258</v>
      </c>
      <c r="M7" s="271" t="s">
        <v>242</v>
      </c>
      <c r="N7" s="271" t="s">
        <v>207</v>
      </c>
      <c r="O7" s="271" t="s">
        <v>178</v>
      </c>
    </row>
    <row r="8" spans="2:15" x14ac:dyDescent="0.2">
      <c r="B8" s="6"/>
      <c r="C8" s="60" t="s">
        <v>194</v>
      </c>
      <c r="D8" s="53">
        <f>_xll.ohTrigger(Libor!O6:O12)</f>
        <v>1</v>
      </c>
      <c r="E8" s="51"/>
      <c r="G8" s="95"/>
      <c r="H8" s="60" t="s">
        <v>176</v>
      </c>
      <c r="I8" s="128">
        <v>42138.355219907404</v>
      </c>
      <c r="J8" s="99"/>
      <c r="L8" s="404" t="s">
        <v>259</v>
      </c>
      <c r="M8" s="271" t="s">
        <v>242</v>
      </c>
      <c r="N8" s="271" t="s">
        <v>242</v>
      </c>
      <c r="O8" s="271" t="s">
        <v>242</v>
      </c>
    </row>
    <row r="9" spans="2:15" ht="12" thickBot="1" x14ac:dyDescent="0.25">
      <c r="B9" s="13"/>
      <c r="C9" s="54"/>
      <c r="D9" s="54"/>
      <c r="E9" s="15"/>
      <c r="G9" s="96"/>
      <c r="H9" s="97"/>
      <c r="I9" s="97"/>
      <c r="J9" s="98"/>
      <c r="L9" s="404" t="s">
        <v>260</v>
      </c>
      <c r="M9" s="271" t="s">
        <v>242</v>
      </c>
      <c r="N9" s="271" t="s">
        <v>243</v>
      </c>
      <c r="O9" s="271" t="s">
        <v>242</v>
      </c>
    </row>
    <row r="10" spans="2:15" ht="12" thickBot="1" x14ac:dyDescent="0.25">
      <c r="L10" s="404" t="s">
        <v>261</v>
      </c>
      <c r="M10" s="271" t="s">
        <v>242</v>
      </c>
      <c r="N10" s="271" t="s">
        <v>243</v>
      </c>
      <c r="O10" s="271" t="s">
        <v>178</v>
      </c>
    </row>
    <row r="11" spans="2:15" ht="17.25" thickBot="1" x14ac:dyDescent="0.25">
      <c r="B11" s="67" t="s">
        <v>247</v>
      </c>
      <c r="C11" s="68"/>
      <c r="D11" s="68"/>
      <c r="E11" s="69"/>
      <c r="G11" s="67" t="s">
        <v>7</v>
      </c>
      <c r="H11" s="68"/>
      <c r="I11" s="68"/>
      <c r="J11" s="69"/>
      <c r="L11" s="405" t="s">
        <v>262</v>
      </c>
      <c r="M11" s="272" t="s">
        <v>243</v>
      </c>
      <c r="N11" s="272" t="s">
        <v>243</v>
      </c>
      <c r="O11" s="272" t="s">
        <v>243</v>
      </c>
    </row>
    <row r="12" spans="2:15" x14ac:dyDescent="0.2">
      <c r="B12" s="6"/>
      <c r="C12" s="7"/>
      <c r="D12" s="7"/>
      <c r="E12" s="51"/>
      <c r="G12" s="6"/>
      <c r="H12" s="7"/>
      <c r="I12" s="7"/>
      <c r="J12" s="51"/>
    </row>
    <row r="13" spans="2:15" x14ac:dyDescent="0.2">
      <c r="B13" s="6"/>
      <c r="C13" s="57" t="s">
        <v>0</v>
      </c>
      <c r="D13" s="50" t="s">
        <v>91</v>
      </c>
      <c r="E13" s="62"/>
      <c r="G13" s="6"/>
      <c r="H13" s="57" t="s">
        <v>5</v>
      </c>
      <c r="I13" s="50" t="b">
        <v>1</v>
      </c>
      <c r="J13" s="62"/>
    </row>
    <row r="14" spans="2:15" x14ac:dyDescent="0.2">
      <c r="B14" s="6"/>
      <c r="C14" s="59" t="s">
        <v>90</v>
      </c>
      <c r="D14" s="52" t="str">
        <f>Currency&amp;"ON"</f>
        <v>USDON</v>
      </c>
      <c r="E14" s="62"/>
      <c r="G14" s="6"/>
      <c r="H14" s="59" t="s">
        <v>4</v>
      </c>
      <c r="I14" s="52" t="b">
        <v>1</v>
      </c>
      <c r="J14" s="62"/>
    </row>
    <row r="15" spans="2:15" x14ac:dyDescent="0.2">
      <c r="B15" s="6"/>
      <c r="C15" s="59" t="s">
        <v>25</v>
      </c>
      <c r="D15" s="52" t="s">
        <v>24</v>
      </c>
      <c r="E15" s="62"/>
      <c r="G15" s="6"/>
      <c r="H15" s="59" t="s">
        <v>3</v>
      </c>
      <c r="I15" s="52" t="b">
        <v>0</v>
      </c>
      <c r="J15" s="62"/>
    </row>
    <row r="16" spans="2:15" x14ac:dyDescent="0.2">
      <c r="B16" s="6"/>
      <c r="C16" s="59" t="s">
        <v>201</v>
      </c>
      <c r="D16" s="52" t="s">
        <v>202</v>
      </c>
      <c r="E16" s="62"/>
      <c r="G16" s="6"/>
      <c r="H16" s="59" t="s">
        <v>2</v>
      </c>
      <c r="I16" s="52"/>
      <c r="J16" s="62"/>
    </row>
    <row r="17" spans="2:10" x14ac:dyDescent="0.2">
      <c r="B17" s="6"/>
      <c r="C17" s="59" t="s">
        <v>86</v>
      </c>
      <c r="D17" s="52" t="s">
        <v>89</v>
      </c>
      <c r="E17" s="62"/>
      <c r="G17" s="6"/>
      <c r="H17" s="59" t="s">
        <v>1</v>
      </c>
      <c r="I17" s="52" t="b">
        <v>1</v>
      </c>
      <c r="J17" s="62"/>
    </row>
    <row r="18" spans="2:10" x14ac:dyDescent="0.2">
      <c r="B18" s="6"/>
      <c r="C18" s="59" t="s">
        <v>277</v>
      </c>
      <c r="D18" s="52" t="s">
        <v>206</v>
      </c>
      <c r="E18" s="62"/>
      <c r="G18" s="6"/>
      <c r="H18" s="59" t="s">
        <v>102</v>
      </c>
      <c r="I18" s="52" t="s">
        <v>101</v>
      </c>
      <c r="J18" s="62"/>
    </row>
    <row r="19" spans="2:10" x14ac:dyDescent="0.2">
      <c r="B19" s="6"/>
      <c r="C19" s="59" t="s">
        <v>278</v>
      </c>
      <c r="D19" s="52" t="s">
        <v>196</v>
      </c>
      <c r="E19" s="62"/>
      <c r="G19" s="6"/>
      <c r="H19" s="59" t="s">
        <v>181</v>
      </c>
      <c r="I19" s="52" t="s">
        <v>180</v>
      </c>
      <c r="J19" s="51"/>
    </row>
    <row r="20" spans="2:10" x14ac:dyDescent="0.2">
      <c r="B20" s="6"/>
      <c r="C20" s="59" t="s">
        <v>197</v>
      </c>
      <c r="D20" s="52" t="s">
        <v>195</v>
      </c>
      <c r="E20" s="62"/>
      <c r="G20" s="6"/>
      <c r="H20" s="72" t="s">
        <v>100</v>
      </c>
      <c r="I20" s="52">
        <v>1E-4</v>
      </c>
      <c r="J20" s="62"/>
    </row>
    <row r="21" spans="2:10" x14ac:dyDescent="0.2">
      <c r="B21" s="6"/>
      <c r="C21" s="59" t="s">
        <v>246</v>
      </c>
      <c r="D21" s="332" t="str">
        <f>D20&amp;"("&amp;OverNightIndexCalendar&amp;","&amp;LiborCalendar&amp;")"</f>
        <v>JoinHolidays(UnitedStates::Settlement,UnitedKingdom::Exchange)</v>
      </c>
      <c r="E21" s="62" t="s">
        <v>220</v>
      </c>
      <c r="G21" s="6"/>
      <c r="H21" s="73" t="s">
        <v>99</v>
      </c>
      <c r="I21" s="53">
        <v>-0.01</v>
      </c>
      <c r="J21" s="62"/>
    </row>
    <row r="22" spans="2:10" x14ac:dyDescent="0.2">
      <c r="B22" s="6"/>
      <c r="C22" s="59" t="s">
        <v>204</v>
      </c>
      <c r="D22" s="52" t="b">
        <f>_xll.qlCalendarIsHoliday(OverNightIndexCalendar,_xll.qlCalendarAdvance(LiborCalendar,_xll.qlSettingsEvaluationDate(Trigger),2&amp;"D","f",FALSE,Trigger))</f>
        <v>0</v>
      </c>
      <c r="E22" s="62"/>
      <c r="G22" s="95"/>
      <c r="H22" s="58" t="s">
        <v>184</v>
      </c>
      <c r="I22" s="55" t="s">
        <v>183</v>
      </c>
      <c r="J22" s="99"/>
    </row>
    <row r="23" spans="2:10" x14ac:dyDescent="0.2">
      <c r="B23" s="6"/>
      <c r="C23" s="60" t="s">
        <v>205</v>
      </c>
      <c r="D23" s="53" t="str">
        <f>IF(HolidayCheck,JoinCalendar,LiborCalendar)</f>
        <v>UnitedKingdom::Exchange</v>
      </c>
      <c r="E23" s="62"/>
      <c r="G23" s="95"/>
      <c r="H23" s="192"/>
      <c r="I23" s="56"/>
      <c r="J23" s="99"/>
    </row>
    <row r="24" spans="2:10" ht="12" thickBot="1" x14ac:dyDescent="0.25">
      <c r="B24" s="13"/>
      <c r="C24" s="14"/>
      <c r="D24" s="14"/>
      <c r="E24" s="15"/>
      <c r="G24" s="13"/>
      <c r="H24" s="14"/>
      <c r="I24" s="14"/>
      <c r="J24" s="15"/>
    </row>
    <row r="25" spans="2:10" ht="12" thickBot="1" x14ac:dyDescent="0.25"/>
    <row r="26" spans="2:10" ht="17.25" thickBot="1" x14ac:dyDescent="0.25">
      <c r="B26" s="67" t="s">
        <v>279</v>
      </c>
      <c r="C26" s="68"/>
      <c r="D26" s="68"/>
      <c r="E26" s="69"/>
    </row>
    <row r="27" spans="2:10" x14ac:dyDescent="0.2">
      <c r="B27" s="6"/>
      <c r="C27" s="63"/>
      <c r="D27" s="64"/>
      <c r="E27" s="51"/>
    </row>
    <row r="28" spans="2:10" x14ac:dyDescent="0.2">
      <c r="B28" s="6"/>
      <c r="C28" s="57" t="s">
        <v>155</v>
      </c>
      <c r="D28" s="50" t="str">
        <f>""</f>
        <v/>
      </c>
      <c r="E28" s="51"/>
    </row>
    <row r="29" spans="2:10" x14ac:dyDescent="0.2">
      <c r="B29" s="6"/>
      <c r="C29" s="57" t="s">
        <v>226</v>
      </c>
      <c r="D29" s="50" t="s">
        <v>227</v>
      </c>
      <c r="E29" s="51"/>
    </row>
    <row r="30" spans="2:10" x14ac:dyDescent="0.2">
      <c r="B30" s="6"/>
      <c r="C30" s="58" t="s">
        <v>149</v>
      </c>
      <c r="D30" s="55" t="s">
        <v>154</v>
      </c>
      <c r="E30" s="51"/>
    </row>
    <row r="31" spans="2:10" x14ac:dyDescent="0.2">
      <c r="B31" s="6"/>
      <c r="C31" s="57" t="s">
        <v>242</v>
      </c>
      <c r="D31" s="50" t="s">
        <v>153</v>
      </c>
      <c r="E31" s="51"/>
    </row>
    <row r="32" spans="2:10" x14ac:dyDescent="0.2">
      <c r="B32" s="6"/>
      <c r="C32" s="59" t="s">
        <v>237</v>
      </c>
      <c r="D32" s="52" t="s">
        <v>230</v>
      </c>
      <c r="E32" s="51"/>
    </row>
    <row r="33" spans="2:5" x14ac:dyDescent="0.2">
      <c r="B33" s="6"/>
      <c r="C33" s="59" t="s">
        <v>228</v>
      </c>
      <c r="D33" s="52" t="s">
        <v>229</v>
      </c>
      <c r="E33" s="51"/>
    </row>
    <row r="34" spans="2:5" x14ac:dyDescent="0.2">
      <c r="B34" s="6"/>
      <c r="C34" s="59" t="s">
        <v>207</v>
      </c>
      <c r="D34" s="52" t="s">
        <v>208</v>
      </c>
      <c r="E34" s="51"/>
    </row>
    <row r="35" spans="2:5" x14ac:dyDescent="0.2">
      <c r="B35" s="6"/>
      <c r="C35" s="59" t="s">
        <v>178</v>
      </c>
      <c r="D35" s="52" t="s">
        <v>177</v>
      </c>
      <c r="E35" s="51"/>
    </row>
    <row r="36" spans="2:5" x14ac:dyDescent="0.2">
      <c r="B36" s="6"/>
      <c r="C36" s="59" t="s">
        <v>221</v>
      </c>
      <c r="D36" s="52" t="s">
        <v>222</v>
      </c>
      <c r="E36" s="51"/>
    </row>
    <row r="37" spans="2:5" x14ac:dyDescent="0.2">
      <c r="B37" s="6"/>
      <c r="C37" s="60" t="s">
        <v>231</v>
      </c>
      <c r="D37" s="53" t="s">
        <v>232</v>
      </c>
      <c r="E37" s="51"/>
    </row>
    <row r="38" spans="2:5" x14ac:dyDescent="0.2">
      <c r="B38" s="6"/>
      <c r="C38" s="57" t="s">
        <v>223</v>
      </c>
      <c r="D38" s="50" t="s">
        <v>152</v>
      </c>
      <c r="E38" s="51"/>
    </row>
    <row r="39" spans="2:5" x14ac:dyDescent="0.2">
      <c r="B39" s="6"/>
      <c r="C39" s="59" t="s">
        <v>244</v>
      </c>
      <c r="D39" s="52" t="s">
        <v>203</v>
      </c>
      <c r="E39" s="51"/>
    </row>
    <row r="40" spans="2:5" x14ac:dyDescent="0.2">
      <c r="B40" s="6"/>
      <c r="C40" s="59" t="s">
        <v>243</v>
      </c>
      <c r="D40" s="52" t="s">
        <v>179</v>
      </c>
      <c r="E40" s="51"/>
    </row>
    <row r="41" spans="2:5" x14ac:dyDescent="0.2">
      <c r="B41" s="6"/>
      <c r="C41" s="59" t="s">
        <v>238</v>
      </c>
      <c r="D41" s="52" t="s">
        <v>233</v>
      </c>
      <c r="E41" s="51"/>
    </row>
    <row r="42" spans="2:5" x14ac:dyDescent="0.2">
      <c r="B42" s="6"/>
      <c r="C42" s="60" t="s">
        <v>241</v>
      </c>
      <c r="D42" s="53" t="s">
        <v>234</v>
      </c>
      <c r="E42" s="51"/>
    </row>
    <row r="43" spans="2:5" x14ac:dyDescent="0.2">
      <c r="B43" s="6"/>
      <c r="C43" s="59" t="s">
        <v>151</v>
      </c>
      <c r="D43" s="52" t="s">
        <v>150</v>
      </c>
      <c r="E43" s="51"/>
    </row>
    <row r="44" spans="2:5" x14ac:dyDescent="0.2">
      <c r="B44" s="6"/>
      <c r="C44" s="59" t="s">
        <v>224</v>
      </c>
      <c r="D44" s="52" t="s">
        <v>225</v>
      </c>
      <c r="E44" s="51"/>
    </row>
    <row r="45" spans="2:5" x14ac:dyDescent="0.2">
      <c r="B45" s="6"/>
      <c r="C45" s="59" t="s">
        <v>239</v>
      </c>
      <c r="D45" s="52" t="s">
        <v>240</v>
      </c>
      <c r="E45" s="51"/>
    </row>
    <row r="46" spans="2:5" x14ac:dyDescent="0.2">
      <c r="B46" s="6"/>
      <c r="C46" s="60" t="s">
        <v>235</v>
      </c>
      <c r="D46" s="53" t="s">
        <v>236</v>
      </c>
      <c r="E46" s="51"/>
    </row>
    <row r="47" spans="2:5" ht="12" thickBot="1" x14ac:dyDescent="0.25">
      <c r="B47" s="13"/>
      <c r="C47" s="54"/>
      <c r="D47" s="54"/>
      <c r="E47" s="15"/>
    </row>
  </sheetData>
  <conditionalFormatting sqref="I7">
    <cfRule type="cellIs" dxfId="23" priority="3" stopIfTrue="1" operator="equal">
      <formula>TRUE</formula>
    </cfRule>
  </conditionalFormatting>
  <conditionalFormatting sqref="D27">
    <cfRule type="cellIs" dxfId="22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1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26"/>
  <sheetViews>
    <sheetView showGridLines="0" workbookViewId="0">
      <selection activeCell="K5" sqref="K5"/>
    </sheetView>
  </sheetViews>
  <sheetFormatPr defaultRowHeight="11.25" outlineLevelCol="1" x14ac:dyDescent="0.2"/>
  <cols>
    <col min="1" max="2" width="2.140625" style="16" customWidth="1"/>
    <col min="3" max="3" width="6.5703125" style="16" bestFit="1" customWidth="1"/>
    <col min="4" max="4" width="12" style="16" bestFit="1" customWidth="1"/>
    <col min="5" max="5" width="17.28515625" style="16" bestFit="1" customWidth="1"/>
    <col min="6" max="6" width="34.85546875" style="16" bestFit="1" customWidth="1"/>
    <col min="7" max="9" width="17.85546875" style="16" hidden="1" customWidth="1" outlineLevel="1"/>
    <col min="10" max="10" width="2.140625" style="16" customWidth="1" collapsed="1"/>
    <col min="11" max="11" width="16.140625" style="16" customWidth="1"/>
    <col min="12" max="12" width="15.140625" style="16" bestFit="1" customWidth="1"/>
    <col min="13" max="13" width="7" style="16" bestFit="1" customWidth="1"/>
    <col min="14" max="14" width="16.140625" style="16" customWidth="1"/>
    <col min="15" max="15" width="15.140625" style="16" customWidth="1"/>
    <col min="16" max="16" width="2.140625" style="16" customWidth="1"/>
    <col min="17" max="17" width="14.7109375" style="16" customWidth="1"/>
    <col min="18" max="18" width="9" style="16" bestFit="1" customWidth="1"/>
    <col min="19" max="19" width="8" style="16" bestFit="1" customWidth="1"/>
    <col min="20" max="20" width="14.7109375" style="16" customWidth="1"/>
    <col min="21" max="21" width="8" style="16" bestFit="1" customWidth="1"/>
    <col min="22" max="22" width="2.140625" style="16" customWidth="1"/>
    <col min="23" max="24" width="10.28515625" style="16" bestFit="1" customWidth="1"/>
    <col min="25" max="26" width="2.7109375" style="16" customWidth="1"/>
    <col min="27" max="16384" width="9.140625" style="16"/>
  </cols>
  <sheetData>
    <row r="1" spans="2:26" s="1" customFormat="1" ht="12" thickBot="1" x14ac:dyDescent="0.25"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2:26" s="1" customFormat="1" x14ac:dyDescent="0.2">
      <c r="B2" s="2"/>
      <c r="C2" s="3"/>
      <c r="D2" s="3"/>
      <c r="E2" s="4"/>
      <c r="F2" s="4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2:26" s="1" customFormat="1" x14ac:dyDescent="0.2">
      <c r="B3" s="6"/>
      <c r="C3" s="7"/>
      <c r="D3" s="381" t="s">
        <v>25</v>
      </c>
      <c r="E3" s="382" t="s">
        <v>24</v>
      </c>
      <c r="F3" s="8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spans="2:26" s="1" customFormat="1" x14ac:dyDescent="0.2">
      <c r="B4" s="6"/>
      <c r="C4" s="7"/>
      <c r="D4" s="7"/>
      <c r="E4" s="383" t="str">
        <f>IF(Serialize,_xll.ohObjectSave(D6:F12,SerializationPath&amp;#REF!,FileOverwrite,,Serialize),"---")</f>
        <v>---</v>
      </c>
      <c r="F4" s="8"/>
      <c r="G4" s="7"/>
      <c r="H4" s="8"/>
      <c r="I4" s="8"/>
      <c r="J4" s="8"/>
      <c r="K4" s="17" t="s">
        <v>158</v>
      </c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spans="2:26" s="1" customFormat="1" ht="22.5" customHeight="1" x14ac:dyDescent="0.2">
      <c r="B5" s="6"/>
      <c r="C5" s="375" t="s">
        <v>23</v>
      </c>
      <c r="D5" s="375" t="s">
        <v>199</v>
      </c>
      <c r="E5" s="375" t="s">
        <v>198</v>
      </c>
      <c r="F5" s="375" t="s">
        <v>200</v>
      </c>
      <c r="G5" s="19" t="str">
        <f>"Error Message "&amp;D5</f>
        <v>Error Message Relinkable Handle</v>
      </c>
      <c r="H5" s="19" t="str">
        <f t="shared" ref="H5:I5" si="0">"Error Message "&amp;E5</f>
        <v>Error Message Index</v>
      </c>
      <c r="I5" s="19" t="str">
        <f t="shared" si="0"/>
        <v>Error Message LastFixing_Quote</v>
      </c>
      <c r="J5" s="20"/>
      <c r="K5" s="390" t="str">
        <f>_xll.RData(K6:K12,L5:M5,"RTFEED:IDN",,,L6)</f>
        <v>Paused at 10:47:50</v>
      </c>
      <c r="L5" s="391" t="s">
        <v>191</v>
      </c>
      <c r="M5" s="391" t="s">
        <v>157</v>
      </c>
      <c r="N5" s="391" t="s">
        <v>190</v>
      </c>
      <c r="O5" s="391" t="s">
        <v>189</v>
      </c>
      <c r="P5" s="21"/>
      <c r="Q5" s="391" t="s">
        <v>188</v>
      </c>
      <c r="R5" s="391" t="s">
        <v>187</v>
      </c>
      <c r="S5" s="391" t="s">
        <v>186</v>
      </c>
      <c r="T5" s="391" t="s">
        <v>185</v>
      </c>
      <c r="U5" s="374"/>
      <c r="V5" s="9"/>
    </row>
    <row r="6" spans="2:26" s="1" customFormat="1" x14ac:dyDescent="0.2">
      <c r="B6" s="6"/>
      <c r="C6" s="400" t="s">
        <v>144</v>
      </c>
      <c r="D6" s="384" t="str">
        <f>_xll.qlRelinkableHandleYieldTermStructure(UPPER(Currency)&amp;C6,,Permanent,Trigger,ObjectOverwrite)</f>
        <v>USDON#0000</v>
      </c>
      <c r="E6" s="385" t="str">
        <f>_xll.qlOvernightIndex(PROPER(Currency)&amp;"FedFunds","FedFunds",0,"USD",OverNightIndexCalendar,"act/360",D6,Permanent,Trigger,ObjectOverwrite)</f>
        <v>UsdFedFunds#0000</v>
      </c>
      <c r="F6" s="385" t="str">
        <f>_xll.qlLastFixingQuote(PROPER(Currency)&amp;"FedFunds"&amp;$F$5,E6,Permanent,Trigger,ObjectOverwrite)</f>
        <v>UsdFedFundsLastFixing_Quote#0000</v>
      </c>
      <c r="G6" s="10" t="str">
        <f>_xll.ohRangeRetrieveError(D6)</f>
        <v/>
      </c>
      <c r="H6" s="10" t="str">
        <f>_xll.ohRangeRetrieveError(E6)</f>
        <v/>
      </c>
      <c r="I6" s="10" t="str">
        <f>_xll.ohRangeRetrieveError(F6)</f>
        <v/>
      </c>
      <c r="J6" s="8"/>
      <c r="K6" s="392" t="str">
        <f t="shared" ref="K6:K12" si="1">Currency&amp;C6&amp;$K$4&amp;"="</f>
        <v>USDONFSR=</v>
      </c>
      <c r="L6" s="393">
        <v>42137</v>
      </c>
      <c r="M6" s="394">
        <v>0.123</v>
      </c>
      <c r="N6" s="394" t="b">
        <f t="shared" ref="N6:N12" si="2">IF(AND(ISNUMBER($M6),$M6&lt;&gt;0%),TRUE,FALSE)</f>
        <v>1</v>
      </c>
      <c r="O6" s="395" t="b">
        <f>IF($N6,_xll.qlIndexAddFixings($E6,$L6,$M6/100,TRUE,ISERROR($Q6)),NA())</f>
        <v>1</v>
      </c>
      <c r="P6" s="21"/>
      <c r="Q6" s="392">
        <f>_xll.qlIndexFixing($E6,$L6,TRUE,$N6)</f>
        <v>1.2300000000000002E-3</v>
      </c>
      <c r="R6" s="392">
        <f>IF($O6,_xll.qlIndexFixing($E6,$L6,FALSE,$N6),"-")</f>
        <v>1.23E-3</v>
      </c>
      <c r="S6" s="392">
        <f t="shared" ref="S6" si="3">Q6-R6</f>
        <v>0</v>
      </c>
      <c r="T6" s="392">
        <f>_xll.qlIndexFixing($E6,$L6,TRUE,$R6)</f>
        <v>1.23E-3</v>
      </c>
      <c r="U6" s="11">
        <f>IF(ISERROR(S6),0,ABS(S6))</f>
        <v>0</v>
      </c>
      <c r="V6" s="9"/>
    </row>
    <row r="7" spans="2:26" s="1" customFormat="1" x14ac:dyDescent="0.2">
      <c r="B7" s="6"/>
      <c r="C7" s="401" t="s">
        <v>22</v>
      </c>
      <c r="D7" s="386"/>
      <c r="E7" s="387" t="str">
        <f>_xll.qlLibor(PROPER(Currency)&amp;FamilyName&amp;C7,Currency,C7,D7,Permanent,Trigger,ObjectOverwrite)</f>
        <v>UsdLiborSW#0000</v>
      </c>
      <c r="F7" s="387" t="str">
        <f>_xll.qlLastFixingQuote(PROPER(Currency)&amp;FamilyName&amp;C7&amp;$F$5,E7,Permanent,Trigger,ObjectOverwrite)</f>
        <v>UsdLiborSWLastFixing_Quote#0000</v>
      </c>
      <c r="G7" s="10" t="str">
        <f>_xll.ohRangeRetrieveError(D7)</f>
        <v/>
      </c>
      <c r="H7" s="10" t="str">
        <f>_xll.ohRangeRetrieveError(E7)</f>
        <v/>
      </c>
      <c r="I7" s="10" t="str">
        <f>_xll.ohRangeRetrieveError(F7)</f>
        <v/>
      </c>
      <c r="J7" s="8"/>
      <c r="K7" s="392" t="str">
        <f t="shared" si="1"/>
        <v>USDSWFSR=</v>
      </c>
      <c r="L7" s="393">
        <v>42137</v>
      </c>
      <c r="M7" s="394">
        <v>0.14574999999999999</v>
      </c>
      <c r="N7" s="394" t="b">
        <f t="shared" si="2"/>
        <v>1</v>
      </c>
      <c r="O7" s="395" t="b">
        <f>IF($N7,_xll.qlIndexAddFixings($E7,$L7,$M7/100,TRUE,ISERROR($Q7)),NA())</f>
        <v>1</v>
      </c>
      <c r="P7" s="21"/>
      <c r="Q7" s="392">
        <f>_xll.qlIndexFixing($E7,$L7,TRUE,$N7)</f>
        <v>1.4575000000000002E-3</v>
      </c>
      <c r="R7" s="392">
        <f>IF($O7,_xll.qlIndexFixing($E7,$L7,FALSE,$N7),"-")</f>
        <v>1.4574999999999998E-3</v>
      </c>
      <c r="S7" s="392">
        <f t="shared" ref="S7:S12" si="4">Q7-R7</f>
        <v>0</v>
      </c>
      <c r="T7" s="392">
        <f>_xll.qlIndexFixing($E7,$L7,TRUE,$R7)</f>
        <v>1.4574999999999998E-3</v>
      </c>
      <c r="U7" s="12">
        <f t="shared" ref="U7:U12" si="5">IF(ISERROR(S7),0,ABS(S7))</f>
        <v>0</v>
      </c>
      <c r="V7" s="9"/>
    </row>
    <row r="8" spans="2:26" s="1" customFormat="1" x14ac:dyDescent="0.2">
      <c r="B8" s="6"/>
      <c r="C8" s="401" t="s">
        <v>19</v>
      </c>
      <c r="D8" s="386" t="str">
        <f>_xll.qlRelinkableHandleYieldTermStructure(UPPER(Currency)&amp;C8,,Permanent,Trigger,ObjectOverwrite)</f>
        <v>USD1M#0000</v>
      </c>
      <c r="E8" s="387" t="str">
        <f>_xll.qlLibor(PROPER(Currency)&amp;FamilyName&amp;C8,Currency,C8,D8,Permanent,Trigger,ObjectOverwrite)</f>
        <v>UsdLibor1M#0000</v>
      </c>
      <c r="F8" s="387" t="str">
        <f>_xll.qlLastFixingQuote(PROPER(Currency)&amp;FamilyName&amp;C8&amp;$F$5,E8,Permanent,Trigger,ObjectOverwrite)</f>
        <v>UsdLibor1MLastFixing_Quote#0000</v>
      </c>
      <c r="G8" s="10" t="str">
        <f>_xll.ohRangeRetrieveError(D8)</f>
        <v/>
      </c>
      <c r="H8" s="10" t="str">
        <f>_xll.ohRangeRetrieveError(E8)</f>
        <v/>
      </c>
      <c r="I8" s="10" t="str">
        <f>_xll.ohRangeRetrieveError(F8)</f>
        <v/>
      </c>
      <c r="J8" s="8"/>
      <c r="K8" s="392" t="str">
        <f t="shared" si="1"/>
        <v>USD1MFSR=</v>
      </c>
      <c r="L8" s="393">
        <v>42137</v>
      </c>
      <c r="M8" s="394">
        <v>0.18560000000000001</v>
      </c>
      <c r="N8" s="394" t="b">
        <f t="shared" si="2"/>
        <v>1</v>
      </c>
      <c r="O8" s="395" t="b">
        <f>IF($N8,_xll.qlIndexAddFixings($E8,$L8,$M8/100,TRUE,ISERROR($Q8)),NA())</f>
        <v>1</v>
      </c>
      <c r="P8" s="21"/>
      <c r="Q8" s="392">
        <f>_xll.qlIndexFixing($E8,$L8,TRUE,$N8)</f>
        <v>1.8560000000000002E-3</v>
      </c>
      <c r="R8" s="392">
        <f>IF($O8,_xll.qlIndexFixing($E8,$L8,FALSE,$N8),"-")</f>
        <v>1.8560000000000002E-3</v>
      </c>
      <c r="S8" s="392">
        <f t="shared" si="4"/>
        <v>0</v>
      </c>
      <c r="T8" s="392">
        <f>_xll.qlIndexFixing($E8,$L8,TRUE,$R8)</f>
        <v>1.8560000000000002E-3</v>
      </c>
      <c r="U8" s="12">
        <f t="shared" si="5"/>
        <v>0</v>
      </c>
      <c r="V8" s="9"/>
    </row>
    <row r="9" spans="2:26" s="1" customFormat="1" x14ac:dyDescent="0.2">
      <c r="B9" s="6"/>
      <c r="C9" s="401" t="s">
        <v>18</v>
      </c>
      <c r="D9" s="386"/>
      <c r="E9" s="387" t="str">
        <f>_xll.qlLibor(PROPER(Currency)&amp;FamilyName&amp;C9,Currency,C9,D9,Permanent,Trigger,ObjectOverwrite)</f>
        <v>UsdLibor2M#0000</v>
      </c>
      <c r="F9" s="387" t="str">
        <f>_xll.qlLastFixingQuote(PROPER(Currency)&amp;FamilyName&amp;C9&amp;$F$5,E9,Permanent,Trigger,ObjectOverwrite)</f>
        <v>UsdLibor2MLastFixing_Quote#0000</v>
      </c>
      <c r="G9" s="10" t="str">
        <f>_xll.ohRangeRetrieveError(D9)</f>
        <v/>
      </c>
      <c r="H9" s="10" t="str">
        <f>_xll.ohRangeRetrieveError(E9)</f>
        <v/>
      </c>
      <c r="I9" s="10" t="str">
        <f>_xll.ohRangeRetrieveError(F9)</f>
        <v/>
      </c>
      <c r="J9" s="8"/>
      <c r="K9" s="392" t="str">
        <f t="shared" si="1"/>
        <v>USD2MFSR=</v>
      </c>
      <c r="L9" s="393">
        <v>42137</v>
      </c>
      <c r="M9" s="394">
        <v>0.22465000000000002</v>
      </c>
      <c r="N9" s="394" t="b">
        <f t="shared" si="2"/>
        <v>1</v>
      </c>
      <c r="O9" s="395" t="b">
        <f>IF($N9,_xll.qlIndexAddFixings($E9,$L9,$M9/100,TRUE,ISERROR($Q9)),NA())</f>
        <v>1</v>
      </c>
      <c r="P9" s="21"/>
      <c r="Q9" s="392">
        <f>_xll.qlIndexFixing($E9,$L9,TRUE,$N9)</f>
        <v>2.2465000000000002E-3</v>
      </c>
      <c r="R9" s="392">
        <f>IF($O9,_xll.qlIndexFixing($E9,$L9,FALSE,$N9),"-")</f>
        <v>2.2465000000000002E-3</v>
      </c>
      <c r="S9" s="392">
        <f t="shared" si="4"/>
        <v>0</v>
      </c>
      <c r="T9" s="392">
        <f>_xll.qlIndexFixing($E9,$L9,TRUE,$R9)</f>
        <v>2.2465000000000002E-3</v>
      </c>
      <c r="U9" s="12">
        <f t="shared" si="5"/>
        <v>0</v>
      </c>
      <c r="V9" s="9"/>
    </row>
    <row r="10" spans="2:26" s="1" customFormat="1" x14ac:dyDescent="0.2">
      <c r="B10" s="6"/>
      <c r="C10" s="401" t="s">
        <v>17</v>
      </c>
      <c r="D10" s="386" t="str">
        <f>_xll.qlRelinkableHandleYieldTermStructure(UPPER(Currency)&amp;C10,,Permanent,Trigger,ObjectOverwrite)</f>
        <v>USD3M#0000</v>
      </c>
      <c r="E10" s="387" t="str">
        <f>_xll.qlLibor(PROPER(Currency)&amp;FamilyName&amp;C10,Currency,C10,D10,Permanent,Trigger,ObjectOverwrite)</f>
        <v>UsdLibor3M#0000</v>
      </c>
      <c r="F10" s="387" t="str">
        <f>_xll.qlLastFixingQuote(PROPER(Currency)&amp;FamilyName&amp;C10&amp;$F$5,E10,Permanent,Trigger,ObjectOverwrite)</f>
        <v>UsdLibor3MLastFixing_Quote#0000</v>
      </c>
      <c r="G10" s="10" t="str">
        <f>_xll.ohRangeRetrieveError(D10)</f>
        <v/>
      </c>
      <c r="H10" s="10" t="str">
        <f>_xll.ohRangeRetrieveError(E10)</f>
        <v/>
      </c>
      <c r="I10" s="10" t="str">
        <f>_xll.ohRangeRetrieveError(F10)</f>
        <v/>
      </c>
      <c r="J10" s="8"/>
      <c r="K10" s="392" t="str">
        <f t="shared" si="1"/>
        <v>USD3MFSR=</v>
      </c>
      <c r="L10" s="393">
        <v>42137</v>
      </c>
      <c r="M10" s="394">
        <v>0.27389999999999998</v>
      </c>
      <c r="N10" s="394" t="b">
        <f t="shared" si="2"/>
        <v>1</v>
      </c>
      <c r="O10" s="395" t="b">
        <f>IF($N10,_xll.qlIndexAddFixings($E10,$L10,$M10/100,TRUE,ISERROR($Q10)),NA())</f>
        <v>1</v>
      </c>
      <c r="P10" s="21"/>
      <c r="Q10" s="392">
        <f>_xll.qlIndexFixing($E10,$L10,TRUE,$N10)</f>
        <v>2.7390000000000001E-3</v>
      </c>
      <c r="R10" s="392">
        <f>IF($O10,_xll.qlIndexFixing($E10,$L10,FALSE,$N10),"-")</f>
        <v>2.7389999999999997E-3</v>
      </c>
      <c r="S10" s="392">
        <f t="shared" si="4"/>
        <v>0</v>
      </c>
      <c r="T10" s="392">
        <f>_xll.qlIndexFixing($E10,$L10,TRUE,$R10)</f>
        <v>2.7389999999999997E-3</v>
      </c>
      <c r="U10" s="12">
        <f t="shared" si="5"/>
        <v>0</v>
      </c>
      <c r="V10" s="9"/>
    </row>
    <row r="11" spans="2:26" s="1" customFormat="1" x14ac:dyDescent="0.2">
      <c r="B11" s="6"/>
      <c r="C11" s="401" t="s">
        <v>14</v>
      </c>
      <c r="D11" s="386" t="str">
        <f>_xll.qlRelinkableHandleYieldTermStructure(UPPER(Currency)&amp;C11,,Permanent,Trigger,ObjectOverwrite)</f>
        <v>USD6M#0000</v>
      </c>
      <c r="E11" s="387" t="str">
        <f>_xll.qlLibor(PROPER(Currency)&amp;FamilyName&amp;C11,Currency,C11,D11,Permanent,Trigger,ObjectOverwrite)</f>
        <v>UsdLibor6M#0000</v>
      </c>
      <c r="F11" s="387" t="str">
        <f>_xll.qlLastFixingQuote(PROPER(Currency)&amp;FamilyName&amp;C11&amp;$F$5,E11,Permanent,Trigger,ObjectOverwrite)</f>
        <v>UsdLibor6MLastFixing_Quote#0000</v>
      </c>
      <c r="G11" s="10" t="str">
        <f>_xll.ohRangeRetrieveError(D11)</f>
        <v/>
      </c>
      <c r="H11" s="10" t="str">
        <f>_xll.ohRangeRetrieveError(E11)</f>
        <v/>
      </c>
      <c r="I11" s="10" t="str">
        <f>_xll.ohRangeRetrieveError(F11)</f>
        <v/>
      </c>
      <c r="J11" s="8"/>
      <c r="K11" s="392" t="str">
        <f t="shared" si="1"/>
        <v>USD6MFSR=</v>
      </c>
      <c r="L11" s="393">
        <v>42137</v>
      </c>
      <c r="M11" s="394">
        <v>0.41414999999999996</v>
      </c>
      <c r="N11" s="394" t="b">
        <f t="shared" si="2"/>
        <v>1</v>
      </c>
      <c r="O11" s="395" t="b">
        <f>IF($N11,_xll.qlIndexAddFixings($E11,$L11,$M11/100,TRUE,ISERROR($Q11)),NA())</f>
        <v>1</v>
      </c>
      <c r="P11" s="21"/>
      <c r="Q11" s="392">
        <f>_xll.qlIndexFixing($E11,$L11,TRUE,$N11)</f>
        <v>4.1415000000000002E-3</v>
      </c>
      <c r="R11" s="392">
        <f>IF($O11,_xll.qlIndexFixing($E11,$L11,FALSE,$N11),"-")</f>
        <v>4.1414999999999993E-3</v>
      </c>
      <c r="S11" s="392">
        <f t="shared" si="4"/>
        <v>0</v>
      </c>
      <c r="T11" s="392">
        <f>_xll.qlIndexFixing($E11,$L11,TRUE,$R11)</f>
        <v>4.1414999999999993E-3</v>
      </c>
      <c r="U11" s="12">
        <f t="shared" si="5"/>
        <v>0</v>
      </c>
      <c r="V11" s="9"/>
    </row>
    <row r="12" spans="2:26" s="1" customFormat="1" x14ac:dyDescent="0.2">
      <c r="B12" s="6"/>
      <c r="C12" s="401" t="s">
        <v>8</v>
      </c>
      <c r="D12" s="386" t="str">
        <f>_xll.qlRelinkableHandleYieldTermStructure(UPPER(Currency)&amp;C12,,Permanent,Trigger,ObjectOverwrite)</f>
        <v>USD1Y#0000</v>
      </c>
      <c r="E12" s="387" t="str">
        <f>_xll.qlLibor(PROPER(Currency)&amp;FamilyName&amp;C12,Currency,C12,D12,Permanent,Trigger,ObjectOverwrite)</f>
        <v>UsdLibor1Y#0000</v>
      </c>
      <c r="F12" s="387" t="str">
        <f>_xll.qlLastFixingQuote(PROPER(Currency)&amp;FamilyName&amp;C12&amp;$F$5,E12,Permanent,Trigger,ObjectOverwrite)</f>
        <v>UsdLibor1YLastFixing_Quote#0000</v>
      </c>
      <c r="G12" s="10" t="str">
        <f>_xll.ohRangeRetrieveError(D12)</f>
        <v/>
      </c>
      <c r="H12" s="10" t="str">
        <f>_xll.ohRangeRetrieveError(E12)</f>
        <v/>
      </c>
      <c r="I12" s="10" t="str">
        <f>_xll.ohRangeRetrieveError(F12)</f>
        <v/>
      </c>
      <c r="J12" s="8"/>
      <c r="K12" s="396" t="str">
        <f t="shared" si="1"/>
        <v>USD1YFSR=</v>
      </c>
      <c r="L12" s="397">
        <v>42137</v>
      </c>
      <c r="M12" s="398">
        <v>0.73034999999999994</v>
      </c>
      <c r="N12" s="398" t="b">
        <f t="shared" si="2"/>
        <v>1</v>
      </c>
      <c r="O12" s="399" t="b">
        <f>IF($N12,_xll.qlIndexAddFixings($E12,$L12,$M12/100,TRUE,ISERROR($Q12)),NA())</f>
        <v>1</v>
      </c>
      <c r="P12" s="22"/>
      <c r="Q12" s="396">
        <f>_xll.qlIndexFixing($E12,$L12,TRUE,$N12)</f>
        <v>7.303500000000001E-3</v>
      </c>
      <c r="R12" s="396">
        <f>IF($O12,_xll.qlIndexFixing($E12,$L12,FALSE,$N12),"-")</f>
        <v>7.3034999999999992E-3</v>
      </c>
      <c r="S12" s="396">
        <f t="shared" si="4"/>
        <v>0</v>
      </c>
      <c r="T12" s="396">
        <f>_xll.qlIndexFixing($E12,$L12,TRUE,$R12)</f>
        <v>7.3034999999999992E-3</v>
      </c>
      <c r="U12" s="12">
        <f t="shared" si="5"/>
        <v>0</v>
      </c>
      <c r="V12" s="9"/>
    </row>
    <row r="13" spans="2:26" s="1" customFormat="1" x14ac:dyDescent="0.2">
      <c r="B13" s="6"/>
      <c r="C13" s="402" t="s">
        <v>193</v>
      </c>
      <c r="D13" s="388" t="str">
        <f>_xll.qlRelinkableHandleYieldTermStructure(UPPER(Currency)&amp;C13,,Permanent,Trigger,ObjectOverwrite)</f>
        <v>USDSTD#0000</v>
      </c>
      <c r="E13" s="377"/>
      <c r="F13" s="389"/>
      <c r="G13" s="10" t="str">
        <f>_xll.ohRangeRetrieveError(D13)</f>
        <v/>
      </c>
      <c r="H13" s="10" t="str">
        <f>_xll.ohRangeRetrieveError(E13)</f>
        <v/>
      </c>
      <c r="I13" s="10" t="str">
        <f>_xll.ohRangeRetrieveError(F13)</f>
        <v/>
      </c>
      <c r="J13" s="8"/>
      <c r="K13" s="18"/>
      <c r="L13" s="18"/>
      <c r="M13" s="18"/>
      <c r="N13" s="18"/>
      <c r="O13" s="18"/>
      <c r="P13" s="8"/>
      <c r="Q13" s="18"/>
      <c r="R13" s="18"/>
      <c r="S13" s="18"/>
      <c r="T13" s="18"/>
      <c r="U13" s="18"/>
      <c r="V13" s="9"/>
    </row>
    <row r="14" spans="2:26" s="1" customFormat="1" ht="12" thickBot="1" x14ac:dyDescent="0.25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5"/>
    </row>
    <row r="15" spans="2:26" s="1" customFormat="1" ht="12" thickBot="1" x14ac:dyDescent="0.25">
      <c r="E15" s="16"/>
      <c r="F15" s="16"/>
      <c r="H15" s="16"/>
      <c r="I15" s="16"/>
      <c r="J15" s="16"/>
      <c r="M15" s="16"/>
    </row>
    <row r="16" spans="2:26" ht="12" thickBot="1" x14ac:dyDescent="0.25">
      <c r="D16" s="30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2"/>
    </row>
    <row r="17" spans="4:16" x14ac:dyDescent="0.2">
      <c r="D17" s="33"/>
      <c r="E17" s="34"/>
      <c r="F17" s="34"/>
      <c r="G17" s="35"/>
      <c r="H17" s="35"/>
      <c r="I17" s="36"/>
      <c r="J17" s="36"/>
      <c r="K17" s="37" t="str">
        <f>_xll.RHistory(K8,F21:F22,F19,,"CH:In;Fd TSREPEAT:N SORT:"&amp;F20,K18)</f>
        <v>Paused at 10:47:50</v>
      </c>
      <c r="L17" s="38" t="e">
        <f>_xll.qlIndexAddFixings(E8,K20,L20/100,TRUE,Trigger)</f>
        <v>#NUM!</v>
      </c>
      <c r="M17" s="39"/>
      <c r="N17" s="37" t="str">
        <f>_xll.RHistory(K11,F21:F22,F19,,"CH:In;Fd TSREPEAT:N SORT:"&amp;F20,N18)</f>
        <v>Paused at 10:47:50</v>
      </c>
      <c r="O17" s="38" t="e">
        <f>_xll.qlIndexAddFixings(E11,N20,O20/100,TRUE,Trigger)</f>
        <v>#NUM!</v>
      </c>
      <c r="P17" s="40"/>
    </row>
    <row r="18" spans="4:16" x14ac:dyDescent="0.2">
      <c r="D18" s="33"/>
      <c r="E18" s="34"/>
      <c r="F18" s="36"/>
      <c r="G18" s="36"/>
      <c r="H18" s="36"/>
      <c r="I18" s="36"/>
      <c r="J18" s="36"/>
      <c r="K18" s="41" t="s">
        <v>219</v>
      </c>
      <c r="L18" s="42" t="s">
        <v>219</v>
      </c>
      <c r="M18" s="39"/>
      <c r="N18" s="41" t="s">
        <v>216</v>
      </c>
      <c r="O18" s="42" t="s">
        <v>216</v>
      </c>
      <c r="P18" s="40"/>
    </row>
    <row r="19" spans="4:16" ht="22.5" x14ac:dyDescent="0.2">
      <c r="D19" s="43"/>
      <c r="E19" s="376" t="s">
        <v>209</v>
      </c>
      <c r="F19" s="378" t="str">
        <f>"START:"&amp;_xll.qlSettingsEvaluationDate(Trigger)&amp; " END:"&amp;_xll.qlSettingsEvaluationDate(Trigger)&amp;" INTERVAL:1D"</f>
        <v>START:42138 END:42138 INTERVAL:1D</v>
      </c>
      <c r="G19" s="36"/>
      <c r="H19" s="36"/>
      <c r="I19" s="36"/>
      <c r="J19" s="36"/>
      <c r="K19" s="379" t="s">
        <v>280</v>
      </c>
      <c r="L19" s="380" t="s">
        <v>210</v>
      </c>
      <c r="M19" s="39"/>
      <c r="N19" s="379" t="s">
        <v>280</v>
      </c>
      <c r="O19" s="380" t="s">
        <v>210</v>
      </c>
      <c r="P19" s="40"/>
    </row>
    <row r="20" spans="4:16" ht="12" thickBot="1" x14ac:dyDescent="0.25">
      <c r="D20" s="43"/>
      <c r="E20" s="376" t="s">
        <v>211</v>
      </c>
      <c r="F20" s="377" t="s">
        <v>212</v>
      </c>
      <c r="G20" s="36"/>
      <c r="H20" s="36"/>
      <c r="I20" s="36"/>
      <c r="J20" s="36"/>
      <c r="K20" s="44" t="e">
        <v>#N/A</v>
      </c>
      <c r="L20" s="45">
        <v>0.17150000000000001</v>
      </c>
      <c r="M20" s="39"/>
      <c r="N20" s="44" t="e">
        <v>#N/A</v>
      </c>
      <c r="O20" s="45">
        <v>0.38514999999999999</v>
      </c>
      <c r="P20" s="40"/>
    </row>
    <row r="21" spans="4:16" ht="12" thickBot="1" x14ac:dyDescent="0.25">
      <c r="D21" s="43"/>
      <c r="E21" s="376" t="s">
        <v>213</v>
      </c>
      <c r="F21" s="377" t="s">
        <v>214</v>
      </c>
      <c r="G21" s="36"/>
      <c r="H21" s="36"/>
      <c r="I21" s="36"/>
      <c r="J21" s="36"/>
      <c r="K21" s="34"/>
      <c r="L21" s="34"/>
      <c r="M21" s="39"/>
      <c r="N21" s="36"/>
      <c r="O21" s="36"/>
      <c r="P21" s="40"/>
    </row>
    <row r="22" spans="4:16" x14ac:dyDescent="0.2">
      <c r="D22" s="43"/>
      <c r="E22" s="376"/>
      <c r="F22" s="377" t="s">
        <v>215</v>
      </c>
      <c r="G22" s="36"/>
      <c r="H22" s="36"/>
      <c r="I22" s="36"/>
      <c r="J22" s="36"/>
      <c r="K22" s="37" t="str">
        <f>_xll.RHistory(K10,F21:F22,F19,,"CH:In;Fd TSREPEAT:N SORT:"&amp;F20,K23)</f>
        <v>Paused at 10:47:50</v>
      </c>
      <c r="L22" s="38" t="e">
        <f>_xll.qlIndexAddFixings(E10,K25,L25/100,TRUE,Trigger)</f>
        <v>#NUM!</v>
      </c>
      <c r="M22" s="39"/>
      <c r="N22" s="37" t="str">
        <f>_xll.RHistory(K12,F21:F22,F19,,"CH:In;Fd TSREPEAT:N SORT:"&amp;F20,N23)</f>
        <v>Paused at 10:47:50</v>
      </c>
      <c r="O22" s="38" t="e">
        <f>_xll.qlIndexAddFixings(E12,N25,O25/100,TRUE,Trigger)</f>
        <v>#NUM!</v>
      </c>
      <c r="P22" s="40"/>
    </row>
    <row r="23" spans="4:16" x14ac:dyDescent="0.2">
      <c r="D23" s="33"/>
      <c r="E23" s="34"/>
      <c r="F23" s="36"/>
      <c r="G23" s="36"/>
      <c r="H23" s="36"/>
      <c r="I23" s="36"/>
      <c r="J23" s="36"/>
      <c r="K23" s="41" t="s">
        <v>218</v>
      </c>
      <c r="L23" s="42" t="s">
        <v>218</v>
      </c>
      <c r="M23" s="39"/>
      <c r="N23" s="41" t="s">
        <v>217</v>
      </c>
      <c r="O23" s="42" t="s">
        <v>217</v>
      </c>
      <c r="P23" s="40"/>
    </row>
    <row r="24" spans="4:16" ht="22.5" x14ac:dyDescent="0.2">
      <c r="D24" s="33"/>
      <c r="E24" s="34"/>
      <c r="F24" s="36"/>
      <c r="G24" s="36"/>
      <c r="H24" s="36"/>
      <c r="I24" s="36"/>
      <c r="J24" s="36"/>
      <c r="K24" s="379" t="s">
        <v>280</v>
      </c>
      <c r="L24" s="380" t="s">
        <v>210</v>
      </c>
      <c r="M24" s="39"/>
      <c r="N24" s="379" t="s">
        <v>280</v>
      </c>
      <c r="O24" s="380" t="s">
        <v>210</v>
      </c>
      <c r="P24" s="40"/>
    </row>
    <row r="25" spans="4:16" ht="12" thickBot="1" x14ac:dyDescent="0.25">
      <c r="D25" s="33"/>
      <c r="E25" s="34"/>
      <c r="F25" s="36"/>
      <c r="G25" s="36"/>
      <c r="H25" s="36"/>
      <c r="I25" s="36"/>
      <c r="J25" s="36"/>
      <c r="K25" s="44" t="e">
        <v>#N/A</v>
      </c>
      <c r="L25" s="45">
        <v>0.2611</v>
      </c>
      <c r="M25" s="39"/>
      <c r="N25" s="44" t="e">
        <v>#N/A</v>
      </c>
      <c r="O25" s="45">
        <v>0.67735000000000001</v>
      </c>
      <c r="P25" s="40"/>
    </row>
    <row r="26" spans="4:16" ht="12" thickBot="1" x14ac:dyDescent="0.25"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9"/>
    </row>
  </sheetData>
  <conditionalFormatting sqref="S6:S12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18"/>
  <sheetViews>
    <sheetView showGridLines="0" topLeftCell="I1" workbookViewId="0">
      <selection activeCell="L4" sqref="L4"/>
    </sheetView>
  </sheetViews>
  <sheetFormatPr defaultRowHeight="11.25" outlineLevelCol="1" x14ac:dyDescent="0.2"/>
  <cols>
    <col min="1" max="2" width="2.7109375" style="198" hidden="1" customWidth="1" outlineLevel="1"/>
    <col min="3" max="3" width="3" style="198" hidden="1" customWidth="1" outlineLevel="1"/>
    <col min="4" max="4" width="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9.140625" style="198"/>
    <col min="12" max="12" width="11.85546875" style="198" customWidth="1"/>
    <col min="13" max="13" width="10.7109375" style="198" customWidth="1"/>
    <col min="14" max="14" width="2.7109375" style="198" customWidth="1"/>
    <col min="15" max="15" width="10.7109375" style="198" customWidth="1"/>
    <col min="16" max="16" width="2.7109375" style="198" customWidth="1"/>
    <col min="17" max="18" width="10.7109375" style="198" customWidth="1"/>
    <col min="19" max="20" width="2.7109375" style="198" customWidth="1"/>
    <col min="21" max="22" width="9.140625" style="198"/>
    <col min="23" max="23" width="9.85546875" style="198" customWidth="1"/>
    <col min="24" max="24" width="8.85546875" style="198" customWidth="1"/>
    <col min="25" max="16384" width="9.140625" style="198"/>
  </cols>
  <sheetData>
    <row r="1" spans="1:19" x14ac:dyDescent="0.2">
      <c r="A1" s="74"/>
      <c r="B1" s="74"/>
      <c r="C1" s="74"/>
      <c r="D1" s="133"/>
      <c r="E1" s="133"/>
      <c r="F1" s="133"/>
      <c r="G1" s="133"/>
      <c r="H1" s="134"/>
      <c r="J1" s="132" t="s">
        <v>256</v>
      </c>
      <c r="K1" s="143"/>
      <c r="L1" s="143"/>
      <c r="M1" s="143"/>
      <c r="N1" s="143"/>
      <c r="O1" s="143"/>
      <c r="P1" s="133"/>
      <c r="Q1" s="133"/>
      <c r="R1" s="133"/>
      <c r="S1" s="134"/>
    </row>
    <row r="2" spans="1:19" x14ac:dyDescent="0.2">
      <c r="A2" s="135"/>
      <c r="B2" s="136"/>
      <c r="C2" s="136"/>
      <c r="D2" s="136"/>
      <c r="E2" s="136"/>
      <c r="F2" s="136"/>
      <c r="G2" s="136"/>
      <c r="H2" s="137"/>
      <c r="J2" s="135"/>
      <c r="K2" s="136"/>
      <c r="L2" s="241" t="str">
        <f>VLOOKUP($J$1,AreaTable,AreaIndex,0)</f>
        <v>KLIEM</v>
      </c>
      <c r="M2" s="144"/>
      <c r="N2" s="144"/>
      <c r="O2" s="144"/>
      <c r="P2" s="136"/>
      <c r="Q2" s="136"/>
      <c r="R2" s="109">
        <f>_xll.ohTrigger(R5:R13)</f>
        <v>2</v>
      </c>
      <c r="S2" s="137"/>
    </row>
    <row r="3" spans="1:19" x14ac:dyDescent="0.2">
      <c r="A3" s="138"/>
      <c r="B3" s="159"/>
      <c r="C3" s="159"/>
      <c r="D3" s="136"/>
      <c r="E3" s="136"/>
      <c r="F3" s="136"/>
      <c r="G3" s="136"/>
      <c r="H3" s="137"/>
      <c r="J3" s="135"/>
      <c r="K3" s="136"/>
      <c r="L3" s="75"/>
      <c r="M3" s="136"/>
      <c r="N3" s="56"/>
      <c r="O3" s="56"/>
      <c r="P3" s="56"/>
      <c r="Q3" s="7"/>
      <c r="R3" s="136"/>
      <c r="S3" s="137"/>
    </row>
    <row r="4" spans="1:19" ht="22.5" x14ac:dyDescent="0.2">
      <c r="A4" s="76"/>
      <c r="B4" s="93"/>
      <c r="C4" s="101"/>
      <c r="D4" s="94"/>
      <c r="E4" s="101" t="s">
        <v>248</v>
      </c>
      <c r="F4" s="102" t="s">
        <v>249</v>
      </c>
      <c r="G4" s="102" t="s">
        <v>266</v>
      </c>
      <c r="H4" s="137"/>
      <c r="J4" s="52"/>
      <c r="K4" s="100"/>
      <c r="L4" s="106" t="str">
        <f>_xll.RData(L5:L7,M4,"RTFEED:IDN",ReutersRtMode,,M5)</f>
        <v>Paused at 10:47:50</v>
      </c>
      <c r="M4" s="146" t="s">
        <v>147</v>
      </c>
      <c r="N4" s="56" t="s">
        <v>220</v>
      </c>
      <c r="O4" s="87" t="s">
        <v>162</v>
      </c>
      <c r="P4" s="56"/>
      <c r="Q4" s="88" t="s">
        <v>161</v>
      </c>
      <c r="R4" s="89" t="s">
        <v>160</v>
      </c>
      <c r="S4" s="137"/>
    </row>
    <row r="5" spans="1:19" x14ac:dyDescent="0.2">
      <c r="A5" s="76"/>
      <c r="B5" s="160"/>
      <c r="C5" s="206"/>
      <c r="D5" s="161" t="s">
        <v>111</v>
      </c>
      <c r="E5" s="90" t="str">
        <f t="shared" ref="E5:E13" si="0">Currency&amp;$D5&amp;QuoteSuffix</f>
        <v>USDOND_Quote</v>
      </c>
      <c r="F5" s="90" t="str">
        <f>_xll.qlSimpleQuote(E5,,RateTickValue,Permanent,Trigger,ObjectOverwrite)</f>
        <v>USDOND_Quote#0000</v>
      </c>
      <c r="G5" s="209" t="str">
        <f>_xll.ohRangeRetrieveError(F5)</f>
        <v/>
      </c>
      <c r="H5" s="137"/>
      <c r="J5" s="52"/>
      <c r="K5" s="78" t="s">
        <v>144</v>
      </c>
      <c r="L5" s="81" t="str">
        <f>Currency&amp;K5&amp;"D="&amp;VLOOKUP($L$2,[0]!ContributorTable,2,0)</f>
        <v>USDOND=CKCC</v>
      </c>
      <c r="M5" s="84">
        <v>0.27999999999999997</v>
      </c>
      <c r="N5" s="108" t="s">
        <v>220</v>
      </c>
      <c r="O5" s="84">
        <v>0.28000000000000003</v>
      </c>
      <c r="P5" s="197"/>
      <c r="Q5" s="84">
        <f t="array" ref="Q5:Q13">QuoteLive</f>
        <v>0.27999999999999997</v>
      </c>
      <c r="R5" s="203">
        <f>_xll.qlSimpleQuoteSetValue(F5,Q5/100,Trigger)</f>
        <v>-8.6736173798840355E-19</v>
      </c>
      <c r="S5" s="137"/>
    </row>
    <row r="6" spans="1:19" x14ac:dyDescent="0.2">
      <c r="A6" s="76"/>
      <c r="B6" s="162"/>
      <c r="C6" s="207"/>
      <c r="D6" s="163" t="s">
        <v>110</v>
      </c>
      <c r="E6" s="91" t="str">
        <f t="shared" si="0"/>
        <v>USDTND_Quote</v>
      </c>
      <c r="F6" s="91" t="str">
        <f>_xll.qlSimpleQuote(E6,,RateTickValue,Permanent,Trigger,ObjectOverwrite)</f>
        <v>USDTND_Quote#0000</v>
      </c>
      <c r="G6" s="210" t="str">
        <f>_xll.ohRangeRetrieveError(F6)</f>
        <v/>
      </c>
      <c r="H6" s="137"/>
      <c r="J6" s="52"/>
      <c r="K6" s="79" t="s">
        <v>159</v>
      </c>
      <c r="L6" s="82" t="str">
        <f>Currency&amp;K6&amp;"D="&amp;VLOOKUP($L$2,[0]!ContributorTable,2,0)</f>
        <v>USDTND=CKCC</v>
      </c>
      <c r="M6" s="85">
        <v>0.27999999999999997</v>
      </c>
      <c r="N6" s="108" t="s">
        <v>220</v>
      </c>
      <c r="O6" s="85">
        <v>0.28000000000000003</v>
      </c>
      <c r="P6" s="197"/>
      <c r="Q6" s="85">
        <v>0.27999999999999997</v>
      </c>
      <c r="R6" s="204">
        <f>_xll.qlSimpleQuoteSetValue(F6,Q6/100,Trigger)</f>
        <v>-8.6736173798840355E-19</v>
      </c>
      <c r="S6" s="137"/>
    </row>
    <row r="7" spans="1:19" x14ac:dyDescent="0.2">
      <c r="A7" s="76"/>
      <c r="B7" s="162"/>
      <c r="C7" s="207"/>
      <c r="D7" s="163" t="s">
        <v>109</v>
      </c>
      <c r="E7" s="91" t="str">
        <f t="shared" si="0"/>
        <v>USDSND_Quote</v>
      </c>
      <c r="F7" s="91" t="str">
        <f>_xll.qlSimpleQuote(E7,,RateTickValue,Permanent,Trigger,ObjectOverwrite)</f>
        <v>USDSND_Quote#0000</v>
      </c>
      <c r="G7" s="210" t="str">
        <f>_xll.ohRangeRetrieveError(F7)</f>
        <v/>
      </c>
      <c r="H7" s="137"/>
      <c r="J7" s="52"/>
      <c r="K7" s="80" t="s">
        <v>156</v>
      </c>
      <c r="L7" s="83" t="str">
        <f>Currency&amp;K7&amp;"D="&amp;VLOOKUP($L$2,[0]!ContributorTable,2,0)</f>
        <v>USDSND=CKCC</v>
      </c>
      <c r="M7" s="86">
        <v>0.28999999999999998</v>
      </c>
      <c r="N7" s="108" t="s">
        <v>220</v>
      </c>
      <c r="O7" s="86">
        <v>0.28999999999999998</v>
      </c>
      <c r="P7" s="197"/>
      <c r="Q7" s="86">
        <v>0.28999999999999998</v>
      </c>
      <c r="R7" s="205">
        <f>_xll.qlSimpleQuoteSetValue(F7,Q7/100,Trigger)</f>
        <v>0</v>
      </c>
      <c r="S7" s="137"/>
    </row>
    <row r="8" spans="1:19" x14ac:dyDescent="0.2">
      <c r="A8" s="76"/>
      <c r="B8" s="160"/>
      <c r="C8" s="206"/>
      <c r="D8" s="161" t="s">
        <v>108</v>
      </c>
      <c r="E8" s="90" t="str">
        <f t="shared" si="0"/>
        <v>USDSWD_Quote</v>
      </c>
      <c r="F8" s="90" t="str">
        <f>_xll.qlSimpleQuote(E8,,RateTickValue,Permanent,Trigger,ObjectOverwrite)</f>
        <v>USDSWD_Quote#0000</v>
      </c>
      <c r="G8" s="209" t="str">
        <f>_xll.ohRangeRetrieveError(F8)</f>
        <v/>
      </c>
      <c r="H8" s="137"/>
      <c r="J8" s="52"/>
      <c r="K8" s="79" t="s">
        <v>22</v>
      </c>
      <c r="L8" s="81" t="str">
        <f>Libor!K7</f>
        <v>USDSWFSR=</v>
      </c>
      <c r="M8" s="84">
        <f>Libor!M7</f>
        <v>0.14574999999999999</v>
      </c>
      <c r="N8" s="108" t="s">
        <v>220</v>
      </c>
      <c r="O8" s="85">
        <v>0.14575000000000002</v>
      </c>
      <c r="P8" s="197"/>
      <c r="Q8" s="85">
        <v>0.14574999999999999</v>
      </c>
      <c r="R8" s="204">
        <f>_xll.qlSimpleQuoteSetValue(F8,Q8/100,Trigger)</f>
        <v>-4.3368086899420177E-19</v>
      </c>
      <c r="S8" s="137"/>
    </row>
    <row r="9" spans="1:19" x14ac:dyDescent="0.2">
      <c r="A9" s="76"/>
      <c r="B9" s="162"/>
      <c r="C9" s="207"/>
      <c r="D9" s="163" t="s">
        <v>107</v>
      </c>
      <c r="E9" s="91" t="str">
        <f t="shared" si="0"/>
        <v>USD1MD_Quote</v>
      </c>
      <c r="F9" s="91" t="str">
        <f>_xll.qlSimpleQuote(E9,,RateTickValue,Permanent,Trigger,ObjectOverwrite)</f>
        <v>USD1MD_Quote#0000</v>
      </c>
      <c r="G9" s="210" t="str">
        <f>_xll.ohRangeRetrieveError(F9)</f>
        <v/>
      </c>
      <c r="H9" s="137"/>
      <c r="J9" s="52"/>
      <c r="K9" s="79" t="s">
        <v>19</v>
      </c>
      <c r="L9" s="82" t="str">
        <f>Libor!K8</f>
        <v>USD1MFSR=</v>
      </c>
      <c r="M9" s="85">
        <f>Libor!M8</f>
        <v>0.18560000000000001</v>
      </c>
      <c r="N9" s="108" t="s">
        <v>220</v>
      </c>
      <c r="O9" s="85">
        <v>0.18560000000000001</v>
      </c>
      <c r="P9" s="197"/>
      <c r="Q9" s="85">
        <v>0.18560000000000001</v>
      </c>
      <c r="R9" s="204">
        <f>_xll.qlSimpleQuoteSetValue(F9,Q9/100,Trigger)</f>
        <v>0</v>
      </c>
      <c r="S9" s="137"/>
    </row>
    <row r="10" spans="1:19" x14ac:dyDescent="0.2">
      <c r="A10" s="76"/>
      <c r="B10" s="162"/>
      <c r="C10" s="207"/>
      <c r="D10" s="163" t="s">
        <v>106</v>
      </c>
      <c r="E10" s="91" t="str">
        <f t="shared" si="0"/>
        <v>USD2MD_Quote</v>
      </c>
      <c r="F10" s="91" t="str">
        <f>_xll.qlSimpleQuote(E10,,RateTickValue,Permanent,Trigger,ObjectOverwrite)</f>
        <v>USD2MD_Quote#0000</v>
      </c>
      <c r="G10" s="210" t="str">
        <f>_xll.ohRangeRetrieveError(F10)</f>
        <v/>
      </c>
      <c r="H10" s="137"/>
      <c r="J10" s="52"/>
      <c r="K10" s="79" t="s">
        <v>18</v>
      </c>
      <c r="L10" s="82" t="str">
        <f>Libor!K9</f>
        <v>USD2MFSR=</v>
      </c>
      <c r="M10" s="85">
        <f>Libor!M9</f>
        <v>0.22465000000000002</v>
      </c>
      <c r="N10" s="108" t="s">
        <v>220</v>
      </c>
      <c r="O10" s="85">
        <v>0.22465000000000002</v>
      </c>
      <c r="P10" s="197"/>
      <c r="Q10" s="85">
        <v>0.22465000000000002</v>
      </c>
      <c r="R10" s="204">
        <f>_xll.qlSimpleQuoteSetValue(F10,Q10/100,Trigger)</f>
        <v>0</v>
      </c>
      <c r="S10" s="137"/>
    </row>
    <row r="11" spans="1:19" x14ac:dyDescent="0.2">
      <c r="A11" s="76"/>
      <c r="B11" s="162"/>
      <c r="C11" s="207"/>
      <c r="D11" s="163" t="s">
        <v>105</v>
      </c>
      <c r="E11" s="91" t="str">
        <f t="shared" si="0"/>
        <v>USD3MD_Quote</v>
      </c>
      <c r="F11" s="91" t="str">
        <f>_xll.qlSimpleQuote(E11,,RateTickValue,Permanent,Trigger,ObjectOverwrite)</f>
        <v>USD3MD_Quote#0000</v>
      </c>
      <c r="G11" s="210" t="str">
        <f>_xll.ohRangeRetrieveError(F11)</f>
        <v/>
      </c>
      <c r="H11" s="137"/>
      <c r="J11" s="52"/>
      <c r="K11" s="79" t="s">
        <v>17</v>
      </c>
      <c r="L11" s="82" t="str">
        <f>Libor!K10</f>
        <v>USD3MFSR=</v>
      </c>
      <c r="M11" s="85">
        <f>Libor!M10</f>
        <v>0.27389999999999998</v>
      </c>
      <c r="N11" s="108" t="s">
        <v>220</v>
      </c>
      <c r="O11" s="85">
        <v>0.27390000000000003</v>
      </c>
      <c r="P11" s="197"/>
      <c r="Q11" s="85">
        <v>0.27389999999999998</v>
      </c>
      <c r="R11" s="204">
        <f>_xll.qlSimpleQuoteSetValue(F11,Q11/100,Trigger)</f>
        <v>-4.3368086899420177E-19</v>
      </c>
      <c r="S11" s="137"/>
    </row>
    <row r="12" spans="1:19" x14ac:dyDescent="0.2">
      <c r="A12" s="76"/>
      <c r="B12" s="162"/>
      <c r="C12" s="207"/>
      <c r="D12" s="163" t="s">
        <v>104</v>
      </c>
      <c r="E12" s="91" t="str">
        <f t="shared" si="0"/>
        <v>USD6MD_Quote</v>
      </c>
      <c r="F12" s="91" t="str">
        <f>_xll.qlSimpleQuote(E12,,RateTickValue,Permanent,Trigger,ObjectOverwrite)</f>
        <v>USD6MD_Quote#0000</v>
      </c>
      <c r="G12" s="210" t="str">
        <f>_xll.ohRangeRetrieveError(F12)</f>
        <v/>
      </c>
      <c r="H12" s="137"/>
      <c r="J12" s="52"/>
      <c r="K12" s="79" t="s">
        <v>14</v>
      </c>
      <c r="L12" s="82" t="str">
        <f>Libor!K11</f>
        <v>USD6MFSR=</v>
      </c>
      <c r="M12" s="85">
        <f>Libor!M11</f>
        <v>0.41414999999999996</v>
      </c>
      <c r="N12" s="108" t="s">
        <v>220</v>
      </c>
      <c r="O12" s="85">
        <v>0.41415000000000002</v>
      </c>
      <c r="P12" s="197"/>
      <c r="Q12" s="85">
        <v>0.41414999999999996</v>
      </c>
      <c r="R12" s="204">
        <f>_xll.qlSimpleQuoteSetValue(F12,Q12/100,Trigger)</f>
        <v>-8.6736173798840355E-19</v>
      </c>
      <c r="S12" s="137"/>
    </row>
    <row r="13" spans="1:19" x14ac:dyDescent="0.2">
      <c r="A13" s="76"/>
      <c r="B13" s="164"/>
      <c r="C13" s="208"/>
      <c r="D13" s="165" t="s">
        <v>103</v>
      </c>
      <c r="E13" s="92" t="str">
        <f t="shared" si="0"/>
        <v>USD1YD_Quote</v>
      </c>
      <c r="F13" s="92" t="str">
        <f>_xll.qlSimpleQuote(E13,,RateTickValue,Permanent,Trigger,ObjectOverwrite)</f>
        <v>USD1YD_Quote#0000</v>
      </c>
      <c r="G13" s="211" t="str">
        <f>_xll.ohRangeRetrieveError(F13)</f>
        <v/>
      </c>
      <c r="H13" s="137"/>
      <c r="J13" s="52"/>
      <c r="K13" s="80" t="s">
        <v>8</v>
      </c>
      <c r="L13" s="83" t="str">
        <f>Libor!K12</f>
        <v>USD1YFSR=</v>
      </c>
      <c r="M13" s="86">
        <f>Libor!M12</f>
        <v>0.73034999999999994</v>
      </c>
      <c r="N13" s="108" t="s">
        <v>220</v>
      </c>
      <c r="O13" s="86">
        <v>0.73035000000000005</v>
      </c>
      <c r="P13" s="197"/>
      <c r="Q13" s="86">
        <v>0.73034999999999994</v>
      </c>
      <c r="R13" s="205">
        <f>_xll.qlSimpleQuoteSetValue(F13,Q13/100,Trigger)</f>
        <v>-1.7347234759768071E-18</v>
      </c>
      <c r="S13" s="137"/>
    </row>
    <row r="14" spans="1:19" x14ac:dyDescent="0.2">
      <c r="A14" s="139"/>
      <c r="B14" s="140"/>
      <c r="C14" s="140"/>
      <c r="D14" s="140"/>
      <c r="E14" s="140"/>
      <c r="F14" s="140"/>
      <c r="G14" s="140"/>
      <c r="H14" s="141"/>
      <c r="J14" s="139"/>
      <c r="K14" s="145"/>
      <c r="L14" s="145"/>
      <c r="M14" s="145"/>
      <c r="N14" s="145"/>
      <c r="O14" s="145"/>
      <c r="P14" s="145"/>
      <c r="Q14" s="145"/>
      <c r="R14" s="145"/>
      <c r="S14" s="141"/>
    </row>
    <row r="18" ht="19.5" customHeight="1" x14ac:dyDescent="0.2"/>
  </sheetData>
  <conditionalFormatting sqref="R5:R13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5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8" hidden="1" customWidth="1" outlineLevel="1"/>
    <col min="3" max="3" width="3" style="198" hidden="1" customWidth="1" outlineLevel="1"/>
    <col min="4" max="4" width="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1" width="2.7109375" style="198" customWidth="1"/>
    <col min="12" max="13" width="4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28" width="14.140625" style="198" bestFit="1" customWidth="1"/>
    <col min="29" max="29" width="12" style="198" bestFit="1" customWidth="1"/>
    <col min="30" max="16384" width="9.140625" style="198"/>
  </cols>
  <sheetData>
    <row r="1" spans="1:29" x14ac:dyDescent="0.2">
      <c r="A1" s="74"/>
      <c r="B1" s="74"/>
      <c r="C1" s="133"/>
      <c r="D1" s="133"/>
      <c r="E1" s="133"/>
      <c r="F1" s="133"/>
      <c r="G1" s="147"/>
      <c r="H1" s="148"/>
      <c r="J1" s="158" t="s">
        <v>255</v>
      </c>
      <c r="K1" s="75"/>
      <c r="L1" s="75"/>
      <c r="M1" s="75"/>
      <c r="N1" s="75"/>
      <c r="O1" s="143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34"/>
    </row>
    <row r="2" spans="1:29" x14ac:dyDescent="0.2">
      <c r="A2" s="76"/>
      <c r="B2" s="56"/>
      <c r="C2" s="136"/>
      <c r="D2" s="136"/>
      <c r="E2" s="136"/>
      <c r="F2" s="136"/>
      <c r="G2" s="149"/>
      <c r="H2" s="150"/>
      <c r="J2" s="135"/>
      <c r="K2" s="136"/>
      <c r="L2" s="136"/>
      <c r="M2" s="7"/>
      <c r="N2" s="7"/>
      <c r="O2" s="241" t="str">
        <f>VLOOKUP($J$1,AreaTable,AreaIndex,0)</f>
        <v>ICAP NY</v>
      </c>
      <c r="P2" s="7"/>
      <c r="Q2" s="7"/>
      <c r="R2" s="7"/>
      <c r="S2" s="7"/>
      <c r="T2" s="56"/>
      <c r="U2" s="56"/>
      <c r="V2" s="56"/>
      <c r="W2" s="56"/>
      <c r="X2" s="56"/>
      <c r="Y2" s="56"/>
      <c r="Z2" s="109">
        <f>_xll.ohTrigger(Z5:Z58)</f>
        <v>62</v>
      </c>
      <c r="AA2" s="154"/>
      <c r="AB2" s="202"/>
      <c r="AC2" s="202"/>
    </row>
    <row r="3" spans="1:29" x14ac:dyDescent="0.2">
      <c r="A3" s="76"/>
      <c r="B3" s="56"/>
      <c r="C3" s="136"/>
      <c r="D3" s="136"/>
      <c r="E3" s="136"/>
      <c r="F3" s="136"/>
      <c r="G3" s="149"/>
      <c r="H3" s="150"/>
      <c r="J3" s="135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136"/>
      <c r="AA3" s="155"/>
      <c r="AB3" s="202"/>
      <c r="AC3" s="202"/>
    </row>
    <row r="4" spans="1:29" ht="22.5" x14ac:dyDescent="0.2">
      <c r="A4" s="76"/>
      <c r="B4" s="93"/>
      <c r="C4" s="93"/>
      <c r="D4" s="94"/>
      <c r="E4" s="101" t="s">
        <v>248</v>
      </c>
      <c r="F4" s="102" t="s">
        <v>249</v>
      </c>
      <c r="G4" s="102" t="s">
        <v>266</v>
      </c>
      <c r="H4" s="150"/>
      <c r="J4" s="135"/>
      <c r="K4" s="241"/>
      <c r="L4" s="103"/>
      <c r="M4" s="103"/>
      <c r="N4" s="103" t="s">
        <v>268</v>
      </c>
      <c r="O4" s="106" t="str">
        <f>_xll.RData(O5:O58,P4:S4,"RTFEED:IDN",ReutersRtMode,,P5)</f>
        <v>Paused at 10:47:50</v>
      </c>
      <c r="P4" s="87" t="s">
        <v>148</v>
      </c>
      <c r="Q4" s="87" t="s">
        <v>147</v>
      </c>
      <c r="R4" s="87" t="s">
        <v>157</v>
      </c>
      <c r="S4" s="87" t="s">
        <v>165</v>
      </c>
      <c r="T4" s="89" t="s">
        <v>172</v>
      </c>
      <c r="U4" s="88" t="s">
        <v>267</v>
      </c>
      <c r="V4" s="56"/>
      <c r="W4" s="87" t="s">
        <v>162</v>
      </c>
      <c r="X4" s="56"/>
      <c r="Y4" s="103" t="s">
        <v>161</v>
      </c>
      <c r="Z4" s="107" t="s">
        <v>160</v>
      </c>
      <c r="AA4" s="155"/>
      <c r="AB4" s="202"/>
      <c r="AC4" s="202"/>
    </row>
    <row r="5" spans="1:29" x14ac:dyDescent="0.2">
      <c r="A5" s="76"/>
      <c r="B5" s="110"/>
      <c r="C5" s="110">
        <v>1</v>
      </c>
      <c r="D5" s="111" t="s">
        <v>116</v>
      </c>
      <c r="E5" s="110" t="str">
        <f t="shared" ref="E5:E58" si="0">Currency&amp;$C5&amp;$D5&amp;QuoteSuffix</f>
        <v>USD1x4F_Quote</v>
      </c>
      <c r="F5" s="90" t="str">
        <f>_xll.qlSimpleQuote(E5,,RateTickValue,Permanent,Trigger,ObjectOverwrite)</f>
        <v>USD1x4F_Quote#0000</v>
      </c>
      <c r="G5" s="212" t="str">
        <f>_xll.ohRangeRetrieveError(F5)</f>
        <v/>
      </c>
      <c r="H5" s="150"/>
      <c r="J5" s="135"/>
      <c r="K5" s="263">
        <f>L5+3</f>
        <v>4</v>
      </c>
      <c r="L5" s="263">
        <f t="shared" ref="L5:L45" si="1">C5</f>
        <v>1</v>
      </c>
      <c r="M5" s="263" t="s">
        <v>163</v>
      </c>
      <c r="N5" s="259" t="str">
        <f t="shared" ref="N5:N58" si="2">Currency&amp;$L5&amp;$M5&amp;$K5&amp;"F"</f>
        <v>USD1X4F</v>
      </c>
      <c r="O5" s="118" t="str">
        <f t="array" ref="O5:O58">Instruments&amp;"="&amp;VLOOKUP(Contributor,ContributorTable,2,FALSE)</f>
        <v>USD1X4F=GCMN</v>
      </c>
      <c r="P5" s="189">
        <v>0.26600000000000001</v>
      </c>
      <c r="Q5" s="189">
        <v>0.30599999999999999</v>
      </c>
      <c r="R5" s="189">
        <v>0.26600000000000001</v>
      </c>
      <c r="S5" s="189">
        <v>0.26500000000000001</v>
      </c>
      <c r="T5" s="119">
        <f>IF(ISERROR(AVERAGE(P5,Q5)),#NUM!,AVERAGE(P5,Q5))</f>
        <v>0.28600000000000003</v>
      </c>
      <c r="U5" s="190">
        <f>Q5-P5</f>
        <v>3.999999999999998E-2</v>
      </c>
      <c r="V5" s="192"/>
      <c r="W5" s="190">
        <v>0.28600000000000003</v>
      </c>
      <c r="X5" s="192"/>
      <c r="Y5" s="190">
        <f t="array" ref="Y5:Y58">QuoteLive</f>
        <v>0.28600000000000003</v>
      </c>
      <c r="Z5" s="120">
        <f>_xll.qlSimpleQuoteSetValue(F5,Y5/100,Trigger)</f>
        <v>0</v>
      </c>
      <c r="AA5" s="156"/>
      <c r="AB5" s="202"/>
      <c r="AC5" s="202"/>
    </row>
    <row r="6" spans="1:29" x14ac:dyDescent="0.2">
      <c r="A6" s="76"/>
      <c r="B6" s="112"/>
      <c r="C6" s="112">
        <v>2</v>
      </c>
      <c r="D6" s="113" t="s">
        <v>115</v>
      </c>
      <c r="E6" s="112" t="str">
        <f t="shared" si="0"/>
        <v>USD2x5F_Quote</v>
      </c>
      <c r="F6" s="91" t="str">
        <f>_xll.qlSimpleQuote(E6,,RateTickValue,Permanent,Trigger,ObjectOverwrite)</f>
        <v>USD2x5F_Quote#0000</v>
      </c>
      <c r="G6" s="213" t="str">
        <f>_xll.ohRangeRetrieveError(F6)</f>
        <v/>
      </c>
      <c r="H6" s="150"/>
      <c r="J6" s="135"/>
      <c r="K6" s="263">
        <f t="shared" ref="K6:K9" si="3">L6+3</f>
        <v>5</v>
      </c>
      <c r="L6" s="263">
        <f t="shared" si="1"/>
        <v>2</v>
      </c>
      <c r="M6" s="263" t="s">
        <v>163</v>
      </c>
      <c r="N6" s="118" t="str">
        <f t="shared" si="2"/>
        <v>USD2X5F</v>
      </c>
      <c r="O6" s="118" t="str">
        <v>USD2X5F=GCMN</v>
      </c>
      <c r="P6" s="189">
        <v>0.28599999999999998</v>
      </c>
      <c r="Q6" s="189">
        <v>0.32599999999999996</v>
      </c>
      <c r="R6" s="189">
        <v>0.28599999999999998</v>
      </c>
      <c r="S6" s="189">
        <v>0.28599999999999998</v>
      </c>
      <c r="T6" s="119">
        <f t="shared" ref="T6:T58" si="4">IF(ISERROR(AVERAGE(P6,Q6)),#NUM!,AVERAGE(P6,Q6))</f>
        <v>0.30599999999999994</v>
      </c>
      <c r="U6" s="189">
        <f t="shared" ref="U6:U58" si="5">Q6-P6</f>
        <v>3.999999999999998E-2</v>
      </c>
      <c r="V6" s="192"/>
      <c r="W6" s="189">
        <v>0.30600000000000005</v>
      </c>
      <c r="X6" s="192"/>
      <c r="Y6" s="189">
        <v>0.30599999999999994</v>
      </c>
      <c r="Z6" s="121">
        <f>_xll.qlSimpleQuoteSetValue(F6,Y6/100,Trigger)</f>
        <v>0</v>
      </c>
      <c r="AA6" s="156"/>
      <c r="AB6" s="202"/>
      <c r="AC6" s="202"/>
    </row>
    <row r="7" spans="1:29" x14ac:dyDescent="0.2">
      <c r="A7" s="76"/>
      <c r="B7" s="112"/>
      <c r="C7" s="112">
        <v>3</v>
      </c>
      <c r="D7" s="113" t="s">
        <v>114</v>
      </c>
      <c r="E7" s="112" t="str">
        <f t="shared" si="0"/>
        <v>USD3x6F_Quote</v>
      </c>
      <c r="F7" s="91" t="str">
        <f>_xll.qlSimpleQuote(E7,,RateTickValue,Permanent,Trigger,ObjectOverwrite)</f>
        <v>USD3x6F_Quote#0000</v>
      </c>
      <c r="G7" s="213" t="str">
        <f>_xll.ohRangeRetrieveError(F7)</f>
        <v/>
      </c>
      <c r="H7" s="150"/>
      <c r="J7" s="135"/>
      <c r="K7" s="263">
        <f t="shared" si="3"/>
        <v>6</v>
      </c>
      <c r="L7" s="263">
        <f t="shared" si="1"/>
        <v>3</v>
      </c>
      <c r="M7" s="263" t="s">
        <v>163</v>
      </c>
      <c r="N7" s="118" t="str">
        <f t="shared" si="2"/>
        <v>USD3X6F</v>
      </c>
      <c r="O7" s="118" t="str">
        <v>USD3X6F=GCMN</v>
      </c>
      <c r="P7" s="189">
        <v>0.32599999999999996</v>
      </c>
      <c r="Q7" s="189">
        <v>0.36599999999999999</v>
      </c>
      <c r="R7" s="189">
        <v>0.32599999999999996</v>
      </c>
      <c r="S7" s="189">
        <v>0.32900000000000001</v>
      </c>
      <c r="T7" s="119">
        <f t="shared" ref="T7:T15" si="6">IF(ISERROR(AVERAGE(P7,Q7)),#NUM!,AVERAGE(P7,Q7))</f>
        <v>0.34599999999999997</v>
      </c>
      <c r="U7" s="189">
        <f t="shared" ref="U7:U15" si="7">Q7-P7</f>
        <v>4.0000000000000036E-2</v>
      </c>
      <c r="V7" s="192"/>
      <c r="W7" s="189">
        <v>0.34699999999999998</v>
      </c>
      <c r="X7" s="192"/>
      <c r="Y7" s="189">
        <v>0.34599999999999997</v>
      </c>
      <c r="Z7" s="121">
        <f>_xll.qlSimpleQuoteSetValue(F7,Y7/100,Trigger)</f>
        <v>0</v>
      </c>
      <c r="AA7" s="156"/>
      <c r="AB7" s="202"/>
      <c r="AC7" s="202"/>
    </row>
    <row r="8" spans="1:29" x14ac:dyDescent="0.2">
      <c r="A8" s="76"/>
      <c r="B8" s="112"/>
      <c r="C8" s="112">
        <v>4</v>
      </c>
      <c r="D8" s="113" t="s">
        <v>113</v>
      </c>
      <c r="E8" s="112" t="str">
        <f t="shared" si="0"/>
        <v>USD4x7F_Quote</v>
      </c>
      <c r="F8" s="91" t="str">
        <f>_xll.qlSimpleQuote(E8,,RateTickValue,Permanent,Trigger,ObjectOverwrite)</f>
        <v>USD4x7F_Quote#0000</v>
      </c>
      <c r="G8" s="213" t="str">
        <f>_xll.ohRangeRetrieveError(F8)</f>
        <v/>
      </c>
      <c r="H8" s="150"/>
      <c r="J8" s="135"/>
      <c r="K8" s="263">
        <f t="shared" si="3"/>
        <v>7</v>
      </c>
      <c r="L8" s="263">
        <f t="shared" si="1"/>
        <v>4</v>
      </c>
      <c r="M8" s="263" t="s">
        <v>163</v>
      </c>
      <c r="N8" s="118" t="str">
        <f t="shared" si="2"/>
        <v>USD4X7F</v>
      </c>
      <c r="O8" s="118" t="str">
        <v>USD4X7F=GCMN</v>
      </c>
      <c r="P8" s="189">
        <v>0.38</v>
      </c>
      <c r="Q8" s="189">
        <v>0.42000000000000004</v>
      </c>
      <c r="R8" s="189">
        <v>0.38</v>
      </c>
      <c r="S8" s="189">
        <v>0.376</v>
      </c>
      <c r="T8" s="119">
        <f t="shared" si="6"/>
        <v>0.4</v>
      </c>
      <c r="U8" s="189">
        <f t="shared" si="7"/>
        <v>4.0000000000000036E-2</v>
      </c>
      <c r="V8" s="192"/>
      <c r="W8" s="189">
        <v>0.40100000000000002</v>
      </c>
      <c r="X8" s="192"/>
      <c r="Y8" s="189">
        <v>0.4</v>
      </c>
      <c r="Z8" s="121">
        <f>_xll.qlSimpleQuoteSetValue(F8,Y8/100,Trigger)</f>
        <v>0</v>
      </c>
      <c r="AA8" s="156"/>
      <c r="AB8" s="202"/>
      <c r="AC8" s="202"/>
    </row>
    <row r="9" spans="1:29" x14ac:dyDescent="0.2">
      <c r="A9" s="76"/>
      <c r="B9" s="112"/>
      <c r="C9" s="112">
        <v>5</v>
      </c>
      <c r="D9" s="113" t="s">
        <v>112</v>
      </c>
      <c r="E9" s="112" t="str">
        <f t="shared" si="0"/>
        <v>USD5x8F_Quote</v>
      </c>
      <c r="F9" s="91" t="str">
        <f>_xll.qlSimpleQuote(E9,,RateTickValue,Permanent,Trigger,ObjectOverwrite)</f>
        <v>USD5x8F_Quote#0000</v>
      </c>
      <c r="G9" s="213" t="str">
        <f>_xll.ohRangeRetrieveError(F9)</f>
        <v/>
      </c>
      <c r="H9" s="150"/>
      <c r="J9" s="135"/>
      <c r="K9" s="263">
        <f t="shared" si="3"/>
        <v>8</v>
      </c>
      <c r="L9" s="263">
        <f t="shared" si="1"/>
        <v>5</v>
      </c>
      <c r="M9" s="263" t="s">
        <v>163</v>
      </c>
      <c r="N9" s="118" t="str">
        <f t="shared" si="2"/>
        <v>USD5X8F</v>
      </c>
      <c r="O9" s="118" t="str">
        <v>USD5X8F=GCMN</v>
      </c>
      <c r="P9" s="189">
        <v>0.43499999999999994</v>
      </c>
      <c r="Q9" s="189">
        <v>0.47499999999999998</v>
      </c>
      <c r="R9" s="189">
        <v>0.43499999999999994</v>
      </c>
      <c r="S9" s="189">
        <v>0.42800000000000005</v>
      </c>
      <c r="T9" s="119">
        <f t="shared" si="6"/>
        <v>0.45499999999999996</v>
      </c>
      <c r="U9" s="189">
        <f t="shared" si="7"/>
        <v>4.0000000000000036E-2</v>
      </c>
      <c r="V9" s="192"/>
      <c r="W9" s="189">
        <v>0.45600000000000002</v>
      </c>
      <c r="X9" s="192"/>
      <c r="Y9" s="189">
        <v>0.45499999999999996</v>
      </c>
      <c r="Z9" s="121">
        <f>_xll.qlSimpleQuoteSetValue(F9,Y9/100,Trigger)</f>
        <v>0</v>
      </c>
      <c r="AA9" s="156"/>
      <c r="AB9" s="202"/>
      <c r="AC9" s="202"/>
    </row>
    <row r="10" spans="1:29" x14ac:dyDescent="0.2">
      <c r="A10" s="76"/>
      <c r="B10" s="112"/>
      <c r="C10" s="112">
        <v>6</v>
      </c>
      <c r="D10" s="113" t="s">
        <v>112</v>
      </c>
      <c r="E10" s="112" t="str">
        <f t="shared" si="0"/>
        <v>USD6x8F_Quote</v>
      </c>
      <c r="F10" s="91" t="str">
        <f>_xll.qlSimpleQuote(E10,,RateTickValue,Permanent,Trigger,ObjectOverwrite)</f>
        <v>USD6x8F_Quote#0000</v>
      </c>
      <c r="G10" s="213" t="str">
        <f>_xll.ohRangeRetrieveError(F10)</f>
        <v/>
      </c>
      <c r="H10" s="150"/>
      <c r="J10" s="135"/>
      <c r="K10" s="263">
        <f t="shared" ref="K10:K16" si="8">L10+3</f>
        <v>9</v>
      </c>
      <c r="L10" s="263">
        <f t="shared" ref="L10:L16" si="9">C10</f>
        <v>6</v>
      </c>
      <c r="M10" s="263" t="s">
        <v>163</v>
      </c>
      <c r="N10" s="118" t="str">
        <f t="shared" si="2"/>
        <v>USD6X9F</v>
      </c>
      <c r="O10" s="118" t="str">
        <v>USD6X9F=GCMN</v>
      </c>
      <c r="P10" s="189">
        <v>0.48699999999999999</v>
      </c>
      <c r="Q10" s="189">
        <v>0.52699999999999991</v>
      </c>
      <c r="R10" s="189">
        <v>0.48699999999999999</v>
      </c>
      <c r="S10" s="189">
        <v>0.48399999999999999</v>
      </c>
      <c r="T10" s="119">
        <f t="shared" si="6"/>
        <v>0.5069999999999999</v>
      </c>
      <c r="U10" s="189">
        <f t="shared" si="7"/>
        <v>3.9999999999999925E-2</v>
      </c>
      <c r="V10" s="192"/>
      <c r="W10" s="189">
        <v>0.50800000000000001</v>
      </c>
      <c r="X10" s="192"/>
      <c r="Y10" s="189">
        <v>0.5069999999999999</v>
      </c>
      <c r="Z10" s="121">
        <f>_xll.qlSimpleQuoteSetValue(F10,Y10/100,Trigger)</f>
        <v>0</v>
      </c>
      <c r="AA10" s="156"/>
      <c r="AB10" s="202"/>
      <c r="AC10" s="202"/>
    </row>
    <row r="11" spans="1:29" x14ac:dyDescent="0.2">
      <c r="A11" s="76"/>
      <c r="B11" s="112"/>
      <c r="C11" s="112">
        <v>7</v>
      </c>
      <c r="D11" s="113" t="s">
        <v>112</v>
      </c>
      <c r="E11" s="112" t="str">
        <f t="shared" si="0"/>
        <v>USD7x8F_Quote</v>
      </c>
      <c r="F11" s="91" t="str">
        <f>_xll.qlSimpleQuote(E11,,RateTickValue,Permanent,Trigger,ObjectOverwrite)</f>
        <v>USD7x8F_Quote#0000</v>
      </c>
      <c r="G11" s="213" t="str">
        <f>_xll.ohRangeRetrieveError(F11)</f>
        <v/>
      </c>
      <c r="H11" s="150"/>
      <c r="J11" s="135"/>
      <c r="K11" s="263">
        <f t="shared" si="8"/>
        <v>10</v>
      </c>
      <c r="L11" s="263">
        <f t="shared" si="9"/>
        <v>7</v>
      </c>
      <c r="M11" s="263" t="s">
        <v>163</v>
      </c>
      <c r="N11" s="118" t="str">
        <f t="shared" si="2"/>
        <v>USD7X10F</v>
      </c>
      <c r="O11" s="118" t="str">
        <v>USD7X10F=GCMN</v>
      </c>
      <c r="P11" s="189">
        <v>0.54200000000000004</v>
      </c>
      <c r="Q11" s="189">
        <v>0.58200000000000007</v>
      </c>
      <c r="R11" s="189">
        <v>0.54200000000000004</v>
      </c>
      <c r="S11" s="189">
        <v>0.53800000000000003</v>
      </c>
      <c r="T11" s="119">
        <f t="shared" si="6"/>
        <v>0.56200000000000006</v>
      </c>
      <c r="U11" s="189">
        <f t="shared" si="7"/>
        <v>4.0000000000000036E-2</v>
      </c>
      <c r="V11" s="192"/>
      <c r="W11" s="189">
        <v>0.56200000000000006</v>
      </c>
      <c r="X11" s="192"/>
      <c r="Y11" s="189">
        <v>0.56200000000000006</v>
      </c>
      <c r="Z11" s="121">
        <f>_xll.qlSimpleQuoteSetValue(F11,Y11/100,Trigger)</f>
        <v>0</v>
      </c>
      <c r="AA11" s="156"/>
      <c r="AB11" s="202"/>
      <c r="AC11" s="202"/>
    </row>
    <row r="12" spans="1:29" x14ac:dyDescent="0.2">
      <c r="A12" s="76"/>
      <c r="B12" s="112"/>
      <c r="C12" s="112">
        <v>8</v>
      </c>
      <c r="D12" s="113" t="s">
        <v>112</v>
      </c>
      <c r="E12" s="112" t="str">
        <f t="shared" si="0"/>
        <v>USD8x8F_Quote</v>
      </c>
      <c r="F12" s="91" t="str">
        <f>_xll.qlSimpleQuote(E12,,RateTickValue,Permanent,Trigger,ObjectOverwrite)</f>
        <v>USD8x8F_Quote#0000</v>
      </c>
      <c r="G12" s="213" t="str">
        <f>_xll.ohRangeRetrieveError(F12)</f>
        <v/>
      </c>
      <c r="H12" s="150"/>
      <c r="J12" s="135"/>
      <c r="K12" s="263">
        <f t="shared" si="8"/>
        <v>11</v>
      </c>
      <c r="L12" s="263">
        <f t="shared" si="9"/>
        <v>8</v>
      </c>
      <c r="M12" s="263" t="s">
        <v>163</v>
      </c>
      <c r="N12" s="118" t="str">
        <f t="shared" si="2"/>
        <v>USD8X11F</v>
      </c>
      <c r="O12" s="118" t="str">
        <v>USD8X11F=GCMN</v>
      </c>
      <c r="P12" s="189">
        <v>0.60199999999999998</v>
      </c>
      <c r="Q12" s="189">
        <v>0.64200000000000002</v>
      </c>
      <c r="R12" s="189">
        <v>0.60199999999999998</v>
      </c>
      <c r="S12" s="189">
        <v>0.59800000000000009</v>
      </c>
      <c r="T12" s="119">
        <f t="shared" si="6"/>
        <v>0.622</v>
      </c>
      <c r="U12" s="189">
        <f t="shared" si="7"/>
        <v>4.0000000000000036E-2</v>
      </c>
      <c r="V12" s="192"/>
      <c r="W12" s="189">
        <v>0.622</v>
      </c>
      <c r="X12" s="192"/>
      <c r="Y12" s="189">
        <v>0.622</v>
      </c>
      <c r="Z12" s="121">
        <f>_xll.qlSimpleQuoteSetValue(F12,Y12/100,Trigger)</f>
        <v>0</v>
      </c>
      <c r="AA12" s="156"/>
      <c r="AB12" s="202"/>
      <c r="AC12" s="202"/>
    </row>
    <row r="13" spans="1:29" x14ac:dyDescent="0.2">
      <c r="A13" s="76"/>
      <c r="B13" s="112"/>
      <c r="C13" s="112">
        <v>9</v>
      </c>
      <c r="D13" s="113" t="s">
        <v>112</v>
      </c>
      <c r="E13" s="112" t="str">
        <f t="shared" si="0"/>
        <v>USD9x8F_Quote</v>
      </c>
      <c r="F13" s="91" t="str">
        <f>_xll.qlSimpleQuote(E13,,RateTickValue,Permanent,Trigger,ObjectOverwrite)</f>
        <v>USD9x8F_Quote#0000</v>
      </c>
      <c r="G13" s="213" t="str">
        <f>_xll.ohRangeRetrieveError(F13)</f>
        <v/>
      </c>
      <c r="H13" s="150"/>
      <c r="J13" s="135"/>
      <c r="K13" s="263">
        <f t="shared" si="8"/>
        <v>12</v>
      </c>
      <c r="L13" s="263">
        <f t="shared" si="9"/>
        <v>9</v>
      </c>
      <c r="M13" s="263" t="s">
        <v>163</v>
      </c>
      <c r="N13" s="118" t="str">
        <f t="shared" si="2"/>
        <v>USD9X12F</v>
      </c>
      <c r="O13" s="118" t="str">
        <v>USD9X12F=GCMN</v>
      </c>
      <c r="P13" s="189">
        <v>0.66399999999999992</v>
      </c>
      <c r="Q13" s="189">
        <v>0.70399999999999996</v>
      </c>
      <c r="R13" s="189">
        <v>0.66399999999999992</v>
      </c>
      <c r="S13" s="189">
        <v>0.66600000000000004</v>
      </c>
      <c r="T13" s="119">
        <f t="shared" si="6"/>
        <v>0.68399999999999994</v>
      </c>
      <c r="U13" s="189">
        <f t="shared" si="7"/>
        <v>4.0000000000000036E-2</v>
      </c>
      <c r="V13" s="192"/>
      <c r="W13" s="189">
        <v>0.68400000000000005</v>
      </c>
      <c r="X13" s="192"/>
      <c r="Y13" s="189">
        <v>0.68399999999999994</v>
      </c>
      <c r="Z13" s="121">
        <f>_xll.qlSimpleQuoteSetValue(F13,Y13/100,Trigger)</f>
        <v>0</v>
      </c>
      <c r="AA13" s="156"/>
      <c r="AB13" s="202"/>
      <c r="AC13" s="202"/>
    </row>
    <row r="14" spans="1:29" x14ac:dyDescent="0.2">
      <c r="A14" s="76"/>
      <c r="B14" s="112"/>
      <c r="C14" s="112">
        <v>10</v>
      </c>
      <c r="D14" s="113" t="s">
        <v>112</v>
      </c>
      <c r="E14" s="112" t="str">
        <f t="shared" si="0"/>
        <v>USD10x8F_Quote</v>
      </c>
      <c r="F14" s="91" t="str">
        <f>_xll.qlSimpleQuote(E14,,RateTickValue,Permanent,Trigger,ObjectOverwrite)</f>
        <v>USD10x8F_Quote#0000</v>
      </c>
      <c r="G14" s="213" t="str">
        <f>_xll.ohRangeRetrieveError(F14)</f>
        <v/>
      </c>
      <c r="H14" s="150"/>
      <c r="J14" s="135"/>
      <c r="K14" s="263">
        <f t="shared" si="8"/>
        <v>13</v>
      </c>
      <c r="L14" s="263">
        <f t="shared" si="9"/>
        <v>10</v>
      </c>
      <c r="M14" s="263" t="s">
        <v>163</v>
      </c>
      <c r="N14" s="118" t="str">
        <f t="shared" si="2"/>
        <v>USD10X13F</v>
      </c>
      <c r="O14" s="118" t="str">
        <v>USD10X13F=GCMN</v>
      </c>
      <c r="P14" s="189">
        <v>0.72699999999999998</v>
      </c>
      <c r="Q14" s="189">
        <v>0.76700000000000002</v>
      </c>
      <c r="R14" s="189">
        <v>0.72699999999999998</v>
      </c>
      <c r="S14" s="189">
        <v>0.72799999999999998</v>
      </c>
      <c r="T14" s="119">
        <f t="shared" si="6"/>
        <v>0.747</v>
      </c>
      <c r="U14" s="189">
        <f t="shared" si="7"/>
        <v>4.0000000000000036E-2</v>
      </c>
      <c r="V14" s="192"/>
      <c r="W14" s="189">
        <v>0.748</v>
      </c>
      <c r="X14" s="192"/>
      <c r="Y14" s="189">
        <v>0.747</v>
      </c>
      <c r="Z14" s="121">
        <f>_xll.qlSimpleQuoteSetValue(F14,Y14/100,Trigger)</f>
        <v>0</v>
      </c>
      <c r="AA14" s="156"/>
      <c r="AB14" s="202"/>
      <c r="AC14" s="202"/>
    </row>
    <row r="15" spans="1:29" x14ac:dyDescent="0.2">
      <c r="A15" s="76"/>
      <c r="B15" s="112"/>
      <c r="C15" s="112">
        <v>11</v>
      </c>
      <c r="D15" s="113" t="s">
        <v>112</v>
      </c>
      <c r="E15" s="112" t="str">
        <f t="shared" si="0"/>
        <v>USD11x8F_Quote</v>
      </c>
      <c r="F15" s="91" t="str">
        <f>_xll.qlSimpleQuote(E15,,RateTickValue,Permanent,Trigger,ObjectOverwrite)</f>
        <v>USD11x8F_Quote#0000</v>
      </c>
      <c r="G15" s="213" t="str">
        <f>_xll.ohRangeRetrieveError(F15)</f>
        <v/>
      </c>
      <c r="H15" s="150"/>
      <c r="J15" s="135"/>
      <c r="K15" s="263">
        <f t="shared" si="8"/>
        <v>14</v>
      </c>
      <c r="L15" s="263">
        <f t="shared" si="9"/>
        <v>11</v>
      </c>
      <c r="M15" s="263" t="s">
        <v>163</v>
      </c>
      <c r="N15" s="118" t="str">
        <f t="shared" si="2"/>
        <v>USD11X14F</v>
      </c>
      <c r="O15" s="118" t="str">
        <v>USD11X14F=GCMN</v>
      </c>
      <c r="P15" s="189">
        <v>0.79699999999999993</v>
      </c>
      <c r="Q15" s="189">
        <v>0.83699999999999997</v>
      </c>
      <c r="R15" s="189">
        <v>0.79699999999999993</v>
      </c>
      <c r="S15" s="189">
        <v>0.80099999999999993</v>
      </c>
      <c r="T15" s="119">
        <f t="shared" si="6"/>
        <v>0.81699999999999995</v>
      </c>
      <c r="U15" s="189">
        <f t="shared" si="7"/>
        <v>4.0000000000000036E-2</v>
      </c>
      <c r="V15" s="192"/>
      <c r="W15" s="189">
        <v>0.81800000000000006</v>
      </c>
      <c r="X15" s="192"/>
      <c r="Y15" s="189">
        <v>0.81699999999999995</v>
      </c>
      <c r="Z15" s="121">
        <f>_xll.qlSimpleQuoteSetValue(F15,Y15/100,Trigger)</f>
        <v>0</v>
      </c>
      <c r="AA15" s="156"/>
      <c r="AB15" s="202"/>
      <c r="AC15" s="202"/>
    </row>
    <row r="16" spans="1:29" x14ac:dyDescent="0.2">
      <c r="A16" s="76"/>
      <c r="B16" s="114"/>
      <c r="C16" s="112">
        <v>12</v>
      </c>
      <c r="D16" s="113" t="s">
        <v>112</v>
      </c>
      <c r="E16" s="112" t="str">
        <f t="shared" si="0"/>
        <v>USD12x8F_Quote</v>
      </c>
      <c r="F16" s="91" t="str">
        <f>_xll.qlSimpleQuote(E16,,RateTickValue,Permanent,Trigger,ObjectOverwrite)</f>
        <v>USD12x8F_Quote#0000</v>
      </c>
      <c r="G16" s="213" t="str">
        <f>_xll.ohRangeRetrieveError(F16)</f>
        <v/>
      </c>
      <c r="H16" s="150"/>
      <c r="J16" s="135"/>
      <c r="K16" s="263">
        <f t="shared" si="8"/>
        <v>15</v>
      </c>
      <c r="L16" s="263">
        <f t="shared" si="9"/>
        <v>12</v>
      </c>
      <c r="M16" s="263" t="s">
        <v>163</v>
      </c>
      <c r="N16" s="118" t="str">
        <f t="shared" si="2"/>
        <v>USD12X15F</v>
      </c>
      <c r="O16" s="122" t="str">
        <v>USD12X15F=GCMN</v>
      </c>
      <c r="P16" s="189">
        <v>0.86699999999999999</v>
      </c>
      <c r="Q16" s="189">
        <v>0.90700000000000003</v>
      </c>
      <c r="R16" s="189">
        <v>0.86699999999999999</v>
      </c>
      <c r="S16" s="189">
        <v>0.875</v>
      </c>
      <c r="T16" s="126">
        <f t="shared" si="4"/>
        <v>0.88700000000000001</v>
      </c>
      <c r="U16" s="191">
        <f t="shared" si="5"/>
        <v>4.0000000000000036E-2</v>
      </c>
      <c r="V16" s="192"/>
      <c r="W16" s="191">
        <v>0.88700000000000001</v>
      </c>
      <c r="X16" s="192"/>
      <c r="Y16" s="191">
        <v>0.88700000000000001</v>
      </c>
      <c r="Z16" s="123">
        <f>_xll.qlSimpleQuoteSetValue(F16,Y16/100,Trigger)</f>
        <v>0</v>
      </c>
      <c r="AA16" s="156"/>
      <c r="AB16" s="202"/>
      <c r="AC16" s="202"/>
    </row>
    <row r="17" spans="1:29" x14ac:dyDescent="0.2">
      <c r="A17" s="76"/>
      <c r="B17" s="110"/>
      <c r="C17" s="110">
        <v>1</v>
      </c>
      <c r="D17" s="111" t="str">
        <f t="shared" ref="D17:D34" si="10">"x"&amp;C17+6&amp;"F"</f>
        <v>x7F</v>
      </c>
      <c r="E17" s="110" t="str">
        <f t="shared" si="0"/>
        <v>USD1x7F_Quote</v>
      </c>
      <c r="F17" s="90" t="str">
        <f>_xll.qlSimpleQuote(E17,,RateTickValue,Permanent,Trigger,ObjectOverwrite)</f>
        <v>USD1x7F_Quote#0000</v>
      </c>
      <c r="G17" s="212" t="str">
        <f>_xll.ohRangeRetrieveError(F17)</f>
        <v/>
      </c>
      <c r="H17" s="150"/>
      <c r="J17" s="135"/>
      <c r="K17" s="273">
        <f>L17+6</f>
        <v>7</v>
      </c>
      <c r="L17" s="273">
        <f t="shared" si="1"/>
        <v>1</v>
      </c>
      <c r="M17" s="273" t="s">
        <v>163</v>
      </c>
      <c r="N17" s="124" t="str">
        <f t="shared" si="2"/>
        <v>USD1X7F</v>
      </c>
      <c r="O17" s="124" t="str">
        <v>USD1X7F=GCMN</v>
      </c>
      <c r="P17" s="190">
        <v>0.40300000000000002</v>
      </c>
      <c r="Q17" s="190">
        <v>0.44299999999999995</v>
      </c>
      <c r="R17" s="190">
        <v>0.40300000000000002</v>
      </c>
      <c r="S17" s="190">
        <v>0.4</v>
      </c>
      <c r="T17" s="125">
        <f t="shared" si="4"/>
        <v>0.42299999999999999</v>
      </c>
      <c r="U17" s="190">
        <f t="shared" si="5"/>
        <v>3.9999999999999925E-2</v>
      </c>
      <c r="V17" s="192"/>
      <c r="W17" s="190">
        <v>0.42300000000000004</v>
      </c>
      <c r="X17" s="192"/>
      <c r="Y17" s="190">
        <v>0.42299999999999999</v>
      </c>
      <c r="Z17" s="120">
        <f>_xll.qlSimpleQuoteSetValue(F17,Y17/100,Trigger)</f>
        <v>0</v>
      </c>
      <c r="AA17" s="156"/>
      <c r="AB17" s="202"/>
      <c r="AC17" s="202"/>
    </row>
    <row r="18" spans="1:29" x14ac:dyDescent="0.2">
      <c r="A18" s="76"/>
      <c r="B18" s="112"/>
      <c r="C18" s="112">
        <v>2</v>
      </c>
      <c r="D18" s="113" t="str">
        <f t="shared" si="10"/>
        <v>x8F</v>
      </c>
      <c r="E18" s="112" t="str">
        <f t="shared" si="0"/>
        <v>USD2x8F_Quote</v>
      </c>
      <c r="F18" s="91" t="str">
        <f>_xll.qlSimpleQuote(E18,,RateTickValue,Permanent,Trigger,ObjectOverwrite)</f>
        <v>USD2x8F_Quote#0000</v>
      </c>
      <c r="G18" s="213" t="str">
        <f>_xll.ohRangeRetrieveError(F18)</f>
        <v/>
      </c>
      <c r="H18" s="150"/>
      <c r="J18" s="135"/>
      <c r="K18" s="263">
        <f t="shared" ref="K18:K34" si="11">L18+6</f>
        <v>8</v>
      </c>
      <c r="L18" s="263">
        <f t="shared" si="1"/>
        <v>2</v>
      </c>
      <c r="M18" s="263" t="s">
        <v>163</v>
      </c>
      <c r="N18" s="118" t="str">
        <f t="shared" si="2"/>
        <v>USD2X8F</v>
      </c>
      <c r="O18" s="118" t="str">
        <v>USD2X8F=GCMN</v>
      </c>
      <c r="P18" s="189">
        <v>0.43899999999999995</v>
      </c>
      <c r="Q18" s="189">
        <v>0.47899999999999998</v>
      </c>
      <c r="R18" s="189">
        <v>0.43899999999999995</v>
      </c>
      <c r="S18" s="189">
        <v>0.43499999999999994</v>
      </c>
      <c r="T18" s="119">
        <f t="shared" si="4"/>
        <v>0.45899999999999996</v>
      </c>
      <c r="U18" s="189">
        <f t="shared" si="5"/>
        <v>4.0000000000000036E-2</v>
      </c>
      <c r="V18" s="192"/>
      <c r="W18" s="189">
        <v>0.46</v>
      </c>
      <c r="X18" s="192"/>
      <c r="Y18" s="189">
        <v>0.45899999999999996</v>
      </c>
      <c r="Z18" s="121">
        <f>_xll.qlSimpleQuoteSetValue(F18,Y18/100,Trigger)</f>
        <v>0</v>
      </c>
      <c r="AA18" s="156"/>
      <c r="AB18" s="202"/>
      <c r="AC18" s="202"/>
    </row>
    <row r="19" spans="1:29" x14ac:dyDescent="0.2">
      <c r="A19" s="76"/>
      <c r="B19" s="112"/>
      <c r="C19" s="112">
        <v>3</v>
      </c>
      <c r="D19" s="113" t="str">
        <f t="shared" si="10"/>
        <v>x9F</v>
      </c>
      <c r="E19" s="112" t="str">
        <f t="shared" si="0"/>
        <v>USD3x9F_Quote</v>
      </c>
      <c r="F19" s="91" t="str">
        <f>_xll.qlSimpleQuote(E19,,RateTickValue,Permanent,Trigger,ObjectOverwrite)</f>
        <v>USD3x9F_Quote#0000</v>
      </c>
      <c r="G19" s="213" t="str">
        <f>_xll.ohRangeRetrieveError(F19)</f>
        <v/>
      </c>
      <c r="H19" s="150"/>
      <c r="J19" s="135"/>
      <c r="K19" s="263">
        <f t="shared" si="11"/>
        <v>9</v>
      </c>
      <c r="L19" s="263">
        <f t="shared" si="1"/>
        <v>3</v>
      </c>
      <c r="M19" s="263" t="s">
        <v>163</v>
      </c>
      <c r="N19" s="118" t="str">
        <f t="shared" si="2"/>
        <v>USD3X9F</v>
      </c>
      <c r="O19" s="118" t="str">
        <v>USD3X9F=GCMN</v>
      </c>
      <c r="P19" s="189">
        <v>0.48399999999999999</v>
      </c>
      <c r="Q19" s="189">
        <v>0.52400000000000002</v>
      </c>
      <c r="R19" s="189">
        <v>0.48399999999999999</v>
      </c>
      <c r="S19" s="189">
        <v>0.48399999999999999</v>
      </c>
      <c r="T19" s="119">
        <f t="shared" si="4"/>
        <v>0.504</v>
      </c>
      <c r="U19" s="189">
        <f t="shared" si="5"/>
        <v>4.0000000000000036E-2</v>
      </c>
      <c r="V19" s="192"/>
      <c r="W19" s="189">
        <v>0.505</v>
      </c>
      <c r="X19" s="192"/>
      <c r="Y19" s="189">
        <v>0.504</v>
      </c>
      <c r="Z19" s="121">
        <f>_xll.qlSimpleQuoteSetValue(F19,Y19/100,Trigger)</f>
        <v>0</v>
      </c>
      <c r="AA19" s="156"/>
      <c r="AB19" s="202"/>
      <c r="AC19" s="202"/>
    </row>
    <row r="20" spans="1:29" x14ac:dyDescent="0.2">
      <c r="A20" s="76"/>
      <c r="B20" s="112"/>
      <c r="C20" s="112">
        <v>4</v>
      </c>
      <c r="D20" s="113" t="str">
        <f t="shared" si="10"/>
        <v>x10F</v>
      </c>
      <c r="E20" s="112" t="str">
        <f t="shared" si="0"/>
        <v>USD4x10F_Quote</v>
      </c>
      <c r="F20" s="91" t="str">
        <f>_xll.qlSimpleQuote(E20,,RateTickValue,Permanent,Trigger,ObjectOverwrite)</f>
        <v>USD4x10F_Quote#0000</v>
      </c>
      <c r="G20" s="213" t="str">
        <f>_xll.ohRangeRetrieveError(F20)</f>
        <v/>
      </c>
      <c r="H20" s="150"/>
      <c r="J20" s="135"/>
      <c r="K20" s="263">
        <f t="shared" si="11"/>
        <v>10</v>
      </c>
      <c r="L20" s="263">
        <f t="shared" si="1"/>
        <v>4</v>
      </c>
      <c r="M20" s="263" t="s">
        <v>163</v>
      </c>
      <c r="N20" s="118" t="str">
        <f t="shared" si="2"/>
        <v>USD4X10F</v>
      </c>
      <c r="O20" s="118" t="str">
        <v>USD4X10F=GCMN</v>
      </c>
      <c r="P20" s="189">
        <v>0.53600000000000003</v>
      </c>
      <c r="Q20" s="189">
        <v>0.57599999999999996</v>
      </c>
      <c r="R20" s="189">
        <v>0.53600000000000003</v>
      </c>
      <c r="S20" s="189">
        <v>0.53200000000000003</v>
      </c>
      <c r="T20" s="119">
        <f t="shared" si="4"/>
        <v>0.55600000000000005</v>
      </c>
      <c r="U20" s="189">
        <f t="shared" si="5"/>
        <v>3.9999999999999925E-2</v>
      </c>
      <c r="V20" s="192"/>
      <c r="W20" s="189">
        <v>0.55600000000000005</v>
      </c>
      <c r="X20" s="192"/>
      <c r="Y20" s="189">
        <v>0.55600000000000005</v>
      </c>
      <c r="Z20" s="121">
        <f>_xll.qlSimpleQuoteSetValue(F20,Y20/100,Trigger)</f>
        <v>0</v>
      </c>
      <c r="AA20" s="156"/>
      <c r="AB20" s="202"/>
      <c r="AC20" s="202"/>
    </row>
    <row r="21" spans="1:29" x14ac:dyDescent="0.2">
      <c r="A21" s="76"/>
      <c r="B21" s="112"/>
      <c r="C21" s="112">
        <v>5</v>
      </c>
      <c r="D21" s="113" t="str">
        <f t="shared" si="10"/>
        <v>x11F</v>
      </c>
      <c r="E21" s="112" t="str">
        <f t="shared" si="0"/>
        <v>USD5x11F_Quote</v>
      </c>
      <c r="F21" s="91" t="str">
        <f>_xll.qlSimpleQuote(E21,,RateTickValue,Permanent,Trigger,ObjectOverwrite)</f>
        <v>USD5x11F_Quote#0000</v>
      </c>
      <c r="G21" s="213" t="str">
        <f>_xll.ohRangeRetrieveError(F21)</f>
        <v/>
      </c>
      <c r="H21" s="150"/>
      <c r="J21" s="135"/>
      <c r="K21" s="263">
        <f t="shared" si="11"/>
        <v>11</v>
      </c>
      <c r="L21" s="263">
        <f t="shared" si="1"/>
        <v>5</v>
      </c>
      <c r="M21" s="263" t="s">
        <v>163</v>
      </c>
      <c r="N21" s="118" t="str">
        <f t="shared" si="2"/>
        <v>USD5X11F</v>
      </c>
      <c r="O21" s="118" t="str">
        <v>USD5X11F=GCMN</v>
      </c>
      <c r="P21" s="189">
        <v>0.59199999999999997</v>
      </c>
      <c r="Q21" s="189">
        <v>0.63200000000000001</v>
      </c>
      <c r="R21" s="189">
        <v>0.59199999999999997</v>
      </c>
      <c r="S21" s="189">
        <v>0.58699999999999997</v>
      </c>
      <c r="T21" s="119">
        <f t="shared" si="4"/>
        <v>0.61199999999999999</v>
      </c>
      <c r="U21" s="189">
        <f t="shared" si="5"/>
        <v>4.0000000000000036E-2</v>
      </c>
      <c r="V21" s="192"/>
      <c r="W21" s="189">
        <v>0.6120000000000001</v>
      </c>
      <c r="X21" s="192"/>
      <c r="Y21" s="189">
        <v>0.61199999999999999</v>
      </c>
      <c r="Z21" s="121">
        <f>_xll.qlSimpleQuoteSetValue(F21,Y21/100,Trigger)</f>
        <v>0</v>
      </c>
      <c r="AA21" s="156"/>
      <c r="AB21" s="202"/>
      <c r="AC21" s="202"/>
    </row>
    <row r="22" spans="1:29" x14ac:dyDescent="0.2">
      <c r="A22" s="76"/>
      <c r="B22" s="112"/>
      <c r="C22" s="112">
        <v>6</v>
      </c>
      <c r="D22" s="113" t="str">
        <f t="shared" si="10"/>
        <v>x12F</v>
      </c>
      <c r="E22" s="112" t="str">
        <f t="shared" si="0"/>
        <v>USD6x12F_Quote</v>
      </c>
      <c r="F22" s="91" t="str">
        <f>_xll.qlSimpleQuote(E22,,RateTickValue,Permanent,Trigger,ObjectOverwrite)</f>
        <v>USD6x12F_Quote#0000</v>
      </c>
      <c r="G22" s="213" t="str">
        <f>_xll.ohRangeRetrieveError(F22)</f>
        <v/>
      </c>
      <c r="H22" s="150"/>
      <c r="J22" s="135"/>
      <c r="K22" s="263">
        <f t="shared" si="11"/>
        <v>12</v>
      </c>
      <c r="L22" s="263">
        <f t="shared" si="1"/>
        <v>6</v>
      </c>
      <c r="M22" s="263" t="s">
        <v>163</v>
      </c>
      <c r="N22" s="118" t="str">
        <f t="shared" si="2"/>
        <v>USD6X12F</v>
      </c>
      <c r="O22" s="118" t="str">
        <v>USD6X12F=GCMN</v>
      </c>
      <c r="P22" s="189">
        <v>0.64800000000000002</v>
      </c>
      <c r="Q22" s="189">
        <v>0.68799999999999994</v>
      </c>
      <c r="R22" s="189">
        <v>0.64800000000000002</v>
      </c>
      <c r="S22" s="189">
        <v>0.64700000000000002</v>
      </c>
      <c r="T22" s="119">
        <f t="shared" si="4"/>
        <v>0.66799999999999993</v>
      </c>
      <c r="U22" s="189">
        <f t="shared" si="5"/>
        <v>3.9999999999999925E-2</v>
      </c>
      <c r="V22" s="192"/>
      <c r="W22" s="189">
        <v>0.66800000000000004</v>
      </c>
      <c r="X22" s="192"/>
      <c r="Y22" s="189">
        <v>0.66799999999999993</v>
      </c>
      <c r="Z22" s="121">
        <f>_xll.qlSimpleQuoteSetValue(F22,Y22/100,Trigger)</f>
        <v>0</v>
      </c>
      <c r="AA22" s="156"/>
      <c r="AB22" s="202"/>
      <c r="AC22" s="202"/>
    </row>
    <row r="23" spans="1:29" x14ac:dyDescent="0.2">
      <c r="A23" s="76"/>
      <c r="B23" s="112"/>
      <c r="C23" s="112">
        <v>7</v>
      </c>
      <c r="D23" s="113" t="str">
        <f t="shared" si="10"/>
        <v>x13F</v>
      </c>
      <c r="E23" s="112" t="str">
        <f t="shared" si="0"/>
        <v>USD7x13F_Quote</v>
      </c>
      <c r="F23" s="91" t="str">
        <f>_xll.qlSimpleQuote(E23,,RateTickValue,Permanent,Trigger,ObjectOverwrite)</f>
        <v>USD7x13F_Quote#0000</v>
      </c>
      <c r="G23" s="213" t="str">
        <f>_xll.ohRangeRetrieveError(F23)</f>
        <v/>
      </c>
      <c r="H23" s="150"/>
      <c r="J23" s="135"/>
      <c r="K23" s="263">
        <f t="shared" si="11"/>
        <v>13</v>
      </c>
      <c r="L23" s="263">
        <f t="shared" si="1"/>
        <v>7</v>
      </c>
      <c r="M23" s="263" t="s">
        <v>163</v>
      </c>
      <c r="N23" s="118" t="str">
        <f t="shared" si="2"/>
        <v>USD7X13F</v>
      </c>
      <c r="O23" s="118" t="str">
        <v>USD7X13F=GCMN</v>
      </c>
      <c r="P23" s="189">
        <v>0.70899999999999996</v>
      </c>
      <c r="Q23" s="189">
        <v>0.749</v>
      </c>
      <c r="R23" s="189">
        <v>0.70899999999999996</v>
      </c>
      <c r="S23" s="189">
        <v>0.70700000000000007</v>
      </c>
      <c r="T23" s="119">
        <f t="shared" si="4"/>
        <v>0.72899999999999998</v>
      </c>
      <c r="U23" s="189">
        <f t="shared" si="5"/>
        <v>4.0000000000000036E-2</v>
      </c>
      <c r="V23" s="192"/>
      <c r="W23" s="189">
        <v>0.73</v>
      </c>
      <c r="X23" s="192"/>
      <c r="Y23" s="189">
        <v>0.72899999999999998</v>
      </c>
      <c r="Z23" s="121">
        <f>_xll.qlSimpleQuoteSetValue(F23,Y23/100,Trigger)</f>
        <v>0</v>
      </c>
      <c r="AA23" s="156"/>
      <c r="AB23" s="202"/>
      <c r="AC23" s="202"/>
    </row>
    <row r="24" spans="1:29" x14ac:dyDescent="0.2">
      <c r="A24" s="76"/>
      <c r="B24" s="112"/>
      <c r="C24" s="112">
        <v>8</v>
      </c>
      <c r="D24" s="113" t="str">
        <f t="shared" si="10"/>
        <v>x14F</v>
      </c>
      <c r="E24" s="112" t="str">
        <f t="shared" si="0"/>
        <v>USD8x14F_Quote</v>
      </c>
      <c r="F24" s="91" t="str">
        <f>_xll.qlSimpleQuote(E24,,RateTickValue,Permanent,Trigger,ObjectOverwrite)</f>
        <v>USD8x14F_Quote#0000</v>
      </c>
      <c r="G24" s="213" t="str">
        <f>_xll.ohRangeRetrieveError(F24)</f>
        <v/>
      </c>
      <c r="H24" s="150"/>
      <c r="J24" s="135"/>
      <c r="K24" s="263">
        <f t="shared" si="11"/>
        <v>14</v>
      </c>
      <c r="L24" s="263">
        <f t="shared" si="1"/>
        <v>8</v>
      </c>
      <c r="M24" s="263" t="s">
        <v>163</v>
      </c>
      <c r="N24" s="118" t="str">
        <f t="shared" si="2"/>
        <v>USD8X14F</v>
      </c>
      <c r="O24" s="118" t="str">
        <v>USD8X14F=GCMN</v>
      </c>
      <c r="P24" s="189">
        <v>0.77400000000000002</v>
      </c>
      <c r="Q24" s="189">
        <v>0.81400000000000006</v>
      </c>
      <c r="R24" s="189">
        <v>0.77400000000000002</v>
      </c>
      <c r="S24" s="189">
        <v>0.77300000000000002</v>
      </c>
      <c r="T24" s="119">
        <f t="shared" si="4"/>
        <v>0.79400000000000004</v>
      </c>
      <c r="U24" s="189">
        <f t="shared" si="5"/>
        <v>4.0000000000000036E-2</v>
      </c>
      <c r="V24" s="192"/>
      <c r="W24" s="189">
        <v>0.79400000000000004</v>
      </c>
      <c r="X24" s="192"/>
      <c r="Y24" s="189">
        <v>0.79400000000000004</v>
      </c>
      <c r="Z24" s="121">
        <f>_xll.qlSimpleQuoteSetValue(F24,Y24/100,Trigger)</f>
        <v>0</v>
      </c>
      <c r="AA24" s="156"/>
      <c r="AB24" s="202"/>
      <c r="AC24" s="202"/>
    </row>
    <row r="25" spans="1:29" x14ac:dyDescent="0.2">
      <c r="A25" s="76"/>
      <c r="B25" s="112"/>
      <c r="C25" s="112">
        <v>9</v>
      </c>
      <c r="D25" s="113" t="str">
        <f t="shared" si="10"/>
        <v>x15F</v>
      </c>
      <c r="E25" s="112" t="str">
        <f t="shared" si="0"/>
        <v>USD9x15F_Quote</v>
      </c>
      <c r="F25" s="91" t="str">
        <f>_xll.qlSimpleQuote(E25,,RateTickValue,Permanent,Trigger,ObjectOverwrite)</f>
        <v>USD9x15F_Quote#0000</v>
      </c>
      <c r="G25" s="213" t="str">
        <f>_xll.ohRangeRetrieveError(F25)</f>
        <v/>
      </c>
      <c r="H25" s="150"/>
      <c r="J25" s="135"/>
      <c r="K25" s="263">
        <f t="shared" si="11"/>
        <v>15</v>
      </c>
      <c r="L25" s="263">
        <f t="shared" si="1"/>
        <v>9</v>
      </c>
      <c r="M25" s="263" t="s">
        <v>163</v>
      </c>
      <c r="N25" s="118" t="str">
        <f t="shared" si="2"/>
        <v>USD9X15F</v>
      </c>
      <c r="O25" s="118" t="str">
        <v>USD9X15F=GCMN</v>
      </c>
      <c r="P25" s="189">
        <v>0.84000000000000008</v>
      </c>
      <c r="Q25" s="189">
        <v>0.88000000000000012</v>
      </c>
      <c r="R25" s="189">
        <v>0.84000000000000008</v>
      </c>
      <c r="S25" s="189">
        <v>0.84399999999999997</v>
      </c>
      <c r="T25" s="119">
        <f t="shared" si="4"/>
        <v>0.8600000000000001</v>
      </c>
      <c r="U25" s="189">
        <f t="shared" si="5"/>
        <v>4.0000000000000036E-2</v>
      </c>
      <c r="V25" s="192"/>
      <c r="W25" s="189">
        <v>0.86099999999999999</v>
      </c>
      <c r="X25" s="192"/>
      <c r="Y25" s="189">
        <v>0.8600000000000001</v>
      </c>
      <c r="Z25" s="121">
        <f>_xll.qlSimpleQuoteSetValue(F25,Y25/100,Trigger)</f>
        <v>0</v>
      </c>
      <c r="AA25" s="156"/>
      <c r="AB25" s="202"/>
      <c r="AC25" s="202"/>
    </row>
    <row r="26" spans="1:29" x14ac:dyDescent="0.2">
      <c r="A26" s="76"/>
      <c r="B26" s="112"/>
      <c r="C26" s="112">
        <v>10</v>
      </c>
      <c r="D26" s="113" t="str">
        <f t="shared" si="10"/>
        <v>x16F</v>
      </c>
      <c r="E26" s="112" t="str">
        <f t="shared" si="0"/>
        <v>USD10x16F_Quote</v>
      </c>
      <c r="F26" s="91" t="str">
        <f>_xll.qlSimpleQuote(E26,,RateTickValue,Permanent,Trigger,ObjectOverwrite)</f>
        <v>USD10x16F_Quote#0000</v>
      </c>
      <c r="G26" s="213" t="str">
        <f>_xll.ohRangeRetrieveError(F26)</f>
        <v/>
      </c>
      <c r="H26" s="150"/>
      <c r="J26" s="135"/>
      <c r="K26" s="263">
        <f t="shared" si="11"/>
        <v>16</v>
      </c>
      <c r="L26" s="263">
        <f t="shared" si="1"/>
        <v>10</v>
      </c>
      <c r="M26" s="263" t="s">
        <v>163</v>
      </c>
      <c r="N26" s="118" t="str">
        <f t="shared" si="2"/>
        <v>USD10X16F</v>
      </c>
      <c r="O26" s="118" t="str">
        <v>USD10X16F=GCMN</v>
      </c>
      <c r="P26" s="189">
        <v>0.90700000000000003</v>
      </c>
      <c r="Q26" s="189">
        <v>0.94700000000000006</v>
      </c>
      <c r="R26" s="189">
        <v>0.90700000000000003</v>
      </c>
      <c r="S26" s="189">
        <v>0.91099999999999992</v>
      </c>
      <c r="T26" s="119">
        <f t="shared" si="4"/>
        <v>0.92700000000000005</v>
      </c>
      <c r="U26" s="189">
        <f t="shared" si="5"/>
        <v>4.0000000000000036E-2</v>
      </c>
      <c r="V26" s="192"/>
      <c r="W26" s="189">
        <v>0.92800000000000005</v>
      </c>
      <c r="X26" s="192"/>
      <c r="Y26" s="189">
        <v>0.92700000000000005</v>
      </c>
      <c r="Z26" s="121">
        <f>_xll.qlSimpleQuoteSetValue(F26,Y26/100,Trigger)</f>
        <v>0</v>
      </c>
      <c r="AA26" s="156"/>
      <c r="AB26" s="202"/>
      <c r="AC26" s="202"/>
    </row>
    <row r="27" spans="1:29" x14ac:dyDescent="0.2">
      <c r="A27" s="76"/>
      <c r="B27" s="112"/>
      <c r="C27" s="112">
        <v>11</v>
      </c>
      <c r="D27" s="113" t="str">
        <f t="shared" si="10"/>
        <v>x17F</v>
      </c>
      <c r="E27" s="112" t="str">
        <f t="shared" si="0"/>
        <v>USD11x17F_Quote</v>
      </c>
      <c r="F27" s="91" t="str">
        <f>_xll.qlSimpleQuote(E27,,RateTickValue,Permanent,Trigger,ObjectOverwrite)</f>
        <v>USD11x17F_Quote#0000</v>
      </c>
      <c r="G27" s="213" t="str">
        <f>_xll.ohRangeRetrieveError(F27)</f>
        <v/>
      </c>
      <c r="H27" s="150"/>
      <c r="J27" s="135"/>
      <c r="K27" s="263">
        <f t="shared" si="11"/>
        <v>17</v>
      </c>
      <c r="L27" s="263">
        <f t="shared" si="1"/>
        <v>11</v>
      </c>
      <c r="M27" s="263" t="s">
        <v>163</v>
      </c>
      <c r="N27" s="118" t="str">
        <f t="shared" si="2"/>
        <v>USD11X17F</v>
      </c>
      <c r="O27" s="118" t="str">
        <v>USD11X17F=GCMN</v>
      </c>
      <c r="P27" s="189" t="s">
        <v>281</v>
      </c>
      <c r="Q27" s="189" t="s">
        <v>281</v>
      </c>
      <c r="R27" s="189" t="s">
        <v>281</v>
      </c>
      <c r="S27" s="189" t="s">
        <v>281</v>
      </c>
      <c r="T27" s="119" t="e">
        <f t="shared" si="4"/>
        <v>#NUM!</v>
      </c>
      <c r="U27" s="189" t="e">
        <f t="shared" si="5"/>
        <v>#VALUE!</v>
      </c>
      <c r="V27" s="192"/>
      <c r="W27" s="189" t="e">
        <v>#NUM!</v>
      </c>
      <c r="X27" s="192"/>
      <c r="Y27" s="189" t="e">
        <v>#NUM!</v>
      </c>
      <c r="Z27" s="121">
        <f>_xll.qlSimpleQuoteSetValue(F27,Y27/100,Trigger)</f>
        <v>0</v>
      </c>
      <c r="AA27" s="156"/>
      <c r="AB27" s="202"/>
      <c r="AC27" s="202"/>
    </row>
    <row r="28" spans="1:29" x14ac:dyDescent="0.2">
      <c r="A28" s="76"/>
      <c r="B28" s="112"/>
      <c r="C28" s="112">
        <v>12</v>
      </c>
      <c r="D28" s="113" t="str">
        <f t="shared" si="10"/>
        <v>x18F</v>
      </c>
      <c r="E28" s="112" t="str">
        <f t="shared" si="0"/>
        <v>USD12x18F_Quote</v>
      </c>
      <c r="F28" s="91" t="str">
        <f>_xll.qlSimpleQuote(E28,,RateTickValue,Permanent,Trigger,ObjectOverwrite)</f>
        <v>USD12x18F_Quote#0000</v>
      </c>
      <c r="G28" s="213" t="str">
        <f>_xll.ohRangeRetrieveError(F28)</f>
        <v/>
      </c>
      <c r="H28" s="150"/>
      <c r="J28" s="135"/>
      <c r="K28" s="263">
        <f t="shared" si="11"/>
        <v>18</v>
      </c>
      <c r="L28" s="263">
        <f t="shared" si="1"/>
        <v>12</v>
      </c>
      <c r="M28" s="263" t="s">
        <v>163</v>
      </c>
      <c r="N28" s="118" t="str">
        <f t="shared" si="2"/>
        <v>USD12X18F</v>
      </c>
      <c r="O28" s="118" t="str">
        <v>USD12X18F=GCMN</v>
      </c>
      <c r="P28" s="189">
        <v>1.046</v>
      </c>
      <c r="Q28" s="189">
        <v>1.0860000000000001</v>
      </c>
      <c r="R28" s="189">
        <v>1.046</v>
      </c>
      <c r="S28" s="189">
        <v>1.0569999999999999</v>
      </c>
      <c r="T28" s="119">
        <f t="shared" si="4"/>
        <v>1.0660000000000001</v>
      </c>
      <c r="U28" s="189">
        <f t="shared" si="5"/>
        <v>4.0000000000000036E-2</v>
      </c>
      <c r="V28" s="192"/>
      <c r="W28" s="189">
        <v>1.0660000000000001</v>
      </c>
      <c r="X28" s="192"/>
      <c r="Y28" s="189">
        <v>1.0660000000000001</v>
      </c>
      <c r="Z28" s="121">
        <f>_xll.qlSimpleQuoteSetValue(F28,Y28/100,Trigger)</f>
        <v>0</v>
      </c>
      <c r="AA28" s="156"/>
      <c r="AB28" s="202"/>
      <c r="AC28" s="202"/>
    </row>
    <row r="29" spans="1:29" x14ac:dyDescent="0.2">
      <c r="A29" s="76"/>
      <c r="B29" s="112"/>
      <c r="C29" s="112">
        <v>13</v>
      </c>
      <c r="D29" s="113" t="str">
        <f t="shared" si="10"/>
        <v>x19F</v>
      </c>
      <c r="E29" s="112" t="str">
        <f t="shared" si="0"/>
        <v>USD13x19F_Quote</v>
      </c>
      <c r="F29" s="91" t="str">
        <f>_xll.qlSimpleQuote(E29,,RateTickValue,Permanent,Trigger,ObjectOverwrite)</f>
        <v>USD13x19F_Quote#0000</v>
      </c>
      <c r="G29" s="213" t="str">
        <f>_xll.ohRangeRetrieveError(F29)</f>
        <v/>
      </c>
      <c r="H29" s="150"/>
      <c r="J29" s="135"/>
      <c r="K29" s="263">
        <f t="shared" ref="K29:K33" si="12">L29+6</f>
        <v>19</v>
      </c>
      <c r="L29" s="263">
        <f t="shared" ref="L29:L33" si="13">C29</f>
        <v>13</v>
      </c>
      <c r="M29" s="263" t="s">
        <v>163</v>
      </c>
      <c r="N29" s="118" t="str">
        <f t="shared" si="2"/>
        <v>USD13X19F</v>
      </c>
      <c r="O29" s="118" t="str">
        <v>USD13X19F=GCMN</v>
      </c>
      <c r="P29" s="189">
        <v>1.1200000000000001</v>
      </c>
      <c r="Q29" s="189">
        <v>1.1599999999999999</v>
      </c>
      <c r="R29" s="189">
        <v>1.1200000000000001</v>
      </c>
      <c r="S29" s="189">
        <v>1.1280000000000001</v>
      </c>
      <c r="T29" s="119">
        <f t="shared" si="4"/>
        <v>1.1400000000000001</v>
      </c>
      <c r="U29" s="189">
        <f t="shared" si="5"/>
        <v>3.9999999999999813E-2</v>
      </c>
      <c r="V29" s="192"/>
      <c r="W29" s="189">
        <v>1.1400000000000001</v>
      </c>
      <c r="X29" s="192"/>
      <c r="Y29" s="189">
        <v>1.1400000000000001</v>
      </c>
      <c r="Z29" s="121">
        <f>_xll.qlSimpleQuoteSetValue(F29,Y29/100,Trigger)</f>
        <v>0</v>
      </c>
      <c r="AA29" s="156"/>
      <c r="AB29" s="202"/>
      <c r="AC29" s="202"/>
    </row>
    <row r="30" spans="1:29" x14ac:dyDescent="0.2">
      <c r="A30" s="76"/>
      <c r="B30" s="112"/>
      <c r="C30" s="112">
        <v>14</v>
      </c>
      <c r="D30" s="113" t="str">
        <f t="shared" si="10"/>
        <v>x20F</v>
      </c>
      <c r="E30" s="112" t="str">
        <f t="shared" si="0"/>
        <v>USD14x20F_Quote</v>
      </c>
      <c r="F30" s="91" t="str">
        <f>_xll.qlSimpleQuote(E30,,RateTickValue,Permanent,Trigger,ObjectOverwrite)</f>
        <v>USD14x20F_Quote#0000</v>
      </c>
      <c r="G30" s="213" t="str">
        <f>_xll.ohRangeRetrieveError(F30)</f>
        <v/>
      </c>
      <c r="H30" s="150"/>
      <c r="J30" s="135"/>
      <c r="K30" s="263">
        <f t="shared" si="12"/>
        <v>20</v>
      </c>
      <c r="L30" s="263">
        <f t="shared" si="13"/>
        <v>14</v>
      </c>
      <c r="M30" s="263" t="s">
        <v>163</v>
      </c>
      <c r="N30" s="118" t="str">
        <f t="shared" si="2"/>
        <v>USD14X20F</v>
      </c>
      <c r="O30" s="118" t="str">
        <v>USD14X20F=GCMN</v>
      </c>
      <c r="P30" s="189" t="s">
        <v>281</v>
      </c>
      <c r="Q30" s="189" t="s">
        <v>281</v>
      </c>
      <c r="R30" s="189" t="s">
        <v>281</v>
      </c>
      <c r="S30" s="189" t="s">
        <v>281</v>
      </c>
      <c r="T30" s="119" t="e">
        <f t="shared" si="4"/>
        <v>#NUM!</v>
      </c>
      <c r="U30" s="189" t="e">
        <f t="shared" si="5"/>
        <v>#VALUE!</v>
      </c>
      <c r="V30" s="192"/>
      <c r="W30" s="189" t="e">
        <v>#NUM!</v>
      </c>
      <c r="X30" s="192"/>
      <c r="Y30" s="189" t="e">
        <v>#NUM!</v>
      </c>
      <c r="Z30" s="121">
        <f>_xll.qlSimpleQuoteSetValue(F30,Y30/100,Trigger)</f>
        <v>0</v>
      </c>
      <c r="AA30" s="156"/>
      <c r="AB30" s="202"/>
      <c r="AC30" s="202"/>
    </row>
    <row r="31" spans="1:29" x14ac:dyDescent="0.2">
      <c r="A31" s="76"/>
      <c r="B31" s="112"/>
      <c r="C31" s="112">
        <v>15</v>
      </c>
      <c r="D31" s="113" t="str">
        <f t="shared" si="10"/>
        <v>x21F</v>
      </c>
      <c r="E31" s="112" t="str">
        <f t="shared" si="0"/>
        <v>USD15x21F_Quote</v>
      </c>
      <c r="F31" s="91" t="str">
        <f>_xll.qlSimpleQuote(E31,,RateTickValue,Permanent,Trigger,ObjectOverwrite)</f>
        <v>USD15x21F_Quote#0000</v>
      </c>
      <c r="G31" s="213" t="str">
        <f>_xll.ohRangeRetrieveError(F31)</f>
        <v/>
      </c>
      <c r="H31" s="150"/>
      <c r="J31" s="135"/>
      <c r="K31" s="263">
        <f t="shared" si="12"/>
        <v>21</v>
      </c>
      <c r="L31" s="263">
        <f t="shared" si="13"/>
        <v>15</v>
      </c>
      <c r="M31" s="263" t="s">
        <v>163</v>
      </c>
      <c r="N31" s="118" t="str">
        <f t="shared" si="2"/>
        <v>USD15X21F</v>
      </c>
      <c r="O31" s="118" t="str">
        <v>USD15X21F=GCMN</v>
      </c>
      <c r="P31" s="189" t="s">
        <v>281</v>
      </c>
      <c r="Q31" s="189" t="s">
        <v>281</v>
      </c>
      <c r="R31" s="189" t="s">
        <v>281</v>
      </c>
      <c r="S31" s="189" t="s">
        <v>281</v>
      </c>
      <c r="T31" s="119" t="e">
        <f t="shared" si="4"/>
        <v>#NUM!</v>
      </c>
      <c r="U31" s="189" t="e">
        <f t="shared" si="5"/>
        <v>#VALUE!</v>
      </c>
      <c r="V31" s="192"/>
      <c r="W31" s="189" t="e">
        <v>#NUM!</v>
      </c>
      <c r="X31" s="192"/>
      <c r="Y31" s="189" t="e">
        <v>#NUM!</v>
      </c>
      <c r="Z31" s="121">
        <f>_xll.qlSimpleQuoteSetValue(F31,Y31/100,Trigger)</f>
        <v>0</v>
      </c>
      <c r="AA31" s="156"/>
      <c r="AB31" s="202"/>
      <c r="AC31" s="202"/>
    </row>
    <row r="32" spans="1:29" x14ac:dyDescent="0.2">
      <c r="A32" s="76"/>
      <c r="B32" s="112"/>
      <c r="C32" s="112">
        <v>16</v>
      </c>
      <c r="D32" s="113" t="str">
        <f t="shared" si="10"/>
        <v>x22F</v>
      </c>
      <c r="E32" s="112" t="str">
        <f t="shared" si="0"/>
        <v>USD16x22F_Quote</v>
      </c>
      <c r="F32" s="91" t="str">
        <f>_xll.qlSimpleQuote(E32,,RateTickValue,Permanent,Trigger,ObjectOverwrite)</f>
        <v>USD16x22F_Quote#0000</v>
      </c>
      <c r="G32" s="213" t="str">
        <f>_xll.ohRangeRetrieveError(F32)</f>
        <v/>
      </c>
      <c r="H32" s="150"/>
      <c r="J32" s="135"/>
      <c r="K32" s="263">
        <f t="shared" si="12"/>
        <v>22</v>
      </c>
      <c r="L32" s="263">
        <f t="shared" si="13"/>
        <v>16</v>
      </c>
      <c r="M32" s="263" t="s">
        <v>163</v>
      </c>
      <c r="N32" s="118" t="str">
        <f t="shared" si="2"/>
        <v>USD16X22F</v>
      </c>
      <c r="O32" s="118" t="str">
        <v>USD16X22F=GCMN</v>
      </c>
      <c r="P32" s="189" t="s">
        <v>281</v>
      </c>
      <c r="Q32" s="189" t="s">
        <v>281</v>
      </c>
      <c r="R32" s="189" t="s">
        <v>281</v>
      </c>
      <c r="S32" s="189" t="s">
        <v>281</v>
      </c>
      <c r="T32" s="119" t="e">
        <f t="shared" si="4"/>
        <v>#NUM!</v>
      </c>
      <c r="U32" s="189" t="e">
        <f t="shared" si="5"/>
        <v>#VALUE!</v>
      </c>
      <c r="V32" s="192"/>
      <c r="W32" s="189" t="e">
        <v>#NUM!</v>
      </c>
      <c r="X32" s="192"/>
      <c r="Y32" s="189" t="e">
        <v>#NUM!</v>
      </c>
      <c r="Z32" s="121">
        <f>_xll.qlSimpleQuoteSetValue(F32,Y32/100,Trigger)</f>
        <v>0</v>
      </c>
      <c r="AA32" s="156"/>
      <c r="AB32" s="202"/>
      <c r="AC32" s="202"/>
    </row>
    <row r="33" spans="1:29" x14ac:dyDescent="0.2">
      <c r="A33" s="76"/>
      <c r="B33" s="112"/>
      <c r="C33" s="112">
        <v>17</v>
      </c>
      <c r="D33" s="113" t="str">
        <f t="shared" si="10"/>
        <v>x23F</v>
      </c>
      <c r="E33" s="112" t="str">
        <f t="shared" si="0"/>
        <v>USD17x23F_Quote</v>
      </c>
      <c r="F33" s="91" t="str">
        <f>_xll.qlSimpleQuote(E33,,RateTickValue,Permanent,Trigger,ObjectOverwrite)</f>
        <v>USD17x23F_Quote#0000</v>
      </c>
      <c r="G33" s="213" t="str">
        <f>_xll.ohRangeRetrieveError(F33)</f>
        <v/>
      </c>
      <c r="H33" s="150"/>
      <c r="J33" s="135"/>
      <c r="K33" s="263">
        <f t="shared" si="12"/>
        <v>23</v>
      </c>
      <c r="L33" s="263">
        <f t="shared" si="13"/>
        <v>17</v>
      </c>
      <c r="M33" s="263" t="s">
        <v>163</v>
      </c>
      <c r="N33" s="118" t="str">
        <f t="shared" si="2"/>
        <v>USD17X23F</v>
      </c>
      <c r="O33" s="118" t="str">
        <v>USD17X23F=GCMN</v>
      </c>
      <c r="P33" s="189" t="s">
        <v>281</v>
      </c>
      <c r="Q33" s="189" t="s">
        <v>281</v>
      </c>
      <c r="R33" s="189" t="s">
        <v>281</v>
      </c>
      <c r="S33" s="189" t="s">
        <v>281</v>
      </c>
      <c r="T33" s="119" t="e">
        <f t="shared" si="4"/>
        <v>#NUM!</v>
      </c>
      <c r="U33" s="189" t="e">
        <f t="shared" si="5"/>
        <v>#VALUE!</v>
      </c>
      <c r="V33" s="192"/>
      <c r="W33" s="189" t="e">
        <v>#NUM!</v>
      </c>
      <c r="X33" s="192"/>
      <c r="Y33" s="189" t="e">
        <v>#NUM!</v>
      </c>
      <c r="Z33" s="121">
        <f>_xll.qlSimpleQuoteSetValue(F33,Y33/100,Trigger)</f>
        <v>0</v>
      </c>
      <c r="AA33" s="156"/>
      <c r="AB33" s="202"/>
      <c r="AC33" s="202"/>
    </row>
    <row r="34" spans="1:29" x14ac:dyDescent="0.2">
      <c r="A34" s="76"/>
      <c r="B34" s="114"/>
      <c r="C34" s="114">
        <v>18</v>
      </c>
      <c r="D34" s="113" t="str">
        <f t="shared" si="10"/>
        <v>x24F</v>
      </c>
      <c r="E34" s="112" t="str">
        <f t="shared" si="0"/>
        <v>USD18x24F_Quote</v>
      </c>
      <c r="F34" s="91" t="str">
        <f>_xll.qlSimpleQuote(E34,,RateTickValue,Permanent,Trigger,ObjectOverwrite)</f>
        <v>USD18x24F_Quote#0000</v>
      </c>
      <c r="G34" s="214" t="str">
        <f>_xll.ohRangeRetrieveError(F34)</f>
        <v/>
      </c>
      <c r="H34" s="150"/>
      <c r="J34" s="135"/>
      <c r="K34" s="263">
        <f t="shared" si="11"/>
        <v>24</v>
      </c>
      <c r="L34" s="267">
        <v>18</v>
      </c>
      <c r="M34" s="263" t="s">
        <v>163</v>
      </c>
      <c r="N34" s="118" t="str">
        <f t="shared" si="2"/>
        <v>USD18X24F</v>
      </c>
      <c r="O34" s="122" t="str">
        <v>USD18X24F=GCMN</v>
      </c>
      <c r="P34" s="191">
        <v>1.4630000000000001</v>
      </c>
      <c r="Q34" s="191">
        <v>1.5030000000000001</v>
      </c>
      <c r="R34" s="191">
        <v>1.4630000000000001</v>
      </c>
      <c r="S34" s="191">
        <v>1.48</v>
      </c>
      <c r="T34" s="126">
        <f t="shared" si="4"/>
        <v>1.4830000000000001</v>
      </c>
      <c r="U34" s="191">
        <f t="shared" si="5"/>
        <v>4.0000000000000036E-2</v>
      </c>
      <c r="V34" s="192"/>
      <c r="W34" s="191">
        <v>1.4830000000000001</v>
      </c>
      <c r="X34" s="192"/>
      <c r="Y34" s="191">
        <v>1.4830000000000001</v>
      </c>
      <c r="Z34" s="123">
        <f>_xll.qlSimpleQuoteSetValue(F34,Y34/100,Trigger)</f>
        <v>-9.9999999999978578E-6</v>
      </c>
      <c r="AA34" s="156"/>
      <c r="AB34" s="202"/>
      <c r="AC34" s="202"/>
    </row>
    <row r="35" spans="1:29" x14ac:dyDescent="0.2">
      <c r="A35" s="76"/>
      <c r="B35" s="110"/>
      <c r="C35" s="110">
        <v>1</v>
      </c>
      <c r="D35" s="115" t="str">
        <f>"x"&amp;C35+12&amp;"F"</f>
        <v>x13F</v>
      </c>
      <c r="E35" s="110" t="str">
        <f t="shared" si="0"/>
        <v>USD1x13F_Quote</v>
      </c>
      <c r="F35" s="90" t="str">
        <f>_xll.qlSimpleQuote(E35,,RateTickValue,Permanent,Trigger,ObjectOverwrite)</f>
        <v>USD1x13F_Quote#0000</v>
      </c>
      <c r="G35" s="212" t="str">
        <f>_xll.ohRangeRetrieveError(F35)</f>
        <v/>
      </c>
      <c r="H35" s="150"/>
      <c r="J35" s="135"/>
      <c r="K35" s="273">
        <f>L35+12</f>
        <v>13</v>
      </c>
      <c r="L35" s="273">
        <f t="shared" si="1"/>
        <v>1</v>
      </c>
      <c r="M35" s="273" t="s">
        <v>163</v>
      </c>
      <c r="N35" s="124" t="str">
        <f t="shared" si="2"/>
        <v>USD1X13F</v>
      </c>
      <c r="O35" s="124" t="str">
        <v>USD1X13F=GCMN</v>
      </c>
      <c r="P35" s="189">
        <v>0.73599999999999999</v>
      </c>
      <c r="Q35" s="189">
        <v>0.77600000000000002</v>
      </c>
      <c r="R35" s="189">
        <v>0.73599999999999999</v>
      </c>
      <c r="S35" s="189">
        <v>0.73299999999999998</v>
      </c>
      <c r="T35" s="125">
        <f t="shared" si="4"/>
        <v>0.75600000000000001</v>
      </c>
      <c r="U35" s="189">
        <f t="shared" si="5"/>
        <v>4.0000000000000036E-2</v>
      </c>
      <c r="V35" s="192"/>
      <c r="W35" s="190">
        <v>0.75600000000000001</v>
      </c>
      <c r="X35" s="192"/>
      <c r="Y35" s="190">
        <v>0.75600000000000001</v>
      </c>
      <c r="Z35" s="120">
        <f>_xll.qlSimpleQuoteSetValue(F35,Y35/100,Trigger)</f>
        <v>0</v>
      </c>
      <c r="AA35" s="157"/>
    </row>
    <row r="36" spans="1:29" x14ac:dyDescent="0.2">
      <c r="A36" s="76"/>
      <c r="B36" s="112"/>
      <c r="C36" s="112">
        <v>2</v>
      </c>
      <c r="D36" s="116" t="str">
        <f t="shared" ref="D36:D58" si="14">"x"&amp;C36+12&amp;"F"</f>
        <v>x14F</v>
      </c>
      <c r="E36" s="112" t="str">
        <f t="shared" si="0"/>
        <v>USD2x14F_Quote</v>
      </c>
      <c r="F36" s="91" t="str">
        <f>_xll.qlSimpleQuote(E36,,RateTickValue,Permanent,Trigger,ObjectOverwrite)</f>
        <v>USD2x14F_Quote#0000</v>
      </c>
      <c r="G36" s="213" t="str">
        <f>_xll.ohRangeRetrieveError(F36)</f>
        <v/>
      </c>
      <c r="H36" s="150"/>
      <c r="J36" s="135"/>
      <c r="K36" s="263">
        <f t="shared" ref="K36:K45" si="15">L36+12</f>
        <v>14</v>
      </c>
      <c r="L36" s="263">
        <f t="shared" si="1"/>
        <v>2</v>
      </c>
      <c r="M36" s="263" t="s">
        <v>163</v>
      </c>
      <c r="N36" s="118" t="str">
        <f t="shared" si="2"/>
        <v>USD2X14F</v>
      </c>
      <c r="O36" s="118" t="str">
        <v>USD2X14F=GCMN</v>
      </c>
      <c r="P36" s="189">
        <v>0.77500000000000002</v>
      </c>
      <c r="Q36" s="189">
        <v>0.81500000000000006</v>
      </c>
      <c r="R36" s="189">
        <v>0.77500000000000002</v>
      </c>
      <c r="S36" s="189">
        <v>0.77400000000000002</v>
      </c>
      <c r="T36" s="119">
        <f t="shared" si="4"/>
        <v>0.79500000000000004</v>
      </c>
      <c r="U36" s="189">
        <f t="shared" si="5"/>
        <v>4.0000000000000036E-2</v>
      </c>
      <c r="V36" s="192"/>
      <c r="W36" s="189">
        <v>0.79600000000000004</v>
      </c>
      <c r="X36" s="192"/>
      <c r="Y36" s="189">
        <v>0.79500000000000004</v>
      </c>
      <c r="Z36" s="121">
        <f>_xll.qlSimpleQuoteSetValue(F36,Y36/100,Trigger)</f>
        <v>0</v>
      </c>
      <c r="AA36" s="157"/>
    </row>
    <row r="37" spans="1:29" x14ac:dyDescent="0.2">
      <c r="A37" s="76"/>
      <c r="B37" s="112"/>
      <c r="C37" s="112">
        <v>3</v>
      </c>
      <c r="D37" s="116" t="str">
        <f t="shared" si="14"/>
        <v>x15F</v>
      </c>
      <c r="E37" s="112" t="str">
        <f t="shared" si="0"/>
        <v>USD3x15F_Quote</v>
      </c>
      <c r="F37" s="91" t="str">
        <f>_xll.qlSimpleQuote(E37,,RateTickValue,Permanent,Trigger,ObjectOverwrite)</f>
        <v>USD3x15F_Quote#0000</v>
      </c>
      <c r="G37" s="213" t="str">
        <f>_xll.ohRangeRetrieveError(F37)</f>
        <v/>
      </c>
      <c r="H37" s="150"/>
      <c r="J37" s="135"/>
      <c r="K37" s="263">
        <f t="shared" si="15"/>
        <v>15</v>
      </c>
      <c r="L37" s="263">
        <f t="shared" si="1"/>
        <v>3</v>
      </c>
      <c r="M37" s="263" t="s">
        <v>163</v>
      </c>
      <c r="N37" s="118" t="str">
        <f t="shared" si="2"/>
        <v>USD3X15F</v>
      </c>
      <c r="O37" s="118" t="str">
        <v>USD3X15F=GCMN</v>
      </c>
      <c r="P37" s="189">
        <v>0.82200000000000006</v>
      </c>
      <c r="Q37" s="189">
        <v>0.86199999999999988</v>
      </c>
      <c r="R37" s="189">
        <v>0.82200000000000006</v>
      </c>
      <c r="S37" s="189">
        <v>0.82400000000000007</v>
      </c>
      <c r="T37" s="119">
        <f t="shared" si="4"/>
        <v>0.84199999999999997</v>
      </c>
      <c r="U37" s="189">
        <f t="shared" si="5"/>
        <v>3.9999999999999813E-2</v>
      </c>
      <c r="V37" s="192"/>
      <c r="W37" s="189">
        <v>0.84299999999999997</v>
      </c>
      <c r="X37" s="192"/>
      <c r="Y37" s="189">
        <v>0.84199999999999997</v>
      </c>
      <c r="Z37" s="121">
        <f>_xll.qlSimpleQuoteSetValue(F37,Y37/100,Trigger)</f>
        <v>0</v>
      </c>
      <c r="AA37" s="157"/>
    </row>
    <row r="38" spans="1:29" x14ac:dyDescent="0.2">
      <c r="A38" s="76"/>
      <c r="B38" s="112"/>
      <c r="C38" s="112">
        <v>4</v>
      </c>
      <c r="D38" s="116" t="str">
        <f t="shared" si="14"/>
        <v>x16F</v>
      </c>
      <c r="E38" s="112" t="str">
        <f t="shared" si="0"/>
        <v>USD4x16F_Quote</v>
      </c>
      <c r="F38" s="91" t="str">
        <f>_xll.qlSimpleQuote(E38,,RateTickValue,Permanent,Trigger,ObjectOverwrite)</f>
        <v>USD4x16F_Quote#0000</v>
      </c>
      <c r="G38" s="213" t="str">
        <f>_xll.ohRangeRetrieveError(F38)</f>
        <v/>
      </c>
      <c r="H38" s="150"/>
      <c r="J38" s="135"/>
      <c r="K38" s="263">
        <f t="shared" si="15"/>
        <v>16</v>
      </c>
      <c r="L38" s="263">
        <f t="shared" si="1"/>
        <v>4</v>
      </c>
      <c r="M38" s="263" t="s">
        <v>163</v>
      </c>
      <c r="N38" s="118" t="str">
        <f t="shared" si="2"/>
        <v>USD4X16F</v>
      </c>
      <c r="O38" s="118" t="str">
        <v>USD4X16F=GCMN</v>
      </c>
      <c r="P38" s="189">
        <v>0.88500000000000001</v>
      </c>
      <c r="Q38" s="189">
        <v>0.92500000000000004</v>
      </c>
      <c r="R38" s="189">
        <v>0.88500000000000001</v>
      </c>
      <c r="S38" s="189">
        <v>0.88500000000000001</v>
      </c>
      <c r="T38" s="119">
        <f t="shared" si="4"/>
        <v>0.90500000000000003</v>
      </c>
      <c r="U38" s="189">
        <f t="shared" si="5"/>
        <v>4.0000000000000036E-2</v>
      </c>
      <c r="V38" s="192"/>
      <c r="W38" s="189">
        <v>0.90600000000000003</v>
      </c>
      <c r="X38" s="192"/>
      <c r="Y38" s="189">
        <v>0.90500000000000003</v>
      </c>
      <c r="Z38" s="121">
        <f>_xll.qlSimpleQuoteSetValue(F38,Y38/100,Trigger)</f>
        <v>0</v>
      </c>
      <c r="AA38" s="157"/>
    </row>
    <row r="39" spans="1:29" x14ac:dyDescent="0.2">
      <c r="A39" s="76"/>
      <c r="B39" s="112"/>
      <c r="C39" s="112">
        <v>5</v>
      </c>
      <c r="D39" s="116" t="str">
        <f t="shared" si="14"/>
        <v>x17F</v>
      </c>
      <c r="E39" s="112" t="str">
        <f t="shared" si="0"/>
        <v>USD5x17F_Quote</v>
      </c>
      <c r="F39" s="91" t="str">
        <f>_xll.qlSimpleQuote(E39,,RateTickValue,Permanent,Trigger,ObjectOverwrite)</f>
        <v>USD5x17F_Quote#0000</v>
      </c>
      <c r="G39" s="213" t="str">
        <f>_xll.ohRangeRetrieveError(F39)</f>
        <v/>
      </c>
      <c r="H39" s="150"/>
      <c r="J39" s="135"/>
      <c r="K39" s="263">
        <f t="shared" si="15"/>
        <v>17</v>
      </c>
      <c r="L39" s="263">
        <f t="shared" si="1"/>
        <v>5</v>
      </c>
      <c r="M39" s="263" t="s">
        <v>163</v>
      </c>
      <c r="N39" s="118" t="str">
        <f t="shared" si="2"/>
        <v>USD5X17F</v>
      </c>
      <c r="O39" s="118" t="str">
        <v>USD5X17F=GCMN</v>
      </c>
      <c r="P39" s="189">
        <v>0.94800000000000006</v>
      </c>
      <c r="Q39" s="189">
        <v>0.9880000000000001</v>
      </c>
      <c r="R39" s="189">
        <v>0.94800000000000006</v>
      </c>
      <c r="S39" s="189">
        <v>0.95</v>
      </c>
      <c r="T39" s="119">
        <f t="shared" si="4"/>
        <v>0.96800000000000008</v>
      </c>
      <c r="U39" s="189">
        <f t="shared" si="5"/>
        <v>4.0000000000000036E-2</v>
      </c>
      <c r="V39" s="192"/>
      <c r="W39" s="189">
        <v>0.96800000000000008</v>
      </c>
      <c r="X39" s="192"/>
      <c r="Y39" s="189">
        <v>0.96800000000000008</v>
      </c>
      <c r="Z39" s="121">
        <f>_xll.qlSimpleQuoteSetValue(F39,Y39/100,Trigger)</f>
        <v>0</v>
      </c>
      <c r="AA39" s="157"/>
    </row>
    <row r="40" spans="1:29" x14ac:dyDescent="0.2">
      <c r="A40" s="76"/>
      <c r="B40" s="112"/>
      <c r="C40" s="112">
        <v>6</v>
      </c>
      <c r="D40" s="116" t="str">
        <f t="shared" si="14"/>
        <v>x18F</v>
      </c>
      <c r="E40" s="112" t="str">
        <f t="shared" si="0"/>
        <v>USD6x18F_Quote</v>
      </c>
      <c r="F40" s="91" t="str">
        <f>_xll.qlSimpleQuote(E40,,RateTickValue,Permanent,Trigger,ObjectOverwrite)</f>
        <v>USD6x18F_Quote#0000</v>
      </c>
      <c r="G40" s="213" t="str">
        <f>_xll.ohRangeRetrieveError(F40)</f>
        <v/>
      </c>
      <c r="H40" s="150"/>
      <c r="J40" s="135"/>
      <c r="K40" s="263">
        <f t="shared" si="15"/>
        <v>18</v>
      </c>
      <c r="L40" s="263">
        <f t="shared" si="1"/>
        <v>6</v>
      </c>
      <c r="M40" s="263" t="s">
        <v>163</v>
      </c>
      <c r="N40" s="118" t="str">
        <f t="shared" si="2"/>
        <v>USD6X18F</v>
      </c>
      <c r="O40" s="118" t="str">
        <v>USD6X18F=GCMN</v>
      </c>
      <c r="P40" s="189">
        <v>1.012</v>
      </c>
      <c r="Q40" s="189">
        <v>1.052</v>
      </c>
      <c r="R40" s="189">
        <v>1.012</v>
      </c>
      <c r="S40" s="189">
        <v>1.0169999999999999</v>
      </c>
      <c r="T40" s="119">
        <f t="shared" si="4"/>
        <v>1.032</v>
      </c>
      <c r="U40" s="189">
        <f t="shared" si="5"/>
        <v>4.0000000000000036E-2</v>
      </c>
      <c r="V40" s="192"/>
      <c r="W40" s="189">
        <v>1.032</v>
      </c>
      <c r="X40" s="192"/>
      <c r="Y40" s="189">
        <v>1.032</v>
      </c>
      <c r="Z40" s="121">
        <f>_xll.qlSimpleQuoteSetValue(F40,Y40/100,Trigger)</f>
        <v>0</v>
      </c>
      <c r="AA40" s="157"/>
    </row>
    <row r="41" spans="1:29" x14ac:dyDescent="0.2">
      <c r="A41" s="76"/>
      <c r="B41" s="112"/>
      <c r="C41" s="112">
        <v>7</v>
      </c>
      <c r="D41" s="116" t="str">
        <f t="shared" si="14"/>
        <v>x19F</v>
      </c>
      <c r="E41" s="112" t="str">
        <f t="shared" si="0"/>
        <v>USD7x19F_Quote</v>
      </c>
      <c r="F41" s="91" t="str">
        <f>_xll.qlSimpleQuote(E41,,RateTickValue,Permanent,Trigger,ObjectOverwrite)</f>
        <v>USD7x19F_Quote#0000</v>
      </c>
      <c r="G41" s="213" t="str">
        <f>_xll.ohRangeRetrieveError(F41)</f>
        <v/>
      </c>
      <c r="H41" s="150"/>
      <c r="J41" s="135"/>
      <c r="K41" s="263">
        <f t="shared" si="15"/>
        <v>19</v>
      </c>
      <c r="L41" s="263">
        <f t="shared" si="1"/>
        <v>7</v>
      </c>
      <c r="M41" s="263" t="s">
        <v>163</v>
      </c>
      <c r="N41" s="118" t="str">
        <f t="shared" si="2"/>
        <v>USD7X19F</v>
      </c>
      <c r="O41" s="118" t="str">
        <v>USD7X19F=GCMN</v>
      </c>
      <c r="P41" s="189" t="s">
        <v>281</v>
      </c>
      <c r="Q41" s="189" t="s">
        <v>281</v>
      </c>
      <c r="R41" s="189" t="s">
        <v>281</v>
      </c>
      <c r="S41" s="189" t="s">
        <v>281</v>
      </c>
      <c r="T41" s="119" t="e">
        <f t="shared" si="4"/>
        <v>#NUM!</v>
      </c>
      <c r="U41" s="189" t="e">
        <f t="shared" si="5"/>
        <v>#VALUE!</v>
      </c>
      <c r="V41" s="192"/>
      <c r="W41" s="189" t="e">
        <v>#NUM!</v>
      </c>
      <c r="X41" s="192"/>
      <c r="Y41" s="189" t="e">
        <v>#NUM!</v>
      </c>
      <c r="Z41" s="121">
        <f>_xll.qlSimpleQuoteSetValue(F41,Y41/100,Trigger)</f>
        <v>0</v>
      </c>
      <c r="AA41" s="157"/>
    </row>
    <row r="42" spans="1:29" x14ac:dyDescent="0.2">
      <c r="A42" s="76"/>
      <c r="B42" s="112"/>
      <c r="C42" s="112">
        <v>8</v>
      </c>
      <c r="D42" s="116" t="str">
        <f t="shared" si="14"/>
        <v>x20F</v>
      </c>
      <c r="E42" s="112" t="str">
        <f t="shared" si="0"/>
        <v>USD8x20F_Quote</v>
      </c>
      <c r="F42" s="91" t="str">
        <f>_xll.qlSimpleQuote(E42,,RateTickValue,Permanent,Trigger,ObjectOverwrite)</f>
        <v>USD8x20F_Quote#0000</v>
      </c>
      <c r="G42" s="213" t="str">
        <f>_xll.ohRangeRetrieveError(F42)</f>
        <v/>
      </c>
      <c r="H42" s="150"/>
      <c r="J42" s="135"/>
      <c r="K42" s="263">
        <f t="shared" si="15"/>
        <v>20</v>
      </c>
      <c r="L42" s="263">
        <f t="shared" si="1"/>
        <v>8</v>
      </c>
      <c r="M42" s="263" t="s">
        <v>163</v>
      </c>
      <c r="N42" s="118" t="str">
        <f t="shared" si="2"/>
        <v>USD8X20F</v>
      </c>
      <c r="O42" s="118" t="str">
        <v>USD8X20F=GCMN</v>
      </c>
      <c r="P42" s="189" t="s">
        <v>281</v>
      </c>
      <c r="Q42" s="189" t="s">
        <v>281</v>
      </c>
      <c r="R42" s="189" t="s">
        <v>281</v>
      </c>
      <c r="S42" s="189" t="s">
        <v>281</v>
      </c>
      <c r="T42" s="119" t="e">
        <f t="shared" si="4"/>
        <v>#NUM!</v>
      </c>
      <c r="U42" s="189" t="e">
        <f t="shared" si="5"/>
        <v>#VALUE!</v>
      </c>
      <c r="V42" s="192"/>
      <c r="W42" s="189" t="e">
        <v>#NUM!</v>
      </c>
      <c r="X42" s="192"/>
      <c r="Y42" s="189" t="e">
        <v>#NUM!</v>
      </c>
      <c r="Z42" s="121">
        <f>_xll.qlSimpleQuoteSetValue(F42,Y42/100,Trigger)</f>
        <v>0</v>
      </c>
      <c r="AA42" s="157"/>
    </row>
    <row r="43" spans="1:29" x14ac:dyDescent="0.2">
      <c r="A43" s="76"/>
      <c r="B43" s="112"/>
      <c r="C43" s="112">
        <v>9</v>
      </c>
      <c r="D43" s="116" t="str">
        <f t="shared" si="14"/>
        <v>x21F</v>
      </c>
      <c r="E43" s="112" t="str">
        <f t="shared" si="0"/>
        <v>USD9x21F_Quote</v>
      </c>
      <c r="F43" s="91" t="str">
        <f>_xll.qlSimpleQuote(E43,,RateTickValue,Permanent,Trigger,ObjectOverwrite)</f>
        <v>USD9x21F_Quote#0000</v>
      </c>
      <c r="G43" s="213" t="str">
        <f>_xll.ohRangeRetrieveError(F43)</f>
        <v/>
      </c>
      <c r="H43" s="150"/>
      <c r="J43" s="135"/>
      <c r="K43" s="263">
        <f t="shared" si="15"/>
        <v>21</v>
      </c>
      <c r="L43" s="263">
        <f t="shared" si="1"/>
        <v>9</v>
      </c>
      <c r="M43" s="263" t="s">
        <v>163</v>
      </c>
      <c r="N43" s="118" t="str">
        <f t="shared" si="2"/>
        <v>USD9X21F</v>
      </c>
      <c r="O43" s="118" t="str">
        <v>USD9X21F=GCMN</v>
      </c>
      <c r="P43" s="189">
        <v>1.2170000000000001</v>
      </c>
      <c r="Q43" s="189">
        <v>1.2570000000000001</v>
      </c>
      <c r="R43" s="189">
        <v>1.2170000000000001</v>
      </c>
      <c r="S43" s="189">
        <v>1.2250000000000001</v>
      </c>
      <c r="T43" s="119">
        <f t="shared" si="4"/>
        <v>1.2370000000000001</v>
      </c>
      <c r="U43" s="189">
        <f t="shared" si="5"/>
        <v>4.0000000000000036E-2</v>
      </c>
      <c r="V43" s="192"/>
      <c r="W43" s="189">
        <v>1.2370000000000001</v>
      </c>
      <c r="X43" s="192"/>
      <c r="Y43" s="189">
        <v>1.2370000000000001</v>
      </c>
      <c r="Z43" s="121">
        <f>_xll.qlSimpleQuoteSetValue(F43,Y43/100,Trigger)</f>
        <v>0</v>
      </c>
      <c r="AA43" s="157"/>
    </row>
    <row r="44" spans="1:29" x14ac:dyDescent="0.2">
      <c r="A44" s="76"/>
      <c r="B44" s="112"/>
      <c r="C44" s="112">
        <v>10</v>
      </c>
      <c r="D44" s="116" t="str">
        <f t="shared" si="14"/>
        <v>x22F</v>
      </c>
      <c r="E44" s="112" t="str">
        <f t="shared" si="0"/>
        <v>USD10x22F_Quote</v>
      </c>
      <c r="F44" s="91" t="str">
        <f>_xll.qlSimpleQuote(E44,,RateTickValue,Permanent,Trigger,ObjectOverwrite)</f>
        <v>USD10x22F_Quote#0000</v>
      </c>
      <c r="G44" s="213" t="str">
        <f>_xll.ohRangeRetrieveError(F44)</f>
        <v/>
      </c>
      <c r="H44" s="150"/>
      <c r="J44" s="135"/>
      <c r="K44" s="263">
        <f t="shared" si="15"/>
        <v>22</v>
      </c>
      <c r="L44" s="263">
        <f t="shared" si="1"/>
        <v>10</v>
      </c>
      <c r="M44" s="263" t="s">
        <v>163</v>
      </c>
      <c r="N44" s="118" t="str">
        <f t="shared" si="2"/>
        <v>USD10X22F</v>
      </c>
      <c r="O44" s="118" t="str">
        <v>USD10X22F=GCMN</v>
      </c>
      <c r="P44" s="189" t="s">
        <v>281</v>
      </c>
      <c r="Q44" s="189" t="s">
        <v>281</v>
      </c>
      <c r="R44" s="189" t="s">
        <v>281</v>
      </c>
      <c r="S44" s="189" t="s">
        <v>281</v>
      </c>
      <c r="T44" s="119" t="e">
        <f t="shared" si="4"/>
        <v>#NUM!</v>
      </c>
      <c r="U44" s="189" t="e">
        <f t="shared" si="5"/>
        <v>#VALUE!</v>
      </c>
      <c r="V44" s="192"/>
      <c r="W44" s="189" t="e">
        <v>#NUM!</v>
      </c>
      <c r="X44" s="192"/>
      <c r="Y44" s="189" t="e">
        <v>#NUM!</v>
      </c>
      <c r="Z44" s="121">
        <f>_xll.qlSimpleQuoteSetValue(F44,Y44/100,Trigger)</f>
        <v>0</v>
      </c>
      <c r="AA44" s="157"/>
    </row>
    <row r="45" spans="1:29" x14ac:dyDescent="0.2">
      <c r="A45" s="76"/>
      <c r="B45" s="112"/>
      <c r="C45" s="112">
        <v>11</v>
      </c>
      <c r="D45" s="116" t="str">
        <f t="shared" si="14"/>
        <v>x23F</v>
      </c>
      <c r="E45" s="112" t="str">
        <f t="shared" si="0"/>
        <v>USD11x23F_Quote</v>
      </c>
      <c r="F45" s="91" t="str">
        <f>_xll.qlSimpleQuote(E45,,RateTickValue,Permanent,Trigger,ObjectOverwrite)</f>
        <v>USD11x23F_Quote#0000</v>
      </c>
      <c r="G45" s="213" t="str">
        <f>_xll.ohRangeRetrieveError(F45)</f>
        <v/>
      </c>
      <c r="H45" s="150"/>
      <c r="J45" s="135"/>
      <c r="K45" s="263">
        <f t="shared" si="15"/>
        <v>23</v>
      </c>
      <c r="L45" s="263">
        <f t="shared" si="1"/>
        <v>11</v>
      </c>
      <c r="M45" s="263" t="s">
        <v>163</v>
      </c>
      <c r="N45" s="118" t="str">
        <f t="shared" si="2"/>
        <v>USD11X23F</v>
      </c>
      <c r="O45" s="118" t="str">
        <v>USD11X23F=GCMN</v>
      </c>
      <c r="P45" s="189" t="s">
        <v>281</v>
      </c>
      <c r="Q45" s="189" t="s">
        <v>281</v>
      </c>
      <c r="R45" s="189" t="s">
        <v>281</v>
      </c>
      <c r="S45" s="189" t="s">
        <v>281</v>
      </c>
      <c r="T45" s="119" t="e">
        <f t="shared" si="4"/>
        <v>#NUM!</v>
      </c>
      <c r="U45" s="189" t="e">
        <f t="shared" si="5"/>
        <v>#VALUE!</v>
      </c>
      <c r="V45" s="192"/>
      <c r="W45" s="189" t="e">
        <v>#NUM!</v>
      </c>
      <c r="X45" s="192"/>
      <c r="Y45" s="189" t="e">
        <v>#NUM!</v>
      </c>
      <c r="Z45" s="121">
        <f>_xll.qlSimpleQuoteSetValue(F45,Y45/100,Trigger)</f>
        <v>0</v>
      </c>
      <c r="AA45" s="157"/>
    </row>
    <row r="46" spans="1:29" x14ac:dyDescent="0.2">
      <c r="A46" s="76"/>
      <c r="B46" s="112"/>
      <c r="C46" s="112">
        <v>12</v>
      </c>
      <c r="D46" s="116" t="str">
        <f t="shared" si="14"/>
        <v>x24F</v>
      </c>
      <c r="E46" s="112" t="str">
        <f t="shared" si="0"/>
        <v>USD12x24F_Quote</v>
      </c>
      <c r="F46" s="91" t="str">
        <f>_xll.qlSimpleQuote(E46,,RateTickValue,Permanent,Trigger,ObjectOverwrite)</f>
        <v>USD12x24F_Quote#0000</v>
      </c>
      <c r="G46" s="213" t="str">
        <f>_xll.ohRangeRetrieveError(F46)</f>
        <v/>
      </c>
      <c r="H46" s="150"/>
      <c r="J46" s="135"/>
      <c r="K46" s="263">
        <f t="shared" ref="K46:K58" si="16">L46+12</f>
        <v>24</v>
      </c>
      <c r="L46" s="263">
        <f t="shared" ref="L46:L58" si="17">C46</f>
        <v>12</v>
      </c>
      <c r="M46" s="263" t="s">
        <v>163</v>
      </c>
      <c r="N46" s="118" t="str">
        <f t="shared" si="2"/>
        <v>USD12X24F</v>
      </c>
      <c r="O46" s="118" t="str">
        <v>USD12X24F=GCMN</v>
      </c>
      <c r="P46" s="189">
        <v>1.419</v>
      </c>
      <c r="Q46" s="189">
        <v>1.4590000000000001</v>
      </c>
      <c r="R46" s="189">
        <v>1.419</v>
      </c>
      <c r="S46" s="189">
        <v>1.4330000000000001</v>
      </c>
      <c r="T46" s="119">
        <f t="shared" ref="T46:T57" si="18">IF(ISERROR(AVERAGE(P46,Q46)),#NUM!,AVERAGE(P46,Q46))</f>
        <v>1.4390000000000001</v>
      </c>
      <c r="U46" s="189">
        <f t="shared" ref="U46:U57" si="19">Q46-P46</f>
        <v>4.0000000000000036E-2</v>
      </c>
      <c r="V46" s="192"/>
      <c r="W46" s="189">
        <v>1.4380000000000002</v>
      </c>
      <c r="X46" s="192"/>
      <c r="Y46" s="189">
        <v>1.4390000000000001</v>
      </c>
      <c r="Z46" s="121">
        <f>_xll.qlSimpleQuoteSetValue(F46,Y46/100,Trigger)</f>
        <v>0</v>
      </c>
      <c r="AA46" s="157"/>
    </row>
    <row r="47" spans="1:29" x14ac:dyDescent="0.2">
      <c r="A47" s="76"/>
      <c r="B47" s="112"/>
      <c r="C47" s="112">
        <v>13</v>
      </c>
      <c r="D47" s="116" t="str">
        <f t="shared" si="14"/>
        <v>x25F</v>
      </c>
      <c r="E47" s="112" t="str">
        <f t="shared" si="0"/>
        <v>USD13x25F_Quote</v>
      </c>
      <c r="F47" s="91" t="str">
        <f>_xll.qlSimpleQuote(E47,,RateTickValue,Permanent,Trigger,ObjectOverwrite)</f>
        <v>USD13x25F_Quote#0000</v>
      </c>
      <c r="G47" s="213" t="str">
        <f>_xll.ohRangeRetrieveError(F47)</f>
        <v/>
      </c>
      <c r="H47" s="150"/>
      <c r="J47" s="135"/>
      <c r="K47" s="263">
        <f t="shared" si="16"/>
        <v>25</v>
      </c>
      <c r="L47" s="263">
        <f t="shared" si="17"/>
        <v>13</v>
      </c>
      <c r="M47" s="263" t="s">
        <v>163</v>
      </c>
      <c r="N47" s="118" t="str">
        <f t="shared" si="2"/>
        <v>USD13X25F</v>
      </c>
      <c r="O47" s="118" t="str">
        <v>USD13X25F=GCMN</v>
      </c>
      <c r="P47" s="189" t="s">
        <v>281</v>
      </c>
      <c r="Q47" s="189" t="s">
        <v>281</v>
      </c>
      <c r="R47" s="189" t="s">
        <v>281</v>
      </c>
      <c r="S47" s="189" t="s">
        <v>281</v>
      </c>
      <c r="T47" s="119" t="e">
        <f t="shared" si="18"/>
        <v>#NUM!</v>
      </c>
      <c r="U47" s="189" t="e">
        <f t="shared" si="19"/>
        <v>#VALUE!</v>
      </c>
      <c r="V47" s="192"/>
      <c r="W47" s="189" t="e">
        <v>#NUM!</v>
      </c>
      <c r="X47" s="192"/>
      <c r="Y47" s="189" t="e">
        <v>#NUM!</v>
      </c>
      <c r="Z47" s="121">
        <f>_xll.qlSimpleQuoteSetValue(F47,Y47/100,Trigger)</f>
        <v>0</v>
      </c>
      <c r="AA47" s="157"/>
    </row>
    <row r="48" spans="1:29" x14ac:dyDescent="0.2">
      <c r="A48" s="76"/>
      <c r="B48" s="112"/>
      <c r="C48" s="112">
        <v>14</v>
      </c>
      <c r="D48" s="116" t="str">
        <f t="shared" si="14"/>
        <v>x26F</v>
      </c>
      <c r="E48" s="112" t="str">
        <f t="shared" si="0"/>
        <v>USD14x26F_Quote</v>
      </c>
      <c r="F48" s="91" t="str">
        <f>_xll.qlSimpleQuote(E48,,RateTickValue,Permanent,Trigger,ObjectOverwrite)</f>
        <v>USD14x26F_Quote#0000</v>
      </c>
      <c r="G48" s="213" t="str">
        <f>_xll.ohRangeRetrieveError(F48)</f>
        <v/>
      </c>
      <c r="H48" s="150"/>
      <c r="J48" s="135"/>
      <c r="K48" s="263">
        <f t="shared" si="16"/>
        <v>26</v>
      </c>
      <c r="L48" s="263">
        <f t="shared" si="17"/>
        <v>14</v>
      </c>
      <c r="M48" s="263" t="s">
        <v>163</v>
      </c>
      <c r="N48" s="118" t="str">
        <f t="shared" si="2"/>
        <v>USD14X26F</v>
      </c>
      <c r="O48" s="118" t="str">
        <v>USD14X26F=GCMN</v>
      </c>
      <c r="P48" s="189" t="s">
        <v>281</v>
      </c>
      <c r="Q48" s="189" t="s">
        <v>281</v>
      </c>
      <c r="R48" s="189" t="s">
        <v>281</v>
      </c>
      <c r="S48" s="189" t="s">
        <v>281</v>
      </c>
      <c r="T48" s="119" t="e">
        <f t="shared" si="18"/>
        <v>#NUM!</v>
      </c>
      <c r="U48" s="189" t="e">
        <f t="shared" si="19"/>
        <v>#VALUE!</v>
      </c>
      <c r="V48" s="192"/>
      <c r="W48" s="189" t="e">
        <v>#NUM!</v>
      </c>
      <c r="X48" s="192"/>
      <c r="Y48" s="189" t="e">
        <v>#NUM!</v>
      </c>
      <c r="Z48" s="121">
        <f>_xll.qlSimpleQuoteSetValue(F48,Y48/100,Trigger)</f>
        <v>0</v>
      </c>
      <c r="AA48" s="157"/>
    </row>
    <row r="49" spans="1:27" x14ac:dyDescent="0.2">
      <c r="A49" s="76"/>
      <c r="B49" s="112"/>
      <c r="C49" s="112">
        <v>15</v>
      </c>
      <c r="D49" s="116" t="str">
        <f t="shared" si="14"/>
        <v>x27F</v>
      </c>
      <c r="E49" s="112" t="str">
        <f t="shared" si="0"/>
        <v>USD15x27F_Quote</v>
      </c>
      <c r="F49" s="91" t="str">
        <f>_xll.qlSimpleQuote(E49,,RateTickValue,Permanent,Trigger,ObjectOverwrite)</f>
        <v>USD15x27F_Quote#0000</v>
      </c>
      <c r="G49" s="213" t="str">
        <f>_xll.ohRangeRetrieveError(F49)</f>
        <v/>
      </c>
      <c r="H49" s="150"/>
      <c r="J49" s="135"/>
      <c r="K49" s="263">
        <f t="shared" si="16"/>
        <v>27</v>
      </c>
      <c r="L49" s="263">
        <f t="shared" si="17"/>
        <v>15</v>
      </c>
      <c r="M49" s="263" t="s">
        <v>163</v>
      </c>
      <c r="N49" s="118" t="str">
        <f t="shared" si="2"/>
        <v>USD15X27F</v>
      </c>
      <c r="O49" s="118" t="str">
        <v>USD15X27F=GCMN</v>
      </c>
      <c r="P49" s="189">
        <v>1.619</v>
      </c>
      <c r="Q49" s="189">
        <v>1.659</v>
      </c>
      <c r="R49" s="189">
        <v>1.619</v>
      </c>
      <c r="S49" s="189">
        <v>1.6360000000000001</v>
      </c>
      <c r="T49" s="119">
        <f t="shared" si="18"/>
        <v>1.639</v>
      </c>
      <c r="U49" s="189">
        <f t="shared" si="19"/>
        <v>4.0000000000000036E-2</v>
      </c>
      <c r="V49" s="192"/>
      <c r="W49" s="189">
        <v>1.6380000000000001</v>
      </c>
      <c r="X49" s="192"/>
      <c r="Y49" s="189">
        <v>1.639</v>
      </c>
      <c r="Z49" s="121">
        <f>_xll.qlSimpleQuoteSetValue(F49,Y49/100,Trigger)</f>
        <v>0</v>
      </c>
      <c r="AA49" s="157"/>
    </row>
    <row r="50" spans="1:27" x14ac:dyDescent="0.2">
      <c r="A50" s="76"/>
      <c r="B50" s="112"/>
      <c r="C50" s="112">
        <v>16</v>
      </c>
      <c r="D50" s="116" t="str">
        <f t="shared" si="14"/>
        <v>x28F</v>
      </c>
      <c r="E50" s="112" t="str">
        <f t="shared" si="0"/>
        <v>USD16x28F_Quote</v>
      </c>
      <c r="F50" s="91" t="str">
        <f>_xll.qlSimpleQuote(E50,,RateTickValue,Permanent,Trigger,ObjectOverwrite)</f>
        <v>USD16x28F_Quote#0000</v>
      </c>
      <c r="G50" s="213" t="str">
        <f>_xll.ohRangeRetrieveError(F50)</f>
        <v/>
      </c>
      <c r="H50" s="150"/>
      <c r="J50" s="135"/>
      <c r="K50" s="263">
        <f t="shared" si="16"/>
        <v>28</v>
      </c>
      <c r="L50" s="263">
        <f t="shared" si="17"/>
        <v>16</v>
      </c>
      <c r="M50" s="263" t="s">
        <v>163</v>
      </c>
      <c r="N50" s="118" t="str">
        <f t="shared" si="2"/>
        <v>USD16X28F</v>
      </c>
      <c r="O50" s="118" t="str">
        <v>USD16X28F=GCMN</v>
      </c>
      <c r="P50" s="189" t="s">
        <v>281</v>
      </c>
      <c r="Q50" s="189" t="s">
        <v>281</v>
      </c>
      <c r="R50" s="189" t="s">
        <v>281</v>
      </c>
      <c r="S50" s="189" t="s">
        <v>281</v>
      </c>
      <c r="T50" s="119" t="e">
        <f t="shared" si="18"/>
        <v>#NUM!</v>
      </c>
      <c r="U50" s="189" t="e">
        <f t="shared" si="19"/>
        <v>#VALUE!</v>
      </c>
      <c r="V50" s="192"/>
      <c r="W50" s="189" t="e">
        <v>#NUM!</v>
      </c>
      <c r="X50" s="192"/>
      <c r="Y50" s="189" t="e">
        <v>#NUM!</v>
      </c>
      <c r="Z50" s="121">
        <f>_xll.qlSimpleQuoteSetValue(F50,Y50/100,Trigger)</f>
        <v>0</v>
      </c>
      <c r="AA50" s="157"/>
    </row>
    <row r="51" spans="1:27" x14ac:dyDescent="0.2">
      <c r="A51" s="76"/>
      <c r="B51" s="112"/>
      <c r="C51" s="112">
        <v>17</v>
      </c>
      <c r="D51" s="116" t="str">
        <f t="shared" si="14"/>
        <v>x29F</v>
      </c>
      <c r="E51" s="112" t="str">
        <f t="shared" si="0"/>
        <v>USD17x29F_Quote</v>
      </c>
      <c r="F51" s="91" t="str">
        <f>_xll.qlSimpleQuote(E51,,RateTickValue,Permanent,Trigger,ObjectOverwrite)</f>
        <v>USD17x29F_Quote#0000</v>
      </c>
      <c r="G51" s="213" t="str">
        <f>_xll.ohRangeRetrieveError(F51)</f>
        <v/>
      </c>
      <c r="H51" s="150"/>
      <c r="J51" s="135"/>
      <c r="K51" s="263">
        <f t="shared" si="16"/>
        <v>29</v>
      </c>
      <c r="L51" s="263">
        <f t="shared" si="17"/>
        <v>17</v>
      </c>
      <c r="M51" s="263" t="s">
        <v>163</v>
      </c>
      <c r="N51" s="118" t="str">
        <f t="shared" si="2"/>
        <v>USD17X29F</v>
      </c>
      <c r="O51" s="118" t="str">
        <v>USD17X29F=GCMN</v>
      </c>
      <c r="P51" s="189" t="s">
        <v>281</v>
      </c>
      <c r="Q51" s="189" t="s">
        <v>281</v>
      </c>
      <c r="R51" s="189" t="s">
        <v>281</v>
      </c>
      <c r="S51" s="189" t="s">
        <v>281</v>
      </c>
      <c r="T51" s="119" t="e">
        <f t="shared" si="18"/>
        <v>#NUM!</v>
      </c>
      <c r="U51" s="189" t="e">
        <f t="shared" si="19"/>
        <v>#VALUE!</v>
      </c>
      <c r="V51" s="192"/>
      <c r="W51" s="189" t="e">
        <v>#NUM!</v>
      </c>
      <c r="X51" s="192"/>
      <c r="Y51" s="189" t="e">
        <v>#NUM!</v>
      </c>
      <c r="Z51" s="121">
        <f>_xll.qlSimpleQuoteSetValue(F51,Y51/100,Trigger)</f>
        <v>0</v>
      </c>
      <c r="AA51" s="157"/>
    </row>
    <row r="52" spans="1:27" x14ac:dyDescent="0.2">
      <c r="A52" s="76"/>
      <c r="B52" s="112"/>
      <c r="C52" s="112">
        <v>18</v>
      </c>
      <c r="D52" s="116" t="str">
        <f t="shared" si="14"/>
        <v>x30F</v>
      </c>
      <c r="E52" s="112" t="str">
        <f t="shared" si="0"/>
        <v>USD18x30F_Quote</v>
      </c>
      <c r="F52" s="91" t="str">
        <f>_xll.qlSimpleQuote(E52,,RateTickValue,Permanent,Trigger,ObjectOverwrite)</f>
        <v>USD18x30F_Quote#0000</v>
      </c>
      <c r="G52" s="213" t="str">
        <f>_xll.ohRangeRetrieveError(F52)</f>
        <v/>
      </c>
      <c r="H52" s="150"/>
      <c r="J52" s="135"/>
      <c r="K52" s="263">
        <f t="shared" si="16"/>
        <v>30</v>
      </c>
      <c r="L52" s="263">
        <f t="shared" si="17"/>
        <v>18</v>
      </c>
      <c r="M52" s="263" t="s">
        <v>163</v>
      </c>
      <c r="N52" s="118" t="str">
        <f t="shared" si="2"/>
        <v>USD18X30F</v>
      </c>
      <c r="O52" s="118" t="str">
        <v>USD18X30F=GCMN</v>
      </c>
      <c r="P52" s="189">
        <v>1.8050000000000002</v>
      </c>
      <c r="Q52" s="189">
        <v>1.845</v>
      </c>
      <c r="R52" s="189">
        <v>1.8050000000000002</v>
      </c>
      <c r="S52" s="189">
        <v>1.823</v>
      </c>
      <c r="T52" s="119">
        <f t="shared" si="18"/>
        <v>1.8250000000000002</v>
      </c>
      <c r="U52" s="189">
        <f t="shared" si="19"/>
        <v>3.9999999999999813E-2</v>
      </c>
      <c r="V52" s="192"/>
      <c r="W52" s="189">
        <v>1.8240000000000001</v>
      </c>
      <c r="X52" s="192"/>
      <c r="Y52" s="189">
        <v>1.8250000000000002</v>
      </c>
      <c r="Z52" s="121">
        <f>_xll.qlSimpleQuoteSetValue(F52,Y52/100,Trigger)</f>
        <v>0</v>
      </c>
      <c r="AA52" s="157"/>
    </row>
    <row r="53" spans="1:27" x14ac:dyDescent="0.2">
      <c r="A53" s="76"/>
      <c r="B53" s="112"/>
      <c r="C53" s="112">
        <v>19</v>
      </c>
      <c r="D53" s="116" t="str">
        <f t="shared" si="14"/>
        <v>x31F</v>
      </c>
      <c r="E53" s="112" t="str">
        <f t="shared" si="0"/>
        <v>USD19x31F_Quote</v>
      </c>
      <c r="F53" s="91" t="str">
        <f>_xll.qlSimpleQuote(E53,,RateTickValue,Permanent,Trigger,ObjectOverwrite)</f>
        <v>USD19x31F_Quote#0000</v>
      </c>
      <c r="G53" s="213" t="str">
        <f>_xll.ohRangeRetrieveError(F53)</f>
        <v/>
      </c>
      <c r="H53" s="150"/>
      <c r="J53" s="135"/>
      <c r="K53" s="263">
        <f t="shared" si="16"/>
        <v>31</v>
      </c>
      <c r="L53" s="263">
        <f t="shared" si="17"/>
        <v>19</v>
      </c>
      <c r="M53" s="263" t="s">
        <v>163</v>
      </c>
      <c r="N53" s="118" t="str">
        <f t="shared" si="2"/>
        <v>USD19X31F</v>
      </c>
      <c r="O53" s="118" t="str">
        <v>USD19X31F=GCMN</v>
      </c>
      <c r="P53" s="189" t="s">
        <v>281</v>
      </c>
      <c r="Q53" s="189" t="s">
        <v>281</v>
      </c>
      <c r="R53" s="189" t="s">
        <v>281</v>
      </c>
      <c r="S53" s="189" t="s">
        <v>281</v>
      </c>
      <c r="T53" s="119" t="e">
        <f t="shared" si="18"/>
        <v>#NUM!</v>
      </c>
      <c r="U53" s="189" t="e">
        <f t="shared" si="19"/>
        <v>#VALUE!</v>
      </c>
      <c r="V53" s="192"/>
      <c r="W53" s="189" t="e">
        <v>#NUM!</v>
      </c>
      <c r="X53" s="192"/>
      <c r="Y53" s="189" t="e">
        <v>#NUM!</v>
      </c>
      <c r="Z53" s="121">
        <f>_xll.qlSimpleQuoteSetValue(F53,Y53/100,Trigger)</f>
        <v>0</v>
      </c>
      <c r="AA53" s="157"/>
    </row>
    <row r="54" spans="1:27" x14ac:dyDescent="0.2">
      <c r="A54" s="76"/>
      <c r="B54" s="112"/>
      <c r="C54" s="112">
        <v>20</v>
      </c>
      <c r="D54" s="116" t="str">
        <f t="shared" si="14"/>
        <v>x32F</v>
      </c>
      <c r="E54" s="112" t="str">
        <f t="shared" si="0"/>
        <v>USD20x32F_Quote</v>
      </c>
      <c r="F54" s="91" t="str">
        <f>_xll.qlSimpleQuote(E54,,RateTickValue,Permanent,Trigger,ObjectOverwrite)</f>
        <v>USD20x32F_Quote#0000</v>
      </c>
      <c r="G54" s="213" t="str">
        <f>_xll.ohRangeRetrieveError(F54)</f>
        <v/>
      </c>
      <c r="H54" s="150"/>
      <c r="J54" s="135"/>
      <c r="K54" s="263">
        <f t="shared" si="16"/>
        <v>32</v>
      </c>
      <c r="L54" s="263">
        <f t="shared" si="17"/>
        <v>20</v>
      </c>
      <c r="M54" s="263" t="s">
        <v>163</v>
      </c>
      <c r="N54" s="118" t="str">
        <f t="shared" si="2"/>
        <v>USD20X32F</v>
      </c>
      <c r="O54" s="118" t="str">
        <v>USD20X32F=GCMN</v>
      </c>
      <c r="P54" s="189" t="s">
        <v>281</v>
      </c>
      <c r="Q54" s="189" t="s">
        <v>281</v>
      </c>
      <c r="R54" s="189" t="s">
        <v>281</v>
      </c>
      <c r="S54" s="189" t="s">
        <v>281</v>
      </c>
      <c r="T54" s="119" t="e">
        <f t="shared" si="18"/>
        <v>#NUM!</v>
      </c>
      <c r="U54" s="189" t="e">
        <f t="shared" si="19"/>
        <v>#VALUE!</v>
      </c>
      <c r="V54" s="192"/>
      <c r="W54" s="189" t="e">
        <v>#NUM!</v>
      </c>
      <c r="X54" s="192"/>
      <c r="Y54" s="189" t="e">
        <v>#NUM!</v>
      </c>
      <c r="Z54" s="121">
        <f>_xll.qlSimpleQuoteSetValue(F54,Y54/100,Trigger)</f>
        <v>0</v>
      </c>
      <c r="AA54" s="157"/>
    </row>
    <row r="55" spans="1:27" x14ac:dyDescent="0.2">
      <c r="A55" s="76"/>
      <c r="B55" s="112"/>
      <c r="C55" s="112">
        <v>21</v>
      </c>
      <c r="D55" s="116" t="str">
        <f t="shared" si="14"/>
        <v>x33F</v>
      </c>
      <c r="E55" s="112" t="str">
        <f t="shared" si="0"/>
        <v>USD21x33F_Quote</v>
      </c>
      <c r="F55" s="91" t="str">
        <f>_xll.qlSimpleQuote(E55,,RateTickValue,Permanent,Trigger,ObjectOverwrite)</f>
        <v>USD21x33F_Quote#0000</v>
      </c>
      <c r="G55" s="213" t="str">
        <f>_xll.ohRangeRetrieveError(F55)</f>
        <v/>
      </c>
      <c r="H55" s="150"/>
      <c r="J55" s="135"/>
      <c r="K55" s="263">
        <f t="shared" si="16"/>
        <v>33</v>
      </c>
      <c r="L55" s="263">
        <f t="shared" si="17"/>
        <v>21</v>
      </c>
      <c r="M55" s="263" t="s">
        <v>163</v>
      </c>
      <c r="N55" s="118" t="str">
        <f t="shared" si="2"/>
        <v>USD21X33F</v>
      </c>
      <c r="O55" s="118" t="str">
        <v>USD21X33F=GCMN</v>
      </c>
      <c r="P55" s="189">
        <v>1.97</v>
      </c>
      <c r="Q55" s="189">
        <v>2.0099999999999998</v>
      </c>
      <c r="R55" s="189">
        <v>1.97</v>
      </c>
      <c r="S55" s="189">
        <v>1.9869999999999999</v>
      </c>
      <c r="T55" s="119">
        <f t="shared" si="18"/>
        <v>1.9899999999999998</v>
      </c>
      <c r="U55" s="189">
        <f t="shared" si="19"/>
        <v>3.9999999999999813E-2</v>
      </c>
      <c r="V55" s="192"/>
      <c r="W55" s="189">
        <v>1.9910000000000001</v>
      </c>
      <c r="X55" s="192"/>
      <c r="Y55" s="189">
        <v>1.9899999999999998</v>
      </c>
      <c r="Z55" s="121">
        <f>_xll.qlSimpleQuoteSetValue(F55,Y55/100,Trigger)</f>
        <v>0</v>
      </c>
      <c r="AA55" s="157"/>
    </row>
    <row r="56" spans="1:27" x14ac:dyDescent="0.2">
      <c r="A56" s="76"/>
      <c r="B56" s="112"/>
      <c r="C56" s="112">
        <v>22</v>
      </c>
      <c r="D56" s="116" t="str">
        <f t="shared" si="14"/>
        <v>x34F</v>
      </c>
      <c r="E56" s="112" t="str">
        <f t="shared" si="0"/>
        <v>USD22x34F_Quote</v>
      </c>
      <c r="F56" s="91" t="str">
        <f>_xll.qlSimpleQuote(E56,,RateTickValue,Permanent,Trigger,ObjectOverwrite)</f>
        <v>USD22x34F_Quote#0000</v>
      </c>
      <c r="G56" s="213" t="str">
        <f>_xll.ohRangeRetrieveError(F56)</f>
        <v/>
      </c>
      <c r="H56" s="150"/>
      <c r="J56" s="135"/>
      <c r="K56" s="263">
        <f t="shared" si="16"/>
        <v>34</v>
      </c>
      <c r="L56" s="263">
        <f t="shared" si="17"/>
        <v>22</v>
      </c>
      <c r="M56" s="263" t="s">
        <v>163</v>
      </c>
      <c r="N56" s="118" t="str">
        <f t="shared" si="2"/>
        <v>USD22X34F</v>
      </c>
      <c r="O56" s="118" t="str">
        <v>USD22X34F=GCMN</v>
      </c>
      <c r="P56" s="189" t="s">
        <v>281</v>
      </c>
      <c r="Q56" s="189" t="s">
        <v>281</v>
      </c>
      <c r="R56" s="189" t="s">
        <v>281</v>
      </c>
      <c r="S56" s="189" t="s">
        <v>281</v>
      </c>
      <c r="T56" s="119" t="e">
        <f t="shared" si="18"/>
        <v>#NUM!</v>
      </c>
      <c r="U56" s="189" t="e">
        <f t="shared" si="19"/>
        <v>#VALUE!</v>
      </c>
      <c r="V56" s="192"/>
      <c r="W56" s="189" t="e">
        <v>#NUM!</v>
      </c>
      <c r="X56" s="192"/>
      <c r="Y56" s="189" t="e">
        <v>#NUM!</v>
      </c>
      <c r="Z56" s="121">
        <f>_xll.qlSimpleQuoteSetValue(F56,Y56/100,Trigger)</f>
        <v>0</v>
      </c>
      <c r="AA56" s="157"/>
    </row>
    <row r="57" spans="1:27" x14ac:dyDescent="0.2">
      <c r="A57" s="76"/>
      <c r="B57" s="112"/>
      <c r="C57" s="112">
        <v>23</v>
      </c>
      <c r="D57" s="116" t="str">
        <f t="shared" si="14"/>
        <v>x35F</v>
      </c>
      <c r="E57" s="112" t="str">
        <f t="shared" si="0"/>
        <v>USD23x35F_Quote</v>
      </c>
      <c r="F57" s="91" t="str">
        <f>_xll.qlSimpleQuote(E57,,RateTickValue,Permanent,Trigger,ObjectOverwrite)</f>
        <v>USD23x35F_Quote#0000</v>
      </c>
      <c r="G57" s="213" t="str">
        <f>_xll.ohRangeRetrieveError(F57)</f>
        <v/>
      </c>
      <c r="H57" s="150"/>
      <c r="J57" s="135"/>
      <c r="K57" s="263">
        <f t="shared" si="16"/>
        <v>35</v>
      </c>
      <c r="L57" s="263">
        <f t="shared" si="17"/>
        <v>23</v>
      </c>
      <c r="M57" s="263" t="s">
        <v>163</v>
      </c>
      <c r="N57" s="118" t="str">
        <f t="shared" si="2"/>
        <v>USD23X35F</v>
      </c>
      <c r="O57" s="118" t="str">
        <v>USD23X35F=GCMN</v>
      </c>
      <c r="P57" s="189" t="s">
        <v>281</v>
      </c>
      <c r="Q57" s="189" t="s">
        <v>281</v>
      </c>
      <c r="R57" s="189" t="s">
        <v>281</v>
      </c>
      <c r="S57" s="189" t="s">
        <v>281</v>
      </c>
      <c r="T57" s="119" t="e">
        <f t="shared" si="18"/>
        <v>#NUM!</v>
      </c>
      <c r="U57" s="189" t="e">
        <f t="shared" si="19"/>
        <v>#VALUE!</v>
      </c>
      <c r="V57" s="192"/>
      <c r="W57" s="189" t="e">
        <v>#NUM!</v>
      </c>
      <c r="X57" s="192"/>
      <c r="Y57" s="189" t="e">
        <v>#NUM!</v>
      </c>
      <c r="Z57" s="121">
        <f>_xll.qlSimpleQuoteSetValue(F57,Y57/100,Trigger)</f>
        <v>0</v>
      </c>
      <c r="AA57" s="157"/>
    </row>
    <row r="58" spans="1:27" x14ac:dyDescent="0.2">
      <c r="A58" s="76"/>
      <c r="B58" s="114"/>
      <c r="C58" s="114">
        <v>24</v>
      </c>
      <c r="D58" s="117" t="str">
        <f t="shared" si="14"/>
        <v>x36F</v>
      </c>
      <c r="E58" s="114" t="str">
        <f t="shared" si="0"/>
        <v>USD24x36F_Quote</v>
      </c>
      <c r="F58" s="92" t="str">
        <f>_xll.qlSimpleQuote(E58,,RateTickValue,Permanent,Trigger,ObjectOverwrite)</f>
        <v>USD24x36F_Quote#0000</v>
      </c>
      <c r="G58" s="214" t="str">
        <f>_xll.ohRangeRetrieveError(F58)</f>
        <v/>
      </c>
      <c r="H58" s="151"/>
      <c r="I58" s="201"/>
      <c r="J58" s="135"/>
      <c r="K58" s="267">
        <f t="shared" si="16"/>
        <v>36</v>
      </c>
      <c r="L58" s="267">
        <f t="shared" si="17"/>
        <v>24</v>
      </c>
      <c r="M58" s="267" t="s">
        <v>163</v>
      </c>
      <c r="N58" s="122" t="str">
        <f t="shared" si="2"/>
        <v>USD24X36F</v>
      </c>
      <c r="O58" s="122" t="str">
        <v>USD24X36F=GCMN</v>
      </c>
      <c r="P58" s="191">
        <v>2.101</v>
      </c>
      <c r="Q58" s="191">
        <v>2.141</v>
      </c>
      <c r="R58" s="191">
        <v>2.101</v>
      </c>
      <c r="S58" s="191">
        <v>2.125</v>
      </c>
      <c r="T58" s="126">
        <f t="shared" si="4"/>
        <v>2.121</v>
      </c>
      <c r="U58" s="191">
        <f t="shared" si="5"/>
        <v>4.0000000000000036E-2</v>
      </c>
      <c r="V58" s="192"/>
      <c r="W58" s="191">
        <v>2.1230000000000002</v>
      </c>
      <c r="X58" s="192"/>
      <c r="Y58" s="191">
        <v>2.121</v>
      </c>
      <c r="Z58" s="123">
        <f>_xll.qlSimpleQuoteSetValue(F58,Y58/100,Trigger)</f>
        <v>0</v>
      </c>
      <c r="AA58" s="157"/>
    </row>
    <row r="59" spans="1:27" x14ac:dyDescent="0.2">
      <c r="A59" s="139"/>
      <c r="B59" s="140"/>
      <c r="C59" s="140"/>
      <c r="D59" s="140"/>
      <c r="E59" s="140"/>
      <c r="F59" s="140"/>
      <c r="G59" s="152"/>
      <c r="H59" s="153"/>
      <c r="J59" s="139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1"/>
    </row>
  </sheetData>
  <conditionalFormatting sqref="Z5:Z5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8" hidden="1" customWidth="1" outlineLevel="1"/>
    <col min="3" max="4" width="4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1" width="2.7109375" style="198" customWidth="1"/>
    <col min="12" max="13" width="4" style="198" bestFit="1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16384" width="9.140625" style="198"/>
  </cols>
  <sheetData>
    <row r="1" spans="1:27" x14ac:dyDescent="0.2">
      <c r="A1" s="142"/>
      <c r="B1" s="133"/>
      <c r="C1" s="133"/>
      <c r="D1" s="133"/>
      <c r="E1" s="133"/>
      <c r="F1" s="147"/>
      <c r="G1" s="133"/>
      <c r="H1" s="134"/>
      <c r="J1" s="167" t="s">
        <v>121</v>
      </c>
      <c r="K1" s="246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8"/>
    </row>
    <row r="2" spans="1:27" x14ac:dyDescent="0.2">
      <c r="A2" s="135"/>
      <c r="B2" s="136"/>
      <c r="C2" s="136"/>
      <c r="D2" s="136"/>
      <c r="E2" s="136"/>
      <c r="F2" s="149"/>
      <c r="G2" s="136"/>
      <c r="H2" s="137"/>
      <c r="J2" s="169"/>
      <c r="K2" s="7"/>
      <c r="L2" s="7"/>
      <c r="M2" s="7"/>
      <c r="N2" s="7"/>
      <c r="O2" s="241" t="str">
        <f>VLOOKUP($J$1,AreaTable,AreaIndex,0)</f>
        <v>Tullet</v>
      </c>
      <c r="P2" s="7"/>
      <c r="Q2" s="7"/>
      <c r="R2" s="7"/>
      <c r="S2" s="7"/>
      <c r="T2" s="7"/>
      <c r="U2" s="7"/>
      <c r="V2" s="56"/>
      <c r="W2" s="56"/>
      <c r="X2" s="56"/>
      <c r="Y2" s="56"/>
      <c r="Z2" s="109">
        <f>_xll.ohTrigger(Z5:Z58)</f>
        <v>135</v>
      </c>
      <c r="AA2" s="170"/>
    </row>
    <row r="3" spans="1:27" x14ac:dyDescent="0.2">
      <c r="A3" s="138"/>
      <c r="B3" s="159"/>
      <c r="C3" s="7"/>
      <c r="D3" s="7"/>
      <c r="E3" s="136"/>
      <c r="F3" s="149"/>
      <c r="G3" s="136"/>
      <c r="H3" s="170"/>
      <c r="J3" s="76"/>
      <c r="K3" s="56"/>
      <c r="L3" s="56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74"/>
      <c r="AA3" s="77"/>
    </row>
    <row r="4" spans="1:27" ht="22.5" x14ac:dyDescent="0.2">
      <c r="A4" s="76"/>
      <c r="B4" s="101"/>
      <c r="C4" s="101"/>
      <c r="D4" s="101"/>
      <c r="E4" s="102" t="s">
        <v>248</v>
      </c>
      <c r="F4" s="102" t="s">
        <v>249</v>
      </c>
      <c r="G4" s="166" t="s">
        <v>266</v>
      </c>
      <c r="H4" s="170"/>
      <c r="J4" s="76"/>
      <c r="K4" s="247"/>
      <c r="L4" s="248"/>
      <c r="M4" s="176"/>
      <c r="N4" s="176" t="s">
        <v>268</v>
      </c>
      <c r="O4" s="177" t="str">
        <f>_xll.RData(O5:O58,P4:S4,"RTFEED:IDN",ReutersRtMode,,P5)</f>
        <v>Paused at 10:47:50</v>
      </c>
      <c r="P4" s="178" t="s">
        <v>148</v>
      </c>
      <c r="Q4" s="178" t="s">
        <v>147</v>
      </c>
      <c r="R4" s="178" t="s">
        <v>157</v>
      </c>
      <c r="S4" s="178" t="s">
        <v>165</v>
      </c>
      <c r="T4" s="179" t="s">
        <v>172</v>
      </c>
      <c r="U4" s="88" t="s">
        <v>267</v>
      </c>
      <c r="V4" s="56"/>
      <c r="W4" s="87" t="s">
        <v>162</v>
      </c>
      <c r="X4" s="56"/>
      <c r="Y4" s="103" t="s">
        <v>161</v>
      </c>
      <c r="Z4" s="103" t="s">
        <v>160</v>
      </c>
      <c r="AA4" s="77"/>
    </row>
    <row r="5" spans="1:27" x14ac:dyDescent="0.2">
      <c r="A5" s="76"/>
      <c r="B5" s="90"/>
      <c r="C5" s="90" t="s">
        <v>121</v>
      </c>
      <c r="D5" s="90" t="str">
        <f>L5</f>
        <v>SW</v>
      </c>
      <c r="E5" s="112" t="str">
        <f t="shared" ref="E5:E36" si="0">Currency&amp;$C5&amp;$D5&amp;QuoteSuffix</f>
        <v>USDOISSW_Quote</v>
      </c>
      <c r="F5" s="91" t="str">
        <f>_xll.qlSimpleQuote(Currency&amp;$C5&amp;$D5&amp;QuoteSuffix,,RateTickValue,Permanent,Trigger,ObjectOverwrite)</f>
        <v>USDOISSW_Quote#0000</v>
      </c>
      <c r="G5" s="213" t="str">
        <f>_xll.ohRangeRetrieveError(F5)</f>
        <v/>
      </c>
      <c r="H5" s="170"/>
      <c r="J5" s="76"/>
      <c r="K5" s="78"/>
      <c r="L5" s="249" t="s">
        <v>22</v>
      </c>
      <c r="M5" s="180" t="s">
        <v>121</v>
      </c>
      <c r="N5" s="181" t="str">
        <f t="shared" ref="N5:N36" si="1">Currency&amp;$L5&amp;$M5</f>
        <v>USDSWOIS</v>
      </c>
      <c r="O5" s="181" t="str">
        <f t="array" ref="O5:O58">Instruments&amp;"="&amp;VLOOKUP(Contributor,ContributorTable,2,FALSE)</f>
        <v>USDSWOIS=TTKL</v>
      </c>
      <c r="P5" s="84">
        <v>0.10900000000000001</v>
      </c>
      <c r="Q5" s="84">
        <v>0.13900000000000001</v>
      </c>
      <c r="R5" s="84">
        <v>0</v>
      </c>
      <c r="S5" s="84">
        <v>0</v>
      </c>
      <c r="T5" s="84">
        <f>IF(ISERROR(AVERAGE(P5,Q5)),#NUM!,AVERAGE(P5,Q5))</f>
        <v>0.12400000000000001</v>
      </c>
      <c r="U5" s="85">
        <f>Q5-P5</f>
        <v>0.03</v>
      </c>
      <c r="V5" s="194"/>
      <c r="W5" s="195">
        <v>0.124</v>
      </c>
      <c r="X5" s="194"/>
      <c r="Y5" s="84">
        <f t="array" ref="Y5:Y58">QuoteLive</f>
        <v>0.12400000000000001</v>
      </c>
      <c r="Z5" s="186">
        <f>_xll.qlSimpleQuoteSetValue(F5,Y5/100,Trigger)</f>
        <v>0</v>
      </c>
      <c r="AA5" s="77"/>
    </row>
    <row r="6" spans="1:27" x14ac:dyDescent="0.2">
      <c r="A6" s="76"/>
      <c r="B6" s="91"/>
      <c r="C6" s="91" t="s">
        <v>121</v>
      </c>
      <c r="D6" s="91" t="str">
        <f t="shared" ref="D6:D58" si="2">L6</f>
        <v>2W</v>
      </c>
      <c r="E6" s="112" t="str">
        <f t="shared" si="0"/>
        <v>USDOIS2W_Quote</v>
      </c>
      <c r="F6" s="91" t="str">
        <f>_xll.qlSimpleQuote(Currency&amp;$C6&amp;$D6&amp;QuoteSuffix,,RateTickValue,Permanent,Trigger,ObjectOverwrite)</f>
        <v>USDOIS2W_Quote#0000</v>
      </c>
      <c r="G6" s="213" t="str">
        <f>_xll.ohRangeRetrieveError(F6)</f>
        <v/>
      </c>
      <c r="H6" s="170"/>
      <c r="J6" s="76"/>
      <c r="K6" s="79"/>
      <c r="L6" s="250" t="s">
        <v>21</v>
      </c>
      <c r="M6" s="182" t="s">
        <v>121</v>
      </c>
      <c r="N6" s="183" t="str">
        <f t="shared" si="1"/>
        <v>USD2WOIS</v>
      </c>
      <c r="O6" s="183" t="str">
        <v>USD2WOIS=TTKL</v>
      </c>
      <c r="P6" s="85">
        <v>0.10900000000000001</v>
      </c>
      <c r="Q6" s="85">
        <v>0.13900000000000001</v>
      </c>
      <c r="R6" s="85">
        <v>0</v>
      </c>
      <c r="S6" s="85">
        <v>0</v>
      </c>
      <c r="T6" s="85">
        <f t="shared" ref="T6:T58" si="3">IF(ISERROR(AVERAGE(P6,Q6)),#NUM!,AVERAGE(P6,Q6))</f>
        <v>0.12400000000000001</v>
      </c>
      <c r="U6" s="85">
        <f t="shared" ref="U6:U58" si="4">Q6-P6</f>
        <v>0.03</v>
      </c>
      <c r="V6" s="194"/>
      <c r="W6" s="196">
        <v>0.124</v>
      </c>
      <c r="X6" s="194"/>
      <c r="Y6" s="85">
        <v>0.12400000000000001</v>
      </c>
      <c r="Z6" s="187">
        <f>_xll.qlSimpleQuoteSetValue(F6,Y6/100,Trigger)</f>
        <v>0</v>
      </c>
      <c r="AA6" s="77"/>
    </row>
    <row r="7" spans="1:27" x14ac:dyDescent="0.2">
      <c r="A7" s="76"/>
      <c r="B7" s="91"/>
      <c r="C7" s="91" t="s">
        <v>121</v>
      </c>
      <c r="D7" s="91" t="str">
        <f t="shared" si="2"/>
        <v>3W</v>
      </c>
      <c r="E7" s="112" t="str">
        <f t="shared" si="0"/>
        <v>USDOIS3W_Quote</v>
      </c>
      <c r="F7" s="91" t="str">
        <f>_xll.qlSimpleQuote(Currency&amp;$C7&amp;$D7&amp;QuoteSuffix,,RateTickValue,Permanent,Trigger,ObjectOverwrite)</f>
        <v>USDOIS3W_Quote#0000</v>
      </c>
      <c r="G7" s="213" t="str">
        <f>_xll.ohRangeRetrieveError(F7)</f>
        <v/>
      </c>
      <c r="H7" s="170"/>
      <c r="J7" s="76"/>
      <c r="K7" s="79"/>
      <c r="L7" s="250" t="s">
        <v>20</v>
      </c>
      <c r="M7" s="182" t="s">
        <v>121</v>
      </c>
      <c r="N7" s="183" t="str">
        <f t="shared" si="1"/>
        <v>USD3WOIS</v>
      </c>
      <c r="O7" s="183" t="str">
        <v>USD3WOIS=TTKL</v>
      </c>
      <c r="P7" s="85">
        <v>0.10900000000000001</v>
      </c>
      <c r="Q7" s="85">
        <v>0.13900000000000001</v>
      </c>
      <c r="R7" s="85">
        <v>0</v>
      </c>
      <c r="S7" s="85">
        <v>0</v>
      </c>
      <c r="T7" s="85">
        <f t="shared" si="3"/>
        <v>0.12400000000000001</v>
      </c>
      <c r="U7" s="85">
        <f t="shared" si="4"/>
        <v>0.03</v>
      </c>
      <c r="V7" s="194"/>
      <c r="W7" s="196">
        <v>0.124</v>
      </c>
      <c r="X7" s="194"/>
      <c r="Y7" s="85">
        <v>0.12400000000000001</v>
      </c>
      <c r="Z7" s="187">
        <f>_xll.qlSimpleQuoteSetValue(F7,Y7/100,Trigger)</f>
        <v>0</v>
      </c>
      <c r="AA7" s="77"/>
    </row>
    <row r="8" spans="1:27" x14ac:dyDescent="0.2">
      <c r="A8" s="76"/>
      <c r="B8" s="91"/>
      <c r="C8" s="91" t="s">
        <v>121</v>
      </c>
      <c r="D8" s="91" t="str">
        <f t="shared" si="2"/>
        <v>1M</v>
      </c>
      <c r="E8" s="112" t="str">
        <f t="shared" si="0"/>
        <v>USDOIS1M_Quote</v>
      </c>
      <c r="F8" s="91" t="str">
        <f>_xll.qlSimpleQuote(Currency&amp;$C8&amp;$D8&amp;QuoteSuffix,,RateTickValue,Permanent,Trigger,ObjectOverwrite)</f>
        <v>USDOIS1M_Quote#0000</v>
      </c>
      <c r="G8" s="213" t="str">
        <f>_xll.ohRangeRetrieveError(F8)</f>
        <v/>
      </c>
      <c r="H8" s="170"/>
      <c r="J8" s="76"/>
      <c r="K8" s="79"/>
      <c r="L8" s="250" t="s">
        <v>19</v>
      </c>
      <c r="M8" s="182" t="s">
        <v>121</v>
      </c>
      <c r="N8" s="183" t="str">
        <f t="shared" si="1"/>
        <v>USD1MOIS</v>
      </c>
      <c r="O8" s="183" t="str">
        <v>USD1MOIS=TTKL</v>
      </c>
      <c r="P8" s="85">
        <v>0.11200000000000002</v>
      </c>
      <c r="Q8" s="85">
        <v>0.14199999999999999</v>
      </c>
      <c r="R8" s="85">
        <v>0</v>
      </c>
      <c r="S8" s="85">
        <v>0</v>
      </c>
      <c r="T8" s="85">
        <f t="shared" si="3"/>
        <v>0.127</v>
      </c>
      <c r="U8" s="85">
        <f t="shared" si="4"/>
        <v>2.9999999999999971E-2</v>
      </c>
      <c r="V8" s="194"/>
      <c r="W8" s="196">
        <v>0.127</v>
      </c>
      <c r="X8" s="194"/>
      <c r="Y8" s="85">
        <v>0.127</v>
      </c>
      <c r="Z8" s="187">
        <f>_xll.qlSimpleQuoteSetValue(F8,Y8/100,Trigger)</f>
        <v>0</v>
      </c>
      <c r="AA8" s="77"/>
    </row>
    <row r="9" spans="1:27" x14ac:dyDescent="0.2">
      <c r="A9" s="76"/>
      <c r="B9" s="91"/>
      <c r="C9" s="91" t="s">
        <v>121</v>
      </c>
      <c r="D9" s="91" t="str">
        <f t="shared" si="2"/>
        <v>2M</v>
      </c>
      <c r="E9" s="112" t="str">
        <f t="shared" si="0"/>
        <v>USDOIS2M_Quote</v>
      </c>
      <c r="F9" s="91" t="str">
        <f>_xll.qlSimpleQuote(Currency&amp;$C9&amp;$D9&amp;QuoteSuffix,,RateTickValue,Permanent,Trigger,ObjectOverwrite)</f>
        <v>USDOIS2M_Quote#0000</v>
      </c>
      <c r="G9" s="213" t="str">
        <f>_xll.ohRangeRetrieveError(F9)</f>
        <v/>
      </c>
      <c r="H9" s="170"/>
      <c r="J9" s="76"/>
      <c r="K9" s="79"/>
      <c r="L9" s="250" t="s">
        <v>18</v>
      </c>
      <c r="M9" s="182" t="s">
        <v>121</v>
      </c>
      <c r="N9" s="183" t="str">
        <f t="shared" si="1"/>
        <v>USD2MOIS</v>
      </c>
      <c r="O9" s="183" t="str">
        <v>USD2MOIS=TTKL</v>
      </c>
      <c r="P9" s="85">
        <v>0.11899999999999999</v>
      </c>
      <c r="Q9" s="85">
        <v>0.14899999999999999</v>
      </c>
      <c r="R9" s="85">
        <v>0</v>
      </c>
      <c r="S9" s="85">
        <v>0</v>
      </c>
      <c r="T9" s="85">
        <f t="shared" si="3"/>
        <v>0.13400000000000001</v>
      </c>
      <c r="U9" s="85">
        <f t="shared" si="4"/>
        <v>0.03</v>
      </c>
      <c r="V9" s="194"/>
      <c r="W9" s="196">
        <v>0.13400000000000001</v>
      </c>
      <c r="X9" s="194"/>
      <c r="Y9" s="85">
        <v>0.13400000000000001</v>
      </c>
      <c r="Z9" s="187">
        <f>_xll.qlSimpleQuoteSetValue(F9,Y9/100,Trigger)</f>
        <v>0</v>
      </c>
      <c r="AA9" s="77"/>
    </row>
    <row r="10" spans="1:27" x14ac:dyDescent="0.2">
      <c r="A10" s="76"/>
      <c r="B10" s="91"/>
      <c r="C10" s="91" t="s">
        <v>121</v>
      </c>
      <c r="D10" s="91" t="str">
        <f t="shared" si="2"/>
        <v>3M</v>
      </c>
      <c r="E10" s="112" t="str">
        <f t="shared" si="0"/>
        <v>USDOIS3M_Quote</v>
      </c>
      <c r="F10" s="91" t="str">
        <f>_xll.qlSimpleQuote(Currency&amp;$C10&amp;$D10&amp;QuoteSuffix,,RateTickValue,Permanent,Trigger,ObjectOverwrite)</f>
        <v>USDOIS3M_Quote#0000</v>
      </c>
      <c r="G10" s="213" t="str">
        <f>_xll.ohRangeRetrieveError(F10)</f>
        <v/>
      </c>
      <c r="H10" s="170"/>
      <c r="J10" s="76"/>
      <c r="K10" s="79"/>
      <c r="L10" s="250" t="s">
        <v>17</v>
      </c>
      <c r="M10" s="182" t="s">
        <v>121</v>
      </c>
      <c r="N10" s="183" t="str">
        <f t="shared" si="1"/>
        <v>USD3MOIS</v>
      </c>
      <c r="O10" s="183" t="str">
        <v>USD3MOIS=TTKL</v>
      </c>
      <c r="P10" s="85">
        <v>0.124</v>
      </c>
      <c r="Q10" s="85">
        <v>0.154</v>
      </c>
      <c r="R10" s="85">
        <v>0</v>
      </c>
      <c r="S10" s="85">
        <v>0</v>
      </c>
      <c r="T10" s="85">
        <f t="shared" si="3"/>
        <v>0.13900000000000001</v>
      </c>
      <c r="U10" s="85">
        <f t="shared" si="4"/>
        <v>0.03</v>
      </c>
      <c r="V10" s="194"/>
      <c r="W10" s="196">
        <v>0.13900000000000001</v>
      </c>
      <c r="X10" s="194"/>
      <c r="Y10" s="85">
        <v>0.13900000000000001</v>
      </c>
      <c r="Z10" s="187">
        <f>_xll.qlSimpleQuoteSetValue(F10,Y10/100,Trigger)</f>
        <v>0</v>
      </c>
      <c r="AA10" s="77"/>
    </row>
    <row r="11" spans="1:27" x14ac:dyDescent="0.2">
      <c r="A11" s="76"/>
      <c r="B11" s="91"/>
      <c r="C11" s="91" t="s">
        <v>121</v>
      </c>
      <c r="D11" s="91" t="str">
        <f t="shared" si="2"/>
        <v>4M</v>
      </c>
      <c r="E11" s="112" t="str">
        <f t="shared" si="0"/>
        <v>USDOIS4M_Quote</v>
      </c>
      <c r="F11" s="91" t="str">
        <f>_xll.qlSimpleQuote(Currency&amp;$C11&amp;$D11&amp;QuoteSuffix,,RateTickValue,Permanent,Trigger,ObjectOverwrite)</f>
        <v>USDOIS4M_Quote#0000</v>
      </c>
      <c r="G11" s="213" t="str">
        <f>_xll.ohRangeRetrieveError(F11)</f>
        <v/>
      </c>
      <c r="H11" s="170"/>
      <c r="J11" s="76"/>
      <c r="K11" s="79"/>
      <c r="L11" s="250" t="s">
        <v>16</v>
      </c>
      <c r="M11" s="182" t="s">
        <v>121</v>
      </c>
      <c r="N11" s="183" t="str">
        <f t="shared" si="1"/>
        <v>USD4MOIS</v>
      </c>
      <c r="O11" s="183" t="str">
        <v>USD4MOIS=TTKL</v>
      </c>
      <c r="P11" s="85">
        <v>0.128</v>
      </c>
      <c r="Q11" s="85">
        <v>0.158</v>
      </c>
      <c r="R11" s="85">
        <v>0</v>
      </c>
      <c r="S11" s="85">
        <v>0</v>
      </c>
      <c r="T11" s="85">
        <f t="shared" si="3"/>
        <v>0.14300000000000002</v>
      </c>
      <c r="U11" s="85">
        <f t="shared" si="4"/>
        <v>0.03</v>
      </c>
      <c r="V11" s="194"/>
      <c r="W11" s="196">
        <v>0.14400000000000002</v>
      </c>
      <c r="X11" s="194"/>
      <c r="Y11" s="85">
        <v>0.14300000000000002</v>
      </c>
      <c r="Z11" s="187">
        <f>_xll.qlSimpleQuoteSetValue(F11,Y11/100,Trigger)</f>
        <v>0</v>
      </c>
      <c r="AA11" s="77"/>
    </row>
    <row r="12" spans="1:27" x14ac:dyDescent="0.2">
      <c r="A12" s="76"/>
      <c r="B12" s="91"/>
      <c r="C12" s="91" t="s">
        <v>121</v>
      </c>
      <c r="D12" s="91" t="str">
        <f t="shared" si="2"/>
        <v>5M</v>
      </c>
      <c r="E12" s="112" t="str">
        <f t="shared" si="0"/>
        <v>USDOIS5M_Quote</v>
      </c>
      <c r="F12" s="91" t="str">
        <f>_xll.qlSimpleQuote(Currency&amp;$C12&amp;$D12&amp;QuoteSuffix,,RateTickValue,Permanent,Trigger,ObjectOverwrite)</f>
        <v>USDOIS5M_Quote#0000</v>
      </c>
      <c r="G12" s="213" t="str">
        <f>_xll.ohRangeRetrieveError(F12)</f>
        <v/>
      </c>
      <c r="H12" s="170"/>
      <c r="J12" s="76"/>
      <c r="K12" s="79"/>
      <c r="L12" s="250" t="s">
        <v>15</v>
      </c>
      <c r="M12" s="182" t="s">
        <v>121</v>
      </c>
      <c r="N12" s="183" t="str">
        <f t="shared" si="1"/>
        <v>USD5MOIS</v>
      </c>
      <c r="O12" s="183" t="str">
        <v>USD5MOIS=TTKL</v>
      </c>
      <c r="P12" s="85">
        <v>0.14399999999999999</v>
      </c>
      <c r="Q12" s="85">
        <v>0.17399999999999999</v>
      </c>
      <c r="R12" s="85">
        <v>0</v>
      </c>
      <c r="S12" s="85">
        <v>0</v>
      </c>
      <c r="T12" s="85">
        <f t="shared" si="3"/>
        <v>0.15899999999999997</v>
      </c>
      <c r="U12" s="85">
        <f t="shared" si="4"/>
        <v>0.03</v>
      </c>
      <c r="V12" s="194"/>
      <c r="W12" s="196">
        <v>0.16</v>
      </c>
      <c r="X12" s="194"/>
      <c r="Y12" s="85">
        <v>0.15899999999999997</v>
      </c>
      <c r="Z12" s="187">
        <f>_xll.qlSimpleQuoteSetValue(F12,Y12/100,Trigger)</f>
        <v>0</v>
      </c>
      <c r="AA12" s="77"/>
    </row>
    <row r="13" spans="1:27" x14ac:dyDescent="0.2">
      <c r="A13" s="76"/>
      <c r="B13" s="91"/>
      <c r="C13" s="91" t="s">
        <v>121</v>
      </c>
      <c r="D13" s="91" t="str">
        <f t="shared" si="2"/>
        <v>6M</v>
      </c>
      <c r="E13" s="112" t="str">
        <f t="shared" si="0"/>
        <v>USDOIS6M_Quote</v>
      </c>
      <c r="F13" s="91" t="str">
        <f>_xll.qlSimpleQuote(Currency&amp;$C13&amp;$D13&amp;QuoteSuffix,,RateTickValue,Permanent,Trigger,ObjectOverwrite)</f>
        <v>USDOIS6M_Quote#0000</v>
      </c>
      <c r="G13" s="213" t="str">
        <f>_xll.ohRangeRetrieveError(F13)</f>
        <v/>
      </c>
      <c r="H13" s="170"/>
      <c r="J13" s="76"/>
      <c r="K13" s="79"/>
      <c r="L13" s="250" t="s">
        <v>14</v>
      </c>
      <c r="M13" s="182" t="s">
        <v>121</v>
      </c>
      <c r="N13" s="183" t="str">
        <f t="shared" si="1"/>
        <v>USD6MOIS</v>
      </c>
      <c r="O13" s="183" t="str">
        <v>USD6MOIS=TTKL</v>
      </c>
      <c r="P13" s="85">
        <v>0.158</v>
      </c>
      <c r="Q13" s="85">
        <v>0.188</v>
      </c>
      <c r="R13" s="85">
        <v>0</v>
      </c>
      <c r="S13" s="85">
        <v>0</v>
      </c>
      <c r="T13" s="85">
        <f t="shared" si="3"/>
        <v>0.17299999999999999</v>
      </c>
      <c r="U13" s="85">
        <f t="shared" si="4"/>
        <v>0.03</v>
      </c>
      <c r="V13" s="194"/>
      <c r="W13" s="196">
        <v>0.17399999999999999</v>
      </c>
      <c r="X13" s="194"/>
      <c r="Y13" s="85">
        <v>0.17299999999999999</v>
      </c>
      <c r="Z13" s="187">
        <f>_xll.qlSimpleQuoteSetValue(F13,Y13/100,Trigger)</f>
        <v>0</v>
      </c>
      <c r="AA13" s="77"/>
    </row>
    <row r="14" spans="1:27" x14ac:dyDescent="0.2">
      <c r="A14" s="76"/>
      <c r="B14" s="91"/>
      <c r="C14" s="91" t="s">
        <v>121</v>
      </c>
      <c r="D14" s="91" t="str">
        <f t="shared" si="2"/>
        <v>7M</v>
      </c>
      <c r="E14" s="112" t="str">
        <f t="shared" si="0"/>
        <v>USDOIS7M_Quote</v>
      </c>
      <c r="F14" s="91" t="str">
        <f>_xll.qlSimpleQuote(Currency&amp;$C14&amp;$D14&amp;QuoteSuffix,,RateTickValue,Permanent,Trigger,ObjectOverwrite)</f>
        <v>USDOIS7M_Quote#0000</v>
      </c>
      <c r="G14" s="213" t="str">
        <f>_xll.ohRangeRetrieveError(F14)</f>
        <v/>
      </c>
      <c r="H14" s="170"/>
      <c r="J14" s="76"/>
      <c r="K14" s="79"/>
      <c r="L14" s="250" t="s">
        <v>13</v>
      </c>
      <c r="M14" s="182" t="s">
        <v>121</v>
      </c>
      <c r="N14" s="183" t="str">
        <f t="shared" si="1"/>
        <v>USD7MOIS</v>
      </c>
      <c r="O14" s="183" t="str">
        <v>USD7MOIS=TTKL</v>
      </c>
      <c r="P14" s="85">
        <v>0.17099999999999999</v>
      </c>
      <c r="Q14" s="85">
        <v>0.20099999999999998</v>
      </c>
      <c r="R14" s="85">
        <v>0</v>
      </c>
      <c r="S14" s="85">
        <v>0</v>
      </c>
      <c r="T14" s="85">
        <f t="shared" si="3"/>
        <v>0.186</v>
      </c>
      <c r="U14" s="85">
        <f t="shared" si="4"/>
        <v>0.03</v>
      </c>
      <c r="V14" s="194"/>
      <c r="W14" s="196">
        <v>0.187</v>
      </c>
      <c r="X14" s="194"/>
      <c r="Y14" s="85">
        <v>0.186</v>
      </c>
      <c r="Z14" s="187">
        <f>_xll.qlSimpleQuoteSetValue(F14,Y14/100,Trigger)</f>
        <v>0</v>
      </c>
      <c r="AA14" s="77"/>
    </row>
    <row r="15" spans="1:27" x14ac:dyDescent="0.2">
      <c r="A15" s="76"/>
      <c r="B15" s="91"/>
      <c r="C15" s="91" t="s">
        <v>121</v>
      </c>
      <c r="D15" s="91" t="str">
        <f t="shared" si="2"/>
        <v>8M</v>
      </c>
      <c r="E15" s="112" t="str">
        <f t="shared" si="0"/>
        <v>USDOIS8M_Quote</v>
      </c>
      <c r="F15" s="91" t="str">
        <f>_xll.qlSimpleQuote(Currency&amp;$C15&amp;$D15&amp;QuoteSuffix,,RateTickValue,Permanent,Trigger,ObjectOverwrite)</f>
        <v>USDOIS8M_Quote#0000</v>
      </c>
      <c r="G15" s="213" t="str">
        <f>_xll.ohRangeRetrieveError(F15)</f>
        <v/>
      </c>
      <c r="H15" s="170"/>
      <c r="J15" s="76"/>
      <c r="K15" s="79"/>
      <c r="L15" s="250" t="s">
        <v>12</v>
      </c>
      <c r="M15" s="182" t="s">
        <v>121</v>
      </c>
      <c r="N15" s="183" t="str">
        <f t="shared" si="1"/>
        <v>USD8MOIS</v>
      </c>
      <c r="O15" s="183" t="str">
        <v>USD8MOIS=TTKL</v>
      </c>
      <c r="P15" s="85">
        <v>0.19400000000000001</v>
      </c>
      <c r="Q15" s="85">
        <v>0.22400000000000003</v>
      </c>
      <c r="R15" s="85">
        <v>0</v>
      </c>
      <c r="S15" s="85">
        <v>0</v>
      </c>
      <c r="T15" s="85">
        <f t="shared" si="3"/>
        <v>0.20900000000000002</v>
      </c>
      <c r="U15" s="85">
        <f t="shared" si="4"/>
        <v>3.0000000000000027E-2</v>
      </c>
      <c r="V15" s="194"/>
      <c r="W15" s="196">
        <v>0.20900000000000002</v>
      </c>
      <c r="X15" s="194"/>
      <c r="Y15" s="85">
        <v>0.20900000000000002</v>
      </c>
      <c r="Z15" s="187">
        <f>_xll.qlSimpleQuoteSetValue(F15,Y15/100,Trigger)</f>
        <v>0</v>
      </c>
      <c r="AA15" s="77"/>
    </row>
    <row r="16" spans="1:27" x14ac:dyDescent="0.2">
      <c r="A16" s="76"/>
      <c r="B16" s="91"/>
      <c r="C16" s="91" t="s">
        <v>121</v>
      </c>
      <c r="D16" s="91" t="str">
        <f t="shared" si="2"/>
        <v>9M</v>
      </c>
      <c r="E16" s="112" t="str">
        <f t="shared" si="0"/>
        <v>USDOIS9M_Quote</v>
      </c>
      <c r="F16" s="91" t="str">
        <f>_xll.qlSimpleQuote(Currency&amp;$C16&amp;$D16&amp;QuoteSuffix,,RateTickValue,Permanent,Trigger,ObjectOverwrite)</f>
        <v>USDOIS9M_Quote#0000</v>
      </c>
      <c r="G16" s="213" t="str">
        <f>_xll.ohRangeRetrieveError(F16)</f>
        <v/>
      </c>
      <c r="H16" s="170"/>
      <c r="J16" s="76"/>
      <c r="K16" s="79"/>
      <c r="L16" s="250" t="s">
        <v>11</v>
      </c>
      <c r="M16" s="182" t="s">
        <v>121</v>
      </c>
      <c r="N16" s="183" t="str">
        <f t="shared" si="1"/>
        <v>USD9MOIS</v>
      </c>
      <c r="O16" s="183" t="str">
        <v>USD9MOIS=TTKL</v>
      </c>
      <c r="P16" s="85">
        <v>0.215</v>
      </c>
      <c r="Q16" s="85">
        <v>0.24500000000000002</v>
      </c>
      <c r="R16" s="85">
        <v>0</v>
      </c>
      <c r="S16" s="85">
        <v>0</v>
      </c>
      <c r="T16" s="85">
        <f t="shared" si="3"/>
        <v>0.23</v>
      </c>
      <c r="U16" s="85">
        <f t="shared" si="4"/>
        <v>3.0000000000000027E-2</v>
      </c>
      <c r="V16" s="194"/>
      <c r="W16" s="196">
        <v>0.22999999999999998</v>
      </c>
      <c r="X16" s="194"/>
      <c r="Y16" s="85">
        <v>0.23</v>
      </c>
      <c r="Z16" s="187">
        <f>_xll.qlSimpleQuoteSetValue(F16,Y16/100,Trigger)</f>
        <v>0</v>
      </c>
      <c r="AA16" s="77"/>
    </row>
    <row r="17" spans="1:27" x14ac:dyDescent="0.2">
      <c r="A17" s="76"/>
      <c r="B17" s="91"/>
      <c r="C17" s="91" t="s">
        <v>121</v>
      </c>
      <c r="D17" s="91" t="str">
        <f t="shared" si="2"/>
        <v>10M</v>
      </c>
      <c r="E17" s="112" t="str">
        <f t="shared" si="0"/>
        <v>USDOIS10M_Quote</v>
      </c>
      <c r="F17" s="91" t="str">
        <f>_xll.qlSimpleQuote(Currency&amp;$C17&amp;$D17&amp;QuoteSuffix,,RateTickValue,Permanent,Trigger,ObjectOverwrite)</f>
        <v>USDOIS10M_Quote#0000</v>
      </c>
      <c r="G17" s="213" t="str">
        <f>_xll.ohRangeRetrieveError(F17)</f>
        <v/>
      </c>
      <c r="H17" s="170"/>
      <c r="J17" s="76"/>
      <c r="K17" s="79"/>
      <c r="L17" s="250" t="s">
        <v>10</v>
      </c>
      <c r="M17" s="182" t="s">
        <v>121</v>
      </c>
      <c r="N17" s="183" t="str">
        <f t="shared" si="1"/>
        <v>USD10MOIS</v>
      </c>
      <c r="O17" s="183" t="str">
        <v>USD10MOIS=TTKL</v>
      </c>
      <c r="P17" s="85">
        <v>0.23300000000000001</v>
      </c>
      <c r="Q17" s="85">
        <v>0.26300000000000001</v>
      </c>
      <c r="R17" s="85">
        <v>0</v>
      </c>
      <c r="S17" s="85">
        <v>0</v>
      </c>
      <c r="T17" s="85">
        <f t="shared" si="3"/>
        <v>0.248</v>
      </c>
      <c r="U17" s="85">
        <f t="shared" si="4"/>
        <v>0.03</v>
      </c>
      <c r="V17" s="194"/>
      <c r="W17" s="196">
        <v>0.248</v>
      </c>
      <c r="X17" s="194"/>
      <c r="Y17" s="85">
        <v>0.248</v>
      </c>
      <c r="Z17" s="187">
        <f>_xll.qlSimpleQuoteSetValue(F17,Y17/100,Trigger)</f>
        <v>0</v>
      </c>
      <c r="AA17" s="77"/>
    </row>
    <row r="18" spans="1:27" x14ac:dyDescent="0.2">
      <c r="A18" s="76"/>
      <c r="B18" s="91"/>
      <c r="C18" s="91" t="s">
        <v>121</v>
      </c>
      <c r="D18" s="91" t="str">
        <f t="shared" si="2"/>
        <v>11M</v>
      </c>
      <c r="E18" s="112" t="str">
        <f t="shared" si="0"/>
        <v>USDOIS11M_Quote</v>
      </c>
      <c r="F18" s="91" t="str">
        <f>_xll.qlSimpleQuote(Currency&amp;$C18&amp;$D18&amp;QuoteSuffix,,RateTickValue,Permanent,Trigger,ObjectOverwrite)</f>
        <v>USDOIS11M_Quote#0000</v>
      </c>
      <c r="G18" s="213" t="str">
        <f>_xll.ohRangeRetrieveError(F18)</f>
        <v/>
      </c>
      <c r="H18" s="170"/>
      <c r="J18" s="76"/>
      <c r="K18" s="79"/>
      <c r="L18" s="250" t="s">
        <v>9</v>
      </c>
      <c r="M18" s="182" t="s">
        <v>121</v>
      </c>
      <c r="N18" s="183" t="str">
        <f t="shared" si="1"/>
        <v>USD11MOIS</v>
      </c>
      <c r="O18" s="183" t="str">
        <v>USD11MOIS=TTKL</v>
      </c>
      <c r="P18" s="85">
        <v>0.26</v>
      </c>
      <c r="Q18" s="85">
        <v>0.28999999999999998</v>
      </c>
      <c r="R18" s="85">
        <v>0</v>
      </c>
      <c r="S18" s="85">
        <v>0</v>
      </c>
      <c r="T18" s="85">
        <f t="shared" si="3"/>
        <v>0.27500000000000002</v>
      </c>
      <c r="U18" s="85">
        <f t="shared" si="4"/>
        <v>2.9999999999999971E-2</v>
      </c>
      <c r="V18" s="194"/>
      <c r="W18" s="196">
        <v>0.27500000000000002</v>
      </c>
      <c r="X18" s="194"/>
      <c r="Y18" s="85">
        <v>0.27500000000000002</v>
      </c>
      <c r="Z18" s="187">
        <f>_xll.qlSimpleQuoteSetValue(F18,Y18/100,Trigger)</f>
        <v>0</v>
      </c>
      <c r="AA18" s="77"/>
    </row>
    <row r="19" spans="1:27" x14ac:dyDescent="0.2">
      <c r="A19" s="76"/>
      <c r="B19" s="91"/>
      <c r="C19" s="91" t="s">
        <v>121</v>
      </c>
      <c r="D19" s="91" t="str">
        <f t="shared" si="2"/>
        <v>1Y</v>
      </c>
      <c r="E19" s="112" t="str">
        <f t="shared" si="0"/>
        <v>USDOIS1Y_Quote</v>
      </c>
      <c r="F19" s="91" t="str">
        <f>_xll.qlSimpleQuote(Currency&amp;$C19&amp;$D19&amp;QuoteSuffix,,RateTickValue,Permanent,Trigger,ObjectOverwrite)</f>
        <v>USDOIS1Y_Quote#0000</v>
      </c>
      <c r="G19" s="213" t="str">
        <f>_xll.ohRangeRetrieveError(F19)</f>
        <v/>
      </c>
      <c r="H19" s="170"/>
      <c r="J19" s="76"/>
      <c r="K19" s="79"/>
      <c r="L19" s="250" t="s">
        <v>8</v>
      </c>
      <c r="M19" s="182" t="s">
        <v>121</v>
      </c>
      <c r="N19" s="183" t="str">
        <f t="shared" si="1"/>
        <v>USD1YOIS</v>
      </c>
      <c r="O19" s="183" t="str">
        <v>USD1YOIS=TTKL</v>
      </c>
      <c r="P19" s="85">
        <v>0.28300000000000003</v>
      </c>
      <c r="Q19" s="85">
        <v>0.313</v>
      </c>
      <c r="R19" s="85">
        <v>0</v>
      </c>
      <c r="S19" s="85">
        <v>0</v>
      </c>
      <c r="T19" s="85">
        <f t="shared" si="3"/>
        <v>0.29800000000000004</v>
      </c>
      <c r="U19" s="85">
        <f t="shared" si="4"/>
        <v>2.9999999999999971E-2</v>
      </c>
      <c r="V19" s="194"/>
      <c r="W19" s="196">
        <v>0.29800000000000004</v>
      </c>
      <c r="X19" s="194"/>
      <c r="Y19" s="85">
        <v>0.29800000000000004</v>
      </c>
      <c r="Z19" s="187">
        <f>_xll.qlSimpleQuoteSetValue(F19,Y19/100,Trigger)</f>
        <v>0</v>
      </c>
      <c r="AA19" s="77"/>
    </row>
    <row r="20" spans="1:27" x14ac:dyDescent="0.2">
      <c r="A20" s="76"/>
      <c r="B20" s="91"/>
      <c r="C20" s="91" t="s">
        <v>121</v>
      </c>
      <c r="D20" s="91" t="str">
        <f t="shared" si="2"/>
        <v>13M</v>
      </c>
      <c r="E20" s="112" t="str">
        <f t="shared" si="0"/>
        <v>USDOIS13M_Quote</v>
      </c>
      <c r="F20" s="91" t="str">
        <f>_xll.qlSimpleQuote(Currency&amp;$C20&amp;$D20&amp;QuoteSuffix,,RateTickValue,Permanent,Trigger,ObjectOverwrite)</f>
        <v>USDOIS13M_Quote#0000</v>
      </c>
      <c r="G20" s="213" t="str">
        <f>_xll.ohRangeRetrieveError(F20)</f>
        <v/>
      </c>
      <c r="H20" s="170"/>
      <c r="J20" s="76"/>
      <c r="K20" s="79"/>
      <c r="L20" s="250" t="s">
        <v>138</v>
      </c>
      <c r="M20" s="182" t="s">
        <v>121</v>
      </c>
      <c r="N20" s="183" t="str">
        <f t="shared" si="1"/>
        <v>USD13MOIS</v>
      </c>
      <c r="O20" s="183" t="str">
        <v>USD13MOIS=TTKL</v>
      </c>
      <c r="P20" s="85">
        <v>0.307</v>
      </c>
      <c r="Q20" s="85">
        <v>0.33700000000000002</v>
      </c>
      <c r="R20" s="85">
        <v>0</v>
      </c>
      <c r="S20" s="85">
        <v>0</v>
      </c>
      <c r="T20" s="85">
        <f t="shared" si="3"/>
        <v>0.32200000000000001</v>
      </c>
      <c r="U20" s="85">
        <f t="shared" si="4"/>
        <v>3.0000000000000027E-2</v>
      </c>
      <c r="V20" s="194"/>
      <c r="W20" s="196">
        <v>0.32300000000000001</v>
      </c>
      <c r="X20" s="194"/>
      <c r="Y20" s="85">
        <v>0.32200000000000001</v>
      </c>
      <c r="Z20" s="187">
        <f>_xll.qlSimpleQuoteSetValue(F20,Y20/100,Trigger)</f>
        <v>0</v>
      </c>
      <c r="AA20" s="77"/>
    </row>
    <row r="21" spans="1:27" x14ac:dyDescent="0.2">
      <c r="A21" s="76"/>
      <c r="B21" s="91"/>
      <c r="C21" s="91" t="s">
        <v>121</v>
      </c>
      <c r="D21" s="91" t="str">
        <f t="shared" si="2"/>
        <v>14M</v>
      </c>
      <c r="E21" s="112" t="str">
        <f t="shared" si="0"/>
        <v>USDOIS14M_Quote</v>
      </c>
      <c r="F21" s="91" t="str">
        <f>_xll.qlSimpleQuote(Currency&amp;$C21&amp;$D21&amp;QuoteSuffix,,RateTickValue,Permanent,Trigger,ObjectOverwrite)</f>
        <v>USDOIS14M_Quote#0000</v>
      </c>
      <c r="G21" s="213" t="str">
        <f>_xll.ohRangeRetrieveError(F21)</f>
        <v/>
      </c>
      <c r="H21" s="170"/>
      <c r="J21" s="76"/>
      <c r="K21" s="79"/>
      <c r="L21" s="250" t="s">
        <v>137</v>
      </c>
      <c r="M21" s="182" t="s">
        <v>121</v>
      </c>
      <c r="N21" s="183" t="str">
        <f t="shared" si="1"/>
        <v>USD14MOIS</v>
      </c>
      <c r="O21" s="183" t="str">
        <v>USD14MOIS=TTKL</v>
      </c>
      <c r="P21" s="85">
        <v>0.33100000000000002</v>
      </c>
      <c r="Q21" s="85">
        <v>0.36099999999999999</v>
      </c>
      <c r="R21" s="85">
        <v>0</v>
      </c>
      <c r="S21" s="85">
        <v>0</v>
      </c>
      <c r="T21" s="85">
        <f t="shared" si="3"/>
        <v>0.34599999999999997</v>
      </c>
      <c r="U21" s="85">
        <f t="shared" si="4"/>
        <v>2.9999999999999971E-2</v>
      </c>
      <c r="V21" s="194"/>
      <c r="W21" s="196">
        <v>0.34699999999999998</v>
      </c>
      <c r="X21" s="194"/>
      <c r="Y21" s="85">
        <v>0.34599999999999997</v>
      </c>
      <c r="Z21" s="187">
        <f>_xll.qlSimpleQuoteSetValue(F21,Y21/100,Trigger)</f>
        <v>0</v>
      </c>
      <c r="AA21" s="77"/>
    </row>
    <row r="22" spans="1:27" x14ac:dyDescent="0.2">
      <c r="A22" s="76"/>
      <c r="B22" s="91"/>
      <c r="C22" s="91" t="s">
        <v>121</v>
      </c>
      <c r="D22" s="91" t="str">
        <f t="shared" si="2"/>
        <v>15M</v>
      </c>
      <c r="E22" s="112" t="str">
        <f t="shared" si="0"/>
        <v>USDOIS15M_Quote</v>
      </c>
      <c r="F22" s="91" t="str">
        <f>_xll.qlSimpleQuote(Currency&amp;$C22&amp;$D22&amp;QuoteSuffix,,RateTickValue,Permanent,Trigger,ObjectOverwrite)</f>
        <v>USDOIS15M_Quote#0000</v>
      </c>
      <c r="G22" s="213" t="str">
        <f>_xll.ohRangeRetrieveError(F22)</f>
        <v/>
      </c>
      <c r="H22" s="170"/>
      <c r="J22" s="76"/>
      <c r="K22" s="79"/>
      <c r="L22" s="250" t="s">
        <v>97</v>
      </c>
      <c r="M22" s="182" t="s">
        <v>121</v>
      </c>
      <c r="N22" s="183" t="str">
        <f t="shared" si="1"/>
        <v>USD15MOIS</v>
      </c>
      <c r="O22" s="183" t="str">
        <v>USD15MOIS=TTKL</v>
      </c>
      <c r="P22" s="85">
        <v>0.36</v>
      </c>
      <c r="Q22" s="85">
        <v>0.39</v>
      </c>
      <c r="R22" s="85">
        <v>0</v>
      </c>
      <c r="S22" s="85">
        <v>0</v>
      </c>
      <c r="T22" s="85">
        <f t="shared" si="3"/>
        <v>0.375</v>
      </c>
      <c r="U22" s="85">
        <f t="shared" si="4"/>
        <v>3.0000000000000027E-2</v>
      </c>
      <c r="V22" s="194"/>
      <c r="W22" s="196">
        <v>0.375</v>
      </c>
      <c r="X22" s="194"/>
      <c r="Y22" s="85">
        <v>0.375</v>
      </c>
      <c r="Z22" s="187">
        <f>_xll.qlSimpleQuoteSetValue(F22,Y22/100,Trigger)</f>
        <v>0</v>
      </c>
      <c r="AA22" s="77"/>
    </row>
    <row r="23" spans="1:27" x14ac:dyDescent="0.2">
      <c r="A23" s="76"/>
      <c r="B23" s="91"/>
      <c r="C23" s="91" t="s">
        <v>121</v>
      </c>
      <c r="D23" s="91" t="str">
        <f t="shared" si="2"/>
        <v>16M</v>
      </c>
      <c r="E23" s="112" t="str">
        <f t="shared" si="0"/>
        <v>USDOIS16M_Quote</v>
      </c>
      <c r="F23" s="91" t="str">
        <f>_xll.qlSimpleQuote(Currency&amp;$C23&amp;$D23&amp;QuoteSuffix,,RateTickValue,Permanent,Trigger,ObjectOverwrite)</f>
        <v>USDOIS16M_Quote#0000</v>
      </c>
      <c r="G23" s="213" t="str">
        <f>_xll.ohRangeRetrieveError(F23)</f>
        <v/>
      </c>
      <c r="H23" s="170"/>
      <c r="J23" s="76"/>
      <c r="K23" s="79"/>
      <c r="L23" s="250" t="s">
        <v>136</v>
      </c>
      <c r="M23" s="182" t="s">
        <v>121</v>
      </c>
      <c r="N23" s="183" t="str">
        <f t="shared" si="1"/>
        <v>USD16MOIS</v>
      </c>
      <c r="O23" s="183" t="str">
        <v>USD16MOIS=TTKL</v>
      </c>
      <c r="P23" s="85">
        <v>0.38700000000000001</v>
      </c>
      <c r="Q23" s="85">
        <v>0.41699999999999998</v>
      </c>
      <c r="R23" s="85">
        <v>0</v>
      </c>
      <c r="S23" s="85">
        <v>0</v>
      </c>
      <c r="T23" s="85">
        <f t="shared" si="3"/>
        <v>0.40200000000000002</v>
      </c>
      <c r="U23" s="85">
        <f t="shared" si="4"/>
        <v>2.9999999999999971E-2</v>
      </c>
      <c r="V23" s="194"/>
      <c r="W23" s="196">
        <v>0.40300000000000002</v>
      </c>
      <c r="X23" s="194"/>
      <c r="Y23" s="85">
        <v>0.40200000000000002</v>
      </c>
      <c r="Z23" s="187">
        <f>_xll.qlSimpleQuoteSetValue(F23,Y23/100,Trigger)</f>
        <v>0</v>
      </c>
      <c r="AA23" s="77"/>
    </row>
    <row r="24" spans="1:27" x14ac:dyDescent="0.2">
      <c r="A24" s="76"/>
      <c r="B24" s="91"/>
      <c r="C24" s="91" t="s">
        <v>121</v>
      </c>
      <c r="D24" s="91" t="str">
        <f t="shared" si="2"/>
        <v>17M</v>
      </c>
      <c r="E24" s="112" t="str">
        <f t="shared" si="0"/>
        <v>USDOIS17M_Quote</v>
      </c>
      <c r="F24" s="91" t="str">
        <f>_xll.qlSimpleQuote(Currency&amp;$C24&amp;$D24&amp;QuoteSuffix,,RateTickValue,Permanent,Trigger,ObjectOverwrite)</f>
        <v>USDOIS17M_Quote#0000</v>
      </c>
      <c r="G24" s="213" t="str">
        <f>_xll.ohRangeRetrieveError(F24)</f>
        <v/>
      </c>
      <c r="H24" s="170"/>
      <c r="J24" s="76"/>
      <c r="K24" s="79"/>
      <c r="L24" s="250" t="s">
        <v>135</v>
      </c>
      <c r="M24" s="182" t="s">
        <v>121</v>
      </c>
      <c r="N24" s="183" t="str">
        <f t="shared" si="1"/>
        <v>USD17MOIS</v>
      </c>
      <c r="O24" s="183" t="str">
        <v>USD17MOIS=TTKL</v>
      </c>
      <c r="P24" s="85">
        <v>0.41399999999999998</v>
      </c>
      <c r="Q24" s="85">
        <v>0.44400000000000006</v>
      </c>
      <c r="R24" s="85">
        <v>0</v>
      </c>
      <c r="S24" s="85">
        <v>0</v>
      </c>
      <c r="T24" s="85">
        <f t="shared" si="3"/>
        <v>0.42900000000000005</v>
      </c>
      <c r="U24" s="85">
        <f t="shared" si="4"/>
        <v>3.0000000000000082E-2</v>
      </c>
      <c r="V24" s="194"/>
      <c r="W24" s="196">
        <v>0.43000000000000005</v>
      </c>
      <c r="X24" s="194"/>
      <c r="Y24" s="85">
        <v>0.42900000000000005</v>
      </c>
      <c r="Z24" s="187">
        <f>_xll.qlSimpleQuoteSetValue(F24,Y24/100,Trigger)</f>
        <v>0</v>
      </c>
      <c r="AA24" s="77"/>
    </row>
    <row r="25" spans="1:27" x14ac:dyDescent="0.2">
      <c r="A25" s="76"/>
      <c r="B25" s="91"/>
      <c r="C25" s="91" t="s">
        <v>121</v>
      </c>
      <c r="D25" s="91" t="str">
        <f t="shared" si="2"/>
        <v>18M</v>
      </c>
      <c r="E25" s="112" t="str">
        <f t="shared" si="0"/>
        <v>USDOIS18M_Quote</v>
      </c>
      <c r="F25" s="91" t="str">
        <f>_xll.qlSimpleQuote(Currency&amp;$C25&amp;$D25&amp;QuoteSuffix,,RateTickValue,Permanent,Trigger,ObjectOverwrite)</f>
        <v>USDOIS18M_Quote#0000</v>
      </c>
      <c r="G25" s="213" t="str">
        <f>_xll.ohRangeRetrieveError(F25)</f>
        <v/>
      </c>
      <c r="H25" s="170"/>
      <c r="J25" s="76"/>
      <c r="K25" s="79"/>
      <c r="L25" s="250" t="s">
        <v>96</v>
      </c>
      <c r="M25" s="182" t="s">
        <v>121</v>
      </c>
      <c r="N25" s="183" t="str">
        <f t="shared" si="1"/>
        <v>USD18MOIS</v>
      </c>
      <c r="O25" s="183" t="str">
        <v>USD18MOIS=TTKL</v>
      </c>
      <c r="P25" s="85">
        <v>0.44299999999999995</v>
      </c>
      <c r="Q25" s="85">
        <v>0.47300000000000003</v>
      </c>
      <c r="R25" s="85">
        <v>0</v>
      </c>
      <c r="S25" s="85">
        <v>0</v>
      </c>
      <c r="T25" s="85">
        <f t="shared" si="3"/>
        <v>0.45799999999999996</v>
      </c>
      <c r="U25" s="85">
        <f t="shared" si="4"/>
        <v>3.0000000000000082E-2</v>
      </c>
      <c r="V25" s="194"/>
      <c r="W25" s="196">
        <v>0.45800000000000002</v>
      </c>
      <c r="X25" s="194"/>
      <c r="Y25" s="85">
        <v>0.45799999999999996</v>
      </c>
      <c r="Z25" s="187">
        <f>_xll.qlSimpleQuoteSetValue(F25,Y25/100,Trigger)</f>
        <v>0</v>
      </c>
      <c r="AA25" s="77"/>
    </row>
    <row r="26" spans="1:27" x14ac:dyDescent="0.2">
      <c r="A26" s="76"/>
      <c r="B26" s="91"/>
      <c r="C26" s="91" t="s">
        <v>121</v>
      </c>
      <c r="D26" s="91" t="str">
        <f t="shared" si="2"/>
        <v>19M</v>
      </c>
      <c r="E26" s="112" t="str">
        <f t="shared" si="0"/>
        <v>USDOIS19M_Quote</v>
      </c>
      <c r="F26" s="91" t="str">
        <f>_xll.qlSimpleQuote(Currency&amp;$C26&amp;$D26&amp;QuoteSuffix,,RateTickValue,Permanent,Trigger,ObjectOverwrite)</f>
        <v>USDOIS19M_Quote#0000</v>
      </c>
      <c r="G26" s="213" t="str">
        <f>_xll.ohRangeRetrieveError(F26)</f>
        <v/>
      </c>
      <c r="H26" s="170"/>
      <c r="J26" s="76"/>
      <c r="K26" s="79"/>
      <c r="L26" s="250" t="s">
        <v>134</v>
      </c>
      <c r="M26" s="182" t="s">
        <v>121</v>
      </c>
      <c r="N26" s="183" t="str">
        <f t="shared" si="1"/>
        <v>USD19MOIS</v>
      </c>
      <c r="O26" s="183" t="str">
        <v>USD19MOIS=TTKL</v>
      </c>
      <c r="P26" s="85">
        <v>0.47300000000000003</v>
      </c>
      <c r="Q26" s="85">
        <v>0.503</v>
      </c>
      <c r="R26" s="85">
        <v>0</v>
      </c>
      <c r="S26" s="85">
        <v>0</v>
      </c>
      <c r="T26" s="85">
        <f t="shared" si="3"/>
        <v>0.48799999999999999</v>
      </c>
      <c r="U26" s="85">
        <f t="shared" si="4"/>
        <v>2.9999999999999971E-2</v>
      </c>
      <c r="V26" s="194"/>
      <c r="W26" s="196">
        <v>0.48799999999999999</v>
      </c>
      <c r="X26" s="194"/>
      <c r="Y26" s="85">
        <v>0.48799999999999999</v>
      </c>
      <c r="Z26" s="187">
        <f>_xll.qlSimpleQuoteSetValue(F26,Y26/100,Trigger)</f>
        <v>0</v>
      </c>
      <c r="AA26" s="77"/>
    </row>
    <row r="27" spans="1:27" x14ac:dyDescent="0.2">
      <c r="A27" s="76"/>
      <c r="B27" s="91"/>
      <c r="C27" s="91" t="s">
        <v>121</v>
      </c>
      <c r="D27" s="91" t="str">
        <f t="shared" si="2"/>
        <v>20M</v>
      </c>
      <c r="E27" s="112" t="str">
        <f t="shared" si="0"/>
        <v>USDOIS20M_Quote</v>
      </c>
      <c r="F27" s="91" t="str">
        <f>_xll.qlSimpleQuote(Currency&amp;$C27&amp;$D27&amp;QuoteSuffix,,RateTickValue,Permanent,Trigger,ObjectOverwrite)</f>
        <v>USDOIS20M_Quote#0000</v>
      </c>
      <c r="G27" s="213" t="str">
        <f>_xll.ohRangeRetrieveError(F27)</f>
        <v/>
      </c>
      <c r="H27" s="170"/>
      <c r="J27" s="76"/>
      <c r="K27" s="79"/>
      <c r="L27" s="250" t="s">
        <v>133</v>
      </c>
      <c r="M27" s="182" t="s">
        <v>121</v>
      </c>
      <c r="N27" s="183" t="str">
        <f t="shared" si="1"/>
        <v>USD20MOIS</v>
      </c>
      <c r="O27" s="183" t="str">
        <v>USD20MOIS=TTKL</v>
      </c>
      <c r="P27" s="85">
        <v>0.502</v>
      </c>
      <c r="Q27" s="85">
        <v>0.53200000000000003</v>
      </c>
      <c r="R27" s="85">
        <v>0</v>
      </c>
      <c r="S27" s="85">
        <v>0</v>
      </c>
      <c r="T27" s="85">
        <f t="shared" si="3"/>
        <v>0.51700000000000002</v>
      </c>
      <c r="U27" s="85">
        <f t="shared" si="4"/>
        <v>3.0000000000000027E-2</v>
      </c>
      <c r="V27" s="194"/>
      <c r="W27" s="196">
        <v>0.51800000000000002</v>
      </c>
      <c r="X27" s="194"/>
      <c r="Y27" s="85">
        <v>0.51700000000000002</v>
      </c>
      <c r="Z27" s="187">
        <f>_xll.qlSimpleQuoteSetValue(F27,Y27/100,Trigger)</f>
        <v>0</v>
      </c>
      <c r="AA27" s="77"/>
    </row>
    <row r="28" spans="1:27" x14ac:dyDescent="0.2">
      <c r="A28" s="76"/>
      <c r="B28" s="91"/>
      <c r="C28" s="91" t="s">
        <v>121</v>
      </c>
      <c r="D28" s="91" t="str">
        <f t="shared" si="2"/>
        <v>21M</v>
      </c>
      <c r="E28" s="112" t="str">
        <f t="shared" si="0"/>
        <v>USDOIS21M_Quote</v>
      </c>
      <c r="F28" s="91" t="str">
        <f>_xll.qlSimpleQuote(Currency&amp;$C28&amp;$D28&amp;QuoteSuffix,,RateTickValue,Permanent,Trigger,ObjectOverwrite)</f>
        <v>USDOIS21M_Quote#0000</v>
      </c>
      <c r="G28" s="213" t="str">
        <f>_xll.ohRangeRetrieveError(F28)</f>
        <v/>
      </c>
      <c r="H28" s="170"/>
      <c r="J28" s="76"/>
      <c r="K28" s="79"/>
      <c r="L28" s="250" t="s">
        <v>95</v>
      </c>
      <c r="M28" s="182" t="s">
        <v>121</v>
      </c>
      <c r="N28" s="183" t="str">
        <f t="shared" si="1"/>
        <v>USD21MOIS</v>
      </c>
      <c r="O28" s="183" t="str">
        <v>USD21MOIS=TTKL</v>
      </c>
      <c r="P28" s="85">
        <v>0.53600000000000003</v>
      </c>
      <c r="Q28" s="85">
        <v>0.56600000000000006</v>
      </c>
      <c r="R28" s="85">
        <v>0</v>
      </c>
      <c r="S28" s="85">
        <v>0</v>
      </c>
      <c r="T28" s="85">
        <f t="shared" si="3"/>
        <v>0.55100000000000005</v>
      </c>
      <c r="U28" s="85">
        <f t="shared" si="4"/>
        <v>3.0000000000000027E-2</v>
      </c>
      <c r="V28" s="194"/>
      <c r="W28" s="196">
        <v>0.55200000000000005</v>
      </c>
      <c r="X28" s="194"/>
      <c r="Y28" s="85">
        <v>0.55100000000000005</v>
      </c>
      <c r="Z28" s="187">
        <f>_xll.qlSimpleQuoteSetValue(F28,Y28/100,Trigger)</f>
        <v>0</v>
      </c>
      <c r="AA28" s="77"/>
    </row>
    <row r="29" spans="1:27" x14ac:dyDescent="0.2">
      <c r="A29" s="76"/>
      <c r="B29" s="91"/>
      <c r="C29" s="91" t="s">
        <v>121</v>
      </c>
      <c r="D29" s="91" t="str">
        <f t="shared" si="2"/>
        <v>22M</v>
      </c>
      <c r="E29" s="112" t="str">
        <f t="shared" si="0"/>
        <v>USDOIS22M_Quote</v>
      </c>
      <c r="F29" s="91" t="str">
        <f>_xll.qlSimpleQuote(Currency&amp;$C29&amp;$D29&amp;QuoteSuffix,,RateTickValue,Permanent,Trigger,ObjectOverwrite)</f>
        <v>USDOIS22M_Quote#0000</v>
      </c>
      <c r="G29" s="213" t="str">
        <f>_xll.ohRangeRetrieveError(F29)</f>
        <v/>
      </c>
      <c r="H29" s="170"/>
      <c r="J29" s="76"/>
      <c r="K29" s="79"/>
      <c r="L29" s="250" t="s">
        <v>132</v>
      </c>
      <c r="M29" s="182" t="s">
        <v>121</v>
      </c>
      <c r="N29" s="183" t="str">
        <f t="shared" si="1"/>
        <v>USD22MOIS</v>
      </c>
      <c r="O29" s="183" t="str">
        <v>USD22MOIS=TTKL</v>
      </c>
      <c r="P29" s="85">
        <v>0.56299999999999994</v>
      </c>
      <c r="Q29" s="85">
        <v>0.59299999999999997</v>
      </c>
      <c r="R29" s="85">
        <v>0</v>
      </c>
      <c r="S29" s="85">
        <v>0</v>
      </c>
      <c r="T29" s="85">
        <f t="shared" si="3"/>
        <v>0.57799999999999996</v>
      </c>
      <c r="U29" s="85">
        <f t="shared" si="4"/>
        <v>3.0000000000000027E-2</v>
      </c>
      <c r="V29" s="194"/>
      <c r="W29" s="196">
        <v>0.57899999999999996</v>
      </c>
      <c r="X29" s="194"/>
      <c r="Y29" s="85">
        <v>0.57799999999999996</v>
      </c>
      <c r="Z29" s="187">
        <f>_xll.qlSimpleQuoteSetValue(F29,Y29/100,Trigger)</f>
        <v>0</v>
      </c>
      <c r="AA29" s="77"/>
    </row>
    <row r="30" spans="1:27" x14ac:dyDescent="0.2">
      <c r="A30" s="76"/>
      <c r="B30" s="91"/>
      <c r="C30" s="91" t="s">
        <v>121</v>
      </c>
      <c r="D30" s="91" t="str">
        <f t="shared" si="2"/>
        <v>23M</v>
      </c>
      <c r="E30" s="112" t="str">
        <f t="shared" si="0"/>
        <v>USDOIS23M_Quote</v>
      </c>
      <c r="F30" s="91" t="str">
        <f>_xll.qlSimpleQuote(Currency&amp;$C30&amp;$D30&amp;QuoteSuffix,,RateTickValue,Permanent,Trigger,ObjectOverwrite)</f>
        <v>USDOIS23M_Quote#0000</v>
      </c>
      <c r="G30" s="213" t="str">
        <f>_xll.ohRangeRetrieveError(F30)</f>
        <v/>
      </c>
      <c r="H30" s="170"/>
      <c r="J30" s="76"/>
      <c r="K30" s="79"/>
      <c r="L30" s="250" t="s">
        <v>131</v>
      </c>
      <c r="M30" s="182" t="s">
        <v>121</v>
      </c>
      <c r="N30" s="183" t="str">
        <f t="shared" si="1"/>
        <v>USD23MOIS</v>
      </c>
      <c r="O30" s="183" t="str">
        <v>USD23MOIS=TTKL</v>
      </c>
      <c r="P30" s="85">
        <v>0.59199999999999997</v>
      </c>
      <c r="Q30" s="85">
        <v>0.622</v>
      </c>
      <c r="R30" s="85">
        <v>0</v>
      </c>
      <c r="S30" s="85">
        <v>0</v>
      </c>
      <c r="T30" s="85">
        <f t="shared" si="3"/>
        <v>0.60699999999999998</v>
      </c>
      <c r="U30" s="85">
        <f t="shared" si="4"/>
        <v>3.0000000000000027E-2</v>
      </c>
      <c r="V30" s="194"/>
      <c r="W30" s="196">
        <v>0.60799999999999998</v>
      </c>
      <c r="X30" s="194"/>
      <c r="Y30" s="85">
        <v>0.60699999999999998</v>
      </c>
      <c r="Z30" s="187">
        <f>_xll.qlSimpleQuoteSetValue(F30,Y30/100,Trigger)</f>
        <v>0</v>
      </c>
      <c r="AA30" s="77"/>
    </row>
    <row r="31" spans="1:27" x14ac:dyDescent="0.2">
      <c r="A31" s="76"/>
      <c r="B31" s="91"/>
      <c r="C31" s="91" t="s">
        <v>121</v>
      </c>
      <c r="D31" s="91" t="str">
        <f t="shared" si="2"/>
        <v>2Y</v>
      </c>
      <c r="E31" s="112" t="str">
        <f t="shared" si="0"/>
        <v>USDOIS2Y_Quote</v>
      </c>
      <c r="F31" s="91" t="str">
        <f>_xll.qlSimpleQuote(Currency&amp;$C31&amp;$D31&amp;QuoteSuffix,,RateTickValue,Permanent,Trigger,ObjectOverwrite)</f>
        <v>USDOIS2Y_Quote#0000</v>
      </c>
      <c r="G31" s="213" t="str">
        <f>_xll.ohRangeRetrieveError(F31)</f>
        <v/>
      </c>
      <c r="H31" s="170"/>
      <c r="J31" s="76"/>
      <c r="K31" s="79"/>
      <c r="L31" s="250" t="s">
        <v>84</v>
      </c>
      <c r="M31" s="182" t="s">
        <v>121</v>
      </c>
      <c r="N31" s="183" t="str">
        <f t="shared" si="1"/>
        <v>USD2YOIS</v>
      </c>
      <c r="O31" s="183" t="str">
        <v>USD2YOIS=TTKL</v>
      </c>
      <c r="P31" s="85">
        <v>0.622</v>
      </c>
      <c r="Q31" s="85">
        <v>0.65199999999999991</v>
      </c>
      <c r="R31" s="85">
        <v>0</v>
      </c>
      <c r="S31" s="85">
        <v>0</v>
      </c>
      <c r="T31" s="85">
        <f t="shared" si="3"/>
        <v>0.63700000000000001</v>
      </c>
      <c r="U31" s="85">
        <f t="shared" si="4"/>
        <v>2.9999999999999916E-2</v>
      </c>
      <c r="V31" s="194"/>
      <c r="W31" s="196">
        <v>0.63800000000000001</v>
      </c>
      <c r="X31" s="194"/>
      <c r="Y31" s="85">
        <v>0.63700000000000001</v>
      </c>
      <c r="Z31" s="187">
        <f>_xll.qlSimpleQuoteSetValue(F31,Y31/100,Trigger)</f>
        <v>0</v>
      </c>
      <c r="AA31" s="77"/>
    </row>
    <row r="32" spans="1:27" x14ac:dyDescent="0.2">
      <c r="A32" s="76"/>
      <c r="B32" s="91"/>
      <c r="C32" s="91" t="s">
        <v>121</v>
      </c>
      <c r="D32" s="91" t="str">
        <f t="shared" si="2"/>
        <v>27M</v>
      </c>
      <c r="E32" s="112" t="str">
        <f t="shared" si="0"/>
        <v>USDOIS27M_Quote</v>
      </c>
      <c r="F32" s="91" t="str">
        <f>_xll.qlSimpleQuote(Currency&amp;$C32&amp;$D32&amp;QuoteSuffix,,RateTickValue,Permanent,Trigger,ObjectOverwrite)</f>
        <v>USDOIS27M_Quote#0000</v>
      </c>
      <c r="G32" s="213" t="str">
        <f>_xll.ohRangeRetrieveError(F32)</f>
        <v/>
      </c>
      <c r="H32" s="170"/>
      <c r="J32" s="76"/>
      <c r="K32" s="79"/>
      <c r="L32" s="250" t="s">
        <v>130</v>
      </c>
      <c r="M32" s="182" t="s">
        <v>121</v>
      </c>
      <c r="N32" s="183" t="str">
        <f t="shared" si="1"/>
        <v>USD27MOIS</v>
      </c>
      <c r="O32" s="183" t="str">
        <v>USD27MOIS=TTKL</v>
      </c>
      <c r="P32" s="85">
        <v>0.70099999999999996</v>
      </c>
      <c r="Q32" s="85">
        <v>0.751</v>
      </c>
      <c r="R32" s="85">
        <v>0</v>
      </c>
      <c r="S32" s="85">
        <v>0</v>
      </c>
      <c r="T32" s="85">
        <f t="shared" si="3"/>
        <v>0.72599999999999998</v>
      </c>
      <c r="U32" s="85">
        <f t="shared" si="4"/>
        <v>5.0000000000000044E-2</v>
      </c>
      <c r="V32" s="194"/>
      <c r="W32" s="196">
        <v>0.72700000000000009</v>
      </c>
      <c r="X32" s="194"/>
      <c r="Y32" s="85">
        <v>0.72599999999999998</v>
      </c>
      <c r="Z32" s="187">
        <f>_xll.qlSimpleQuoteSetValue(F32,Y32/100,Trigger)</f>
        <v>-9.9999999999995925E-6</v>
      </c>
      <c r="AA32" s="77"/>
    </row>
    <row r="33" spans="1:27" x14ac:dyDescent="0.2">
      <c r="A33" s="76"/>
      <c r="B33" s="91"/>
      <c r="C33" s="91" t="s">
        <v>121</v>
      </c>
      <c r="D33" s="91" t="str">
        <f t="shared" si="2"/>
        <v>30M</v>
      </c>
      <c r="E33" s="112" t="str">
        <f t="shared" si="0"/>
        <v>USDOIS30M_Quote</v>
      </c>
      <c r="F33" s="91" t="str">
        <f>_xll.qlSimpleQuote(Currency&amp;$C33&amp;$D33&amp;QuoteSuffix,,RateTickValue,Permanent,Trigger,ObjectOverwrite)</f>
        <v>USDOIS30M_Quote#0000</v>
      </c>
      <c r="G33" s="213" t="str">
        <f>_xll.ohRangeRetrieveError(F33)</f>
        <v/>
      </c>
      <c r="H33" s="170"/>
      <c r="J33" s="76"/>
      <c r="K33" s="79"/>
      <c r="L33" s="250" t="s">
        <v>129</v>
      </c>
      <c r="M33" s="182" t="s">
        <v>121</v>
      </c>
      <c r="N33" s="183" t="str">
        <f t="shared" si="1"/>
        <v>USD30MOIS</v>
      </c>
      <c r="O33" s="183" t="str">
        <v>USD30MOIS=TTKL</v>
      </c>
      <c r="P33" s="85">
        <v>0.78800000000000003</v>
      </c>
      <c r="Q33" s="85">
        <v>0.83800000000000008</v>
      </c>
      <c r="R33" s="85">
        <v>0</v>
      </c>
      <c r="S33" s="85">
        <v>0</v>
      </c>
      <c r="T33" s="85">
        <f t="shared" si="3"/>
        <v>0.81300000000000006</v>
      </c>
      <c r="U33" s="85">
        <f t="shared" si="4"/>
        <v>5.0000000000000044E-2</v>
      </c>
      <c r="V33" s="194"/>
      <c r="W33" s="196">
        <v>0.81400000000000006</v>
      </c>
      <c r="X33" s="194"/>
      <c r="Y33" s="85">
        <v>0.81300000000000006</v>
      </c>
      <c r="Z33" s="187">
        <f>_xll.qlSimpleQuoteSetValue(F33,Y33/100,Trigger)</f>
        <v>-1.0000000000001327E-5</v>
      </c>
      <c r="AA33" s="77"/>
    </row>
    <row r="34" spans="1:27" x14ac:dyDescent="0.2">
      <c r="A34" s="76"/>
      <c r="B34" s="91"/>
      <c r="C34" s="91" t="s">
        <v>121</v>
      </c>
      <c r="D34" s="91" t="str">
        <f t="shared" si="2"/>
        <v>33M</v>
      </c>
      <c r="E34" s="112" t="str">
        <f t="shared" si="0"/>
        <v>USDOIS33M_Quote</v>
      </c>
      <c r="F34" s="91" t="str">
        <f>_xll.qlSimpleQuote(Currency&amp;$C34&amp;$D34&amp;QuoteSuffix,,RateTickValue,Permanent,Trigger,ObjectOverwrite)</f>
        <v>USDOIS33M_Quote#0000</v>
      </c>
      <c r="G34" s="213" t="str">
        <f>_xll.ohRangeRetrieveError(F34)</f>
        <v/>
      </c>
      <c r="H34" s="170"/>
      <c r="J34" s="76"/>
      <c r="K34" s="79"/>
      <c r="L34" s="250" t="s">
        <v>128</v>
      </c>
      <c r="M34" s="182" t="s">
        <v>121</v>
      </c>
      <c r="N34" s="183" t="str">
        <f t="shared" si="1"/>
        <v>USD33MOIS</v>
      </c>
      <c r="O34" s="183" t="str">
        <v>USD33MOIS=TTKL</v>
      </c>
      <c r="P34" s="85">
        <v>0.87100000000000011</v>
      </c>
      <c r="Q34" s="85">
        <v>0.92100000000000004</v>
      </c>
      <c r="R34" s="85">
        <v>0</v>
      </c>
      <c r="S34" s="85">
        <v>0</v>
      </c>
      <c r="T34" s="85">
        <f t="shared" si="3"/>
        <v>0.89600000000000013</v>
      </c>
      <c r="U34" s="85">
        <f t="shared" si="4"/>
        <v>4.9999999999999933E-2</v>
      </c>
      <c r="V34" s="194"/>
      <c r="W34" s="196">
        <v>0.89600000000000002</v>
      </c>
      <c r="X34" s="194"/>
      <c r="Y34" s="85">
        <v>0.89600000000000013</v>
      </c>
      <c r="Z34" s="187">
        <f>_xll.qlSimpleQuoteSetValue(F34,Y34/100,Trigger)</f>
        <v>0</v>
      </c>
      <c r="AA34" s="77"/>
    </row>
    <row r="35" spans="1:27" x14ac:dyDescent="0.2">
      <c r="A35" s="76"/>
      <c r="B35" s="91"/>
      <c r="C35" s="91" t="s">
        <v>121</v>
      </c>
      <c r="D35" s="91" t="str">
        <f t="shared" si="2"/>
        <v>3Y</v>
      </c>
      <c r="E35" s="112" t="str">
        <f t="shared" si="0"/>
        <v>USDOIS3Y_Quote</v>
      </c>
      <c r="F35" s="91" t="str">
        <f>_xll.qlSimpleQuote(Currency&amp;$C35&amp;$D35&amp;QuoteSuffix,,RateTickValue,Permanent,Trigger,ObjectOverwrite)</f>
        <v>USDOIS3Y_Quote#0000</v>
      </c>
      <c r="G35" s="213" t="str">
        <f>_xll.ohRangeRetrieveError(F35)</f>
        <v/>
      </c>
      <c r="H35" s="170"/>
      <c r="J35" s="76"/>
      <c r="K35" s="79"/>
      <c r="L35" s="250" t="s">
        <v>83</v>
      </c>
      <c r="M35" s="182" t="s">
        <v>121</v>
      </c>
      <c r="N35" s="183" t="str">
        <f t="shared" si="1"/>
        <v>USD3YOIS</v>
      </c>
      <c r="O35" s="183" t="str">
        <v>USD3YOIS=TTKL</v>
      </c>
      <c r="P35" s="85">
        <v>0.94399999999999995</v>
      </c>
      <c r="Q35" s="85">
        <v>0.99399999999999999</v>
      </c>
      <c r="R35" s="85">
        <v>0</v>
      </c>
      <c r="S35" s="85">
        <v>0</v>
      </c>
      <c r="T35" s="85">
        <f t="shared" si="3"/>
        <v>0.96899999999999997</v>
      </c>
      <c r="U35" s="85">
        <f t="shared" si="4"/>
        <v>5.0000000000000044E-2</v>
      </c>
      <c r="V35" s="194"/>
      <c r="W35" s="196">
        <v>0.97</v>
      </c>
      <c r="X35" s="194"/>
      <c r="Y35" s="85">
        <v>0.96899999999999997</v>
      </c>
      <c r="Z35" s="187">
        <f>_xll.qlSimpleQuoteSetValue(F35,Y35/100,Trigger)</f>
        <v>0</v>
      </c>
      <c r="AA35" s="77"/>
    </row>
    <row r="36" spans="1:27" x14ac:dyDescent="0.2">
      <c r="A36" s="76"/>
      <c r="B36" s="91"/>
      <c r="C36" s="91" t="s">
        <v>121</v>
      </c>
      <c r="D36" s="91" t="str">
        <f t="shared" si="2"/>
        <v>39M</v>
      </c>
      <c r="E36" s="112" t="str">
        <f t="shared" si="0"/>
        <v>USDOIS39M_Quote</v>
      </c>
      <c r="F36" s="91" t="str">
        <f>_xll.qlSimpleQuote(Currency&amp;$C36&amp;$D36&amp;QuoteSuffix,,RateTickValue,Permanent,Trigger,ObjectOverwrite)</f>
        <v>USDOIS39M_Quote#0000</v>
      </c>
      <c r="G36" s="213" t="str">
        <f>_xll.ohRangeRetrieveError(F36)</f>
        <v/>
      </c>
      <c r="H36" s="170"/>
      <c r="J36" s="76"/>
      <c r="K36" s="79"/>
      <c r="L36" s="250" t="s">
        <v>127</v>
      </c>
      <c r="M36" s="182" t="s">
        <v>121</v>
      </c>
      <c r="N36" s="183" t="str">
        <f t="shared" si="1"/>
        <v>USD39MOIS</v>
      </c>
      <c r="O36" s="183" t="str">
        <v>USD39MOIS=TTKL</v>
      </c>
      <c r="P36" s="85">
        <v>1.0189999999999999</v>
      </c>
      <c r="Q36" s="85">
        <v>1.069</v>
      </c>
      <c r="R36" s="85">
        <v>0</v>
      </c>
      <c r="S36" s="85">
        <v>0</v>
      </c>
      <c r="T36" s="85">
        <f t="shared" si="3"/>
        <v>1.044</v>
      </c>
      <c r="U36" s="85">
        <f t="shared" si="4"/>
        <v>5.0000000000000044E-2</v>
      </c>
      <c r="V36" s="194"/>
      <c r="W36" s="196">
        <v>1.0449999999999999</v>
      </c>
      <c r="X36" s="194"/>
      <c r="Y36" s="85">
        <v>1.044</v>
      </c>
      <c r="Z36" s="187">
        <f>_xll.qlSimpleQuoteSetValue(F36,Y36/100,Trigger)</f>
        <v>0</v>
      </c>
      <c r="AA36" s="77"/>
    </row>
    <row r="37" spans="1:27" x14ac:dyDescent="0.2">
      <c r="A37" s="76"/>
      <c r="B37" s="91"/>
      <c r="C37" s="91" t="s">
        <v>121</v>
      </c>
      <c r="D37" s="91" t="str">
        <f t="shared" si="2"/>
        <v>42M</v>
      </c>
      <c r="E37" s="112" t="str">
        <f t="shared" ref="E37:E58" si="5">Currency&amp;$C37&amp;$D37&amp;QuoteSuffix</f>
        <v>USDOIS42M_Quote</v>
      </c>
      <c r="F37" s="91" t="str">
        <f>_xll.qlSimpleQuote(Currency&amp;$C37&amp;$D37&amp;QuoteSuffix,,RateTickValue,Permanent,Trigger,ObjectOverwrite)</f>
        <v>USDOIS42M_Quote#0000</v>
      </c>
      <c r="G37" s="213" t="str">
        <f>_xll.ohRangeRetrieveError(F37)</f>
        <v/>
      </c>
      <c r="H37" s="170"/>
      <c r="J37" s="76"/>
      <c r="K37" s="79"/>
      <c r="L37" s="250" t="s">
        <v>126</v>
      </c>
      <c r="M37" s="182" t="s">
        <v>121</v>
      </c>
      <c r="N37" s="183" t="str">
        <f t="shared" ref="N37:N58" si="6">Currency&amp;$L37&amp;$M37</f>
        <v>USD42MOIS</v>
      </c>
      <c r="O37" s="183" t="str">
        <v>USD42MOIS=TTKL</v>
      </c>
      <c r="P37" s="85">
        <v>1.0820000000000001</v>
      </c>
      <c r="Q37" s="85">
        <v>1.1320000000000001</v>
      </c>
      <c r="R37" s="85">
        <v>0</v>
      </c>
      <c r="S37" s="85">
        <v>0</v>
      </c>
      <c r="T37" s="85">
        <f t="shared" si="3"/>
        <v>1.1070000000000002</v>
      </c>
      <c r="U37" s="85">
        <f t="shared" si="4"/>
        <v>5.0000000000000044E-2</v>
      </c>
      <c r="V37" s="194"/>
      <c r="W37" s="196">
        <v>1.1080000000000001</v>
      </c>
      <c r="X37" s="194"/>
      <c r="Y37" s="85">
        <v>1.1070000000000002</v>
      </c>
      <c r="Z37" s="187">
        <f>_xll.qlSimpleQuoteSetValue(F37,Y37/100,Trigger)</f>
        <v>0</v>
      </c>
      <c r="AA37" s="77"/>
    </row>
    <row r="38" spans="1:27" x14ac:dyDescent="0.2">
      <c r="A38" s="76"/>
      <c r="B38" s="91"/>
      <c r="C38" s="91" t="s">
        <v>121</v>
      </c>
      <c r="D38" s="91" t="str">
        <f t="shared" si="2"/>
        <v>45M</v>
      </c>
      <c r="E38" s="112" t="str">
        <f t="shared" si="5"/>
        <v>USDOIS45M_Quote</v>
      </c>
      <c r="F38" s="91" t="str">
        <f>_xll.qlSimpleQuote(Currency&amp;$C38&amp;$D38&amp;QuoteSuffix,,RateTickValue,Permanent,Trigger,ObjectOverwrite)</f>
        <v>USDOIS45M_Quote#0000</v>
      </c>
      <c r="G38" s="213" t="str">
        <f>_xll.ohRangeRetrieveError(F38)</f>
        <v/>
      </c>
      <c r="H38" s="170"/>
      <c r="J38" s="76"/>
      <c r="K38" s="79"/>
      <c r="L38" s="250" t="s">
        <v>125</v>
      </c>
      <c r="M38" s="182" t="s">
        <v>121</v>
      </c>
      <c r="N38" s="183" t="str">
        <f t="shared" si="6"/>
        <v>USD45MOIS</v>
      </c>
      <c r="O38" s="183" t="str">
        <v>USD45MOIS=TTKL</v>
      </c>
      <c r="P38" s="85">
        <v>1.155</v>
      </c>
      <c r="Q38" s="85">
        <v>1.2050000000000001</v>
      </c>
      <c r="R38" s="85">
        <v>0</v>
      </c>
      <c r="S38" s="85">
        <v>0</v>
      </c>
      <c r="T38" s="85">
        <f t="shared" si="3"/>
        <v>1.1800000000000002</v>
      </c>
      <c r="U38" s="85">
        <f t="shared" si="4"/>
        <v>5.0000000000000044E-2</v>
      </c>
      <c r="V38" s="194"/>
      <c r="W38" s="196">
        <v>1.181</v>
      </c>
      <c r="X38" s="194"/>
      <c r="Y38" s="85">
        <v>1.1800000000000002</v>
      </c>
      <c r="Z38" s="187">
        <f>_xll.qlSimpleQuoteSetValue(F38,Y38/100,Trigger)</f>
        <v>0</v>
      </c>
      <c r="AA38" s="77"/>
    </row>
    <row r="39" spans="1:27" x14ac:dyDescent="0.2">
      <c r="A39" s="76"/>
      <c r="B39" s="91"/>
      <c r="C39" s="91" t="s">
        <v>121</v>
      </c>
      <c r="D39" s="91" t="str">
        <f t="shared" si="2"/>
        <v>4Y</v>
      </c>
      <c r="E39" s="112" t="str">
        <f t="shared" si="5"/>
        <v>USDOIS4Y_Quote</v>
      </c>
      <c r="F39" s="91" t="str">
        <f>_xll.qlSimpleQuote(Currency&amp;$C39&amp;$D39&amp;QuoteSuffix,,RateTickValue,Permanent,Trigger,ObjectOverwrite)</f>
        <v>USDOIS4Y_Quote#0000</v>
      </c>
      <c r="G39" s="213" t="str">
        <f>_xll.ohRangeRetrieveError(F39)</f>
        <v/>
      </c>
      <c r="H39" s="170"/>
      <c r="J39" s="76"/>
      <c r="K39" s="79"/>
      <c r="L39" s="250" t="s">
        <v>82</v>
      </c>
      <c r="M39" s="182" t="s">
        <v>121</v>
      </c>
      <c r="N39" s="183" t="str">
        <f t="shared" si="6"/>
        <v>USD4YOIS</v>
      </c>
      <c r="O39" s="183" t="str">
        <v>USD4YOIS=TTKL</v>
      </c>
      <c r="P39" s="85">
        <v>1.212</v>
      </c>
      <c r="Q39" s="85">
        <v>1.262</v>
      </c>
      <c r="R39" s="85">
        <v>0</v>
      </c>
      <c r="S39" s="85">
        <v>0</v>
      </c>
      <c r="T39" s="85">
        <f t="shared" si="3"/>
        <v>1.2370000000000001</v>
      </c>
      <c r="U39" s="85">
        <f t="shared" si="4"/>
        <v>5.0000000000000044E-2</v>
      </c>
      <c r="V39" s="194"/>
      <c r="W39" s="196">
        <v>1.238</v>
      </c>
      <c r="X39" s="194"/>
      <c r="Y39" s="85">
        <v>1.2370000000000001</v>
      </c>
      <c r="Z39" s="187">
        <f>_xll.qlSimpleQuoteSetValue(F39,Y39/100,Trigger)</f>
        <v>0</v>
      </c>
      <c r="AA39" s="77"/>
    </row>
    <row r="40" spans="1:27" x14ac:dyDescent="0.2">
      <c r="A40" s="76"/>
      <c r="B40" s="91"/>
      <c r="C40" s="91" t="s">
        <v>121</v>
      </c>
      <c r="D40" s="91" t="str">
        <f t="shared" si="2"/>
        <v>51M</v>
      </c>
      <c r="E40" s="112" t="str">
        <f t="shared" si="5"/>
        <v>USDOIS51M_Quote</v>
      </c>
      <c r="F40" s="91" t="str">
        <f>_xll.qlSimpleQuote(Currency&amp;$C40&amp;$D40&amp;QuoteSuffix,,RateTickValue,Permanent,Trigger,ObjectOverwrite)</f>
        <v>USDOIS51M_Quote#0000</v>
      </c>
      <c r="G40" s="213" t="str">
        <f>_xll.ohRangeRetrieveError(F40)</f>
        <v/>
      </c>
      <c r="H40" s="170"/>
      <c r="J40" s="76"/>
      <c r="K40" s="79"/>
      <c r="L40" s="250" t="s">
        <v>124</v>
      </c>
      <c r="M40" s="182" t="s">
        <v>121</v>
      </c>
      <c r="N40" s="183" t="str">
        <f t="shared" si="6"/>
        <v>USD51MOIS</v>
      </c>
      <c r="O40" s="183" t="str">
        <v>USD51MOIS=TTKL</v>
      </c>
      <c r="P40" s="85">
        <v>1.276</v>
      </c>
      <c r="Q40" s="85">
        <v>1.3260000000000001</v>
      </c>
      <c r="R40" s="85">
        <v>0</v>
      </c>
      <c r="S40" s="85">
        <v>0</v>
      </c>
      <c r="T40" s="85">
        <f t="shared" si="3"/>
        <v>1.3010000000000002</v>
      </c>
      <c r="U40" s="85">
        <f t="shared" si="4"/>
        <v>5.0000000000000044E-2</v>
      </c>
      <c r="V40" s="194"/>
      <c r="W40" s="196">
        <v>1.302</v>
      </c>
      <c r="X40" s="194"/>
      <c r="Y40" s="85">
        <v>1.3010000000000002</v>
      </c>
      <c r="Z40" s="187">
        <f>_xll.qlSimpleQuoteSetValue(F40,Y40/100,Trigger)</f>
        <v>0</v>
      </c>
      <c r="AA40" s="77"/>
    </row>
    <row r="41" spans="1:27" x14ac:dyDescent="0.2">
      <c r="A41" s="76"/>
      <c r="B41" s="91"/>
      <c r="C41" s="91" t="s">
        <v>121</v>
      </c>
      <c r="D41" s="91" t="str">
        <f t="shared" si="2"/>
        <v>54M</v>
      </c>
      <c r="E41" s="112" t="str">
        <f t="shared" si="5"/>
        <v>USDOIS54M_Quote</v>
      </c>
      <c r="F41" s="91" t="str">
        <f>_xll.qlSimpleQuote(Currency&amp;$C41&amp;$D41&amp;QuoteSuffix,,RateTickValue,Permanent,Trigger,ObjectOverwrite)</f>
        <v>USDOIS54M_Quote#0000</v>
      </c>
      <c r="G41" s="213" t="str">
        <f>_xll.ohRangeRetrieveError(F41)</f>
        <v/>
      </c>
      <c r="H41" s="170"/>
      <c r="J41" s="76"/>
      <c r="K41" s="79"/>
      <c r="L41" s="250" t="s">
        <v>123</v>
      </c>
      <c r="M41" s="182" t="s">
        <v>121</v>
      </c>
      <c r="N41" s="183" t="str">
        <f t="shared" si="6"/>
        <v>USD54MOIS</v>
      </c>
      <c r="O41" s="183" t="str">
        <v>USD54MOIS=TTKL</v>
      </c>
      <c r="P41" s="85">
        <v>1.3240000000000001</v>
      </c>
      <c r="Q41" s="85">
        <v>1.3740000000000001</v>
      </c>
      <c r="R41" s="85">
        <v>0</v>
      </c>
      <c r="S41" s="85">
        <v>0</v>
      </c>
      <c r="T41" s="85">
        <f t="shared" si="3"/>
        <v>1.3490000000000002</v>
      </c>
      <c r="U41" s="85">
        <f t="shared" si="4"/>
        <v>5.0000000000000044E-2</v>
      </c>
      <c r="V41" s="194"/>
      <c r="W41" s="196">
        <v>1.3530000000000002</v>
      </c>
      <c r="X41" s="194"/>
      <c r="Y41" s="85">
        <v>1.3490000000000002</v>
      </c>
      <c r="Z41" s="187">
        <f>_xll.qlSimpleQuoteSetValue(F41,Y41/100,Trigger)</f>
        <v>0</v>
      </c>
      <c r="AA41" s="77"/>
    </row>
    <row r="42" spans="1:27" x14ac:dyDescent="0.2">
      <c r="A42" s="76"/>
      <c r="B42" s="91"/>
      <c r="C42" s="91" t="s">
        <v>121</v>
      </c>
      <c r="D42" s="91" t="str">
        <f t="shared" si="2"/>
        <v>57M</v>
      </c>
      <c r="E42" s="112" t="str">
        <f t="shared" si="5"/>
        <v>USDOIS57M_Quote</v>
      </c>
      <c r="F42" s="91" t="str">
        <f>_xll.qlSimpleQuote(Currency&amp;$C42&amp;$D42&amp;QuoteSuffix,,RateTickValue,Permanent,Trigger,ObjectOverwrite)</f>
        <v>USDOIS57M_Quote#0000</v>
      </c>
      <c r="G42" s="213" t="str">
        <f>_xll.ohRangeRetrieveError(F42)</f>
        <v/>
      </c>
      <c r="H42" s="170"/>
      <c r="J42" s="76"/>
      <c r="K42" s="79"/>
      <c r="L42" s="250" t="s">
        <v>122</v>
      </c>
      <c r="M42" s="182" t="s">
        <v>121</v>
      </c>
      <c r="N42" s="183" t="str">
        <f t="shared" si="6"/>
        <v>USD57MOIS</v>
      </c>
      <c r="O42" s="183" t="str">
        <v>USD57MOIS=TTKL</v>
      </c>
      <c r="P42" s="85">
        <v>1.3860000000000001</v>
      </c>
      <c r="Q42" s="85">
        <v>1.4359999999999999</v>
      </c>
      <c r="R42" s="85">
        <v>0</v>
      </c>
      <c r="S42" s="85">
        <v>0</v>
      </c>
      <c r="T42" s="85">
        <f t="shared" si="3"/>
        <v>1.411</v>
      </c>
      <c r="U42" s="85">
        <f t="shared" si="4"/>
        <v>4.9999999999999822E-2</v>
      </c>
      <c r="V42" s="194"/>
      <c r="W42" s="196">
        <v>1.4119999999999999</v>
      </c>
      <c r="X42" s="194"/>
      <c r="Y42" s="85">
        <v>1.411</v>
      </c>
      <c r="Z42" s="187">
        <f>_xll.qlSimpleQuoteSetValue(F42,Y42/100,Trigger)</f>
        <v>0</v>
      </c>
      <c r="AA42" s="77"/>
    </row>
    <row r="43" spans="1:27" x14ac:dyDescent="0.2">
      <c r="A43" s="76"/>
      <c r="B43" s="91"/>
      <c r="C43" s="91" t="s">
        <v>121</v>
      </c>
      <c r="D43" s="91" t="str">
        <f t="shared" si="2"/>
        <v>5Y</v>
      </c>
      <c r="E43" s="112" t="str">
        <f t="shared" si="5"/>
        <v>USDOIS5Y_Quote</v>
      </c>
      <c r="F43" s="91" t="str">
        <f>_xll.qlSimpleQuote(Currency&amp;$C43&amp;$D43&amp;QuoteSuffix,,RateTickValue,Permanent,Trigger,ObjectOverwrite)</f>
        <v>USDOIS5Y_Quote#0000</v>
      </c>
      <c r="G43" s="213" t="str">
        <f>_xll.ohRangeRetrieveError(F43)</f>
        <v/>
      </c>
      <c r="H43" s="170"/>
      <c r="J43" s="76"/>
      <c r="K43" s="79"/>
      <c r="L43" s="250" t="s">
        <v>81</v>
      </c>
      <c r="M43" s="182" t="s">
        <v>121</v>
      </c>
      <c r="N43" s="183" t="str">
        <f t="shared" si="6"/>
        <v>USD5YOIS</v>
      </c>
      <c r="O43" s="183" t="str">
        <v>USD5YOIS=TTKL</v>
      </c>
      <c r="P43" s="85">
        <v>1.43</v>
      </c>
      <c r="Q43" s="85">
        <v>1.48</v>
      </c>
      <c r="R43" s="85">
        <v>0</v>
      </c>
      <c r="S43" s="85">
        <v>0</v>
      </c>
      <c r="T43" s="85">
        <f t="shared" si="3"/>
        <v>1.4550000000000001</v>
      </c>
      <c r="U43" s="85">
        <f t="shared" si="4"/>
        <v>5.0000000000000044E-2</v>
      </c>
      <c r="V43" s="194"/>
      <c r="W43" s="196">
        <v>1.4569999999999999</v>
      </c>
      <c r="X43" s="194"/>
      <c r="Y43" s="85">
        <v>1.4550000000000001</v>
      </c>
      <c r="Z43" s="187">
        <f>_xll.qlSimpleQuoteSetValue(F43,Y43/100,Trigger)</f>
        <v>0</v>
      </c>
      <c r="AA43" s="77"/>
    </row>
    <row r="44" spans="1:27" x14ac:dyDescent="0.2">
      <c r="A44" s="76"/>
      <c r="B44" s="91"/>
      <c r="C44" s="91" t="s">
        <v>121</v>
      </c>
      <c r="D44" s="91" t="str">
        <f t="shared" si="2"/>
        <v>6Y</v>
      </c>
      <c r="E44" s="112" t="str">
        <f t="shared" si="5"/>
        <v>USDOIS6Y_Quote</v>
      </c>
      <c r="F44" s="91" t="str">
        <f>_xll.qlSimpleQuote(Currency&amp;$C44&amp;$D44&amp;QuoteSuffix,,RateTickValue,Permanent,Trigger,ObjectOverwrite)</f>
        <v>USDOIS6Y_Quote#0000</v>
      </c>
      <c r="G44" s="213" t="str">
        <f>_xll.ohRangeRetrieveError(F44)</f>
        <v/>
      </c>
      <c r="H44" s="170"/>
      <c r="J44" s="76"/>
      <c r="K44" s="79"/>
      <c r="L44" s="250" t="s">
        <v>80</v>
      </c>
      <c r="M44" s="182" t="s">
        <v>121</v>
      </c>
      <c r="N44" s="183" t="str">
        <f t="shared" si="6"/>
        <v>USD6YOIS</v>
      </c>
      <c r="O44" s="183" t="str">
        <v>USD6YOIS=TTKL</v>
      </c>
      <c r="P44" s="85">
        <v>1.613</v>
      </c>
      <c r="Q44" s="85">
        <v>1.663</v>
      </c>
      <c r="R44" s="85">
        <v>0</v>
      </c>
      <c r="S44" s="85">
        <v>0</v>
      </c>
      <c r="T44" s="85">
        <f t="shared" si="3"/>
        <v>1.6379999999999999</v>
      </c>
      <c r="U44" s="85">
        <f t="shared" si="4"/>
        <v>5.0000000000000044E-2</v>
      </c>
      <c r="V44" s="194"/>
      <c r="W44" s="196">
        <v>1.641</v>
      </c>
      <c r="X44" s="194"/>
      <c r="Y44" s="85">
        <v>1.6379999999999999</v>
      </c>
      <c r="Z44" s="187">
        <f>_xll.qlSimpleQuoteSetValue(F44,Y44/100,Trigger)</f>
        <v>0</v>
      </c>
      <c r="AA44" s="77"/>
    </row>
    <row r="45" spans="1:27" x14ac:dyDescent="0.2">
      <c r="A45" s="76"/>
      <c r="B45" s="91"/>
      <c r="C45" s="91" t="s">
        <v>121</v>
      </c>
      <c r="D45" s="91" t="str">
        <f t="shared" si="2"/>
        <v>7Y</v>
      </c>
      <c r="E45" s="112" t="str">
        <f t="shared" si="5"/>
        <v>USDOIS7Y_Quote</v>
      </c>
      <c r="F45" s="91" t="str">
        <f>_xll.qlSimpleQuote(Currency&amp;$C45&amp;$D45&amp;QuoteSuffix,,RateTickValue,Permanent,Trigger,ObjectOverwrite)</f>
        <v>USDOIS7Y_Quote#0000</v>
      </c>
      <c r="G45" s="213" t="str">
        <f>_xll.ohRangeRetrieveError(F45)</f>
        <v/>
      </c>
      <c r="H45" s="170"/>
      <c r="J45" s="76"/>
      <c r="K45" s="79"/>
      <c r="L45" s="250" t="s">
        <v>79</v>
      </c>
      <c r="M45" s="182" t="s">
        <v>121</v>
      </c>
      <c r="N45" s="183" t="str">
        <f t="shared" si="6"/>
        <v>USD7YOIS</v>
      </c>
      <c r="O45" s="183" t="str">
        <v>USD7YOIS=TTKL</v>
      </c>
      <c r="P45" s="85">
        <v>1.7610000000000001</v>
      </c>
      <c r="Q45" s="85">
        <v>1.8109999999999999</v>
      </c>
      <c r="R45" s="85">
        <v>0</v>
      </c>
      <c r="S45" s="85">
        <v>0</v>
      </c>
      <c r="T45" s="85">
        <f t="shared" si="3"/>
        <v>1.786</v>
      </c>
      <c r="U45" s="85">
        <f t="shared" si="4"/>
        <v>4.9999999999999822E-2</v>
      </c>
      <c r="V45" s="194"/>
      <c r="W45" s="196">
        <v>1.788</v>
      </c>
      <c r="X45" s="194"/>
      <c r="Y45" s="85">
        <v>1.786</v>
      </c>
      <c r="Z45" s="187">
        <f>_xll.qlSimpleQuoteSetValue(F45,Y45/100,Trigger)</f>
        <v>0</v>
      </c>
      <c r="AA45" s="77"/>
    </row>
    <row r="46" spans="1:27" x14ac:dyDescent="0.2">
      <c r="A46" s="76"/>
      <c r="B46" s="91"/>
      <c r="C46" s="91" t="s">
        <v>121</v>
      </c>
      <c r="D46" s="91" t="str">
        <f t="shared" si="2"/>
        <v>8Y</v>
      </c>
      <c r="E46" s="112" t="str">
        <f t="shared" si="5"/>
        <v>USDOIS8Y_Quote</v>
      </c>
      <c r="F46" s="91" t="str">
        <f>_xll.qlSimpleQuote(Currency&amp;$C46&amp;$D46&amp;QuoteSuffix,,RateTickValue,Permanent,Trigger,ObjectOverwrite)</f>
        <v>USDOIS8Y_Quote#0000</v>
      </c>
      <c r="G46" s="213" t="str">
        <f>_xll.ohRangeRetrieveError(F46)</f>
        <v/>
      </c>
      <c r="H46" s="170"/>
      <c r="J46" s="76"/>
      <c r="K46" s="79"/>
      <c r="L46" s="250" t="s">
        <v>78</v>
      </c>
      <c r="M46" s="182" t="s">
        <v>121</v>
      </c>
      <c r="N46" s="183" t="str">
        <f t="shared" si="6"/>
        <v>USD8YOIS</v>
      </c>
      <c r="O46" s="183" t="str">
        <v>USD8YOIS=TTKL</v>
      </c>
      <c r="P46" s="85">
        <v>1.8759999999999999</v>
      </c>
      <c r="Q46" s="85">
        <v>1.9259999999999999</v>
      </c>
      <c r="R46" s="85">
        <v>0</v>
      </c>
      <c r="S46" s="85">
        <v>0</v>
      </c>
      <c r="T46" s="85">
        <f t="shared" si="3"/>
        <v>1.9009999999999998</v>
      </c>
      <c r="U46" s="85">
        <f t="shared" si="4"/>
        <v>5.0000000000000044E-2</v>
      </c>
      <c r="V46" s="194"/>
      <c r="W46" s="196">
        <v>1.9039999999999999</v>
      </c>
      <c r="X46" s="194"/>
      <c r="Y46" s="85">
        <v>1.9009999999999998</v>
      </c>
      <c r="Z46" s="187">
        <f>_xll.qlSimpleQuoteSetValue(F46,Y46/100,Trigger)</f>
        <v>0</v>
      </c>
      <c r="AA46" s="77"/>
    </row>
    <row r="47" spans="1:27" x14ac:dyDescent="0.2">
      <c r="A47" s="76"/>
      <c r="B47" s="91"/>
      <c r="C47" s="91" t="s">
        <v>121</v>
      </c>
      <c r="D47" s="91" t="str">
        <f t="shared" si="2"/>
        <v>9Y</v>
      </c>
      <c r="E47" s="112" t="str">
        <f t="shared" si="5"/>
        <v>USDOIS9Y_Quote</v>
      </c>
      <c r="F47" s="91" t="str">
        <f>_xll.qlSimpleQuote(Currency&amp;$C47&amp;$D47&amp;QuoteSuffix,,RateTickValue,Permanent,Trigger,ObjectOverwrite)</f>
        <v>USDOIS9Y_Quote#0000</v>
      </c>
      <c r="G47" s="213" t="str">
        <f>_xll.ohRangeRetrieveError(F47)</f>
        <v/>
      </c>
      <c r="H47" s="170"/>
      <c r="J47" s="76"/>
      <c r="K47" s="79"/>
      <c r="L47" s="250" t="s">
        <v>77</v>
      </c>
      <c r="M47" s="182" t="s">
        <v>121</v>
      </c>
      <c r="N47" s="183" t="str">
        <f t="shared" si="6"/>
        <v>USD9YOIS</v>
      </c>
      <c r="O47" s="183" t="str">
        <v>USD9YOIS=TTKL</v>
      </c>
      <c r="P47" s="85">
        <v>1.978</v>
      </c>
      <c r="Q47" s="85">
        <v>2.028</v>
      </c>
      <c r="R47" s="85">
        <v>0</v>
      </c>
      <c r="S47" s="85">
        <v>0</v>
      </c>
      <c r="T47" s="85">
        <f t="shared" si="3"/>
        <v>2.0030000000000001</v>
      </c>
      <c r="U47" s="85">
        <f t="shared" si="4"/>
        <v>5.0000000000000044E-2</v>
      </c>
      <c r="V47" s="194"/>
      <c r="W47" s="196">
        <v>2.0060000000000002</v>
      </c>
      <c r="X47" s="194"/>
      <c r="Y47" s="85">
        <v>2.0030000000000001</v>
      </c>
      <c r="Z47" s="187">
        <f>_xll.qlSimpleQuoteSetValue(F47,Y47/100,Trigger)</f>
        <v>0</v>
      </c>
      <c r="AA47" s="77"/>
    </row>
    <row r="48" spans="1:27" x14ac:dyDescent="0.2">
      <c r="A48" s="76"/>
      <c r="B48" s="91"/>
      <c r="C48" s="91" t="s">
        <v>121</v>
      </c>
      <c r="D48" s="91" t="str">
        <f t="shared" si="2"/>
        <v>10Y</v>
      </c>
      <c r="E48" s="112" t="str">
        <f t="shared" si="5"/>
        <v>USDOIS10Y_Quote</v>
      </c>
      <c r="F48" s="91" t="str">
        <f>_xll.qlSimpleQuote(Currency&amp;$C48&amp;$D48&amp;QuoteSuffix,,RateTickValue,Permanent,Trigger,ObjectOverwrite)</f>
        <v>USDOIS10Y_Quote#0000</v>
      </c>
      <c r="G48" s="213" t="str">
        <f>_xll.ohRangeRetrieveError(F48)</f>
        <v/>
      </c>
      <c r="H48" s="170"/>
      <c r="J48" s="76"/>
      <c r="K48" s="79"/>
      <c r="L48" s="250" t="s">
        <v>76</v>
      </c>
      <c r="M48" s="182" t="s">
        <v>121</v>
      </c>
      <c r="N48" s="183" t="str">
        <f t="shared" si="6"/>
        <v>USD10YOIS</v>
      </c>
      <c r="O48" s="183" t="str">
        <v>USD10YOIS=TTKL</v>
      </c>
      <c r="P48" s="85">
        <v>2.0569999999999999</v>
      </c>
      <c r="Q48" s="85">
        <v>2.1070000000000002</v>
      </c>
      <c r="R48" s="85">
        <v>0</v>
      </c>
      <c r="S48" s="85">
        <v>0</v>
      </c>
      <c r="T48" s="85">
        <f t="shared" si="3"/>
        <v>2.0819999999999999</v>
      </c>
      <c r="U48" s="85">
        <f t="shared" si="4"/>
        <v>5.0000000000000266E-2</v>
      </c>
      <c r="V48" s="194"/>
      <c r="W48" s="196">
        <v>2.0860000000000003</v>
      </c>
      <c r="X48" s="194"/>
      <c r="Y48" s="85">
        <v>2.0819999999999999</v>
      </c>
      <c r="Z48" s="187">
        <f>_xll.qlSimpleQuoteSetValue(F48,Y48/100,Trigger)</f>
        <v>0</v>
      </c>
      <c r="AA48" s="77"/>
    </row>
    <row r="49" spans="1:27" x14ac:dyDescent="0.2">
      <c r="A49" s="76"/>
      <c r="B49" s="91"/>
      <c r="C49" s="91" t="s">
        <v>121</v>
      </c>
      <c r="D49" s="91" t="str">
        <f t="shared" si="2"/>
        <v>12Y</v>
      </c>
      <c r="E49" s="112" t="str">
        <f t="shared" si="5"/>
        <v>USDOIS12Y_Quote</v>
      </c>
      <c r="F49" s="91" t="str">
        <f>_xll.qlSimpleQuote(Currency&amp;$C49&amp;$D49&amp;QuoteSuffix,,RateTickValue,Permanent,Trigger,ObjectOverwrite)</f>
        <v>USDOIS12Y_Quote#0000</v>
      </c>
      <c r="G49" s="213" t="str">
        <f>_xll.ohRangeRetrieveError(F49)</f>
        <v/>
      </c>
      <c r="H49" s="170"/>
      <c r="J49" s="76"/>
      <c r="K49" s="79"/>
      <c r="L49" s="250" t="s">
        <v>74</v>
      </c>
      <c r="M49" s="182" t="s">
        <v>121</v>
      </c>
      <c r="N49" s="183" t="str">
        <f t="shared" si="6"/>
        <v>USD12YOIS</v>
      </c>
      <c r="O49" s="183" t="str">
        <v>USD12YOIS=TTKL</v>
      </c>
      <c r="P49" s="85">
        <v>2.1859999999999999</v>
      </c>
      <c r="Q49" s="85">
        <v>2.2359999999999998</v>
      </c>
      <c r="R49" s="85">
        <v>0</v>
      </c>
      <c r="S49" s="85">
        <v>0</v>
      </c>
      <c r="T49" s="85">
        <f t="shared" si="3"/>
        <v>2.2109999999999999</v>
      </c>
      <c r="U49" s="85">
        <f t="shared" si="4"/>
        <v>4.9999999999999822E-2</v>
      </c>
      <c r="V49" s="194"/>
      <c r="W49" s="196">
        <v>2.2149999999999999</v>
      </c>
      <c r="X49" s="194"/>
      <c r="Y49" s="85">
        <v>2.2109999999999999</v>
      </c>
      <c r="Z49" s="187">
        <f>_xll.qlSimpleQuoteSetValue(F49,Y49/100,Trigger)</f>
        <v>0</v>
      </c>
      <c r="AA49" s="77"/>
    </row>
    <row r="50" spans="1:27" x14ac:dyDescent="0.2">
      <c r="A50" s="76"/>
      <c r="B50" s="91"/>
      <c r="C50" s="91" t="s">
        <v>121</v>
      </c>
      <c r="D50" s="91" t="str">
        <f t="shared" si="2"/>
        <v>15Y</v>
      </c>
      <c r="E50" s="112" t="str">
        <f t="shared" si="5"/>
        <v>USDOIS15Y_Quote</v>
      </c>
      <c r="F50" s="91" t="str">
        <f>_xll.qlSimpleQuote(Currency&amp;$C50&amp;$D50&amp;QuoteSuffix,,RateTickValue,Permanent,Trigger,ObjectOverwrite)</f>
        <v>USDOIS15Y_Quote#0000</v>
      </c>
      <c r="G50" s="213" t="str">
        <f>_xll.ohRangeRetrieveError(F50)</f>
        <v/>
      </c>
      <c r="H50" s="170"/>
      <c r="J50" s="76"/>
      <c r="K50" s="79"/>
      <c r="L50" s="250" t="s">
        <v>71</v>
      </c>
      <c r="M50" s="182" t="s">
        <v>121</v>
      </c>
      <c r="N50" s="183" t="str">
        <f t="shared" si="6"/>
        <v>USD15YOIS</v>
      </c>
      <c r="O50" s="183" t="str">
        <v>USD15YOIS=TTKL</v>
      </c>
      <c r="P50" s="85">
        <v>2.3239999999999998</v>
      </c>
      <c r="Q50" s="85">
        <v>2.3740000000000001</v>
      </c>
      <c r="R50" s="85">
        <v>0</v>
      </c>
      <c r="S50" s="85">
        <v>0</v>
      </c>
      <c r="T50" s="85">
        <f t="shared" si="3"/>
        <v>2.3490000000000002</v>
      </c>
      <c r="U50" s="85">
        <f t="shared" si="4"/>
        <v>5.0000000000000266E-2</v>
      </c>
      <c r="V50" s="194"/>
      <c r="W50" s="196">
        <v>2.3540000000000001</v>
      </c>
      <c r="X50" s="194"/>
      <c r="Y50" s="85">
        <v>2.3490000000000002</v>
      </c>
      <c r="Z50" s="187">
        <f>_xll.qlSimpleQuoteSetValue(F50,Y50/100,Trigger)</f>
        <v>0</v>
      </c>
      <c r="AA50" s="77"/>
    </row>
    <row r="51" spans="1:27" x14ac:dyDescent="0.2">
      <c r="A51" s="76"/>
      <c r="B51" s="91"/>
      <c r="C51" s="91" t="s">
        <v>121</v>
      </c>
      <c r="D51" s="91" t="str">
        <f t="shared" si="2"/>
        <v>20Y</v>
      </c>
      <c r="E51" s="112" t="str">
        <f t="shared" si="5"/>
        <v>USDOIS20Y_Quote</v>
      </c>
      <c r="F51" s="91" t="str">
        <f>_xll.qlSimpleQuote(Currency&amp;$C51&amp;$D51&amp;QuoteSuffix,,RateTickValue,Permanent,Trigger,ObjectOverwrite)</f>
        <v>USDOIS20Y_Quote#0000</v>
      </c>
      <c r="G51" s="213" t="str">
        <f>_xll.ohRangeRetrieveError(F51)</f>
        <v/>
      </c>
      <c r="H51" s="170"/>
      <c r="J51" s="76"/>
      <c r="K51" s="79"/>
      <c r="L51" s="250" t="s">
        <v>66</v>
      </c>
      <c r="M51" s="182" t="s">
        <v>121</v>
      </c>
      <c r="N51" s="183" t="str">
        <f t="shared" si="6"/>
        <v>USD20YOIS</v>
      </c>
      <c r="O51" s="183" t="str">
        <v>USD20YOIS=TTKL</v>
      </c>
      <c r="P51" s="85">
        <v>2.4569999999999999</v>
      </c>
      <c r="Q51" s="85">
        <v>2.5070000000000001</v>
      </c>
      <c r="R51" s="85">
        <v>0</v>
      </c>
      <c r="S51" s="85">
        <v>0</v>
      </c>
      <c r="T51" s="85">
        <f t="shared" si="3"/>
        <v>2.4820000000000002</v>
      </c>
      <c r="U51" s="85">
        <f t="shared" si="4"/>
        <v>5.0000000000000266E-2</v>
      </c>
      <c r="V51" s="194"/>
      <c r="W51" s="196">
        <v>2.4859999999999998</v>
      </c>
      <c r="X51" s="194"/>
      <c r="Y51" s="85">
        <v>2.4820000000000002</v>
      </c>
      <c r="Z51" s="187">
        <f>_xll.qlSimpleQuoteSetValue(F51,Y51/100,Trigger)</f>
        <v>0</v>
      </c>
      <c r="AA51" s="77"/>
    </row>
    <row r="52" spans="1:27" x14ac:dyDescent="0.2">
      <c r="A52" s="76"/>
      <c r="B52" s="91"/>
      <c r="C52" s="91" t="s">
        <v>121</v>
      </c>
      <c r="D52" s="91" t="str">
        <f t="shared" si="2"/>
        <v>25Y</v>
      </c>
      <c r="E52" s="112" t="str">
        <f t="shared" si="5"/>
        <v>USDOIS25Y_Quote</v>
      </c>
      <c r="F52" s="91" t="str">
        <f>_xll.qlSimpleQuote(Currency&amp;$C52&amp;$D52&amp;QuoteSuffix,,RateTickValue,Permanent,Trigger,ObjectOverwrite)</f>
        <v>USDOIS25Y_Quote#0000</v>
      </c>
      <c r="G52" s="213" t="str">
        <f>_xll.ohRangeRetrieveError(F52)</f>
        <v/>
      </c>
      <c r="H52" s="170"/>
      <c r="J52" s="76"/>
      <c r="K52" s="79"/>
      <c r="L52" s="250" t="s">
        <v>61</v>
      </c>
      <c r="M52" s="182" t="s">
        <v>121</v>
      </c>
      <c r="N52" s="183" t="str">
        <f t="shared" si="6"/>
        <v>USD25YOIS</v>
      </c>
      <c r="O52" s="183" t="str">
        <v>USD25YOIS=TTKL</v>
      </c>
      <c r="P52" s="85">
        <v>2.5209999999999999</v>
      </c>
      <c r="Q52" s="85">
        <v>2.5709999999999997</v>
      </c>
      <c r="R52" s="85">
        <v>0</v>
      </c>
      <c r="S52" s="85">
        <v>0</v>
      </c>
      <c r="T52" s="85">
        <f t="shared" si="3"/>
        <v>2.5459999999999998</v>
      </c>
      <c r="U52" s="85">
        <f t="shared" si="4"/>
        <v>4.9999999999999822E-2</v>
      </c>
      <c r="V52" s="194"/>
      <c r="W52" s="196">
        <v>2.5499999999999998</v>
      </c>
      <c r="X52" s="194"/>
      <c r="Y52" s="85">
        <v>2.5459999999999998</v>
      </c>
      <c r="Z52" s="187">
        <f>_xll.qlSimpleQuoteSetValue(F52,Y52/100,Trigger)</f>
        <v>0</v>
      </c>
      <c r="AA52" s="77"/>
    </row>
    <row r="53" spans="1:27" x14ac:dyDescent="0.2">
      <c r="A53" s="76"/>
      <c r="B53" s="91"/>
      <c r="C53" s="91" t="s">
        <v>121</v>
      </c>
      <c r="D53" s="91" t="str">
        <f t="shared" si="2"/>
        <v>27Y</v>
      </c>
      <c r="E53" s="112" t="str">
        <f t="shared" si="5"/>
        <v>USDOIS27Y_Quote</v>
      </c>
      <c r="F53" s="91" t="str">
        <f>_xll.qlSimpleQuote(Currency&amp;$C53&amp;$D53&amp;QuoteSuffix,,RateTickValue,Permanent,Trigger,ObjectOverwrite)</f>
        <v>USDOIS27Y_Quote#0000</v>
      </c>
      <c r="G53" s="213" t="str">
        <f>_xll.ohRangeRetrieveError(F53)</f>
        <v/>
      </c>
      <c r="H53" s="170"/>
      <c r="J53" s="76"/>
      <c r="K53" s="79"/>
      <c r="L53" s="250" t="s">
        <v>59</v>
      </c>
      <c r="M53" s="182" t="s">
        <v>121</v>
      </c>
      <c r="N53" s="183" t="str">
        <f t="shared" si="6"/>
        <v>USD27YOIS</v>
      </c>
      <c r="O53" s="183" t="str">
        <v>USD27YOIS=TTKL</v>
      </c>
      <c r="P53" s="85" t="s">
        <v>281</v>
      </c>
      <c r="Q53" s="85" t="s">
        <v>281</v>
      </c>
      <c r="R53" s="85" t="s">
        <v>281</v>
      </c>
      <c r="S53" s="85" t="s">
        <v>281</v>
      </c>
      <c r="T53" s="85" t="e">
        <f t="shared" si="3"/>
        <v>#NUM!</v>
      </c>
      <c r="U53" s="85" t="e">
        <f t="shared" si="4"/>
        <v>#VALUE!</v>
      </c>
      <c r="V53" s="194"/>
      <c r="W53" s="196" t="e">
        <v>#NUM!</v>
      </c>
      <c r="X53" s="194"/>
      <c r="Y53" s="85" t="e">
        <v>#NUM!</v>
      </c>
      <c r="Z53" s="187">
        <f>_xll.qlSimpleQuoteSetValue(F53,Y53/100,Trigger)</f>
        <v>0</v>
      </c>
      <c r="AA53" s="77"/>
    </row>
    <row r="54" spans="1:27" x14ac:dyDescent="0.2">
      <c r="A54" s="76"/>
      <c r="B54" s="91"/>
      <c r="C54" s="91" t="s">
        <v>121</v>
      </c>
      <c r="D54" s="91" t="str">
        <f t="shared" si="2"/>
        <v>30Y</v>
      </c>
      <c r="E54" s="112" t="str">
        <f t="shared" si="5"/>
        <v>USDOIS30Y_Quote</v>
      </c>
      <c r="F54" s="91" t="str">
        <f>_xll.qlSimpleQuote(Currency&amp;$C54&amp;$D54&amp;QuoteSuffix,,RateTickValue,Permanent,Trigger,ObjectOverwrite)</f>
        <v>USDOIS30Y_Quote#0000</v>
      </c>
      <c r="G54" s="213" t="str">
        <f>_xll.ohRangeRetrieveError(F54)</f>
        <v/>
      </c>
      <c r="H54" s="170"/>
      <c r="J54" s="76"/>
      <c r="K54" s="79"/>
      <c r="L54" s="250" t="s">
        <v>56</v>
      </c>
      <c r="M54" s="182" t="s">
        <v>121</v>
      </c>
      <c r="N54" s="183" t="str">
        <f t="shared" si="6"/>
        <v>USD30YOIS</v>
      </c>
      <c r="O54" s="183" t="str">
        <v>USD30YOIS=TTKL</v>
      </c>
      <c r="P54" s="85">
        <v>2.5609999999999999</v>
      </c>
      <c r="Q54" s="85">
        <v>2.6109999999999998</v>
      </c>
      <c r="R54" s="85">
        <v>0</v>
      </c>
      <c r="S54" s="85">
        <v>0</v>
      </c>
      <c r="T54" s="85">
        <f t="shared" si="3"/>
        <v>2.5859999999999999</v>
      </c>
      <c r="U54" s="85">
        <f t="shared" si="4"/>
        <v>4.9999999999999822E-2</v>
      </c>
      <c r="V54" s="194"/>
      <c r="W54" s="196">
        <v>2.59</v>
      </c>
      <c r="X54" s="194"/>
      <c r="Y54" s="85">
        <v>2.5859999999999999</v>
      </c>
      <c r="Z54" s="187">
        <f>_xll.qlSimpleQuoteSetValue(F54,Y54/100,Trigger)</f>
        <v>0</v>
      </c>
      <c r="AA54" s="77"/>
    </row>
    <row r="55" spans="1:27" x14ac:dyDescent="0.2">
      <c r="A55" s="76"/>
      <c r="B55" s="91"/>
      <c r="C55" s="91" t="s">
        <v>121</v>
      </c>
      <c r="D55" s="91" t="str">
        <f t="shared" si="2"/>
        <v>35Y</v>
      </c>
      <c r="E55" s="112" t="str">
        <f t="shared" si="5"/>
        <v>USDOIS35Y_Quote</v>
      </c>
      <c r="F55" s="91" t="str">
        <f>_xll.qlSimpleQuote(Currency&amp;$C55&amp;$D55&amp;QuoteSuffix,,RateTickValue,Permanent,Trigger,ObjectOverwrite)</f>
        <v>USDOIS35Y_Quote#0000</v>
      </c>
      <c r="G55" s="213" t="str">
        <f>_xll.ohRangeRetrieveError(F55)</f>
        <v/>
      </c>
      <c r="H55" s="170"/>
      <c r="J55" s="76"/>
      <c r="K55" s="79"/>
      <c r="L55" s="250" t="s">
        <v>51</v>
      </c>
      <c r="M55" s="182" t="s">
        <v>121</v>
      </c>
      <c r="N55" s="183" t="str">
        <f t="shared" si="6"/>
        <v>USD35YOIS</v>
      </c>
      <c r="O55" s="183" t="str">
        <v>USD35YOIS=TTKL</v>
      </c>
      <c r="P55" s="85">
        <v>2.5680000000000001</v>
      </c>
      <c r="Q55" s="85">
        <v>2.6179999999999999</v>
      </c>
      <c r="R55" s="85">
        <v>0</v>
      </c>
      <c r="S55" s="85">
        <v>0</v>
      </c>
      <c r="T55" s="85">
        <f t="shared" si="3"/>
        <v>2.593</v>
      </c>
      <c r="U55" s="85">
        <f t="shared" si="4"/>
        <v>4.9999999999999822E-2</v>
      </c>
      <c r="V55" s="194"/>
      <c r="W55" s="196">
        <v>2.5949999999999998</v>
      </c>
      <c r="X55" s="194"/>
      <c r="Y55" s="85">
        <v>2.593</v>
      </c>
      <c r="Z55" s="187">
        <f>_xll.qlSimpleQuoteSetValue(F55,Y55/100,Trigger)</f>
        <v>0</v>
      </c>
      <c r="AA55" s="77"/>
    </row>
    <row r="56" spans="1:27" x14ac:dyDescent="0.2">
      <c r="A56" s="76"/>
      <c r="B56" s="91"/>
      <c r="C56" s="91" t="s">
        <v>121</v>
      </c>
      <c r="D56" s="91" t="str">
        <f t="shared" si="2"/>
        <v>40Y</v>
      </c>
      <c r="E56" s="112" t="str">
        <f t="shared" si="5"/>
        <v>USDOIS40Y_Quote</v>
      </c>
      <c r="F56" s="91" t="str">
        <f>_xll.qlSimpleQuote(Currency&amp;$C56&amp;$D56&amp;QuoteSuffix,,RateTickValue,Permanent,Trigger,ObjectOverwrite)</f>
        <v>USDOIS40Y_Quote#0000</v>
      </c>
      <c r="G56" s="213" t="str">
        <f>_xll.ohRangeRetrieveError(F56)</f>
        <v/>
      </c>
      <c r="H56" s="170"/>
      <c r="J56" s="76"/>
      <c r="K56" s="79"/>
      <c r="L56" s="250" t="s">
        <v>46</v>
      </c>
      <c r="M56" s="182" t="s">
        <v>121</v>
      </c>
      <c r="N56" s="183" t="str">
        <f t="shared" si="6"/>
        <v>USD40YOIS</v>
      </c>
      <c r="O56" s="183" t="str">
        <v>USD40YOIS=TTKL</v>
      </c>
      <c r="P56" s="85">
        <v>2.573</v>
      </c>
      <c r="Q56" s="85">
        <v>2.6230000000000002</v>
      </c>
      <c r="R56" s="85">
        <v>0</v>
      </c>
      <c r="S56" s="85">
        <v>0</v>
      </c>
      <c r="T56" s="85">
        <f t="shared" si="3"/>
        <v>2.5979999999999999</v>
      </c>
      <c r="U56" s="85">
        <f t="shared" si="4"/>
        <v>5.0000000000000266E-2</v>
      </c>
      <c r="V56" s="194"/>
      <c r="W56" s="196">
        <v>2.601</v>
      </c>
      <c r="X56" s="194"/>
      <c r="Y56" s="85">
        <v>2.5979999999999999</v>
      </c>
      <c r="Z56" s="187">
        <f>_xll.qlSimpleQuoteSetValue(F56,Y56/100,Trigger)</f>
        <v>0</v>
      </c>
      <c r="AA56" s="77"/>
    </row>
    <row r="57" spans="1:27" x14ac:dyDescent="0.2">
      <c r="A57" s="76"/>
      <c r="B57" s="91"/>
      <c r="C57" s="91" t="s">
        <v>121</v>
      </c>
      <c r="D57" s="91" t="str">
        <f t="shared" si="2"/>
        <v>45Y</v>
      </c>
      <c r="E57" s="112" t="str">
        <f t="shared" si="5"/>
        <v>USDOIS45Y_Quote</v>
      </c>
      <c r="F57" s="91" t="str">
        <f>_xll.qlSimpleQuote(Currency&amp;$C57&amp;$D57&amp;QuoteSuffix,,RateTickValue,Permanent,Trigger,ObjectOverwrite)</f>
        <v>USDOIS45Y_Quote#0000</v>
      </c>
      <c r="G57" s="213" t="str">
        <f>_xll.ohRangeRetrieveError(F57)</f>
        <v/>
      </c>
      <c r="H57" s="170"/>
      <c r="J57" s="76"/>
      <c r="K57" s="79"/>
      <c r="L57" s="250" t="s">
        <v>41</v>
      </c>
      <c r="M57" s="182" t="s">
        <v>121</v>
      </c>
      <c r="N57" s="183" t="str">
        <f t="shared" si="6"/>
        <v>USD45YOIS</v>
      </c>
      <c r="O57" s="183" t="str">
        <v>USD45YOIS=TTKL</v>
      </c>
      <c r="P57" s="85">
        <v>2.569</v>
      </c>
      <c r="Q57" s="85">
        <v>2.6189999999999998</v>
      </c>
      <c r="R57" s="85">
        <v>0</v>
      </c>
      <c r="S57" s="85">
        <v>0</v>
      </c>
      <c r="T57" s="85">
        <f t="shared" si="3"/>
        <v>2.5939999999999999</v>
      </c>
      <c r="U57" s="85">
        <f t="shared" si="4"/>
        <v>4.9999999999999822E-2</v>
      </c>
      <c r="V57" s="194"/>
      <c r="W57" s="196">
        <v>2.597</v>
      </c>
      <c r="X57" s="194"/>
      <c r="Y57" s="85">
        <v>2.5939999999999999</v>
      </c>
      <c r="Z57" s="187">
        <f>_xll.qlSimpleQuoteSetValue(F57,Y57/100,Trigger)</f>
        <v>0</v>
      </c>
      <c r="AA57" s="77"/>
    </row>
    <row r="58" spans="1:27" x14ac:dyDescent="0.2">
      <c r="A58" s="76"/>
      <c r="B58" s="92"/>
      <c r="C58" s="92" t="s">
        <v>121</v>
      </c>
      <c r="D58" s="92" t="str">
        <f t="shared" si="2"/>
        <v>50Y</v>
      </c>
      <c r="E58" s="114" t="str">
        <f t="shared" si="5"/>
        <v>USDOIS50Y_Quote</v>
      </c>
      <c r="F58" s="92" t="str">
        <f>_xll.qlSimpleQuote(Currency&amp;$C58&amp;$D58&amp;QuoteSuffix,,RateTickValue,Permanent,Trigger,ObjectOverwrite)</f>
        <v>USDOIS50Y_Quote#0000</v>
      </c>
      <c r="G58" s="214" t="str">
        <f>_xll.ohRangeRetrieveError(F58)</f>
        <v/>
      </c>
      <c r="H58" s="170"/>
      <c r="J58" s="76"/>
      <c r="K58" s="80"/>
      <c r="L58" s="251" t="s">
        <v>36</v>
      </c>
      <c r="M58" s="184" t="s">
        <v>121</v>
      </c>
      <c r="N58" s="185" t="str">
        <f t="shared" si="6"/>
        <v>USD50YOIS</v>
      </c>
      <c r="O58" s="185" t="str">
        <v>USD50YOIS=TTKL</v>
      </c>
      <c r="P58" s="86">
        <v>2.5540000000000003</v>
      </c>
      <c r="Q58" s="86">
        <v>2.6040000000000001</v>
      </c>
      <c r="R58" s="86">
        <v>0</v>
      </c>
      <c r="S58" s="86">
        <v>0</v>
      </c>
      <c r="T58" s="86">
        <f t="shared" si="3"/>
        <v>2.5790000000000002</v>
      </c>
      <c r="U58" s="86">
        <f t="shared" si="4"/>
        <v>4.9999999999999822E-2</v>
      </c>
      <c r="V58" s="194"/>
      <c r="W58" s="200">
        <v>2.5819999999999999</v>
      </c>
      <c r="X58" s="194"/>
      <c r="Y58" s="86">
        <v>2.5790000000000002</v>
      </c>
      <c r="Z58" s="188">
        <f>_xll.qlSimpleQuoteSetValue(F58,Y58/100,Trigger)</f>
        <v>0</v>
      </c>
      <c r="AA58" s="77"/>
    </row>
    <row r="59" spans="1:27" x14ac:dyDescent="0.2">
      <c r="A59" s="171"/>
      <c r="B59" s="172"/>
      <c r="C59" s="172"/>
      <c r="D59" s="172"/>
      <c r="E59" s="172"/>
      <c r="F59" s="173"/>
      <c r="G59" s="173"/>
      <c r="H59" s="174"/>
      <c r="J59" s="139"/>
      <c r="K59" s="140"/>
      <c r="L59" s="140"/>
      <c r="M59" s="140"/>
      <c r="N59" s="140"/>
      <c r="O59" s="140"/>
      <c r="P59" s="140"/>
      <c r="Q59" s="140"/>
      <c r="R59" s="140"/>
      <c r="S59" s="140"/>
      <c r="T59" s="193"/>
      <c r="U59" s="193"/>
      <c r="V59" s="193"/>
      <c r="W59" s="193"/>
      <c r="X59" s="193"/>
      <c r="Y59" s="193"/>
      <c r="Z59" s="140"/>
      <c r="AA59" s="141"/>
    </row>
  </sheetData>
  <conditionalFormatting sqref="Z5:Z5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1" workbookViewId="0">
      <selection activeCell="R4" sqref="R4"/>
    </sheetView>
  </sheetViews>
  <sheetFormatPr defaultRowHeight="11.25" outlineLevelCol="1" x14ac:dyDescent="0.2"/>
  <cols>
    <col min="1" max="1" width="2.7109375" style="198" hidden="1" customWidth="1" outlineLevel="1"/>
    <col min="2" max="2" width="3.7109375" style="198" hidden="1" customWidth="1" outlineLevel="1"/>
    <col min="3" max="3" width="6" style="198" hidden="1" customWidth="1" outlineLevel="1"/>
    <col min="4" max="4" width="7.2851562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8" hidden="1" customWidth="1" outlineLevel="1"/>
    <col min="8" max="8" width="24.42578125" style="198" hidden="1" customWidth="1" outlineLevel="1"/>
    <col min="9" max="9" width="31.7109375" style="198" hidden="1" customWidth="1" outlineLevel="1"/>
    <col min="10" max="10" width="20.7109375" style="198" hidden="1" customWidth="1" outlineLevel="1"/>
    <col min="11" max="11" width="2.7109375" style="198" hidden="1" customWidth="1" outlineLevel="1"/>
    <col min="12" max="12" width="2.7109375" style="198" customWidth="1" collapsed="1"/>
    <col min="13" max="13" width="2.7109375" style="198" customWidth="1"/>
    <col min="14" max="14" width="3" style="198" bestFit="1" customWidth="1"/>
    <col min="15" max="15" width="6" style="198" bestFit="1" customWidth="1"/>
    <col min="16" max="16" width="7.140625" style="198" customWidth="1"/>
    <col min="17" max="17" width="17.28515625" style="198" bestFit="1" customWidth="1"/>
    <col min="18" max="18" width="13.5703125" style="198" customWidth="1"/>
    <col min="19" max="19" width="11.140625" style="198" customWidth="1"/>
    <col min="20" max="25" width="10.7109375" style="198" customWidth="1"/>
    <col min="26" max="26" width="2.7109375" style="198" customWidth="1"/>
    <col min="27" max="27" width="10.7109375" style="198" customWidth="1"/>
    <col min="28" max="28" width="2.7109375" style="198" customWidth="1"/>
    <col min="29" max="30" width="10.7109375" style="198" customWidth="1"/>
    <col min="31" max="32" width="2.7109375" style="198" customWidth="1"/>
    <col min="33" max="16384" width="9.140625" style="198"/>
  </cols>
  <sheetData>
    <row r="1" spans="1:31" x14ac:dyDescent="0.2">
      <c r="A1" s="142"/>
      <c r="B1" s="133"/>
      <c r="C1" s="133"/>
      <c r="D1" s="133"/>
      <c r="E1" s="133"/>
      <c r="F1" s="133"/>
      <c r="G1" s="133"/>
      <c r="H1" s="241" t="s">
        <v>146</v>
      </c>
      <c r="I1" s="109" t="str">
        <f>FuturesHWConvAdj!C5</f>
        <v>USDHW_Volatility_Quote#0000</v>
      </c>
      <c r="J1" s="133"/>
      <c r="K1" s="134"/>
      <c r="M1" s="2" t="s">
        <v>272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44"/>
      <c r="AA1" s="244"/>
      <c r="AB1" s="3"/>
      <c r="AC1" s="3"/>
      <c r="AD1" s="3"/>
      <c r="AE1" s="320"/>
    </row>
    <row r="2" spans="1:31" x14ac:dyDescent="0.2">
      <c r="A2" s="135"/>
      <c r="B2" s="136"/>
      <c r="C2" s="136"/>
      <c r="D2" s="136"/>
      <c r="E2" s="136"/>
      <c r="F2" s="136"/>
      <c r="G2" s="136"/>
      <c r="H2" s="241" t="s">
        <v>145</v>
      </c>
      <c r="I2" s="109" t="str">
        <f>FuturesHWConvAdj!C6</f>
        <v>USDHW_MeanReversion_Quote#0000</v>
      </c>
      <c r="J2" s="136"/>
      <c r="K2" s="137"/>
      <c r="M2" s="95"/>
      <c r="N2" s="7"/>
      <c r="O2" s="321"/>
      <c r="P2" s="321"/>
      <c r="Q2" s="7"/>
      <c r="R2" s="7"/>
      <c r="S2" s="7"/>
      <c r="T2" s="7"/>
      <c r="U2" s="7"/>
      <c r="V2" s="7"/>
      <c r="W2" s="7"/>
      <c r="X2" s="7"/>
      <c r="Y2" s="7"/>
      <c r="Z2" s="56"/>
      <c r="AA2" s="56"/>
      <c r="AB2" s="7"/>
      <c r="AC2" s="56"/>
      <c r="AD2" s="109">
        <f>_xll.ohTrigger(AD5:AD46)</f>
        <v>168</v>
      </c>
      <c r="AE2" s="322"/>
    </row>
    <row r="3" spans="1:31" x14ac:dyDescent="0.2">
      <c r="A3" s="135"/>
      <c r="B3" s="136"/>
      <c r="C3" s="136"/>
      <c r="D3" s="245" t="s">
        <v>120</v>
      </c>
      <c r="E3" s="245" t="s">
        <v>17</v>
      </c>
      <c r="F3" s="136"/>
      <c r="G3" s="136"/>
      <c r="H3" s="241" t="s">
        <v>88</v>
      </c>
      <c r="I3" s="109" t="str">
        <f>Libor!E10</f>
        <v>UsdLibor3M#0000</v>
      </c>
      <c r="J3" s="136"/>
      <c r="K3" s="137"/>
      <c r="M3" s="95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56"/>
      <c r="AA3" s="56"/>
      <c r="AB3" s="7"/>
      <c r="AC3" s="7"/>
      <c r="AD3" s="7"/>
      <c r="AE3" s="322"/>
    </row>
    <row r="4" spans="1:31" ht="22.5" customHeight="1" x14ac:dyDescent="0.2">
      <c r="A4" s="169" t="str">
        <f>_xll.ohRangeRetrieveError(F5)</f>
        <v/>
      </c>
      <c r="B4" s="103" t="s">
        <v>119</v>
      </c>
      <c r="C4" s="107" t="s">
        <v>118</v>
      </c>
      <c r="D4" s="107" t="s">
        <v>117</v>
      </c>
      <c r="E4" s="102" t="s">
        <v>248</v>
      </c>
      <c r="F4" s="102" t="s">
        <v>249</v>
      </c>
      <c r="G4" s="359" t="s">
        <v>266</v>
      </c>
      <c r="H4" s="102" t="s">
        <v>273</v>
      </c>
      <c r="I4" s="102" t="s">
        <v>274</v>
      </c>
      <c r="J4" s="359" t="s">
        <v>266</v>
      </c>
      <c r="K4" s="170"/>
      <c r="M4" s="95"/>
      <c r="N4" s="178" t="s">
        <v>119</v>
      </c>
      <c r="O4" s="178" t="s">
        <v>118</v>
      </c>
      <c r="P4" s="178" t="s">
        <v>117</v>
      </c>
      <c r="Q4" s="178" t="s">
        <v>167</v>
      </c>
      <c r="R4" s="177" t="str">
        <f>_xll.RData(R5:R46,S4:W4,"RTFEED:IDN",ReutersRtMode,,S5)</f>
        <v>Paused at 10:47:50</v>
      </c>
      <c r="S4" s="178" t="s">
        <v>166</v>
      </c>
      <c r="T4" s="178" t="s">
        <v>148</v>
      </c>
      <c r="U4" s="178" t="s">
        <v>147</v>
      </c>
      <c r="V4" s="178" t="s">
        <v>157</v>
      </c>
      <c r="W4" s="178" t="s">
        <v>165</v>
      </c>
      <c r="X4" s="179" t="s">
        <v>164</v>
      </c>
      <c r="Y4" s="88" t="s">
        <v>267</v>
      </c>
      <c r="Z4" s="52"/>
      <c r="AA4" s="178" t="s">
        <v>162</v>
      </c>
      <c r="AB4" s="52"/>
      <c r="AC4" s="178" t="s">
        <v>161</v>
      </c>
      <c r="AD4" s="178" t="s">
        <v>160</v>
      </c>
      <c r="AE4" s="51"/>
    </row>
    <row r="5" spans="1:31" x14ac:dyDescent="0.2">
      <c r="A5" s="324"/>
      <c r="B5" s="325">
        <v>1</v>
      </c>
      <c r="C5" s="253" t="b">
        <v>0</v>
      </c>
      <c r="D5" s="50" t="str">
        <f t="array" ref="D5:D46">_xll.qlIMMNextCodes(_xll.qlSettingsEvaluationDate(Trigger)-1,$C5:$C46)</f>
        <v>K5</v>
      </c>
      <c r="E5" s="326" t="str">
        <f t="shared" ref="E5:E46" si="0">Currency&amp;$D$3&amp;$E$3&amp;$D5&amp;QuoteSuffix</f>
        <v>USDFUT3MK5_Quote</v>
      </c>
      <c r="F5" s="327" t="str">
        <f>_xll.qlSimpleQuote(E5,,PriceTickValue,Permanent,Trigger,ObjectOverwrite)</f>
        <v>USDFUT3MK5_Quote#0000</v>
      </c>
      <c r="G5" s="338"/>
      <c r="H5" s="334" t="str">
        <f t="shared" ref="H5:H46" si="1">Currency&amp;$D$3&amp;$E$3&amp;$D5&amp;"ConvAdj"&amp;QuoteSuffix</f>
        <v>USDFUT3MK5ConvAdj_Quote</v>
      </c>
      <c r="I5" s="335" t="str">
        <f>_xll.qlFuturesConvAdjustmentQuote(H5,IborIndex,D5,F5,Volatility,MeanReversion,Permanent,AND(ISERROR(AD5),ISERROR(FuturesHWConvAdj!U5:U6)),ObjectOverwrite)</f>
        <v>USDFUT3MK5ConvAdj_Quote#0191</v>
      </c>
      <c r="J5" s="274" t="str">
        <f>_xll.ohRangeRetrieveError(I5)</f>
        <v/>
      </c>
      <c r="K5" s="170"/>
      <c r="M5" s="328"/>
      <c r="N5" s="329">
        <v>1</v>
      </c>
      <c r="O5" s="329" t="b">
        <v>0</v>
      </c>
      <c r="P5" s="256" t="str">
        <f t="array" ref="P5:P46">_xll.qlIMMcode(FuturesDates)</f>
        <v>K5</v>
      </c>
      <c r="Q5" s="330">
        <f t="array" ref="Q5:Q46">_xll.qlIMMNextDates(_xll.qlSettingsEvaluationDate(Trigger)-1,$O5:$O46)</f>
        <v>42144</v>
      </c>
      <c r="R5" s="256" t="str">
        <f t="array" ref="R5:R46">"ED"&amp;FuturesCodes</f>
        <v>EDK5</v>
      </c>
      <c r="S5" s="331">
        <v>42142</v>
      </c>
      <c r="T5" s="84">
        <v>99.722499999999997</v>
      </c>
      <c r="U5" s="84">
        <v>99.724999999999994</v>
      </c>
      <c r="V5" s="84">
        <v>0</v>
      </c>
      <c r="W5" s="84">
        <v>99.722499999999997</v>
      </c>
      <c r="X5" s="84">
        <f>_xll.qlMidSafe(T5,U5,Trigger)</f>
        <v>99.723749999999995</v>
      </c>
      <c r="Y5" s="85">
        <f>U5-T5</f>
        <v>2.4999999999977263E-3</v>
      </c>
      <c r="Z5" s="332"/>
      <c r="AA5" s="333">
        <v>99.72375000000001</v>
      </c>
      <c r="AB5" s="332"/>
      <c r="AC5" s="84">
        <f t="array" ref="AC5:AC46">QuoteLive</f>
        <v>99.723749999999995</v>
      </c>
      <c r="AD5" s="256">
        <f>_xll.qlSimpleQuoteSetValue(F5,AC5,Trigger)</f>
        <v>0</v>
      </c>
      <c r="AE5" s="51"/>
    </row>
    <row r="6" spans="1:31" x14ac:dyDescent="0.2">
      <c r="A6" s="324"/>
      <c r="B6" s="336">
        <v>2</v>
      </c>
      <c r="C6" s="56" t="b">
        <v>0</v>
      </c>
      <c r="D6" s="52" t="str">
        <v>M5</v>
      </c>
      <c r="E6" s="138" t="str">
        <f t="shared" si="0"/>
        <v>USDFUT3MM5_Quote</v>
      </c>
      <c r="F6" s="337" t="str">
        <f>_xll.qlSimpleQuote(E6,,PriceTickValue,Permanent,Trigger,ObjectOverwrite)</f>
        <v>USDFUT3MM5_Quote#0000</v>
      </c>
      <c r="G6" s="338" t="str">
        <f>_xll.ohRangeRetrieveError(F6)</f>
        <v/>
      </c>
      <c r="H6" s="343" t="str">
        <f t="shared" si="1"/>
        <v>USDFUT3MM5ConvAdj_Quote</v>
      </c>
      <c r="I6" s="344" t="str">
        <f>_xll.qlFuturesConvAdjustmentQuote(H6,IborIndex,D6,F6,Volatility,MeanReversion,Permanent,AND(ISERROR(AD6),ISERROR(FuturesHWConvAdj!U6:U7)),ObjectOverwrite)</f>
        <v>USDFUT3MM5ConvAdj_Quote#0191</v>
      </c>
      <c r="J6" s="277" t="str">
        <f>_xll.ohRangeRetrieveError(I6)</f>
        <v/>
      </c>
      <c r="K6" s="170"/>
      <c r="M6" s="328"/>
      <c r="N6" s="339">
        <v>2</v>
      </c>
      <c r="O6" s="339" t="b">
        <v>0</v>
      </c>
      <c r="P6" s="242" t="str">
        <v>M5</v>
      </c>
      <c r="Q6" s="340">
        <v>42172</v>
      </c>
      <c r="R6" s="242" t="str">
        <v>EDM5</v>
      </c>
      <c r="S6" s="341">
        <v>42170</v>
      </c>
      <c r="T6" s="85">
        <v>99.71</v>
      </c>
      <c r="U6" s="85">
        <v>99.715000000000003</v>
      </c>
      <c r="V6" s="85">
        <v>99.71</v>
      </c>
      <c r="W6" s="85">
        <v>99.71</v>
      </c>
      <c r="X6" s="85">
        <f>_xll.qlMidSafe(T6,U6,Trigger)</f>
        <v>99.712500000000006</v>
      </c>
      <c r="Y6" s="85">
        <f t="shared" ref="Y6:Y46" si="2">U6-T6</f>
        <v>5.0000000000096634E-3</v>
      </c>
      <c r="Z6" s="332"/>
      <c r="AA6" s="342">
        <v>99.712500000000006</v>
      </c>
      <c r="AB6" s="332"/>
      <c r="AC6" s="85">
        <v>99.712500000000006</v>
      </c>
      <c r="AD6" s="242">
        <f>_xll.qlSimpleQuoteSetValue(F6,AC6,Trigger)</f>
        <v>0</v>
      </c>
      <c r="AE6" s="51"/>
    </row>
    <row r="7" spans="1:31" x14ac:dyDescent="0.2">
      <c r="A7" s="324"/>
      <c r="B7" s="336">
        <v>3</v>
      </c>
      <c r="C7" s="56" t="b">
        <v>0</v>
      </c>
      <c r="D7" s="52" t="str">
        <v>N5</v>
      </c>
      <c r="E7" s="138" t="str">
        <f t="shared" si="0"/>
        <v>USDFUT3MN5_Quote</v>
      </c>
      <c r="F7" s="337" t="str">
        <f>_xll.qlSimpleQuote(E7,,PriceTickValue,Permanent,Trigger,ObjectOverwrite)</f>
        <v>USDFUT3MN5_Quote#0000</v>
      </c>
      <c r="G7" s="338" t="str">
        <f>_xll.ohRangeRetrieveError(F7)</f>
        <v/>
      </c>
      <c r="H7" s="343" t="str">
        <f t="shared" si="1"/>
        <v>USDFUT3MN5ConvAdj_Quote</v>
      </c>
      <c r="I7" s="344" t="str">
        <f>_xll.qlFuturesConvAdjustmentQuote(H7,IborIndex,D7,F7,Volatility,MeanReversion,Permanent,AND(ISERROR(AD7),ISERROR(FuturesHWConvAdj!U7:U8)),ObjectOverwrite)</f>
        <v>USDFUT3MN5ConvAdj_Quote#0167</v>
      </c>
      <c r="J7" s="277" t="str">
        <f>_xll.ohRangeRetrieveError(I7)</f>
        <v/>
      </c>
      <c r="K7" s="170"/>
      <c r="M7" s="328"/>
      <c r="N7" s="339">
        <v>3</v>
      </c>
      <c r="O7" s="339" t="b">
        <v>0</v>
      </c>
      <c r="P7" s="242" t="str">
        <v>N5</v>
      </c>
      <c r="Q7" s="340">
        <v>42200</v>
      </c>
      <c r="R7" s="242" t="str">
        <v>EDN5</v>
      </c>
      <c r="S7" s="341">
        <v>42198</v>
      </c>
      <c r="T7" s="85">
        <v>99.674999999999997</v>
      </c>
      <c r="U7" s="85">
        <v>99.685000000000002</v>
      </c>
      <c r="V7" s="85">
        <v>0</v>
      </c>
      <c r="W7" s="85">
        <v>99.68</v>
      </c>
      <c r="X7" s="85">
        <f>_xll.qlMidSafe(T7,U7,Trigger)</f>
        <v>99.68</v>
      </c>
      <c r="Y7" s="85">
        <f t="shared" si="2"/>
        <v>1.0000000000005116E-2</v>
      </c>
      <c r="Z7" s="332"/>
      <c r="AA7" s="342">
        <v>99.68</v>
      </c>
      <c r="AB7" s="332"/>
      <c r="AC7" s="85">
        <v>99.68</v>
      </c>
      <c r="AD7" s="242">
        <f>_xll.qlSimpleQuoteSetValue(F7,AC7,Trigger)</f>
        <v>0</v>
      </c>
      <c r="AE7" s="51"/>
    </row>
    <row r="8" spans="1:31" x14ac:dyDescent="0.2">
      <c r="A8" s="324"/>
      <c r="B8" s="336">
        <v>4</v>
      </c>
      <c r="C8" s="56" t="b">
        <v>0</v>
      </c>
      <c r="D8" s="52" t="str">
        <v>Q5</v>
      </c>
      <c r="E8" s="138" t="str">
        <f t="shared" si="0"/>
        <v>USDFUT3MQ5_Quote</v>
      </c>
      <c r="F8" s="337" t="str">
        <f>_xll.qlSimpleQuote(E8,,PriceTickValue,Permanent,Trigger,ObjectOverwrite)</f>
        <v>USDFUT3MQ5_Quote#0000</v>
      </c>
      <c r="G8" s="338" t="str">
        <f>_xll.ohRangeRetrieveError(F8)</f>
        <v/>
      </c>
      <c r="H8" s="343" t="str">
        <f t="shared" si="1"/>
        <v>USDFUT3MQ5ConvAdj_Quote</v>
      </c>
      <c r="I8" s="344" t="str">
        <f>_xll.qlFuturesConvAdjustmentQuote(H8,IborIndex,D8,F8,Volatility,MeanReversion,Permanent,AND(ISERROR(AD8),ISERROR(FuturesHWConvAdj!U8:U9)),ObjectOverwrite)</f>
        <v>USDFUT3MQ5ConvAdj_Quote#0167</v>
      </c>
      <c r="J8" s="277" t="str">
        <f>_xll.ohRangeRetrieveError(I8)</f>
        <v/>
      </c>
      <c r="K8" s="170"/>
      <c r="M8" s="328"/>
      <c r="N8" s="339">
        <v>4</v>
      </c>
      <c r="O8" s="339" t="b">
        <v>0</v>
      </c>
      <c r="P8" s="242" t="str">
        <v>Q5</v>
      </c>
      <c r="Q8" s="340">
        <v>42235</v>
      </c>
      <c r="R8" s="242" t="str">
        <v>EDQ5</v>
      </c>
      <c r="S8" s="341">
        <v>42233</v>
      </c>
      <c r="T8" s="85">
        <v>99.64</v>
      </c>
      <c r="U8" s="85">
        <v>99.644999999999996</v>
      </c>
      <c r="V8" s="85">
        <v>99.64</v>
      </c>
      <c r="W8" s="85">
        <v>99.64</v>
      </c>
      <c r="X8" s="85">
        <f>_xll.qlMidSafe(T8,U8,Trigger)</f>
        <v>99.642499999999998</v>
      </c>
      <c r="Y8" s="85">
        <f t="shared" si="2"/>
        <v>4.9999999999954525E-3</v>
      </c>
      <c r="Z8" s="332"/>
      <c r="AA8" s="342">
        <v>99.640000000000015</v>
      </c>
      <c r="AB8" s="332"/>
      <c r="AC8" s="85">
        <v>99.642499999999998</v>
      </c>
      <c r="AD8" s="242">
        <f>_xll.qlSimpleQuoteSetValue(F8,AC8,Trigger)</f>
        <v>0</v>
      </c>
      <c r="AE8" s="51"/>
    </row>
    <row r="9" spans="1:31" x14ac:dyDescent="0.2">
      <c r="A9" s="324"/>
      <c r="B9" s="336">
        <v>5</v>
      </c>
      <c r="C9" s="56" t="b">
        <v>0</v>
      </c>
      <c r="D9" s="52" t="str">
        <v>U5</v>
      </c>
      <c r="E9" s="138" t="str">
        <f t="shared" si="0"/>
        <v>USDFUT3MU5_Quote</v>
      </c>
      <c r="F9" s="337" t="str">
        <f>_xll.qlSimpleQuote(E9,,PriceTickValue,Permanent,Trigger,ObjectOverwrite)</f>
        <v>USDFUT3MU5_Quote#0000</v>
      </c>
      <c r="G9" s="338" t="str">
        <f>_xll.ohRangeRetrieveError(F9)</f>
        <v/>
      </c>
      <c r="H9" s="343" t="str">
        <f t="shared" si="1"/>
        <v>USDFUT3MU5ConvAdj_Quote</v>
      </c>
      <c r="I9" s="344" t="str">
        <f>_xll.qlFuturesConvAdjustmentQuote(H9,IborIndex,D9,F9,Volatility,MeanReversion,Permanent,AND(ISERROR(AD9),ISERROR(FuturesHWConvAdj!U9:U10)),ObjectOverwrite)</f>
        <v>USDFUT3MU5ConvAdj_Quote#0167</v>
      </c>
      <c r="J9" s="277" t="str">
        <f>_xll.ohRangeRetrieveError(I9)</f>
        <v/>
      </c>
      <c r="K9" s="170"/>
      <c r="L9" s="345"/>
      <c r="M9" s="328"/>
      <c r="N9" s="339">
        <v>5</v>
      </c>
      <c r="O9" s="339" t="b">
        <v>0</v>
      </c>
      <c r="P9" s="242" t="str">
        <v>U5</v>
      </c>
      <c r="Q9" s="340">
        <v>42263</v>
      </c>
      <c r="R9" s="242" t="str">
        <v>EDU5</v>
      </c>
      <c r="S9" s="341">
        <v>42261</v>
      </c>
      <c r="T9" s="85">
        <v>99.6</v>
      </c>
      <c r="U9" s="85">
        <v>99.605000000000004</v>
      </c>
      <c r="V9" s="85">
        <v>99.6</v>
      </c>
      <c r="W9" s="85">
        <v>99.6</v>
      </c>
      <c r="X9" s="85">
        <f>_xll.qlMidSafe(T9,U9,Trigger)</f>
        <v>99.602499999999992</v>
      </c>
      <c r="Y9" s="85">
        <f t="shared" si="2"/>
        <v>5.0000000000096634E-3</v>
      </c>
      <c r="Z9" s="332"/>
      <c r="AA9" s="346">
        <v>99.602500000000006</v>
      </c>
      <c r="AB9" s="332"/>
      <c r="AC9" s="85">
        <v>99.602499999999992</v>
      </c>
      <c r="AD9" s="242">
        <f>_xll.qlSimpleQuoteSetValue(F9,AC9,Trigger)</f>
        <v>0</v>
      </c>
      <c r="AE9" s="51"/>
    </row>
    <row r="10" spans="1:31" x14ac:dyDescent="0.2">
      <c r="A10" s="324"/>
      <c r="B10" s="336">
        <v>6</v>
      </c>
      <c r="C10" s="56" t="b">
        <v>0</v>
      </c>
      <c r="D10" s="52" t="str">
        <v>V5</v>
      </c>
      <c r="E10" s="138" t="str">
        <f t="shared" si="0"/>
        <v>USDFUT3MV5_Quote</v>
      </c>
      <c r="F10" s="337" t="str">
        <f>_xll.qlSimpleQuote(E10,,PriceTickValue,Permanent,Trigger,ObjectOverwrite)</f>
        <v>USDFUT3MV5_Quote#0000</v>
      </c>
      <c r="G10" s="338" t="str">
        <f>_xll.ohRangeRetrieveError(F10)</f>
        <v/>
      </c>
      <c r="H10" s="343" t="str">
        <f t="shared" si="1"/>
        <v>USDFUT3MV5ConvAdj_Quote</v>
      </c>
      <c r="I10" s="344" t="str">
        <f>_xll.qlFuturesConvAdjustmentQuote(H10,IborIndex,D10,F10,Volatility,MeanReversion,Permanent,AND(ISERROR(AD10),ISERROR(FuturesHWConvAdj!U10:U11)),ObjectOverwrite)</f>
        <v>USDFUT3MV5ConvAdj_Quote#0167</v>
      </c>
      <c r="J10" s="277" t="str">
        <f>_xll.ohRangeRetrieveError(I10)</f>
        <v/>
      </c>
      <c r="K10" s="170"/>
      <c r="M10" s="328"/>
      <c r="N10" s="339">
        <v>6</v>
      </c>
      <c r="O10" s="339" t="b">
        <v>0</v>
      </c>
      <c r="P10" s="242" t="str">
        <v>V5</v>
      </c>
      <c r="Q10" s="340">
        <v>42298</v>
      </c>
      <c r="R10" s="242" t="str">
        <v>EDV5</v>
      </c>
      <c r="S10" s="341">
        <v>42296</v>
      </c>
      <c r="T10" s="85">
        <v>99.54</v>
      </c>
      <c r="U10" s="85">
        <v>0</v>
      </c>
      <c r="V10" s="85">
        <v>0</v>
      </c>
      <c r="W10" s="85">
        <v>99.54</v>
      </c>
      <c r="X10" s="85" t="e">
        <f>_xll.qlMidSafe(T10,U10,Trigger)</f>
        <v>#NUM!</v>
      </c>
      <c r="Y10" s="85">
        <f t="shared" si="2"/>
        <v>-99.54</v>
      </c>
      <c r="Z10" s="332"/>
      <c r="AA10" s="346" t="e">
        <v>#NUM!</v>
      </c>
      <c r="AB10" s="332"/>
      <c r="AC10" s="85" t="e">
        <v>#NUM!</v>
      </c>
      <c r="AD10" s="242">
        <f>_xll.qlSimpleQuoteSetValue(F10,AC10,Trigger)</f>
        <v>0</v>
      </c>
      <c r="AE10" s="51"/>
    </row>
    <row r="11" spans="1:31" x14ac:dyDescent="0.2">
      <c r="A11" s="324"/>
      <c r="B11" s="336">
        <v>7</v>
      </c>
      <c r="C11" s="56" t="b">
        <v>0</v>
      </c>
      <c r="D11" s="52" t="str">
        <v>X5</v>
      </c>
      <c r="E11" s="138" t="str">
        <f t="shared" si="0"/>
        <v>USDFUT3MX5_Quote</v>
      </c>
      <c r="F11" s="337" t="str">
        <f>_xll.qlSimpleQuote(E11,,PriceTickValue,Permanent,Trigger,ObjectOverwrite)</f>
        <v>USDFUT3MX5_Quote#0000</v>
      </c>
      <c r="G11" s="338" t="str">
        <f>_xll.ohRangeRetrieveError(F11)</f>
        <v/>
      </c>
      <c r="H11" s="343" t="str">
        <f t="shared" si="1"/>
        <v>USDFUT3MX5ConvAdj_Quote</v>
      </c>
      <c r="I11" s="344" t="str">
        <f>_xll.qlFuturesConvAdjustmentQuote(H11,IborIndex,D11,F11,Volatility,MeanReversion,Permanent,AND(ISERROR(AD11),ISERROR(FuturesHWConvAdj!U11:U12)),ObjectOverwrite)</f>
        <v>USDFUT3MX5ConvAdj_Quote#0167</v>
      </c>
      <c r="J11" s="277" t="str">
        <f>_xll.ohRangeRetrieveError(I11)</f>
        <v/>
      </c>
      <c r="K11" s="170"/>
      <c r="M11" s="328"/>
      <c r="N11" s="339">
        <v>7</v>
      </c>
      <c r="O11" s="339" t="b">
        <v>0</v>
      </c>
      <c r="P11" s="242" t="str">
        <v>X5</v>
      </c>
      <c r="Q11" s="340">
        <v>42326</v>
      </c>
      <c r="R11" s="242" t="str">
        <v>EDX5</v>
      </c>
      <c r="S11" s="341" t="s">
        <v>281</v>
      </c>
      <c r="T11" s="85" t="s">
        <v>281</v>
      </c>
      <c r="U11" s="85" t="s">
        <v>281</v>
      </c>
      <c r="V11" s="85" t="s">
        <v>281</v>
      </c>
      <c r="W11" s="85" t="s">
        <v>281</v>
      </c>
      <c r="X11" s="85" t="e">
        <f>_xll.qlMidSafe(T11,U11,Trigger)</f>
        <v>#NUM!</v>
      </c>
      <c r="Y11" s="85" t="e">
        <f t="shared" si="2"/>
        <v>#VALUE!</v>
      </c>
      <c r="Z11" s="332"/>
      <c r="AA11" s="346" t="e">
        <v>#NUM!</v>
      </c>
      <c r="AB11" s="332"/>
      <c r="AC11" s="85" t="e">
        <v>#NUM!</v>
      </c>
      <c r="AD11" s="242">
        <f>_xll.qlSimpleQuoteSetValue(F11,AC11,Trigger)</f>
        <v>0</v>
      </c>
      <c r="AE11" s="51"/>
    </row>
    <row r="12" spans="1:31" x14ac:dyDescent="0.2">
      <c r="A12" s="324"/>
      <c r="B12" s="336">
        <v>8</v>
      </c>
      <c r="C12" s="56" t="b">
        <v>0</v>
      </c>
      <c r="D12" s="52" t="str">
        <v>Z5</v>
      </c>
      <c r="E12" s="138" t="str">
        <f t="shared" si="0"/>
        <v>USDFUT3MZ5_Quote</v>
      </c>
      <c r="F12" s="337" t="str">
        <f>_xll.qlSimpleQuote(E12,,PriceTickValue,Permanent,Trigger,ObjectOverwrite)</f>
        <v>USDFUT3MZ5_Quote#0000</v>
      </c>
      <c r="G12" s="338" t="str">
        <f>_xll.ohRangeRetrieveError(F12)</f>
        <v/>
      </c>
      <c r="H12" s="343" t="str">
        <f t="shared" si="1"/>
        <v>USDFUT3MZ5ConvAdj_Quote</v>
      </c>
      <c r="I12" s="344" t="str">
        <f>_xll.qlFuturesConvAdjustmentQuote(H12,IborIndex,D12,F12,Volatility,MeanReversion,Permanent,AND(ISERROR(AD12),ISERROR(FuturesHWConvAdj!U12:U13)),ObjectOverwrite)</f>
        <v>USDFUT3MZ5ConvAdj_Quote#0167</v>
      </c>
      <c r="J12" s="277" t="str">
        <f>_xll.ohRangeRetrieveError(I12)</f>
        <v/>
      </c>
      <c r="K12" s="170"/>
      <c r="M12" s="328"/>
      <c r="N12" s="339">
        <v>8</v>
      </c>
      <c r="O12" s="339" t="b">
        <v>0</v>
      </c>
      <c r="P12" s="242" t="str">
        <v>Z5</v>
      </c>
      <c r="Q12" s="340">
        <v>42354</v>
      </c>
      <c r="R12" s="242" t="str">
        <v>EDZ5</v>
      </c>
      <c r="S12" s="341">
        <v>42352</v>
      </c>
      <c r="T12" s="85">
        <v>99.435000000000002</v>
      </c>
      <c r="U12" s="85">
        <v>99.44</v>
      </c>
      <c r="V12" s="85">
        <v>99.44</v>
      </c>
      <c r="W12" s="85">
        <v>99.435000000000002</v>
      </c>
      <c r="X12" s="85">
        <f>_xll.qlMidSafe(T12,U12,Trigger)</f>
        <v>99.4375</v>
      </c>
      <c r="Y12" s="85">
        <f t="shared" si="2"/>
        <v>4.9999999999954525E-3</v>
      </c>
      <c r="Z12" s="332"/>
      <c r="AA12" s="346">
        <v>99.442499999999995</v>
      </c>
      <c r="AB12" s="332"/>
      <c r="AC12" s="85">
        <v>99.4375</v>
      </c>
      <c r="AD12" s="242">
        <f>_xll.qlSimpleQuoteSetValue(F12,AC12,Trigger)</f>
        <v>0</v>
      </c>
      <c r="AE12" s="51"/>
    </row>
    <row r="13" spans="1:31" x14ac:dyDescent="0.2">
      <c r="A13" s="324"/>
      <c r="B13" s="336">
        <v>9</v>
      </c>
      <c r="C13" s="56" t="b">
        <v>0</v>
      </c>
      <c r="D13" s="52" t="str">
        <v>F6</v>
      </c>
      <c r="E13" s="138" t="str">
        <f t="shared" si="0"/>
        <v>USDFUT3MF6_Quote</v>
      </c>
      <c r="F13" s="337" t="str">
        <f>_xll.qlSimpleQuote(E13,,PriceTickValue,Permanent,Trigger,ObjectOverwrite)</f>
        <v>USDFUT3MF6_Quote#0000</v>
      </c>
      <c r="G13" s="338" t="str">
        <f>_xll.ohRangeRetrieveError(F13)</f>
        <v/>
      </c>
      <c r="H13" s="343" t="str">
        <f t="shared" si="1"/>
        <v>USDFUT3MF6ConvAdj_Quote</v>
      </c>
      <c r="I13" s="344" t="str">
        <f>_xll.qlFuturesConvAdjustmentQuote(H13,IborIndex,D13,F13,Volatility,MeanReversion,Permanent,AND(ISERROR(AD13),ISERROR(FuturesHWConvAdj!U13:U14)),ObjectOverwrite)</f>
        <v>USDFUT3MF6ConvAdj_Quote#0167</v>
      </c>
      <c r="J13" s="277" t="str">
        <f>_xll.ohRangeRetrieveError(I13)</f>
        <v/>
      </c>
      <c r="K13" s="170"/>
      <c r="M13" s="328"/>
      <c r="N13" s="339">
        <v>9</v>
      </c>
      <c r="O13" s="339" t="b">
        <v>0</v>
      </c>
      <c r="P13" s="242" t="str">
        <v>F6</v>
      </c>
      <c r="Q13" s="340">
        <v>42389</v>
      </c>
      <c r="R13" s="242" t="str">
        <v>EDF6</v>
      </c>
      <c r="S13" s="341" t="s">
        <v>281</v>
      </c>
      <c r="T13" s="85" t="s">
        <v>281</v>
      </c>
      <c r="U13" s="85" t="s">
        <v>281</v>
      </c>
      <c r="V13" s="85" t="s">
        <v>281</v>
      </c>
      <c r="W13" s="85" t="s">
        <v>281</v>
      </c>
      <c r="X13" s="85" t="e">
        <f>_xll.qlMidSafe(T13,U13,Trigger)</f>
        <v>#NUM!</v>
      </c>
      <c r="Y13" s="85" t="e">
        <f t="shared" si="2"/>
        <v>#VALUE!</v>
      </c>
      <c r="Z13" s="332"/>
      <c r="AA13" s="346" t="e">
        <v>#NUM!</v>
      </c>
      <c r="AB13" s="332"/>
      <c r="AC13" s="85" t="e">
        <v>#NUM!</v>
      </c>
      <c r="AD13" s="242">
        <f>_xll.qlSimpleQuoteSetValue(F13,AC13,Trigger)</f>
        <v>0</v>
      </c>
      <c r="AE13" s="51"/>
    </row>
    <row r="14" spans="1:31" x14ac:dyDescent="0.2">
      <c r="A14" s="324"/>
      <c r="B14" s="336">
        <v>10</v>
      </c>
      <c r="C14" s="56" t="b">
        <v>0</v>
      </c>
      <c r="D14" s="52" t="str">
        <v>G6</v>
      </c>
      <c r="E14" s="138" t="str">
        <f t="shared" si="0"/>
        <v>USDFUT3MG6_Quote</v>
      </c>
      <c r="F14" s="337" t="str">
        <f>_xll.qlSimpleQuote(E14,,PriceTickValue,Permanent,Trigger,ObjectOverwrite)</f>
        <v>USDFUT3MG6_Quote#0000</v>
      </c>
      <c r="G14" s="338" t="str">
        <f>_xll.ohRangeRetrieveError(F14)</f>
        <v/>
      </c>
      <c r="H14" s="343" t="str">
        <f t="shared" si="1"/>
        <v>USDFUT3MG6ConvAdj_Quote</v>
      </c>
      <c r="I14" s="344" t="str">
        <f>_xll.qlFuturesConvAdjustmentQuote(H14,IborIndex,D14,F14,Volatility,MeanReversion,Permanent,AND(ISERROR(AD14),ISERROR(FuturesHWConvAdj!U14:U15)),ObjectOverwrite)</f>
        <v>USDFUT3MG6ConvAdj_Quote#0167</v>
      </c>
      <c r="J14" s="277" t="str">
        <f>_xll.ohRangeRetrieveError(I14)</f>
        <v/>
      </c>
      <c r="K14" s="170"/>
      <c r="M14" s="328"/>
      <c r="N14" s="339">
        <v>10</v>
      </c>
      <c r="O14" s="339" t="b">
        <v>0</v>
      </c>
      <c r="P14" s="242" t="str">
        <v>G6</v>
      </c>
      <c r="Q14" s="340">
        <v>42417</v>
      </c>
      <c r="R14" s="242" t="str">
        <v>EDG6</v>
      </c>
      <c r="S14" s="341" t="s">
        <v>281</v>
      </c>
      <c r="T14" s="85" t="s">
        <v>281</v>
      </c>
      <c r="U14" s="85" t="s">
        <v>281</v>
      </c>
      <c r="V14" s="85" t="s">
        <v>281</v>
      </c>
      <c r="W14" s="85" t="s">
        <v>281</v>
      </c>
      <c r="X14" s="85" t="e">
        <f>_xll.qlMidSafe(T14,U14,Trigger)</f>
        <v>#NUM!</v>
      </c>
      <c r="Y14" s="85" t="e">
        <f t="shared" si="2"/>
        <v>#VALUE!</v>
      </c>
      <c r="Z14" s="332"/>
      <c r="AA14" s="346" t="e">
        <v>#NUM!</v>
      </c>
      <c r="AB14" s="332"/>
      <c r="AC14" s="85" t="e">
        <v>#NUM!</v>
      </c>
      <c r="AD14" s="242">
        <f>_xll.qlSimpleQuoteSetValue(F14,AC14,Trigger)</f>
        <v>0</v>
      </c>
      <c r="AE14" s="51"/>
    </row>
    <row r="15" spans="1:31" x14ac:dyDescent="0.2">
      <c r="A15" s="324"/>
      <c r="B15" s="336">
        <v>11</v>
      </c>
      <c r="C15" s="56" t="b">
        <v>0</v>
      </c>
      <c r="D15" s="52" t="str">
        <v>H6</v>
      </c>
      <c r="E15" s="138" t="str">
        <f t="shared" si="0"/>
        <v>USDFUT3MH6_Quote</v>
      </c>
      <c r="F15" s="337" t="str">
        <f>_xll.qlSimpleQuote(E15,,PriceTickValue,Permanent,Trigger,ObjectOverwrite)</f>
        <v>USDFUT3MH6_Quote#0000</v>
      </c>
      <c r="G15" s="338" t="str">
        <f>_xll.ohRangeRetrieveError(F15)</f>
        <v/>
      </c>
      <c r="H15" s="343" t="str">
        <f t="shared" si="1"/>
        <v>USDFUT3MH6ConvAdj_Quote</v>
      </c>
      <c r="I15" s="344" t="str">
        <f>_xll.qlFuturesConvAdjustmentQuote(H15,IborIndex,D15,F15,Volatility,MeanReversion,Permanent,AND(ISERROR(AD15),ISERROR(FuturesHWConvAdj!U15:U16)),ObjectOverwrite)</f>
        <v>USDFUT3MH6ConvAdj_Quote#0167</v>
      </c>
      <c r="J15" s="277" t="str">
        <f>_xll.ohRangeRetrieveError(I15)</f>
        <v/>
      </c>
      <c r="K15" s="170"/>
      <c r="M15" s="328"/>
      <c r="N15" s="339">
        <v>11</v>
      </c>
      <c r="O15" s="339" t="b">
        <v>0</v>
      </c>
      <c r="P15" s="242" t="str">
        <v>H6</v>
      </c>
      <c r="Q15" s="340">
        <v>42445</v>
      </c>
      <c r="R15" s="242" t="str">
        <v>EDH6</v>
      </c>
      <c r="S15" s="341">
        <v>42443</v>
      </c>
      <c r="T15" s="85">
        <v>99.25</v>
      </c>
      <c r="U15" s="85">
        <v>99.254999999999995</v>
      </c>
      <c r="V15" s="85">
        <v>99.254999999999995</v>
      </c>
      <c r="W15" s="85">
        <v>99.245000000000005</v>
      </c>
      <c r="X15" s="85">
        <f>_xll.qlMidSafe(T15,U15,Trigger)</f>
        <v>99.252499999999998</v>
      </c>
      <c r="Y15" s="85">
        <f t="shared" si="2"/>
        <v>4.9999999999954525E-3</v>
      </c>
      <c r="Z15" s="332"/>
      <c r="AA15" s="346">
        <v>99.252499999999998</v>
      </c>
      <c r="AB15" s="332"/>
      <c r="AC15" s="85">
        <v>99.252499999999998</v>
      </c>
      <c r="AD15" s="242">
        <f>_xll.qlSimpleQuoteSetValue(F15,AC15,Trigger)</f>
        <v>0</v>
      </c>
      <c r="AE15" s="51"/>
    </row>
    <row r="16" spans="1:31" x14ac:dyDescent="0.2">
      <c r="A16" s="324"/>
      <c r="B16" s="336">
        <v>12</v>
      </c>
      <c r="C16" s="56" t="b">
        <v>0</v>
      </c>
      <c r="D16" s="52" t="str">
        <v>J6</v>
      </c>
      <c r="E16" s="138" t="str">
        <f t="shared" si="0"/>
        <v>USDFUT3MJ6_Quote</v>
      </c>
      <c r="F16" s="337" t="str">
        <f>_xll.qlSimpleQuote(E16,,PriceTickValue,Permanent,Trigger,ObjectOverwrite)</f>
        <v>USDFUT3MJ6_Quote#0000</v>
      </c>
      <c r="G16" s="338" t="str">
        <f>_xll.ohRangeRetrieveError(F16)</f>
        <v/>
      </c>
      <c r="H16" s="343" t="str">
        <f t="shared" si="1"/>
        <v>USDFUT3MJ6ConvAdj_Quote</v>
      </c>
      <c r="I16" s="344" t="str">
        <f>_xll.qlFuturesConvAdjustmentQuote(H16,IborIndex,D16,F16,Volatility,MeanReversion,Permanent,AND(ISERROR(AD16),ISERROR(FuturesHWConvAdj!U16:U17)),ObjectOverwrite)</f>
        <v>USDFUT3MJ6ConvAdj_Quote#0167</v>
      </c>
      <c r="J16" s="277" t="str">
        <f>_xll.ohRangeRetrieveError(I16)</f>
        <v/>
      </c>
      <c r="K16" s="170"/>
      <c r="M16" s="328"/>
      <c r="N16" s="339">
        <v>12</v>
      </c>
      <c r="O16" s="339" t="b">
        <v>0</v>
      </c>
      <c r="P16" s="242" t="str">
        <v>J6</v>
      </c>
      <c r="Q16" s="340">
        <v>42480</v>
      </c>
      <c r="R16" s="242" t="str">
        <v>EDJ6</v>
      </c>
      <c r="S16" s="341" t="s">
        <v>281</v>
      </c>
      <c r="T16" s="85" t="s">
        <v>281</v>
      </c>
      <c r="U16" s="85" t="s">
        <v>281</v>
      </c>
      <c r="V16" s="85" t="s">
        <v>281</v>
      </c>
      <c r="W16" s="85" t="s">
        <v>281</v>
      </c>
      <c r="X16" s="85" t="e">
        <f>_xll.qlMidSafe(T16,U16,Trigger)</f>
        <v>#NUM!</v>
      </c>
      <c r="Y16" s="85" t="e">
        <f t="shared" si="2"/>
        <v>#VALUE!</v>
      </c>
      <c r="Z16" s="332"/>
      <c r="AA16" s="346" t="e">
        <v>#NUM!</v>
      </c>
      <c r="AB16" s="332"/>
      <c r="AC16" s="85" t="e">
        <v>#NUM!</v>
      </c>
      <c r="AD16" s="242">
        <f>_xll.qlSimpleQuoteSetValue(F16,AC16,Trigger)</f>
        <v>0</v>
      </c>
      <c r="AE16" s="51"/>
    </row>
    <row r="17" spans="1:31" x14ac:dyDescent="0.2">
      <c r="A17" s="324"/>
      <c r="B17" s="336">
        <v>13</v>
      </c>
      <c r="C17" s="56" t="b">
        <v>1</v>
      </c>
      <c r="D17" s="52" t="str">
        <v>M6</v>
      </c>
      <c r="E17" s="138" t="str">
        <f t="shared" si="0"/>
        <v>USDFUT3MM6_Quote</v>
      </c>
      <c r="F17" s="337" t="str">
        <f>_xll.qlSimpleQuote(E17,,PriceTickValue,Permanent,Trigger,ObjectOverwrite)</f>
        <v>USDFUT3MM6_Quote#0000</v>
      </c>
      <c r="G17" s="338" t="str">
        <f>_xll.ohRangeRetrieveError(F17)</f>
        <v/>
      </c>
      <c r="H17" s="343" t="str">
        <f t="shared" si="1"/>
        <v>USDFUT3MM6ConvAdj_Quote</v>
      </c>
      <c r="I17" s="344" t="str">
        <f>_xll.qlFuturesConvAdjustmentQuote(H17,IborIndex,D17,F17,Volatility,MeanReversion,Permanent,AND(ISERROR(AD17),ISERROR(FuturesHWConvAdj!U17:U18)),ObjectOverwrite)</f>
        <v>USDFUT3MM6ConvAdj_Quote#0167</v>
      </c>
      <c r="J17" s="277" t="str">
        <f>_xll.ohRangeRetrieveError(I17)</f>
        <v/>
      </c>
      <c r="K17" s="170"/>
      <c r="M17" s="328"/>
      <c r="N17" s="339">
        <v>13</v>
      </c>
      <c r="O17" s="339" t="b">
        <v>1</v>
      </c>
      <c r="P17" s="242" t="str">
        <v>M6</v>
      </c>
      <c r="Q17" s="340">
        <v>42536</v>
      </c>
      <c r="R17" s="242" t="str">
        <v>EDM6</v>
      </c>
      <c r="S17" s="341">
        <v>42534</v>
      </c>
      <c r="T17" s="85">
        <v>99.034999999999997</v>
      </c>
      <c r="U17" s="85">
        <v>99.04</v>
      </c>
      <c r="V17" s="85">
        <v>99.034999999999997</v>
      </c>
      <c r="W17" s="85">
        <v>99.025000000000006</v>
      </c>
      <c r="X17" s="85">
        <f>_xll.qlMidSafe(T17,U17,Trigger)</f>
        <v>99.037499999999994</v>
      </c>
      <c r="Y17" s="85">
        <f t="shared" si="2"/>
        <v>5.0000000000096634E-3</v>
      </c>
      <c r="Z17" s="332"/>
      <c r="AA17" s="346">
        <v>99.037500000000009</v>
      </c>
      <c r="AB17" s="332"/>
      <c r="AC17" s="85">
        <v>99.037499999999994</v>
      </c>
      <c r="AD17" s="242">
        <f>_xll.qlSimpleQuoteSetValue(F17,AC17,Trigger)</f>
        <v>0</v>
      </c>
      <c r="AE17" s="51"/>
    </row>
    <row r="18" spans="1:31" x14ac:dyDescent="0.2">
      <c r="A18" s="324"/>
      <c r="B18" s="336">
        <v>14</v>
      </c>
      <c r="C18" s="56" t="b">
        <v>1</v>
      </c>
      <c r="D18" s="52" t="str">
        <v>U6</v>
      </c>
      <c r="E18" s="138" t="str">
        <f t="shared" si="0"/>
        <v>USDFUT3MU6_Quote</v>
      </c>
      <c r="F18" s="337" t="str">
        <f>_xll.qlSimpleQuote(E18,,PriceTickValue,Permanent,Trigger,ObjectOverwrite)</f>
        <v>USDFUT3MU6_Quote#0000</v>
      </c>
      <c r="G18" s="338" t="str">
        <f>_xll.ohRangeRetrieveError(F18)</f>
        <v/>
      </c>
      <c r="H18" s="343" t="str">
        <f t="shared" si="1"/>
        <v>USDFUT3MU6ConvAdj_Quote</v>
      </c>
      <c r="I18" s="344" t="str">
        <f>_xll.qlFuturesConvAdjustmentQuote(H18,IborIndex,D18,F18,Volatility,MeanReversion,Permanent,AND(ISERROR(AD18),ISERROR(FuturesHWConvAdj!U18:U19)),ObjectOverwrite)</f>
        <v>USDFUT3MU6ConvAdj_Quote#0167</v>
      </c>
      <c r="J18" s="277" t="str">
        <f>_xll.ohRangeRetrieveError(I18)</f>
        <v/>
      </c>
      <c r="K18" s="170"/>
      <c r="M18" s="328"/>
      <c r="N18" s="339">
        <v>14</v>
      </c>
      <c r="O18" s="339" t="b">
        <v>1</v>
      </c>
      <c r="P18" s="242" t="str">
        <v>U6</v>
      </c>
      <c r="Q18" s="340">
        <v>42634</v>
      </c>
      <c r="R18" s="242" t="str">
        <v>EDU6</v>
      </c>
      <c r="S18" s="341">
        <v>42632</v>
      </c>
      <c r="T18" s="85">
        <v>98.805000000000007</v>
      </c>
      <c r="U18" s="85">
        <v>98.81</v>
      </c>
      <c r="V18" s="85">
        <v>98.805000000000007</v>
      </c>
      <c r="W18" s="85">
        <v>98.79</v>
      </c>
      <c r="X18" s="85">
        <f>_xll.qlMidSafe(T18,U18,Trigger)</f>
        <v>98.807500000000005</v>
      </c>
      <c r="Y18" s="85">
        <f t="shared" si="2"/>
        <v>4.9999999999954525E-3</v>
      </c>
      <c r="Z18" s="332"/>
      <c r="AA18" s="346">
        <v>98.807500000000005</v>
      </c>
      <c r="AB18" s="332"/>
      <c r="AC18" s="85">
        <v>98.807500000000005</v>
      </c>
      <c r="AD18" s="242">
        <f>_xll.qlSimpleQuoteSetValue(F18,AC18,Trigger)</f>
        <v>0</v>
      </c>
      <c r="AE18" s="51"/>
    </row>
    <row r="19" spans="1:31" x14ac:dyDescent="0.2">
      <c r="A19" s="324"/>
      <c r="B19" s="336">
        <v>15</v>
      </c>
      <c r="C19" s="56" t="b">
        <v>1</v>
      </c>
      <c r="D19" s="52" t="str">
        <v>Z6</v>
      </c>
      <c r="E19" s="138" t="str">
        <f t="shared" si="0"/>
        <v>USDFUT3MZ6_Quote</v>
      </c>
      <c r="F19" s="337" t="str">
        <f>_xll.qlSimpleQuote(E19,,PriceTickValue,Permanent,Trigger,ObjectOverwrite)</f>
        <v>USDFUT3MZ6_Quote#0000</v>
      </c>
      <c r="G19" s="338" t="str">
        <f>_xll.ohRangeRetrieveError(F19)</f>
        <v/>
      </c>
      <c r="H19" s="343" t="str">
        <f t="shared" si="1"/>
        <v>USDFUT3MZ6ConvAdj_Quote</v>
      </c>
      <c r="I19" s="344" t="str">
        <f>_xll.qlFuturesConvAdjustmentQuote(H19,IborIndex,D19,F19,Volatility,MeanReversion,Permanent,AND(ISERROR(AD19),ISERROR(FuturesHWConvAdj!U19:U20)),ObjectOverwrite)</f>
        <v>USDFUT3MZ6ConvAdj_Quote#0167</v>
      </c>
      <c r="J19" s="277" t="str">
        <f>_xll.ohRangeRetrieveError(I19)</f>
        <v/>
      </c>
      <c r="K19" s="170"/>
      <c r="M19" s="328"/>
      <c r="N19" s="339">
        <v>15</v>
      </c>
      <c r="O19" s="339" t="b">
        <v>1</v>
      </c>
      <c r="P19" s="242" t="str">
        <v>Z6</v>
      </c>
      <c r="Q19" s="340">
        <v>42725</v>
      </c>
      <c r="R19" s="242" t="str">
        <v>EDZ6</v>
      </c>
      <c r="S19" s="341">
        <v>42723</v>
      </c>
      <c r="T19" s="85">
        <v>98.584999999999994</v>
      </c>
      <c r="U19" s="85">
        <v>98.59</v>
      </c>
      <c r="V19" s="85">
        <v>98.584999999999994</v>
      </c>
      <c r="W19" s="85">
        <v>98.57</v>
      </c>
      <c r="X19" s="85">
        <f>_xll.qlMidSafe(T19,U19,Trigger)</f>
        <v>98.587500000000006</v>
      </c>
      <c r="Y19" s="85">
        <f t="shared" si="2"/>
        <v>5.0000000000096634E-3</v>
      </c>
      <c r="Z19" s="332"/>
      <c r="AA19" s="346">
        <v>98.587500000000006</v>
      </c>
      <c r="AB19" s="332"/>
      <c r="AC19" s="85">
        <v>98.587500000000006</v>
      </c>
      <c r="AD19" s="242">
        <f>_xll.qlSimpleQuoteSetValue(F19,AC19,Trigger)</f>
        <v>2.4999999999977263E-3</v>
      </c>
      <c r="AE19" s="51"/>
    </row>
    <row r="20" spans="1:31" x14ac:dyDescent="0.2">
      <c r="A20" s="324"/>
      <c r="B20" s="336">
        <v>16</v>
      </c>
      <c r="C20" s="56" t="b">
        <v>1</v>
      </c>
      <c r="D20" s="52" t="str">
        <v>H7</v>
      </c>
      <c r="E20" s="138" t="str">
        <f t="shared" si="0"/>
        <v>USDFUT3MH7_Quote</v>
      </c>
      <c r="F20" s="337" t="str">
        <f>_xll.qlSimpleQuote(E20,,PriceTickValue,Permanent,Trigger,ObjectOverwrite)</f>
        <v>USDFUT3MH7_Quote#0000</v>
      </c>
      <c r="G20" s="338" t="str">
        <f>_xll.ohRangeRetrieveError(F20)</f>
        <v/>
      </c>
      <c r="H20" s="343" t="str">
        <f t="shared" si="1"/>
        <v>USDFUT3MH7ConvAdj_Quote</v>
      </c>
      <c r="I20" s="344" t="str">
        <f>_xll.qlFuturesConvAdjustmentQuote(H20,IborIndex,D20,F20,Volatility,MeanReversion,Permanent,AND(ISERROR(AD20),ISERROR(FuturesHWConvAdj!U20:U21)),ObjectOverwrite)</f>
        <v>USDFUT3MH7ConvAdj_Quote#0167</v>
      </c>
      <c r="J20" s="277" t="str">
        <f>_xll.ohRangeRetrieveError(I20)</f>
        <v/>
      </c>
      <c r="K20" s="170"/>
      <c r="M20" s="328"/>
      <c r="N20" s="339">
        <v>16</v>
      </c>
      <c r="O20" s="339" t="b">
        <v>1</v>
      </c>
      <c r="P20" s="242" t="str">
        <v>H7</v>
      </c>
      <c r="Q20" s="340">
        <v>42809</v>
      </c>
      <c r="R20" s="242" t="str">
        <v>EDH7</v>
      </c>
      <c r="S20" s="341">
        <v>42807</v>
      </c>
      <c r="T20" s="85">
        <v>98.4</v>
      </c>
      <c r="U20" s="85">
        <v>98.405000000000001</v>
      </c>
      <c r="V20" s="85">
        <v>98.405000000000001</v>
      </c>
      <c r="W20" s="85">
        <v>98.385000000000005</v>
      </c>
      <c r="X20" s="85">
        <f>_xll.qlMidSafe(T20,U20,Trigger)</f>
        <v>98.402500000000003</v>
      </c>
      <c r="Y20" s="85">
        <f t="shared" si="2"/>
        <v>4.9999999999954525E-3</v>
      </c>
      <c r="Z20" s="332"/>
      <c r="AA20" s="346">
        <v>98.402500000000003</v>
      </c>
      <c r="AB20" s="332"/>
      <c r="AC20" s="85">
        <v>98.402500000000003</v>
      </c>
      <c r="AD20" s="242">
        <f>_xll.qlSimpleQuoteSetValue(F20,AC20,Trigger)</f>
        <v>0</v>
      </c>
      <c r="AE20" s="51"/>
    </row>
    <row r="21" spans="1:31" x14ac:dyDescent="0.2">
      <c r="A21" s="324"/>
      <c r="B21" s="336">
        <v>17</v>
      </c>
      <c r="C21" s="56" t="b">
        <v>1</v>
      </c>
      <c r="D21" s="52" t="str">
        <v>M7</v>
      </c>
      <c r="E21" s="138" t="str">
        <f t="shared" si="0"/>
        <v>USDFUT3MM7_Quote</v>
      </c>
      <c r="F21" s="337" t="str">
        <f>_xll.qlSimpleQuote(E21,,PriceTickValue,Permanent,Trigger,ObjectOverwrite)</f>
        <v>USDFUT3MM7_Quote#0000</v>
      </c>
      <c r="G21" s="338" t="str">
        <f>_xll.ohRangeRetrieveError(F21)</f>
        <v/>
      </c>
      <c r="H21" s="343" t="str">
        <f t="shared" si="1"/>
        <v>USDFUT3MM7ConvAdj_Quote</v>
      </c>
      <c r="I21" s="344" t="str">
        <f>_xll.qlFuturesConvAdjustmentQuote(H21,IborIndex,D21,F21,Volatility,MeanReversion,Permanent,AND(ISERROR(AD21),ISERROR(FuturesHWConvAdj!U21:U22)),ObjectOverwrite)</f>
        <v>USDFUT3MM7ConvAdj_Quote#0167</v>
      </c>
      <c r="J21" s="277" t="str">
        <f>_xll.ohRangeRetrieveError(I21)</f>
        <v/>
      </c>
      <c r="K21" s="170"/>
      <c r="M21" s="328"/>
      <c r="N21" s="339">
        <v>17</v>
      </c>
      <c r="O21" s="339" t="b">
        <v>1</v>
      </c>
      <c r="P21" s="242" t="str">
        <v>M7</v>
      </c>
      <c r="Q21" s="340">
        <v>42907</v>
      </c>
      <c r="R21" s="242" t="str">
        <v>EDM7</v>
      </c>
      <c r="S21" s="341">
        <v>42905</v>
      </c>
      <c r="T21" s="85">
        <v>98.224999999999994</v>
      </c>
      <c r="U21" s="85">
        <v>98.23</v>
      </c>
      <c r="V21" s="85">
        <v>98.224999999999994</v>
      </c>
      <c r="W21" s="85">
        <v>98.204999999999998</v>
      </c>
      <c r="X21" s="85">
        <f>_xll.qlMidSafe(T21,U21,Trigger)</f>
        <v>98.227499999999992</v>
      </c>
      <c r="Y21" s="85">
        <f t="shared" si="2"/>
        <v>5.0000000000096634E-3</v>
      </c>
      <c r="Z21" s="332"/>
      <c r="AA21" s="346">
        <v>98.227500000000006</v>
      </c>
      <c r="AB21" s="332"/>
      <c r="AC21" s="85">
        <v>98.227499999999992</v>
      </c>
      <c r="AD21" s="242">
        <f>_xll.qlSimpleQuoteSetValue(F21,AC21,Trigger)</f>
        <v>0</v>
      </c>
      <c r="AE21" s="51"/>
    </row>
    <row r="22" spans="1:31" x14ac:dyDescent="0.2">
      <c r="A22" s="324"/>
      <c r="B22" s="336">
        <v>18</v>
      </c>
      <c r="C22" s="56" t="b">
        <v>1</v>
      </c>
      <c r="D22" s="52" t="str">
        <v>U7</v>
      </c>
      <c r="E22" s="138" t="str">
        <f t="shared" si="0"/>
        <v>USDFUT3MU7_Quote</v>
      </c>
      <c r="F22" s="337" t="str">
        <f>_xll.qlSimpleQuote(E22,,PriceTickValue,Permanent,Trigger,ObjectOverwrite)</f>
        <v>USDFUT3MU7_Quote#0000</v>
      </c>
      <c r="G22" s="338" t="str">
        <f>_xll.ohRangeRetrieveError(F22)</f>
        <v/>
      </c>
      <c r="H22" s="343" t="str">
        <f t="shared" si="1"/>
        <v>USDFUT3MU7ConvAdj_Quote</v>
      </c>
      <c r="I22" s="344" t="str">
        <f>_xll.qlFuturesConvAdjustmentQuote(H22,IborIndex,D22,F22,Volatility,MeanReversion,Permanent,AND(ISERROR(AD22),ISERROR(FuturesHWConvAdj!U22:U23)),ObjectOverwrite)</f>
        <v>USDFUT3MU7ConvAdj_Quote#0167</v>
      </c>
      <c r="J22" s="277" t="str">
        <f>_xll.ohRangeRetrieveError(I22)</f>
        <v/>
      </c>
      <c r="K22" s="170"/>
      <c r="M22" s="328"/>
      <c r="N22" s="339">
        <v>18</v>
      </c>
      <c r="O22" s="339" t="b">
        <v>1</v>
      </c>
      <c r="P22" s="242" t="str">
        <v>U7</v>
      </c>
      <c r="Q22" s="340">
        <v>42998</v>
      </c>
      <c r="R22" s="242" t="str">
        <v>EDU7</v>
      </c>
      <c r="S22" s="341">
        <v>42996</v>
      </c>
      <c r="T22" s="85">
        <v>98.07</v>
      </c>
      <c r="U22" s="85">
        <v>98.075000000000003</v>
      </c>
      <c r="V22" s="85">
        <v>98.075000000000003</v>
      </c>
      <c r="W22" s="85">
        <v>98.05</v>
      </c>
      <c r="X22" s="85">
        <f>_xll.qlMidSafe(T22,U22,Trigger)</f>
        <v>98.072499999999991</v>
      </c>
      <c r="Y22" s="85">
        <f t="shared" si="2"/>
        <v>5.0000000000096634E-3</v>
      </c>
      <c r="Z22" s="332"/>
      <c r="AA22" s="346">
        <v>98.072500000000005</v>
      </c>
      <c r="AB22" s="332"/>
      <c r="AC22" s="85">
        <v>98.072499999999991</v>
      </c>
      <c r="AD22" s="242">
        <f>_xll.qlSimpleQuoteSetValue(F22,AC22,Trigger)</f>
        <v>0</v>
      </c>
      <c r="AE22" s="51"/>
    </row>
    <row r="23" spans="1:31" x14ac:dyDescent="0.2">
      <c r="A23" s="324"/>
      <c r="B23" s="336">
        <v>19</v>
      </c>
      <c r="C23" s="56" t="b">
        <v>1</v>
      </c>
      <c r="D23" s="52" t="str">
        <v>Z7</v>
      </c>
      <c r="E23" s="138" t="str">
        <f t="shared" si="0"/>
        <v>USDFUT3MZ7_Quote</v>
      </c>
      <c r="F23" s="337" t="str">
        <f>_xll.qlSimpleQuote(E23,,PriceTickValue,Permanent,Trigger,ObjectOverwrite)</f>
        <v>USDFUT3MZ7_Quote#0000</v>
      </c>
      <c r="G23" s="338" t="str">
        <f>_xll.ohRangeRetrieveError(F23)</f>
        <v/>
      </c>
      <c r="H23" s="343" t="str">
        <f t="shared" si="1"/>
        <v>USDFUT3MZ7ConvAdj_Quote</v>
      </c>
      <c r="I23" s="344" t="str">
        <f>_xll.qlFuturesConvAdjustmentQuote(H23,IborIndex,D23,F23,Volatility,MeanReversion,Permanent,AND(ISERROR(AD23),ISERROR(FuturesHWConvAdj!U23:U24)),ObjectOverwrite)</f>
        <v>USDFUT3MZ7ConvAdj_Quote#0167</v>
      </c>
      <c r="J23" s="277" t="str">
        <f>_xll.ohRangeRetrieveError(I23)</f>
        <v/>
      </c>
      <c r="K23" s="170"/>
      <c r="M23" s="328"/>
      <c r="N23" s="339">
        <v>19</v>
      </c>
      <c r="O23" s="339" t="b">
        <v>1</v>
      </c>
      <c r="P23" s="242" t="str">
        <v>Z7</v>
      </c>
      <c r="Q23" s="340">
        <v>43089</v>
      </c>
      <c r="R23" s="242" t="str">
        <v>EDZ7</v>
      </c>
      <c r="S23" s="341">
        <v>43087</v>
      </c>
      <c r="T23" s="85">
        <v>97.93</v>
      </c>
      <c r="U23" s="85">
        <v>97.935000000000002</v>
      </c>
      <c r="V23" s="85">
        <v>97.93</v>
      </c>
      <c r="W23" s="85">
        <v>97.905000000000001</v>
      </c>
      <c r="X23" s="85">
        <f>_xll.qlMidSafe(T23,U23,Trigger)</f>
        <v>97.932500000000005</v>
      </c>
      <c r="Y23" s="85">
        <f t="shared" si="2"/>
        <v>4.9999999999954525E-3</v>
      </c>
      <c r="Z23" s="332"/>
      <c r="AA23" s="346">
        <v>97.927500000000009</v>
      </c>
      <c r="AB23" s="332"/>
      <c r="AC23" s="85">
        <v>97.932500000000005</v>
      </c>
      <c r="AD23" s="242">
        <f>_xll.qlSimpleQuoteSetValue(F23,AC23,Trigger)</f>
        <v>0</v>
      </c>
      <c r="AE23" s="51"/>
    </row>
    <row r="24" spans="1:31" x14ac:dyDescent="0.2">
      <c r="A24" s="324"/>
      <c r="B24" s="336">
        <v>20</v>
      </c>
      <c r="C24" s="56" t="b">
        <v>1</v>
      </c>
      <c r="D24" s="52" t="str">
        <v>H8</v>
      </c>
      <c r="E24" s="138" t="str">
        <f t="shared" si="0"/>
        <v>USDFUT3MH8_Quote</v>
      </c>
      <c r="F24" s="337" t="str">
        <f>_xll.qlSimpleQuote(E24,,PriceTickValue,Permanent,Trigger,ObjectOverwrite)</f>
        <v>USDFUT3MH8_Quote#0000</v>
      </c>
      <c r="G24" s="338" t="str">
        <f>_xll.ohRangeRetrieveError(F24)</f>
        <v/>
      </c>
      <c r="H24" s="343" t="str">
        <f t="shared" si="1"/>
        <v>USDFUT3MH8ConvAdj_Quote</v>
      </c>
      <c r="I24" s="344" t="str">
        <f>_xll.qlFuturesConvAdjustmentQuote(H24,IborIndex,D24,F24,Volatility,MeanReversion,Permanent,AND(ISERROR(AD24),ISERROR(FuturesHWConvAdj!U24:U25)),ObjectOverwrite)</f>
        <v>USDFUT3MH8ConvAdj_Quote#0167</v>
      </c>
      <c r="J24" s="277" t="str">
        <f>_xll.ohRangeRetrieveError(I24)</f>
        <v/>
      </c>
      <c r="K24" s="170"/>
      <c r="M24" s="328"/>
      <c r="N24" s="339">
        <v>20</v>
      </c>
      <c r="O24" s="339" t="b">
        <v>1</v>
      </c>
      <c r="P24" s="242" t="str">
        <v>H8</v>
      </c>
      <c r="Q24" s="340">
        <v>43180</v>
      </c>
      <c r="R24" s="242" t="str">
        <v>EDH8</v>
      </c>
      <c r="S24" s="341">
        <v>43178</v>
      </c>
      <c r="T24" s="85">
        <v>97.814999999999998</v>
      </c>
      <c r="U24" s="85">
        <v>97.82</v>
      </c>
      <c r="V24" s="85">
        <v>97.814999999999998</v>
      </c>
      <c r="W24" s="85">
        <v>97.79</v>
      </c>
      <c r="X24" s="85">
        <f>_xll.qlMidSafe(T24,U24,Trigger)</f>
        <v>97.817499999999995</v>
      </c>
      <c r="Y24" s="85">
        <f t="shared" si="2"/>
        <v>4.9999999999954525E-3</v>
      </c>
      <c r="Z24" s="332"/>
      <c r="AA24" s="346">
        <v>97.8125</v>
      </c>
      <c r="AB24" s="332"/>
      <c r="AC24" s="85">
        <v>97.817499999999995</v>
      </c>
      <c r="AD24" s="242">
        <f>_xll.qlSimpleQuoteSetValue(F24,AC24,Trigger)</f>
        <v>2.4999999999977263E-3</v>
      </c>
      <c r="AE24" s="51"/>
    </row>
    <row r="25" spans="1:31" x14ac:dyDescent="0.2">
      <c r="A25" s="324"/>
      <c r="B25" s="336">
        <v>21</v>
      </c>
      <c r="C25" s="56" t="b">
        <v>1</v>
      </c>
      <c r="D25" s="52" t="str">
        <v>M8</v>
      </c>
      <c r="E25" s="138" t="str">
        <f t="shared" si="0"/>
        <v>USDFUT3MM8_Quote</v>
      </c>
      <c r="F25" s="337" t="str">
        <f>_xll.qlSimpleQuote(E25,,PriceTickValue,Permanent,Trigger,ObjectOverwrite)</f>
        <v>USDFUT3MM8_Quote#0000</v>
      </c>
      <c r="G25" s="338" t="str">
        <f>_xll.ohRangeRetrieveError(F25)</f>
        <v/>
      </c>
      <c r="H25" s="343" t="str">
        <f t="shared" si="1"/>
        <v>USDFUT3MM8ConvAdj_Quote</v>
      </c>
      <c r="I25" s="344" t="str">
        <f>_xll.qlFuturesConvAdjustmentQuote(H25,IborIndex,D25,F25,Volatility,MeanReversion,Permanent,AND(ISERROR(AD25),ISERROR(FuturesHWConvAdj!U25:U26)),ObjectOverwrite)</f>
        <v>USDFUT3MM8ConvAdj_Quote#0167</v>
      </c>
      <c r="J25" s="277" t="str">
        <f>_xll.ohRangeRetrieveError(I25)</f>
        <v/>
      </c>
      <c r="K25" s="170"/>
      <c r="M25" s="328"/>
      <c r="N25" s="339">
        <v>21</v>
      </c>
      <c r="O25" s="339" t="b">
        <v>1</v>
      </c>
      <c r="P25" s="242" t="str">
        <v>M8</v>
      </c>
      <c r="Q25" s="340">
        <v>43271</v>
      </c>
      <c r="R25" s="242" t="str">
        <v>EDM8</v>
      </c>
      <c r="S25" s="341">
        <v>43269</v>
      </c>
      <c r="T25" s="85">
        <v>97.704999999999998</v>
      </c>
      <c r="U25" s="85">
        <v>97.71</v>
      </c>
      <c r="V25" s="85">
        <v>97.704999999999998</v>
      </c>
      <c r="W25" s="85">
        <v>97.685000000000002</v>
      </c>
      <c r="X25" s="85">
        <f>_xll.qlMidSafe(T25,U25,Trigger)</f>
        <v>97.707499999999996</v>
      </c>
      <c r="Y25" s="85">
        <f t="shared" si="2"/>
        <v>4.9999999999954525E-3</v>
      </c>
      <c r="Z25" s="332"/>
      <c r="AA25" s="346">
        <v>97.702500000000001</v>
      </c>
      <c r="AB25" s="332"/>
      <c r="AC25" s="85">
        <v>97.707499999999996</v>
      </c>
      <c r="AD25" s="242">
        <f>_xll.qlSimpleQuoteSetValue(F25,AC25,Trigger)</f>
        <v>0</v>
      </c>
      <c r="AE25" s="51"/>
    </row>
    <row r="26" spans="1:31" x14ac:dyDescent="0.2">
      <c r="A26" s="324"/>
      <c r="B26" s="336">
        <v>22</v>
      </c>
      <c r="C26" s="56" t="b">
        <v>1</v>
      </c>
      <c r="D26" s="52" t="str">
        <v>U8</v>
      </c>
      <c r="E26" s="138" t="str">
        <f t="shared" si="0"/>
        <v>USDFUT3MU8_Quote</v>
      </c>
      <c r="F26" s="337" t="str">
        <f>_xll.qlSimpleQuote(E26,,PriceTickValue,Permanent,Trigger,ObjectOverwrite)</f>
        <v>USDFUT3MU8_Quote#0000</v>
      </c>
      <c r="G26" s="338" t="str">
        <f>_xll.ohRangeRetrieveError(F26)</f>
        <v/>
      </c>
      <c r="H26" s="343" t="str">
        <f t="shared" si="1"/>
        <v>USDFUT3MU8ConvAdj_Quote</v>
      </c>
      <c r="I26" s="344" t="str">
        <f>_xll.qlFuturesConvAdjustmentQuote(H26,IborIndex,D26,F26,Volatility,MeanReversion,Permanent,AND(ISERROR(AD26),ISERROR(FuturesHWConvAdj!U26:U27)),ObjectOverwrite)</f>
        <v>USDFUT3MU8ConvAdj_Quote#0167</v>
      </c>
      <c r="J26" s="277" t="str">
        <f>_xll.ohRangeRetrieveError(I26)</f>
        <v/>
      </c>
      <c r="K26" s="170"/>
      <c r="M26" s="328"/>
      <c r="N26" s="339">
        <v>22</v>
      </c>
      <c r="O26" s="339" t="b">
        <v>1</v>
      </c>
      <c r="P26" s="242" t="str">
        <v>U8</v>
      </c>
      <c r="Q26" s="340">
        <v>43362</v>
      </c>
      <c r="R26" s="242" t="str">
        <v>EDU8</v>
      </c>
      <c r="S26" s="341">
        <v>43360</v>
      </c>
      <c r="T26" s="85">
        <v>97.605000000000004</v>
      </c>
      <c r="U26" s="85">
        <v>97.61</v>
      </c>
      <c r="V26" s="85">
        <v>97.605000000000004</v>
      </c>
      <c r="W26" s="85">
        <v>97.584999999999994</v>
      </c>
      <c r="X26" s="85">
        <f>_xll.qlMidSafe(T26,U26,Trigger)</f>
        <v>97.607500000000002</v>
      </c>
      <c r="Y26" s="85">
        <f t="shared" si="2"/>
        <v>4.9999999999954525E-3</v>
      </c>
      <c r="Z26" s="332"/>
      <c r="AA26" s="346">
        <v>97.602500000000006</v>
      </c>
      <c r="AB26" s="332"/>
      <c r="AC26" s="85">
        <v>97.607500000000002</v>
      </c>
      <c r="AD26" s="242">
        <f>_xll.qlSimpleQuoteSetValue(F26,AC26,Trigger)</f>
        <v>0</v>
      </c>
      <c r="AE26" s="51"/>
    </row>
    <row r="27" spans="1:31" x14ac:dyDescent="0.2">
      <c r="A27" s="324"/>
      <c r="B27" s="336">
        <v>23</v>
      </c>
      <c r="C27" s="56" t="b">
        <v>1</v>
      </c>
      <c r="D27" s="52" t="str">
        <v>Z8</v>
      </c>
      <c r="E27" s="138" t="str">
        <f t="shared" si="0"/>
        <v>USDFUT3MZ8_Quote</v>
      </c>
      <c r="F27" s="337" t="str">
        <f>_xll.qlSimpleQuote(E27,,PriceTickValue,Permanent,Trigger,ObjectOverwrite)</f>
        <v>USDFUT3MZ8_Quote#0000</v>
      </c>
      <c r="G27" s="338" t="str">
        <f>_xll.ohRangeRetrieveError(F27)</f>
        <v/>
      </c>
      <c r="H27" s="343" t="str">
        <f t="shared" si="1"/>
        <v>USDFUT3MZ8ConvAdj_Quote</v>
      </c>
      <c r="I27" s="344" t="str">
        <f>_xll.qlFuturesConvAdjustmentQuote(H27,IborIndex,D27,F27,Volatility,MeanReversion,Permanent,AND(ISERROR(AD27),ISERROR(FuturesHWConvAdj!U27:U28)),ObjectOverwrite)</f>
        <v>USDFUT3MZ8ConvAdj_Quote#0167</v>
      </c>
      <c r="J27" s="277" t="str">
        <f>_xll.ohRangeRetrieveError(I27)</f>
        <v/>
      </c>
      <c r="K27" s="170"/>
      <c r="M27" s="328"/>
      <c r="N27" s="339">
        <v>23</v>
      </c>
      <c r="O27" s="339" t="b">
        <v>1</v>
      </c>
      <c r="P27" s="242" t="str">
        <v>Z8</v>
      </c>
      <c r="Q27" s="340">
        <v>43453</v>
      </c>
      <c r="R27" s="242" t="str">
        <v>EDZ8</v>
      </c>
      <c r="S27" s="341">
        <v>43451</v>
      </c>
      <c r="T27" s="85">
        <v>97.504999999999995</v>
      </c>
      <c r="U27" s="85">
        <v>97.51</v>
      </c>
      <c r="V27" s="85">
        <v>97.504999999999995</v>
      </c>
      <c r="W27" s="85">
        <v>97.49</v>
      </c>
      <c r="X27" s="85">
        <f>_xll.qlMidSafe(T27,U27,Trigger)</f>
        <v>97.507499999999993</v>
      </c>
      <c r="Y27" s="85">
        <f t="shared" si="2"/>
        <v>5.0000000000096634E-3</v>
      </c>
      <c r="Z27" s="332"/>
      <c r="AA27" s="346">
        <v>97.502499999999998</v>
      </c>
      <c r="AB27" s="332"/>
      <c r="AC27" s="85">
        <v>97.507499999999993</v>
      </c>
      <c r="AD27" s="242">
        <f>_xll.qlSimpleQuoteSetValue(F27,AC27,Trigger)</f>
        <v>0</v>
      </c>
      <c r="AE27" s="51"/>
    </row>
    <row r="28" spans="1:31" x14ac:dyDescent="0.2">
      <c r="A28" s="324"/>
      <c r="B28" s="336">
        <v>24</v>
      </c>
      <c r="C28" s="56" t="b">
        <v>1</v>
      </c>
      <c r="D28" s="52" t="str">
        <v>H9</v>
      </c>
      <c r="E28" s="138" t="str">
        <f t="shared" si="0"/>
        <v>USDFUT3MH9_Quote</v>
      </c>
      <c r="F28" s="337" t="str">
        <f>_xll.qlSimpleQuote(E28,,PriceTickValue,Permanent,Trigger,ObjectOverwrite)</f>
        <v>USDFUT3MH9_Quote#0000</v>
      </c>
      <c r="G28" s="338" t="str">
        <f>_xll.ohRangeRetrieveError(F28)</f>
        <v/>
      </c>
      <c r="H28" s="343" t="str">
        <f t="shared" si="1"/>
        <v>USDFUT3MH9ConvAdj_Quote</v>
      </c>
      <c r="I28" s="344" t="str">
        <f>_xll.qlFuturesConvAdjustmentQuote(H28,IborIndex,D28,F28,Volatility,MeanReversion,Permanent,AND(ISERROR(AD28),ISERROR(FuturesHWConvAdj!U28:U29)),ObjectOverwrite)</f>
        <v>USDFUT3MH9ConvAdj_Quote#0167</v>
      </c>
      <c r="J28" s="277" t="str">
        <f>_xll.ohRangeRetrieveError(I28)</f>
        <v/>
      </c>
      <c r="K28" s="170"/>
      <c r="M28" s="328"/>
      <c r="N28" s="339">
        <v>24</v>
      </c>
      <c r="O28" s="339" t="b">
        <v>1</v>
      </c>
      <c r="P28" s="242" t="str">
        <v>H9</v>
      </c>
      <c r="Q28" s="340">
        <v>43544</v>
      </c>
      <c r="R28" s="242" t="str">
        <v>EDH9</v>
      </c>
      <c r="S28" s="341">
        <v>43542</v>
      </c>
      <c r="T28" s="85">
        <v>97.424999999999997</v>
      </c>
      <c r="U28" s="85">
        <v>97.43</v>
      </c>
      <c r="V28" s="85">
        <v>97.424999999999997</v>
      </c>
      <c r="W28" s="85">
        <v>97.41</v>
      </c>
      <c r="X28" s="85">
        <f>_xll.qlMidSafe(T28,U28,Trigger)</f>
        <v>97.427500000000009</v>
      </c>
      <c r="Y28" s="85">
        <f t="shared" si="2"/>
        <v>5.0000000000096634E-3</v>
      </c>
      <c r="Z28" s="332"/>
      <c r="AA28" s="346">
        <v>97.422500000000014</v>
      </c>
      <c r="AB28" s="332"/>
      <c r="AC28" s="85">
        <v>97.427500000000009</v>
      </c>
      <c r="AD28" s="242">
        <f>_xll.qlSimpleQuoteSetValue(F28,AC28,Trigger)</f>
        <v>2.4999999999977263E-3</v>
      </c>
      <c r="AE28" s="51"/>
    </row>
    <row r="29" spans="1:31" x14ac:dyDescent="0.2">
      <c r="A29" s="324"/>
      <c r="B29" s="336">
        <v>25</v>
      </c>
      <c r="C29" s="56" t="b">
        <v>1</v>
      </c>
      <c r="D29" s="52" t="str">
        <v>M9</v>
      </c>
      <c r="E29" s="138" t="str">
        <f t="shared" si="0"/>
        <v>USDFUT3MM9_Quote</v>
      </c>
      <c r="F29" s="337" t="str">
        <f>_xll.qlSimpleQuote(E29,,PriceTickValue,Permanent,Trigger,ObjectOverwrite)</f>
        <v>USDFUT3MM9_Quote#0000</v>
      </c>
      <c r="G29" s="338" t="str">
        <f>_xll.ohRangeRetrieveError(F29)</f>
        <v/>
      </c>
      <c r="H29" s="343" t="str">
        <f t="shared" si="1"/>
        <v>USDFUT3MM9ConvAdj_Quote</v>
      </c>
      <c r="I29" s="344" t="str">
        <f>_xll.qlFuturesConvAdjustmentQuote(H29,IborIndex,D29,F29,Volatility,MeanReversion,Permanent,AND(ISERROR(AD29),ISERROR(FuturesHWConvAdj!U29:U30)),ObjectOverwrite)</f>
        <v>USDFUT3MM9ConvAdj_Quote#0167</v>
      </c>
      <c r="J29" s="277" t="str">
        <f>_xll.ohRangeRetrieveError(I29)</f>
        <v/>
      </c>
      <c r="K29" s="170"/>
      <c r="M29" s="328"/>
      <c r="N29" s="339">
        <v>25</v>
      </c>
      <c r="O29" s="339" t="b">
        <v>1</v>
      </c>
      <c r="P29" s="242" t="str">
        <v>M9</v>
      </c>
      <c r="Q29" s="340">
        <v>43635</v>
      </c>
      <c r="R29" s="242" t="str">
        <v>EDM9</v>
      </c>
      <c r="S29" s="341">
        <v>43633</v>
      </c>
      <c r="T29" s="85">
        <v>97.34</v>
      </c>
      <c r="U29" s="85">
        <v>97.344999999999999</v>
      </c>
      <c r="V29" s="85">
        <v>97.344999999999999</v>
      </c>
      <c r="W29" s="85">
        <v>97.33</v>
      </c>
      <c r="X29" s="85">
        <f>_xll.qlMidSafe(T29,U29,Trigger)</f>
        <v>97.342500000000001</v>
      </c>
      <c r="Y29" s="85">
        <f t="shared" si="2"/>
        <v>4.9999999999954525E-3</v>
      </c>
      <c r="Z29" s="332"/>
      <c r="AA29" s="346">
        <v>97.34</v>
      </c>
      <c r="AB29" s="332"/>
      <c r="AC29" s="85">
        <v>97.342500000000001</v>
      </c>
      <c r="AD29" s="242">
        <f>_xll.qlSimpleQuoteSetValue(F29,AC29,Trigger)</f>
        <v>0</v>
      </c>
      <c r="AE29" s="51"/>
    </row>
    <row r="30" spans="1:31" x14ac:dyDescent="0.2">
      <c r="A30" s="324"/>
      <c r="B30" s="336">
        <v>26</v>
      </c>
      <c r="C30" s="56" t="b">
        <v>1</v>
      </c>
      <c r="D30" s="52" t="str">
        <v>U9</v>
      </c>
      <c r="E30" s="138" t="str">
        <f t="shared" si="0"/>
        <v>USDFUT3MU9_Quote</v>
      </c>
      <c r="F30" s="337" t="str">
        <f>_xll.qlSimpleQuote(E30,,PriceTickValue,Permanent,Trigger,ObjectOverwrite)</f>
        <v>USDFUT3MU9_Quote#0000</v>
      </c>
      <c r="G30" s="338" t="str">
        <f>_xll.ohRangeRetrieveError(F30)</f>
        <v/>
      </c>
      <c r="H30" s="343" t="str">
        <f t="shared" si="1"/>
        <v>USDFUT3MU9ConvAdj_Quote</v>
      </c>
      <c r="I30" s="344" t="str">
        <f>_xll.qlFuturesConvAdjustmentQuote(H30,IborIndex,D30,F30,Volatility,MeanReversion,Permanent,AND(ISERROR(AD30),ISERROR(FuturesHWConvAdj!U30:U31)),ObjectOverwrite)</f>
        <v>USDFUT3MU9ConvAdj_Quote#0167</v>
      </c>
      <c r="J30" s="277" t="str">
        <f>_xll.ohRangeRetrieveError(I30)</f>
        <v/>
      </c>
      <c r="K30" s="170"/>
      <c r="M30" s="328"/>
      <c r="N30" s="339">
        <v>26</v>
      </c>
      <c r="O30" s="339" t="b">
        <v>1</v>
      </c>
      <c r="P30" s="242" t="str">
        <v>U9</v>
      </c>
      <c r="Q30" s="340">
        <v>43726</v>
      </c>
      <c r="R30" s="242" t="str">
        <v>EDU9</v>
      </c>
      <c r="S30" s="341">
        <v>43724</v>
      </c>
      <c r="T30" s="85">
        <v>97.265000000000001</v>
      </c>
      <c r="U30" s="85">
        <v>97.27</v>
      </c>
      <c r="V30" s="85">
        <v>97.265000000000001</v>
      </c>
      <c r="W30" s="85">
        <v>97.254999999999995</v>
      </c>
      <c r="X30" s="85">
        <f>_xll.qlMidSafe(T30,U30,Trigger)</f>
        <v>97.267499999999998</v>
      </c>
      <c r="Y30" s="85">
        <f t="shared" si="2"/>
        <v>4.9999999999954525E-3</v>
      </c>
      <c r="Z30" s="332"/>
      <c r="AA30" s="346">
        <v>97.262500000000003</v>
      </c>
      <c r="AB30" s="332"/>
      <c r="AC30" s="85">
        <v>97.267499999999998</v>
      </c>
      <c r="AD30" s="242">
        <f>_xll.qlSimpleQuoteSetValue(F30,AC30,Trigger)</f>
        <v>2.4999999999977263E-3</v>
      </c>
      <c r="AE30" s="51"/>
    </row>
    <row r="31" spans="1:31" x14ac:dyDescent="0.2">
      <c r="A31" s="324"/>
      <c r="B31" s="336">
        <v>27</v>
      </c>
      <c r="C31" s="56" t="b">
        <v>1</v>
      </c>
      <c r="D31" s="52" t="str">
        <v>Z9</v>
      </c>
      <c r="E31" s="138" t="str">
        <f t="shared" si="0"/>
        <v>USDFUT3MZ9_Quote</v>
      </c>
      <c r="F31" s="337" t="str">
        <f>_xll.qlSimpleQuote(E31,,PriceTickValue,Permanent,Trigger,ObjectOverwrite)</f>
        <v>USDFUT3MZ9_Quote#0000</v>
      </c>
      <c r="G31" s="338" t="str">
        <f>_xll.ohRangeRetrieveError(F31)</f>
        <v/>
      </c>
      <c r="H31" s="343" t="str">
        <f t="shared" si="1"/>
        <v>USDFUT3MZ9ConvAdj_Quote</v>
      </c>
      <c r="I31" s="344" t="str">
        <f>_xll.qlFuturesConvAdjustmentQuote(H31,IborIndex,D31,F31,Volatility,MeanReversion,Permanent,AND(ISERROR(AD31),ISERROR(FuturesHWConvAdj!U31:U32)),ObjectOverwrite)</f>
        <v>USDFUT3MZ9ConvAdj_Quote#0167</v>
      </c>
      <c r="J31" s="277" t="str">
        <f>_xll.ohRangeRetrieveError(I31)</f>
        <v/>
      </c>
      <c r="K31" s="170"/>
      <c r="M31" s="328"/>
      <c r="N31" s="339">
        <v>27</v>
      </c>
      <c r="O31" s="339" t="b">
        <v>1</v>
      </c>
      <c r="P31" s="242" t="str">
        <v>Z9</v>
      </c>
      <c r="Q31" s="340">
        <v>43817</v>
      </c>
      <c r="R31" s="242" t="str">
        <v>EDZ9</v>
      </c>
      <c r="S31" s="341">
        <v>43815</v>
      </c>
      <c r="T31" s="85">
        <v>97.19</v>
      </c>
      <c r="U31" s="85">
        <v>97.194999999999993</v>
      </c>
      <c r="V31" s="85">
        <v>97.19</v>
      </c>
      <c r="W31" s="85">
        <v>97.18</v>
      </c>
      <c r="X31" s="85">
        <f>_xll.qlMidSafe(T31,U31,Trigger)</f>
        <v>97.192499999999995</v>
      </c>
      <c r="Y31" s="85">
        <f t="shared" si="2"/>
        <v>4.9999999999954525E-3</v>
      </c>
      <c r="Z31" s="332"/>
      <c r="AA31" s="346">
        <v>97.19</v>
      </c>
      <c r="AB31" s="332"/>
      <c r="AC31" s="85">
        <v>97.192499999999995</v>
      </c>
      <c r="AD31" s="242">
        <f>_xll.qlSimpleQuoteSetValue(F31,AC31,Trigger)</f>
        <v>0</v>
      </c>
      <c r="AE31" s="51"/>
    </row>
    <row r="32" spans="1:31" x14ac:dyDescent="0.2">
      <c r="A32" s="324"/>
      <c r="B32" s="336">
        <v>28</v>
      </c>
      <c r="C32" s="56" t="b">
        <v>1</v>
      </c>
      <c r="D32" s="52" t="str">
        <v>H0</v>
      </c>
      <c r="E32" s="138" t="str">
        <f t="shared" si="0"/>
        <v>USDFUT3MH0_Quote</v>
      </c>
      <c r="F32" s="337" t="str">
        <f>_xll.qlSimpleQuote(E32,,PriceTickValue,Permanent,Trigger,ObjectOverwrite)</f>
        <v>USDFUT3MH0_Quote#0000</v>
      </c>
      <c r="G32" s="338" t="str">
        <f>_xll.ohRangeRetrieveError(F32)</f>
        <v/>
      </c>
      <c r="H32" s="343" t="str">
        <f t="shared" si="1"/>
        <v>USDFUT3MH0ConvAdj_Quote</v>
      </c>
      <c r="I32" s="344" t="str">
        <f>_xll.qlFuturesConvAdjustmentQuote(H32,IborIndex,D32,F32,Volatility,MeanReversion,Permanent,AND(ISERROR(AD32),ISERROR(FuturesHWConvAdj!U32:U33)),ObjectOverwrite)</f>
        <v>USDFUT3MH0ConvAdj_Quote#0167</v>
      </c>
      <c r="J32" s="277" t="str">
        <f>_xll.ohRangeRetrieveError(I32)</f>
        <v/>
      </c>
      <c r="K32" s="170"/>
      <c r="M32" s="328"/>
      <c r="N32" s="339">
        <v>28</v>
      </c>
      <c r="O32" s="339" t="b">
        <v>1</v>
      </c>
      <c r="P32" s="242" t="str">
        <v>H0</v>
      </c>
      <c r="Q32" s="340">
        <v>43908</v>
      </c>
      <c r="R32" s="242" t="str">
        <v>EDH0</v>
      </c>
      <c r="S32" s="341">
        <v>43906</v>
      </c>
      <c r="T32" s="85">
        <v>97.12</v>
      </c>
      <c r="U32" s="85">
        <v>97.13</v>
      </c>
      <c r="V32" s="85">
        <v>97.125</v>
      </c>
      <c r="W32" s="85">
        <v>97.114999999999995</v>
      </c>
      <c r="X32" s="85">
        <f>_xll.qlMidSafe(T32,U32,Trigger)</f>
        <v>97.125</v>
      </c>
      <c r="Y32" s="85">
        <f t="shared" si="2"/>
        <v>9.9999999999909051E-3</v>
      </c>
      <c r="Z32" s="332"/>
      <c r="AA32" s="346">
        <v>97.12</v>
      </c>
      <c r="AB32" s="332"/>
      <c r="AC32" s="85">
        <v>97.125</v>
      </c>
      <c r="AD32" s="242">
        <f>_xll.qlSimpleQuoteSetValue(F32,AC32,Trigger)</f>
        <v>0</v>
      </c>
      <c r="AE32" s="51"/>
    </row>
    <row r="33" spans="1:31" x14ac:dyDescent="0.2">
      <c r="A33" s="324"/>
      <c r="B33" s="336">
        <v>29</v>
      </c>
      <c r="C33" s="56" t="b">
        <v>1</v>
      </c>
      <c r="D33" s="52" t="str">
        <v>M0</v>
      </c>
      <c r="E33" s="138" t="str">
        <f t="shared" si="0"/>
        <v>USDFUT3MM0_Quote</v>
      </c>
      <c r="F33" s="337" t="str">
        <f>_xll.qlSimpleQuote(E33,,PriceTickValue,Permanent,Trigger,ObjectOverwrite)</f>
        <v>USDFUT3MM0_Quote#0000</v>
      </c>
      <c r="G33" s="338" t="str">
        <f>_xll.ohRangeRetrieveError(F33)</f>
        <v/>
      </c>
      <c r="H33" s="343" t="str">
        <f t="shared" si="1"/>
        <v>USDFUT3MM0ConvAdj_Quote</v>
      </c>
      <c r="I33" s="344" t="str">
        <f>_xll.qlFuturesConvAdjustmentQuote(H33,IborIndex,D33,F33,Volatility,MeanReversion,Permanent,AND(ISERROR(AD33),ISERROR(FuturesHWConvAdj!U33:U34)),ObjectOverwrite)</f>
        <v>USDFUT3MM0ConvAdj_Quote#0167</v>
      </c>
      <c r="J33" s="277" t="str">
        <f>_xll.ohRangeRetrieveError(I33)</f>
        <v/>
      </c>
      <c r="K33" s="170"/>
      <c r="M33" s="328"/>
      <c r="N33" s="339">
        <v>29</v>
      </c>
      <c r="O33" s="339" t="b">
        <v>1</v>
      </c>
      <c r="P33" s="242" t="str">
        <v>M0</v>
      </c>
      <c r="Q33" s="340">
        <v>43999</v>
      </c>
      <c r="R33" s="242" t="str">
        <v>EDM0</v>
      </c>
      <c r="S33" s="341">
        <v>43997</v>
      </c>
      <c r="T33" s="85">
        <v>97.055000000000007</v>
      </c>
      <c r="U33" s="85">
        <v>97.064999999999998</v>
      </c>
      <c r="V33" s="85">
        <v>97.045000000000002</v>
      </c>
      <c r="W33" s="85">
        <v>97.055000000000007</v>
      </c>
      <c r="X33" s="85">
        <f>_xll.qlMidSafe(T33,U33,Trigger)</f>
        <v>97.06</v>
      </c>
      <c r="Y33" s="85">
        <f t="shared" si="2"/>
        <v>9.9999999999909051E-3</v>
      </c>
      <c r="Z33" s="332"/>
      <c r="AA33" s="346">
        <v>97.057500000000005</v>
      </c>
      <c r="AB33" s="332"/>
      <c r="AC33" s="85">
        <v>97.06</v>
      </c>
      <c r="AD33" s="242">
        <f>_xll.qlSimpleQuoteSetValue(F33,AC33,Trigger)</f>
        <v>0</v>
      </c>
      <c r="AE33" s="51"/>
    </row>
    <row r="34" spans="1:31" x14ac:dyDescent="0.2">
      <c r="A34" s="324"/>
      <c r="B34" s="336">
        <v>30</v>
      </c>
      <c r="C34" s="56" t="b">
        <v>1</v>
      </c>
      <c r="D34" s="52" t="str">
        <v>U0</v>
      </c>
      <c r="E34" s="138" t="str">
        <f t="shared" si="0"/>
        <v>USDFUT3MU0_Quote</v>
      </c>
      <c r="F34" s="337" t="str">
        <f>_xll.qlSimpleQuote(E34,,PriceTickValue,Permanent,Trigger,ObjectOverwrite)</f>
        <v>USDFUT3MU0_Quote#0000</v>
      </c>
      <c r="G34" s="338" t="str">
        <f>_xll.ohRangeRetrieveError(F34)</f>
        <v/>
      </c>
      <c r="H34" s="343" t="str">
        <f t="shared" si="1"/>
        <v>USDFUT3MU0ConvAdj_Quote</v>
      </c>
      <c r="I34" s="344" t="str">
        <f>_xll.qlFuturesConvAdjustmentQuote(H34,IborIndex,D34,F34,Volatility,MeanReversion,Permanent,AND(ISERROR(AD34),ISERROR(FuturesHWConvAdj!U34:U35)),ObjectOverwrite)</f>
        <v>USDFUT3MU0ConvAdj_Quote#0167</v>
      </c>
      <c r="J34" s="277" t="str">
        <f>_xll.ohRangeRetrieveError(I34)</f>
        <v/>
      </c>
      <c r="K34" s="170"/>
      <c r="M34" s="328"/>
      <c r="N34" s="339">
        <v>30</v>
      </c>
      <c r="O34" s="339" t="b">
        <v>1</v>
      </c>
      <c r="P34" s="242" t="str">
        <v>U0</v>
      </c>
      <c r="Q34" s="340">
        <v>44090</v>
      </c>
      <c r="R34" s="242" t="str">
        <v>EDU0</v>
      </c>
      <c r="S34" s="341">
        <v>44088</v>
      </c>
      <c r="T34" s="85">
        <v>96.995000000000005</v>
      </c>
      <c r="U34" s="85">
        <v>97.004999999999995</v>
      </c>
      <c r="V34" s="85">
        <v>96.974999999999994</v>
      </c>
      <c r="W34" s="85">
        <v>96.995000000000005</v>
      </c>
      <c r="X34" s="85">
        <f>_xll.qlMidSafe(T34,U34,Trigger)</f>
        <v>97</v>
      </c>
      <c r="Y34" s="85">
        <f t="shared" si="2"/>
        <v>9.9999999999909051E-3</v>
      </c>
      <c r="Z34" s="332"/>
      <c r="AA34" s="346">
        <v>96.995000000000005</v>
      </c>
      <c r="AB34" s="332"/>
      <c r="AC34" s="85">
        <v>97</v>
      </c>
      <c r="AD34" s="242">
        <f>_xll.qlSimpleQuoteSetValue(F34,AC34,Trigger)</f>
        <v>0</v>
      </c>
      <c r="AE34" s="51"/>
    </row>
    <row r="35" spans="1:31" x14ac:dyDescent="0.2">
      <c r="A35" s="324"/>
      <c r="B35" s="336">
        <v>31</v>
      </c>
      <c r="C35" s="56" t="b">
        <v>1</v>
      </c>
      <c r="D35" s="52" t="str">
        <v>Z0</v>
      </c>
      <c r="E35" s="138" t="str">
        <f t="shared" si="0"/>
        <v>USDFUT3MZ0_Quote</v>
      </c>
      <c r="F35" s="337" t="str">
        <f>_xll.qlSimpleQuote(E35,,PriceTickValue,Permanent,Trigger,ObjectOverwrite)</f>
        <v>USDFUT3MZ0_Quote#0000</v>
      </c>
      <c r="G35" s="338" t="str">
        <f>_xll.ohRangeRetrieveError(F35)</f>
        <v/>
      </c>
      <c r="H35" s="343" t="str">
        <f t="shared" si="1"/>
        <v>USDFUT3MZ0ConvAdj_Quote</v>
      </c>
      <c r="I35" s="344" t="str">
        <f>_xll.qlFuturesConvAdjustmentQuote(H35,IborIndex,D35,F35,Volatility,MeanReversion,Permanent,AND(ISERROR(AD35),ISERROR(FuturesHWConvAdj!U35:U36)),ObjectOverwrite)</f>
        <v>USDFUT3MZ0ConvAdj_Quote#0167</v>
      </c>
      <c r="J35" s="277" t="str">
        <f>_xll.ohRangeRetrieveError(I35)</f>
        <v/>
      </c>
      <c r="K35" s="170"/>
      <c r="M35" s="328"/>
      <c r="N35" s="339">
        <v>31</v>
      </c>
      <c r="O35" s="339" t="b">
        <v>1</v>
      </c>
      <c r="P35" s="242" t="str">
        <v>Z0</v>
      </c>
      <c r="Q35" s="340">
        <v>44181</v>
      </c>
      <c r="R35" s="242" t="str">
        <v>EDZ0</v>
      </c>
      <c r="S35" s="341">
        <v>44179</v>
      </c>
      <c r="T35" s="85">
        <v>96.94</v>
      </c>
      <c r="U35" s="85">
        <v>96.944999999999993</v>
      </c>
      <c r="V35" s="85">
        <v>96.95</v>
      </c>
      <c r="W35" s="85">
        <v>96.935000000000002</v>
      </c>
      <c r="X35" s="85">
        <f>_xll.qlMidSafe(T35,U35,Trigger)</f>
        <v>96.942499999999995</v>
      </c>
      <c r="Y35" s="85">
        <f t="shared" si="2"/>
        <v>4.9999999999954525E-3</v>
      </c>
      <c r="Z35" s="332"/>
      <c r="AA35" s="346">
        <v>96.9375</v>
      </c>
      <c r="AB35" s="332"/>
      <c r="AC35" s="85">
        <v>96.942499999999995</v>
      </c>
      <c r="AD35" s="242">
        <f>_xll.qlSimpleQuoteSetValue(F35,AC35,Trigger)</f>
        <v>-2.4999999999977263E-3</v>
      </c>
      <c r="AE35" s="51"/>
    </row>
    <row r="36" spans="1:31" x14ac:dyDescent="0.2">
      <c r="A36" s="324"/>
      <c r="B36" s="336">
        <v>32</v>
      </c>
      <c r="C36" s="56" t="b">
        <v>1</v>
      </c>
      <c r="D36" s="52" t="str">
        <v>H1</v>
      </c>
      <c r="E36" s="138" t="str">
        <f t="shared" si="0"/>
        <v>USDFUT3MH1_Quote</v>
      </c>
      <c r="F36" s="337" t="str">
        <f>_xll.qlSimpleQuote(E36,,PriceTickValue,Permanent,Trigger,ObjectOverwrite)</f>
        <v>USDFUT3MH1_Quote#0000</v>
      </c>
      <c r="G36" s="338" t="str">
        <f>_xll.ohRangeRetrieveError(F36)</f>
        <v/>
      </c>
      <c r="H36" s="343" t="str">
        <f t="shared" si="1"/>
        <v>USDFUT3MH1ConvAdj_Quote</v>
      </c>
      <c r="I36" s="344" t="str">
        <f>_xll.qlFuturesConvAdjustmentQuote(H36,IborIndex,D36,F36,Volatility,MeanReversion,Permanent,AND(ISERROR(AD36),ISERROR(FuturesHWConvAdj!U36:U37)),ObjectOverwrite)</f>
        <v>USDFUT3MH1ConvAdj_Quote#0167</v>
      </c>
      <c r="J36" s="277" t="str">
        <f>_xll.ohRangeRetrieveError(I36)</f>
        <v/>
      </c>
      <c r="K36" s="170"/>
      <c r="M36" s="328"/>
      <c r="N36" s="339">
        <v>32</v>
      </c>
      <c r="O36" s="339" t="b">
        <v>1</v>
      </c>
      <c r="P36" s="242" t="str">
        <v>H1</v>
      </c>
      <c r="Q36" s="340">
        <v>44272</v>
      </c>
      <c r="R36" s="242" t="str">
        <v>EDH1</v>
      </c>
      <c r="S36" s="341">
        <v>44270</v>
      </c>
      <c r="T36" s="85">
        <v>96.89</v>
      </c>
      <c r="U36" s="85">
        <v>96.9</v>
      </c>
      <c r="V36" s="85">
        <v>96.894999999999996</v>
      </c>
      <c r="W36" s="85">
        <v>96.89</v>
      </c>
      <c r="X36" s="85">
        <f>_xll.qlMidSafe(T36,U36,Trigger)</f>
        <v>96.89500000000001</v>
      </c>
      <c r="Y36" s="85">
        <f t="shared" si="2"/>
        <v>1.0000000000005116E-2</v>
      </c>
      <c r="Z36" s="332"/>
      <c r="AA36" s="346">
        <v>96.890000000000015</v>
      </c>
      <c r="AB36" s="332"/>
      <c r="AC36" s="85">
        <v>96.89500000000001</v>
      </c>
      <c r="AD36" s="242">
        <f>_xll.qlSimpleQuoteSetValue(F36,AC36,Trigger)</f>
        <v>0</v>
      </c>
      <c r="AE36" s="51"/>
    </row>
    <row r="37" spans="1:31" x14ac:dyDescent="0.2">
      <c r="A37" s="324"/>
      <c r="B37" s="336">
        <v>33</v>
      </c>
      <c r="C37" s="56" t="b">
        <v>1</v>
      </c>
      <c r="D37" s="52" t="str">
        <v>M1</v>
      </c>
      <c r="E37" s="138" t="str">
        <f t="shared" si="0"/>
        <v>USDFUT3MM1_Quote</v>
      </c>
      <c r="F37" s="337" t="str">
        <f>_xll.qlSimpleQuote(E37,,PriceTickValue,Permanent,Trigger,ObjectOverwrite)</f>
        <v>USDFUT3MM1_Quote#0000</v>
      </c>
      <c r="G37" s="338" t="str">
        <f>_xll.ohRangeRetrieveError(F37)</f>
        <v/>
      </c>
      <c r="H37" s="343" t="str">
        <f t="shared" si="1"/>
        <v>USDFUT3MM1ConvAdj_Quote</v>
      </c>
      <c r="I37" s="344" t="str">
        <f>_xll.qlFuturesConvAdjustmentQuote(H37,IborIndex,D37,F37,Volatility,MeanReversion,Permanent,AND(ISERROR(AD37),ISERROR(FuturesHWConvAdj!U37:U38)),ObjectOverwrite)</f>
        <v>USDFUT3MM1ConvAdj_Quote#0167</v>
      </c>
      <c r="J37" s="277" t="str">
        <f>_xll.ohRangeRetrieveError(I37)</f>
        <v/>
      </c>
      <c r="K37" s="170"/>
      <c r="M37" s="328"/>
      <c r="N37" s="339">
        <v>33</v>
      </c>
      <c r="O37" s="339" t="b">
        <v>1</v>
      </c>
      <c r="P37" s="242" t="str">
        <v>M1</v>
      </c>
      <c r="Q37" s="340">
        <v>44363</v>
      </c>
      <c r="R37" s="242" t="str">
        <v>EDM1</v>
      </c>
      <c r="S37" s="341">
        <v>44361</v>
      </c>
      <c r="T37" s="85">
        <v>96.844999999999999</v>
      </c>
      <c r="U37" s="85">
        <v>96.86</v>
      </c>
      <c r="V37" s="85">
        <v>0</v>
      </c>
      <c r="W37" s="85">
        <v>96.844999999999999</v>
      </c>
      <c r="X37" s="85">
        <f>_xll.qlMidSafe(T37,U37,Trigger)</f>
        <v>96.852499999999992</v>
      </c>
      <c r="Y37" s="85">
        <f t="shared" si="2"/>
        <v>1.5000000000000568E-2</v>
      </c>
      <c r="Z37" s="332"/>
      <c r="AA37" s="346">
        <v>96.844999999999999</v>
      </c>
      <c r="AB37" s="332"/>
      <c r="AC37" s="85">
        <v>96.852499999999992</v>
      </c>
      <c r="AD37" s="242">
        <f>_xll.qlSimpleQuoteSetValue(F37,AC37,Trigger)</f>
        <v>0</v>
      </c>
      <c r="AE37" s="51"/>
    </row>
    <row r="38" spans="1:31" x14ac:dyDescent="0.2">
      <c r="A38" s="324"/>
      <c r="B38" s="336">
        <v>34</v>
      </c>
      <c r="C38" s="56" t="b">
        <v>1</v>
      </c>
      <c r="D38" s="52" t="str">
        <v>U1</v>
      </c>
      <c r="E38" s="138" t="str">
        <f t="shared" si="0"/>
        <v>USDFUT3MU1_Quote</v>
      </c>
      <c r="F38" s="337" t="str">
        <f>_xll.qlSimpleQuote(E38,,PriceTickValue,Permanent,Trigger,ObjectOverwrite)</f>
        <v>USDFUT3MU1_Quote#0000</v>
      </c>
      <c r="G38" s="338" t="str">
        <f>_xll.ohRangeRetrieveError(F38)</f>
        <v/>
      </c>
      <c r="H38" s="343" t="str">
        <f t="shared" si="1"/>
        <v>USDFUT3MU1ConvAdj_Quote</v>
      </c>
      <c r="I38" s="344" t="str">
        <f>_xll.qlFuturesConvAdjustmentQuote(H38,IborIndex,D38,F38,Volatility,MeanReversion,Permanent,AND(ISERROR(AD38),ISERROR(FuturesHWConvAdj!U38:U39)),ObjectOverwrite)</f>
        <v>USDFUT3MU1ConvAdj_Quote#0167</v>
      </c>
      <c r="J38" s="277" t="str">
        <f>_xll.ohRangeRetrieveError(I38)</f>
        <v/>
      </c>
      <c r="K38" s="170"/>
      <c r="M38" s="328"/>
      <c r="N38" s="339">
        <v>34</v>
      </c>
      <c r="O38" s="339" t="b">
        <v>1</v>
      </c>
      <c r="P38" s="242" t="str">
        <v>U1</v>
      </c>
      <c r="Q38" s="340">
        <v>44454</v>
      </c>
      <c r="R38" s="242" t="str">
        <v>EDU1</v>
      </c>
      <c r="S38" s="341">
        <v>44452</v>
      </c>
      <c r="T38" s="85">
        <v>96.805000000000007</v>
      </c>
      <c r="U38" s="85">
        <v>96.82</v>
      </c>
      <c r="V38" s="85">
        <v>96.81</v>
      </c>
      <c r="W38" s="85">
        <v>96.805000000000007</v>
      </c>
      <c r="X38" s="85">
        <f>_xll.qlMidSafe(T38,U38,Trigger)</f>
        <v>96.8125</v>
      </c>
      <c r="Y38" s="85">
        <f t="shared" si="2"/>
        <v>1.4999999999986358E-2</v>
      </c>
      <c r="Z38" s="332"/>
      <c r="AA38" s="346">
        <v>96.805000000000007</v>
      </c>
      <c r="AB38" s="332"/>
      <c r="AC38" s="85">
        <v>96.8125</v>
      </c>
      <c r="AD38" s="242">
        <f>_xll.qlSimpleQuoteSetValue(F38,AC38,Trigger)</f>
        <v>0</v>
      </c>
      <c r="AE38" s="51"/>
    </row>
    <row r="39" spans="1:31" x14ac:dyDescent="0.2">
      <c r="A39" s="324"/>
      <c r="B39" s="336">
        <v>35</v>
      </c>
      <c r="C39" s="56" t="b">
        <v>1</v>
      </c>
      <c r="D39" s="52" t="str">
        <v>Z1</v>
      </c>
      <c r="E39" s="138" t="str">
        <f t="shared" si="0"/>
        <v>USDFUT3MZ1_Quote</v>
      </c>
      <c r="F39" s="337" t="str">
        <f>_xll.qlSimpleQuote(E39,,PriceTickValue,Permanent,Trigger,ObjectOverwrite)</f>
        <v>USDFUT3MZ1_Quote#0000</v>
      </c>
      <c r="G39" s="338" t="str">
        <f>_xll.ohRangeRetrieveError(F39)</f>
        <v/>
      </c>
      <c r="H39" s="343" t="str">
        <f t="shared" si="1"/>
        <v>USDFUT3MZ1ConvAdj_Quote</v>
      </c>
      <c r="I39" s="344" t="str">
        <f>_xll.qlFuturesConvAdjustmentQuote(H39,IborIndex,D39,F39,Volatility,MeanReversion,Permanent,AND(ISERROR(AD39),ISERROR(FuturesHWConvAdj!U39:U40)),ObjectOverwrite)</f>
        <v>USDFUT3MZ1ConvAdj_Quote#0167</v>
      </c>
      <c r="J39" s="277" t="str">
        <f>_xll.ohRangeRetrieveError(I39)</f>
        <v/>
      </c>
      <c r="K39" s="170"/>
      <c r="M39" s="328"/>
      <c r="N39" s="339">
        <v>35</v>
      </c>
      <c r="O39" s="339" t="b">
        <v>1</v>
      </c>
      <c r="P39" s="242" t="str">
        <v>Z1</v>
      </c>
      <c r="Q39" s="340">
        <v>44545</v>
      </c>
      <c r="R39" s="242" t="str">
        <v>EDZ1</v>
      </c>
      <c r="S39" s="341">
        <v>44543</v>
      </c>
      <c r="T39" s="85">
        <v>96.77</v>
      </c>
      <c r="U39" s="85">
        <v>96.784999999999997</v>
      </c>
      <c r="V39" s="85">
        <v>0</v>
      </c>
      <c r="W39" s="85">
        <v>96.77</v>
      </c>
      <c r="X39" s="85">
        <f>_xll.qlMidSafe(T39,U39,Trigger)</f>
        <v>96.777500000000003</v>
      </c>
      <c r="Y39" s="85">
        <f t="shared" si="2"/>
        <v>1.5000000000000568E-2</v>
      </c>
      <c r="Z39" s="332"/>
      <c r="AA39" s="346">
        <v>96.772500000000008</v>
      </c>
      <c r="AB39" s="332"/>
      <c r="AC39" s="85">
        <v>96.777500000000003</v>
      </c>
      <c r="AD39" s="242">
        <f>_xll.qlSimpleQuoteSetValue(F39,AC39,Trigger)</f>
        <v>0</v>
      </c>
      <c r="AE39" s="51"/>
    </row>
    <row r="40" spans="1:31" x14ac:dyDescent="0.2">
      <c r="A40" s="324"/>
      <c r="B40" s="336">
        <v>36</v>
      </c>
      <c r="C40" s="56" t="b">
        <v>1</v>
      </c>
      <c r="D40" s="52" t="str">
        <v>H2</v>
      </c>
      <c r="E40" s="138" t="str">
        <f t="shared" si="0"/>
        <v>USDFUT3MH2_Quote</v>
      </c>
      <c r="F40" s="337" t="str">
        <f>_xll.qlSimpleQuote(E40,,PriceTickValue,Permanent,Trigger,ObjectOverwrite)</f>
        <v>USDFUT3MH2_Quote#0000</v>
      </c>
      <c r="G40" s="338" t="str">
        <f>_xll.ohRangeRetrieveError(F40)</f>
        <v/>
      </c>
      <c r="H40" s="343" t="str">
        <f t="shared" si="1"/>
        <v>USDFUT3MH2ConvAdj_Quote</v>
      </c>
      <c r="I40" s="344" t="str">
        <f>_xll.qlFuturesConvAdjustmentQuote(H40,IborIndex,D40,F40,Volatility,MeanReversion,Permanent,AND(ISERROR(AD40),ISERROR(FuturesHWConvAdj!U40:U41)),ObjectOverwrite)</f>
        <v>USDFUT3MH2ConvAdj_Quote#0167</v>
      </c>
      <c r="J40" s="277" t="str">
        <f>_xll.ohRangeRetrieveError(I40)</f>
        <v/>
      </c>
      <c r="K40" s="170"/>
      <c r="M40" s="328"/>
      <c r="N40" s="339">
        <v>36</v>
      </c>
      <c r="O40" s="339" t="b">
        <v>1</v>
      </c>
      <c r="P40" s="242" t="str">
        <v>H2</v>
      </c>
      <c r="Q40" s="340">
        <v>44636</v>
      </c>
      <c r="R40" s="242" t="str">
        <v>EDH2</v>
      </c>
      <c r="S40" s="341">
        <v>44634</v>
      </c>
      <c r="T40" s="85">
        <v>96.74</v>
      </c>
      <c r="U40" s="85">
        <v>96.76</v>
      </c>
      <c r="V40" s="85">
        <v>0</v>
      </c>
      <c r="W40" s="85">
        <v>96.745000000000005</v>
      </c>
      <c r="X40" s="85">
        <f>_xll.qlMidSafe(T40,U40,Trigger)</f>
        <v>96.75</v>
      </c>
      <c r="Y40" s="85">
        <f t="shared" si="2"/>
        <v>2.0000000000010232E-2</v>
      </c>
      <c r="Z40" s="332"/>
      <c r="AA40" s="346">
        <v>96.742500000000007</v>
      </c>
      <c r="AB40" s="332"/>
      <c r="AC40" s="85">
        <v>96.75</v>
      </c>
      <c r="AD40" s="242">
        <f>_xll.qlSimpleQuoteSetValue(F40,AC40,Trigger)</f>
        <v>0</v>
      </c>
      <c r="AE40" s="51"/>
    </row>
    <row r="41" spans="1:31" x14ac:dyDescent="0.2">
      <c r="A41" s="324"/>
      <c r="B41" s="336">
        <v>37</v>
      </c>
      <c r="C41" s="56" t="b">
        <v>1</v>
      </c>
      <c r="D41" s="52" t="str">
        <v>M2</v>
      </c>
      <c r="E41" s="138" t="str">
        <f t="shared" si="0"/>
        <v>USDFUT3MM2_Quote</v>
      </c>
      <c r="F41" s="337" t="str">
        <f>_xll.qlSimpleQuote(E41,,PriceTickValue,Permanent,Trigger,ObjectOverwrite)</f>
        <v>USDFUT3MM2_Quote#0000</v>
      </c>
      <c r="G41" s="338" t="str">
        <f>_xll.ohRangeRetrieveError(F41)</f>
        <v/>
      </c>
      <c r="H41" s="343" t="str">
        <f t="shared" si="1"/>
        <v>USDFUT3MM2ConvAdj_Quote</v>
      </c>
      <c r="I41" s="344" t="str">
        <f>_xll.qlFuturesConvAdjustmentQuote(H41,IborIndex,D41,F41,Volatility,MeanReversion,Permanent,AND(ISERROR(AD41),ISERROR(FuturesHWConvAdj!U41:U42)),ObjectOverwrite)</f>
        <v>USDFUT3MM2ConvAdj_Quote#0167</v>
      </c>
      <c r="J41" s="277" t="str">
        <f>_xll.ohRangeRetrieveError(I41)</f>
        <v/>
      </c>
      <c r="K41" s="170"/>
      <c r="M41" s="328"/>
      <c r="N41" s="339">
        <v>37</v>
      </c>
      <c r="O41" s="339" t="b">
        <v>1</v>
      </c>
      <c r="P41" s="242" t="str">
        <v>M2</v>
      </c>
      <c r="Q41" s="340">
        <v>44727</v>
      </c>
      <c r="R41" s="242" t="str">
        <v>EDM2</v>
      </c>
      <c r="S41" s="341">
        <v>44725</v>
      </c>
      <c r="T41" s="85">
        <v>96.7</v>
      </c>
      <c r="U41" s="85">
        <v>96.765000000000001</v>
      </c>
      <c r="V41" s="85">
        <v>0</v>
      </c>
      <c r="W41" s="85">
        <v>96.724999999999994</v>
      </c>
      <c r="X41" s="85">
        <f>_xll.qlMidSafe(T41,U41,Trigger)</f>
        <v>96.732500000000002</v>
      </c>
      <c r="Y41" s="85">
        <f t="shared" si="2"/>
        <v>6.4999999999997726E-2</v>
      </c>
      <c r="Z41" s="332"/>
      <c r="AA41" s="346">
        <v>96.722499999999997</v>
      </c>
      <c r="AB41" s="332"/>
      <c r="AC41" s="85">
        <v>96.732500000000002</v>
      </c>
      <c r="AD41" s="242">
        <f>_xll.qlSimpleQuoteSetValue(F41,AC41,Trigger)</f>
        <v>1.0000000000005116E-2</v>
      </c>
      <c r="AE41" s="51"/>
    </row>
    <row r="42" spans="1:31" x14ac:dyDescent="0.2">
      <c r="A42" s="324"/>
      <c r="B42" s="336">
        <v>38</v>
      </c>
      <c r="C42" s="56" t="b">
        <v>1</v>
      </c>
      <c r="D42" s="52" t="str">
        <v>U2</v>
      </c>
      <c r="E42" s="138" t="str">
        <f t="shared" si="0"/>
        <v>USDFUT3MU2_Quote</v>
      </c>
      <c r="F42" s="337" t="str">
        <f>_xll.qlSimpleQuote(E42,,PriceTickValue,Permanent,Trigger,ObjectOverwrite)</f>
        <v>USDFUT3MU2_Quote#0000</v>
      </c>
      <c r="G42" s="338" t="str">
        <f>_xll.ohRangeRetrieveError(F42)</f>
        <v/>
      </c>
      <c r="H42" s="343" t="str">
        <f t="shared" si="1"/>
        <v>USDFUT3MU2ConvAdj_Quote</v>
      </c>
      <c r="I42" s="344" t="str">
        <f>_xll.qlFuturesConvAdjustmentQuote(H42,IborIndex,D42,F42,Volatility,MeanReversion,Permanent,AND(ISERROR(AD42),ISERROR(FuturesHWConvAdj!U42:U43)),ObjectOverwrite)</f>
        <v>USDFUT3MU2ConvAdj_Quote#0167</v>
      </c>
      <c r="J42" s="277" t="str">
        <f>_xll.ohRangeRetrieveError(I42)</f>
        <v/>
      </c>
      <c r="K42" s="170"/>
      <c r="M42" s="328"/>
      <c r="N42" s="339">
        <v>38</v>
      </c>
      <c r="O42" s="339" t="b">
        <v>1</v>
      </c>
      <c r="P42" s="242" t="str">
        <v>U2</v>
      </c>
      <c r="Q42" s="340">
        <v>44825</v>
      </c>
      <c r="R42" s="242" t="str">
        <v>EDU2</v>
      </c>
      <c r="S42" s="341">
        <v>44823</v>
      </c>
      <c r="T42" s="85">
        <v>96.674999999999997</v>
      </c>
      <c r="U42" s="85">
        <v>96.74</v>
      </c>
      <c r="V42" s="85">
        <v>0</v>
      </c>
      <c r="W42" s="85">
        <v>96.704999999999998</v>
      </c>
      <c r="X42" s="85">
        <f>_xll.qlMidSafe(T42,U42,Trigger)</f>
        <v>96.707499999999996</v>
      </c>
      <c r="Y42" s="85">
        <f t="shared" si="2"/>
        <v>6.4999999999997726E-2</v>
      </c>
      <c r="Z42" s="332"/>
      <c r="AA42" s="346">
        <v>96.692499999999995</v>
      </c>
      <c r="AB42" s="332"/>
      <c r="AC42" s="85">
        <v>96.707499999999996</v>
      </c>
      <c r="AD42" s="242">
        <f>_xll.qlSimpleQuoteSetValue(F42,AC42,Trigger)</f>
        <v>0</v>
      </c>
      <c r="AE42" s="51"/>
    </row>
    <row r="43" spans="1:31" x14ac:dyDescent="0.2">
      <c r="A43" s="324"/>
      <c r="B43" s="336">
        <v>39</v>
      </c>
      <c r="C43" s="56" t="b">
        <v>1</v>
      </c>
      <c r="D43" s="52" t="str">
        <v>Z2</v>
      </c>
      <c r="E43" s="138" t="str">
        <f t="shared" si="0"/>
        <v>USDFUT3MZ2_Quote</v>
      </c>
      <c r="F43" s="337" t="str">
        <f>_xll.qlSimpleQuote(E43,,PriceTickValue,Permanent,Trigger,ObjectOverwrite)</f>
        <v>USDFUT3MZ2_Quote#0000</v>
      </c>
      <c r="G43" s="338" t="str">
        <f>_xll.ohRangeRetrieveError(F43)</f>
        <v/>
      </c>
      <c r="H43" s="343" t="str">
        <f t="shared" si="1"/>
        <v>USDFUT3MZ2ConvAdj_Quote</v>
      </c>
      <c r="I43" s="344" t="str">
        <f>_xll.qlFuturesConvAdjustmentQuote(H43,IborIndex,D43,F43,Volatility,MeanReversion,Permanent,AND(ISERROR(AD43),ISERROR(FuturesHWConvAdj!U43:U44)),ObjectOverwrite)</f>
        <v>USDFUT3MZ2ConvAdj_Quote#0167</v>
      </c>
      <c r="J43" s="277" t="str">
        <f>_xll.ohRangeRetrieveError(I43)</f>
        <v/>
      </c>
      <c r="K43" s="170"/>
      <c r="M43" s="328"/>
      <c r="N43" s="339">
        <v>39</v>
      </c>
      <c r="O43" s="339" t="b">
        <v>1</v>
      </c>
      <c r="P43" s="242" t="str">
        <v>Z2</v>
      </c>
      <c r="Q43" s="340">
        <v>44916</v>
      </c>
      <c r="R43" s="242" t="str">
        <v>EDZ2</v>
      </c>
      <c r="S43" s="341">
        <v>44914</v>
      </c>
      <c r="T43" s="85">
        <v>96.644999999999996</v>
      </c>
      <c r="U43" s="85">
        <v>96.74</v>
      </c>
      <c r="V43" s="85">
        <v>0</v>
      </c>
      <c r="W43" s="85">
        <v>96.68</v>
      </c>
      <c r="X43" s="85">
        <f>_xll.qlMidSafe(T43,U43,Trigger)</f>
        <v>96.692499999999995</v>
      </c>
      <c r="Y43" s="85">
        <f t="shared" si="2"/>
        <v>9.4999999999998863E-2</v>
      </c>
      <c r="Z43" s="332"/>
      <c r="AA43" s="346">
        <v>96.667500000000004</v>
      </c>
      <c r="AB43" s="332"/>
      <c r="AC43" s="85">
        <v>96.692499999999995</v>
      </c>
      <c r="AD43" s="242">
        <f>_xll.qlSimpleQuoteSetValue(F43,AC43,Trigger)</f>
        <v>9.9999999999909051E-3</v>
      </c>
      <c r="AE43" s="51"/>
    </row>
    <row r="44" spans="1:31" x14ac:dyDescent="0.2">
      <c r="A44" s="324"/>
      <c r="B44" s="336">
        <v>40</v>
      </c>
      <c r="C44" s="56" t="b">
        <v>1</v>
      </c>
      <c r="D44" s="52" t="str">
        <v>H3</v>
      </c>
      <c r="E44" s="138" t="str">
        <f t="shared" si="0"/>
        <v>USDFUT3MH3_Quote</v>
      </c>
      <c r="F44" s="337" t="str">
        <f>_xll.qlSimpleQuote(E44,,PriceTickValue,Permanent,Trigger,ObjectOverwrite)</f>
        <v>USDFUT3MH3_Quote#0000</v>
      </c>
      <c r="G44" s="338" t="str">
        <f>_xll.ohRangeRetrieveError(F44)</f>
        <v/>
      </c>
      <c r="H44" s="343" t="str">
        <f t="shared" si="1"/>
        <v>USDFUT3MH3ConvAdj_Quote</v>
      </c>
      <c r="I44" s="344" t="str">
        <f>_xll.qlFuturesConvAdjustmentQuote(H44,IborIndex,D44,F44,Volatility,MeanReversion,Permanent,AND(ISERROR(AD44),ISERROR(FuturesHWConvAdj!U44:U45)),ObjectOverwrite)</f>
        <v>USDFUT3MH3ConvAdj_Quote#0167</v>
      </c>
      <c r="J44" s="277" t="str">
        <f>_xll.ohRangeRetrieveError(I44)</f>
        <v/>
      </c>
      <c r="K44" s="170"/>
      <c r="M44" s="328"/>
      <c r="N44" s="339">
        <v>40</v>
      </c>
      <c r="O44" s="339" t="b">
        <v>1</v>
      </c>
      <c r="P44" s="242" t="str">
        <v>H3</v>
      </c>
      <c r="Q44" s="340">
        <v>45000</v>
      </c>
      <c r="R44" s="242" t="str">
        <v>EDH3</v>
      </c>
      <c r="S44" s="341">
        <v>44998</v>
      </c>
      <c r="T44" s="85">
        <v>96.63</v>
      </c>
      <c r="U44" s="85">
        <v>97.45</v>
      </c>
      <c r="V44" s="85">
        <v>0</v>
      </c>
      <c r="W44" s="85">
        <v>96.665000000000006</v>
      </c>
      <c r="X44" s="85">
        <f>_xll.qlMidSafe(T44,U44,Trigger)</f>
        <v>97.039999999999992</v>
      </c>
      <c r="Y44" s="85">
        <f t="shared" si="2"/>
        <v>0.82000000000000739</v>
      </c>
      <c r="Z44" s="332"/>
      <c r="AA44" s="346">
        <v>96.652500000000003</v>
      </c>
      <c r="AB44" s="332"/>
      <c r="AC44" s="85">
        <v>97.039999999999992</v>
      </c>
      <c r="AD44" s="242">
        <f>_xll.qlSimpleQuoteSetValue(F44,AC44,Trigger)</f>
        <v>0.37250000000000227</v>
      </c>
      <c r="AE44" s="51"/>
    </row>
    <row r="45" spans="1:31" x14ac:dyDescent="0.2">
      <c r="A45" s="324"/>
      <c r="B45" s="336">
        <v>41</v>
      </c>
      <c r="C45" s="56" t="b">
        <v>1</v>
      </c>
      <c r="D45" s="52" t="str">
        <v>M3</v>
      </c>
      <c r="E45" s="138" t="str">
        <f t="shared" si="0"/>
        <v>USDFUT3MM3_Quote</v>
      </c>
      <c r="F45" s="337" t="str">
        <f>_xll.qlSimpleQuote(E45,,PriceTickValue,Permanent,Trigger,ObjectOverwrite)</f>
        <v>USDFUT3MM3_Quote#0000</v>
      </c>
      <c r="G45" s="338" t="str">
        <f>_xll.ohRangeRetrieveError(F45)</f>
        <v/>
      </c>
      <c r="H45" s="343" t="str">
        <f t="shared" si="1"/>
        <v>USDFUT3MM3ConvAdj_Quote</v>
      </c>
      <c r="I45" s="344" t="str">
        <f>_xll.qlFuturesConvAdjustmentQuote(H45,IborIndex,D45,F45,Volatility,MeanReversion,Permanent,AND(ISERROR(AD45),ISERROR(FuturesHWConvAdj!U45:U46)),ObjectOverwrite)</f>
        <v>USDFUT3MM3ConvAdj_Quote#0167</v>
      </c>
      <c r="J45" s="277" t="str">
        <f>_xll.ohRangeRetrieveError(I45)</f>
        <v/>
      </c>
      <c r="K45" s="170"/>
      <c r="M45" s="328"/>
      <c r="N45" s="339">
        <v>41</v>
      </c>
      <c r="O45" s="339" t="b">
        <v>1</v>
      </c>
      <c r="P45" s="242" t="str">
        <v>M3</v>
      </c>
      <c r="Q45" s="340">
        <v>45098</v>
      </c>
      <c r="R45" s="242" t="str">
        <v>EDM3</v>
      </c>
      <c r="S45" s="341">
        <v>45096</v>
      </c>
      <c r="T45" s="85">
        <v>96.61</v>
      </c>
      <c r="U45" s="85">
        <v>97.435000000000002</v>
      </c>
      <c r="V45" s="85">
        <v>0</v>
      </c>
      <c r="W45" s="85">
        <v>96.65</v>
      </c>
      <c r="X45" s="85">
        <f>_xll.qlMidSafe(T45,U45,Trigger)</f>
        <v>97.022500000000008</v>
      </c>
      <c r="Y45" s="85">
        <f t="shared" si="2"/>
        <v>0.82500000000000284</v>
      </c>
      <c r="Z45" s="332"/>
      <c r="AA45" s="346">
        <v>96.635000000000005</v>
      </c>
      <c r="AB45" s="332"/>
      <c r="AC45" s="85">
        <v>97.022500000000008</v>
      </c>
      <c r="AD45" s="242">
        <f>_xll.qlSimpleQuoteSetValue(F45,AC45,Trigger)</f>
        <v>0.37000000000000455</v>
      </c>
      <c r="AE45" s="51"/>
    </row>
    <row r="46" spans="1:31" x14ac:dyDescent="0.2">
      <c r="A46" s="324"/>
      <c r="B46" s="347">
        <v>42</v>
      </c>
      <c r="C46" s="255" t="b">
        <v>1</v>
      </c>
      <c r="D46" s="53" t="str">
        <v>U3</v>
      </c>
      <c r="E46" s="348" t="str">
        <f t="shared" si="0"/>
        <v>USDFUT3MU3_Quote</v>
      </c>
      <c r="F46" s="349" t="str">
        <f>_xll.qlSimpleQuote(E46,,PriceTickValue,Permanent,Trigger,ObjectOverwrite)</f>
        <v>USDFUT3MU3_Quote#0000</v>
      </c>
      <c r="G46" s="350" t="str">
        <f>_xll.ohRangeRetrieveError(F46)</f>
        <v/>
      </c>
      <c r="H46" s="355" t="str">
        <f t="shared" si="1"/>
        <v>USDFUT3MU3ConvAdj_Quote</v>
      </c>
      <c r="I46" s="356" t="str">
        <f>_xll.qlFuturesConvAdjustmentQuote(H46,IborIndex,D46,F46,Volatility,MeanReversion,Permanent,AND(ISERROR(AD46),ISERROR(FuturesHWConvAdj!U46:U47)),ObjectOverwrite)</f>
        <v>USDFUT3MU3ConvAdj_Quote#0167</v>
      </c>
      <c r="J46" s="279" t="str">
        <f>_xll.ohRangeRetrieveError(I46)</f>
        <v/>
      </c>
      <c r="K46" s="170"/>
      <c r="M46" s="328"/>
      <c r="N46" s="351">
        <v>42</v>
      </c>
      <c r="O46" s="351" t="b">
        <v>1</v>
      </c>
      <c r="P46" s="243" t="str">
        <v>U3</v>
      </c>
      <c r="Q46" s="352">
        <v>45189</v>
      </c>
      <c r="R46" s="243" t="str">
        <v>EDU3</v>
      </c>
      <c r="S46" s="353">
        <v>45187</v>
      </c>
      <c r="T46" s="86">
        <v>96.594999999999999</v>
      </c>
      <c r="U46" s="86">
        <v>97.424999999999997</v>
      </c>
      <c r="V46" s="86">
        <v>0</v>
      </c>
      <c r="W46" s="86">
        <v>96.635000000000005</v>
      </c>
      <c r="X46" s="86">
        <f>_xll.qlMidSafe(T46,U46,Trigger)</f>
        <v>97.009999999999991</v>
      </c>
      <c r="Y46" s="86">
        <f t="shared" si="2"/>
        <v>0.82999999999999829</v>
      </c>
      <c r="Z46" s="332"/>
      <c r="AA46" s="354">
        <v>96.62</v>
      </c>
      <c r="AB46" s="332"/>
      <c r="AC46" s="86">
        <v>97.009999999999991</v>
      </c>
      <c r="AD46" s="243">
        <f>_xll.qlSimpleQuoteSetValue(F46,AC46,Trigger)</f>
        <v>0.37249999999998806</v>
      </c>
      <c r="AE46" s="51"/>
    </row>
    <row r="47" spans="1:31" ht="12" thickBot="1" x14ac:dyDescent="0.25">
      <c r="A47" s="357"/>
      <c r="B47" s="172"/>
      <c r="C47" s="172"/>
      <c r="D47" s="172"/>
      <c r="E47" s="172"/>
      <c r="F47" s="172"/>
      <c r="G47" s="172"/>
      <c r="H47" s="172"/>
      <c r="I47" s="172"/>
      <c r="J47" s="172"/>
      <c r="K47" s="174"/>
      <c r="M47" s="358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8"/>
    </row>
  </sheetData>
  <conditionalFormatting sqref="AD5:AD46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C26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4" style="198" hidden="1" customWidth="1" outlineLevel="1"/>
    <col min="3" max="3" width="3.7109375" style="198" hidden="1" customWidth="1" outlineLevel="1"/>
    <col min="4" max="4" width="4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1.7109375" style="198" customWidth="1"/>
    <col min="11" max="11" width="4" style="198" bestFit="1" customWidth="1"/>
    <col min="12" max="12" width="3.7109375" style="198" customWidth="1"/>
    <col min="13" max="13" width="4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16384" width="9.140625" style="198"/>
  </cols>
  <sheetData>
    <row r="1" spans="1:29" x14ac:dyDescent="0.2">
      <c r="A1" s="136"/>
      <c r="B1" s="136"/>
      <c r="C1" s="136"/>
      <c r="D1" s="136"/>
      <c r="E1" s="136"/>
      <c r="F1" s="149"/>
      <c r="G1" s="136"/>
      <c r="H1" s="137"/>
      <c r="J1" s="135" t="s">
        <v>257</v>
      </c>
      <c r="K1" s="136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216"/>
    </row>
    <row r="2" spans="1:29" x14ac:dyDescent="0.2">
      <c r="A2" s="136"/>
      <c r="B2" s="136"/>
      <c r="C2" s="136"/>
      <c r="D2" s="136"/>
      <c r="E2" s="136"/>
      <c r="F2" s="149"/>
      <c r="G2" s="136"/>
      <c r="H2" s="137"/>
      <c r="J2" s="169"/>
      <c r="K2" s="7"/>
      <c r="L2" s="56"/>
      <c r="M2" s="56"/>
      <c r="N2" s="56"/>
      <c r="O2" s="241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_xll.ohTrigger(Z5:Z18)</f>
        <v>20</v>
      </c>
      <c r="AA2" s="170"/>
    </row>
    <row r="3" spans="1:29" x14ac:dyDescent="0.2">
      <c r="A3" s="217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56"/>
      <c r="AA3" s="77"/>
    </row>
    <row r="4" spans="1:29" ht="22.5" x14ac:dyDescent="0.2">
      <c r="A4" s="218"/>
      <c r="B4" s="101"/>
      <c r="C4" s="101"/>
      <c r="D4" s="101"/>
      <c r="E4" s="102" t="s">
        <v>248</v>
      </c>
      <c r="F4" s="102" t="s">
        <v>249</v>
      </c>
      <c r="G4" s="166" t="s">
        <v>266</v>
      </c>
      <c r="H4" s="170"/>
      <c r="J4" s="76"/>
      <c r="K4" s="103"/>
      <c r="L4" s="107"/>
      <c r="M4" s="103"/>
      <c r="N4" s="103" t="s">
        <v>268</v>
      </c>
      <c r="O4" s="106" t="str">
        <f>_xll.RData(O5:O18,P4:S4,"RTFEED:IDN",ReutersRtMode,,P5)</f>
        <v>Paused at 10:47:50</v>
      </c>
      <c r="P4" s="87" t="s">
        <v>148</v>
      </c>
      <c r="Q4" s="87" t="s">
        <v>147</v>
      </c>
      <c r="R4" s="87" t="s">
        <v>157</v>
      </c>
      <c r="S4" s="87" t="s">
        <v>165</v>
      </c>
      <c r="T4" s="88" t="s">
        <v>172</v>
      </c>
      <c r="U4" s="88" t="s">
        <v>267</v>
      </c>
      <c r="V4" s="56"/>
      <c r="W4" s="87" t="s">
        <v>162</v>
      </c>
      <c r="X4" s="56"/>
      <c r="Y4" s="103" t="s">
        <v>161</v>
      </c>
      <c r="Z4" s="103" t="s">
        <v>160</v>
      </c>
      <c r="AA4" s="77"/>
      <c r="AC4" s="202"/>
    </row>
    <row r="5" spans="1:29" x14ac:dyDescent="0.2">
      <c r="A5" s="218"/>
      <c r="B5" s="219" t="str">
        <f>K5</f>
        <v/>
      </c>
      <c r="C5" s="220">
        <f>L5</f>
        <v>2</v>
      </c>
      <c r="D5" s="221" t="str">
        <f>M5</f>
        <v>X1S</v>
      </c>
      <c r="E5" s="222" t="str">
        <f t="shared" ref="E5:E18" si="0">Currency&amp;$C5&amp;$D5&amp;$B5&amp;QuoteSuffix</f>
        <v>USD2X1S_Quote</v>
      </c>
      <c r="F5" s="222" t="str">
        <f>_xll.qlSimpleQuote(Currency&amp;$C5&amp;$D5&amp;$B5&amp;QuoteSuffix,,RateTickValue,Permanent,Trigger,ObjectOverwrite)</f>
        <v>USD2X1S_Quote#0000</v>
      </c>
      <c r="G5" s="223" t="str">
        <f>_xll.ohRangeRetrieveError(F5)</f>
        <v/>
      </c>
      <c r="H5" s="170" t="s">
        <v>220</v>
      </c>
      <c r="J5" s="76"/>
      <c r="K5" s="182" t="str">
        <f>IF($O$2="ICAP Singapore","2M","")</f>
        <v/>
      </c>
      <c r="L5" s="182">
        <f>IF($O$2="ICAP Singapore","AM",2)</f>
        <v>2</v>
      </c>
      <c r="M5" s="182" t="str">
        <f>IF($O$2="ICAP Singapore","1L","X1S")</f>
        <v>X1S</v>
      </c>
      <c r="N5" s="82" t="str">
        <f t="shared" ref="N5:N18" si="1">Currency&amp;$L5&amp;$M5&amp;K5</f>
        <v>USD2X1S</v>
      </c>
      <c r="O5" s="82" t="str">
        <f t="array" ref="O5:O18">Instruments&amp;"="&amp;VLOOKUP($O$2,ContributorTable,2,FALSE)</f>
        <v>USD2X1S=ICAP</v>
      </c>
      <c r="P5" s="85">
        <v>0.16200000000000001</v>
      </c>
      <c r="Q5" s="85">
        <v>0.21200000000000002</v>
      </c>
      <c r="R5" s="85">
        <v>0</v>
      </c>
      <c r="S5" s="85">
        <v>0</v>
      </c>
      <c r="T5" s="85">
        <f>IF(ISERROR(AVERAGE(P5,Q5)),#NUM!,AVERAGE(P5,Q5))</f>
        <v>0.187</v>
      </c>
      <c r="U5" s="85">
        <f>Q5-P5</f>
        <v>5.0000000000000017E-2</v>
      </c>
      <c r="V5" s="56"/>
      <c r="W5" s="224">
        <v>0.187</v>
      </c>
      <c r="X5" s="56"/>
      <c r="Y5" s="85">
        <f t="array" ref="Y5:Y18">QuoteLive</f>
        <v>0.187</v>
      </c>
      <c r="Z5" s="187">
        <f>_xll.qlSimpleQuoteSetValue(F5,Y5/100,Trigger)</f>
        <v>0</v>
      </c>
      <c r="AA5" s="77"/>
      <c r="AC5" s="225"/>
    </row>
    <row r="6" spans="1:29" x14ac:dyDescent="0.2">
      <c r="A6" s="218"/>
      <c r="B6" s="226" t="str">
        <f t="shared" ref="B6:B18" si="2">K6</f>
        <v/>
      </c>
      <c r="C6" s="227">
        <f t="shared" ref="C6:C18" si="3">L6</f>
        <v>3</v>
      </c>
      <c r="D6" s="228" t="str">
        <f t="shared" ref="D6:D18" si="4">M6</f>
        <v>X1S</v>
      </c>
      <c r="E6" s="229" t="str">
        <f t="shared" si="0"/>
        <v>USD3X1S_Quote</v>
      </c>
      <c r="F6" s="229" t="str">
        <f>_xll.qlSimpleQuote(Currency&amp;$C6&amp;$D6&amp;$B6&amp;QuoteSuffix,,RateTickValue,Permanent,Trigger,ObjectOverwrite)</f>
        <v>USD3X1S_Quote#0000</v>
      </c>
      <c r="G6" s="230" t="str">
        <f>_xll.ohRangeRetrieveError(F6)</f>
        <v/>
      </c>
      <c r="H6" s="170" t="s">
        <v>220</v>
      </c>
      <c r="J6" s="76"/>
      <c r="K6" s="182" t="str">
        <f>IF($O$2="ICAP Singapore","3M","")</f>
        <v/>
      </c>
      <c r="L6" s="182">
        <f>IF($O$2="ICAP Singapore","AM",3)</f>
        <v>3</v>
      </c>
      <c r="M6" s="182" t="str">
        <f t="shared" ref="M6:M18" si="5">IF($O$2="ICAP Singapore","1L","X1S")</f>
        <v>X1S</v>
      </c>
      <c r="N6" s="82" t="str">
        <f t="shared" si="1"/>
        <v>USD3X1S</v>
      </c>
      <c r="O6" s="82" t="str">
        <v>USD3X1S=ICAP</v>
      </c>
      <c r="P6" s="85">
        <v>0.16499999999999998</v>
      </c>
      <c r="Q6" s="85">
        <v>0.215</v>
      </c>
      <c r="R6" s="85">
        <v>0</v>
      </c>
      <c r="S6" s="85">
        <v>0</v>
      </c>
      <c r="T6" s="85">
        <f t="shared" ref="T6:T18" si="6">IF(ISERROR(AVERAGE(P6,Q6)),#NUM!,AVERAGE(P6,Q6))</f>
        <v>0.19</v>
      </c>
      <c r="U6" s="85">
        <f t="shared" ref="U6:U18" si="7">Q6-P6</f>
        <v>5.0000000000000017E-2</v>
      </c>
      <c r="V6" s="56"/>
      <c r="W6" s="224">
        <v>0.19</v>
      </c>
      <c r="X6" s="56"/>
      <c r="Y6" s="85">
        <v>0.19</v>
      </c>
      <c r="Z6" s="187">
        <f>_xll.qlSimpleQuoteSetValue(F6,Y6/100,Trigger)</f>
        <v>0</v>
      </c>
      <c r="AA6" s="77"/>
      <c r="AC6" s="225"/>
    </row>
    <row r="7" spans="1:29" x14ac:dyDescent="0.2">
      <c r="A7" s="218"/>
      <c r="B7" s="226" t="str">
        <f t="shared" si="2"/>
        <v/>
      </c>
      <c r="C7" s="227">
        <f t="shared" si="3"/>
        <v>4</v>
      </c>
      <c r="D7" s="228" t="str">
        <f t="shared" si="4"/>
        <v>X1S</v>
      </c>
      <c r="E7" s="229" t="str">
        <f t="shared" si="0"/>
        <v>USD4X1S_Quote</v>
      </c>
      <c r="F7" s="229" t="str">
        <f>_xll.qlSimpleQuote(Currency&amp;$C7&amp;$D7&amp;$B7&amp;QuoteSuffix,,RateTickValue,Permanent,Trigger,ObjectOverwrite)</f>
        <v>USD4X1S_Quote#0000</v>
      </c>
      <c r="G7" s="230" t="str">
        <f>_xll.ohRangeRetrieveError(F7)</f>
        <v/>
      </c>
      <c r="H7" s="170" t="s">
        <v>220</v>
      </c>
      <c r="J7" s="76"/>
      <c r="K7" s="182" t="str">
        <f>IF($O$2="ICAP Singapore","4M","")</f>
        <v/>
      </c>
      <c r="L7" s="182">
        <f>IF($O$2="ICAP Singapore","AM",4)</f>
        <v>4</v>
      </c>
      <c r="M7" s="182" t="str">
        <f t="shared" si="5"/>
        <v>X1S</v>
      </c>
      <c r="N7" s="82" t="str">
        <f t="shared" si="1"/>
        <v>USD4X1S</v>
      </c>
      <c r="O7" s="82" t="str">
        <v>USD4X1S=ICAP</v>
      </c>
      <c r="P7" s="85">
        <v>0.16899999999999998</v>
      </c>
      <c r="Q7" s="85">
        <v>0.219</v>
      </c>
      <c r="R7" s="85">
        <v>0</v>
      </c>
      <c r="S7" s="85">
        <v>0</v>
      </c>
      <c r="T7" s="85">
        <f t="shared" si="6"/>
        <v>0.19400000000000001</v>
      </c>
      <c r="U7" s="85">
        <f t="shared" si="7"/>
        <v>5.0000000000000017E-2</v>
      </c>
      <c r="V7" s="56"/>
      <c r="W7" s="224">
        <v>0.19400000000000001</v>
      </c>
      <c r="X7" s="56"/>
      <c r="Y7" s="85">
        <v>0.19400000000000001</v>
      </c>
      <c r="Z7" s="187">
        <f>_xll.qlSimpleQuoteSetValue(F7,Y7/100,Trigger)</f>
        <v>0</v>
      </c>
      <c r="AA7" s="77"/>
      <c r="AC7" s="225"/>
    </row>
    <row r="8" spans="1:29" x14ac:dyDescent="0.2">
      <c r="A8" s="218"/>
      <c r="B8" s="226" t="str">
        <f t="shared" si="2"/>
        <v/>
      </c>
      <c r="C8" s="227">
        <f t="shared" si="3"/>
        <v>5</v>
      </c>
      <c r="D8" s="228" t="str">
        <f t="shared" si="4"/>
        <v>X1S</v>
      </c>
      <c r="E8" s="229" t="str">
        <f t="shared" si="0"/>
        <v>USD5X1S_Quote</v>
      </c>
      <c r="F8" s="229" t="str">
        <f>_xll.qlSimpleQuote(Currency&amp;$C8&amp;$D8&amp;$B8&amp;QuoteSuffix,,RateTickValue,Permanent,Trigger,ObjectOverwrite)</f>
        <v>USD5X1S_Quote#0000</v>
      </c>
      <c r="G8" s="230" t="str">
        <f>_xll.ohRangeRetrieveError(F8)</f>
        <v/>
      </c>
      <c r="H8" s="170" t="s">
        <v>220</v>
      </c>
      <c r="J8" s="76"/>
      <c r="K8" s="182" t="str">
        <f>IF($O$2="ICAP Singapore","5M","")</f>
        <v/>
      </c>
      <c r="L8" s="182">
        <f>IF($O$2="ICAP Singapore","AM",5)</f>
        <v>5</v>
      </c>
      <c r="M8" s="182" t="str">
        <f t="shared" si="5"/>
        <v>X1S</v>
      </c>
      <c r="N8" s="82" t="str">
        <f t="shared" si="1"/>
        <v>USD5X1S</v>
      </c>
      <c r="O8" s="82" t="str">
        <v>USD5X1S=ICAP</v>
      </c>
      <c r="P8" s="85">
        <v>0.185</v>
      </c>
      <c r="Q8" s="85">
        <v>0.23500000000000001</v>
      </c>
      <c r="R8" s="85">
        <v>0</v>
      </c>
      <c r="S8" s="85">
        <v>0</v>
      </c>
      <c r="T8" s="85">
        <f t="shared" si="6"/>
        <v>0.21000000000000002</v>
      </c>
      <c r="U8" s="85">
        <f t="shared" si="7"/>
        <v>5.0000000000000017E-2</v>
      </c>
      <c r="V8" s="56"/>
      <c r="W8" s="224">
        <v>0.21000000000000002</v>
      </c>
      <c r="X8" s="56"/>
      <c r="Y8" s="85">
        <v>0.21000000000000002</v>
      </c>
      <c r="Z8" s="187">
        <f>_xll.qlSimpleQuoteSetValue(F8,Y8/100,Trigger)</f>
        <v>0</v>
      </c>
      <c r="AA8" s="77"/>
      <c r="AC8" s="225"/>
    </row>
    <row r="9" spans="1:29" x14ac:dyDescent="0.2">
      <c r="A9" s="218"/>
      <c r="B9" s="226" t="str">
        <f t="shared" si="2"/>
        <v/>
      </c>
      <c r="C9" s="227">
        <f t="shared" si="3"/>
        <v>6</v>
      </c>
      <c r="D9" s="228" t="str">
        <f t="shared" si="4"/>
        <v>X1S</v>
      </c>
      <c r="E9" s="229" t="str">
        <f t="shared" si="0"/>
        <v>USD6X1S_Quote</v>
      </c>
      <c r="F9" s="229" t="str">
        <f>_xll.qlSimpleQuote(Currency&amp;$C9&amp;$D9&amp;$B9&amp;QuoteSuffix,,RateTickValue,Permanent,Trigger,ObjectOverwrite)</f>
        <v>USD6X1S_Quote#0000</v>
      </c>
      <c r="G9" s="230" t="str">
        <f>_xll.ohRangeRetrieveError(F9)</f>
        <v/>
      </c>
      <c r="H9" s="170" t="s">
        <v>220</v>
      </c>
      <c r="J9" s="76"/>
      <c r="K9" s="182" t="str">
        <f>IF($O$2="ICAP Singapore","6M","")</f>
        <v/>
      </c>
      <c r="L9" s="182">
        <f>IF($O$2="ICAP Singapore","AM",6)</f>
        <v>6</v>
      </c>
      <c r="M9" s="182" t="str">
        <f t="shared" si="5"/>
        <v>X1S</v>
      </c>
      <c r="N9" s="82" t="str">
        <f t="shared" si="1"/>
        <v>USD6X1S</v>
      </c>
      <c r="O9" s="82" t="str">
        <v>USD6X1S=ICAP</v>
      </c>
      <c r="P9" s="85">
        <v>0.19900000000000001</v>
      </c>
      <c r="Q9" s="85">
        <v>0.24900000000000003</v>
      </c>
      <c r="R9" s="85">
        <v>0</v>
      </c>
      <c r="S9" s="85">
        <v>0</v>
      </c>
      <c r="T9" s="85">
        <f t="shared" si="6"/>
        <v>0.22400000000000003</v>
      </c>
      <c r="U9" s="85">
        <f t="shared" si="7"/>
        <v>5.0000000000000017E-2</v>
      </c>
      <c r="V9" s="56"/>
      <c r="W9" s="224">
        <v>0.22500000000000001</v>
      </c>
      <c r="X9" s="56"/>
      <c r="Y9" s="85">
        <v>0.22400000000000003</v>
      </c>
      <c r="Z9" s="187">
        <f>_xll.qlSimpleQuoteSetValue(F9,Y9/100,Trigger)</f>
        <v>0</v>
      </c>
      <c r="AA9" s="77"/>
      <c r="AC9" s="225"/>
    </row>
    <row r="10" spans="1:29" x14ac:dyDescent="0.2">
      <c r="A10" s="218"/>
      <c r="B10" s="226" t="str">
        <f t="shared" si="2"/>
        <v/>
      </c>
      <c r="C10" s="227">
        <f t="shared" si="3"/>
        <v>7</v>
      </c>
      <c r="D10" s="228" t="str">
        <f t="shared" si="4"/>
        <v>X1S</v>
      </c>
      <c r="E10" s="229" t="str">
        <f t="shared" si="0"/>
        <v>USD7X1S_Quote</v>
      </c>
      <c r="F10" s="229" t="str">
        <f>_xll.qlSimpleQuote(Currency&amp;$C10&amp;$D10&amp;$B10&amp;QuoteSuffix,,RateTickValue,Permanent,Trigger,ObjectOverwrite)</f>
        <v>USD7X1S_Quote#0000</v>
      </c>
      <c r="G10" s="230" t="str">
        <f>_xll.ohRangeRetrieveError(F10)</f>
        <v/>
      </c>
      <c r="H10" s="170" t="s">
        <v>220</v>
      </c>
      <c r="J10" s="76"/>
      <c r="K10" s="182" t="str">
        <f>IF($O$2="ICAP Singapore","7M","")</f>
        <v/>
      </c>
      <c r="L10" s="182">
        <f>IF($O$2="ICAP Singapore","AM",7)</f>
        <v>7</v>
      </c>
      <c r="M10" s="182" t="str">
        <f t="shared" si="5"/>
        <v>X1S</v>
      </c>
      <c r="N10" s="82" t="str">
        <f t="shared" si="1"/>
        <v>USD7X1S</v>
      </c>
      <c r="O10" s="82" t="str">
        <v>USD7X1S=ICAP</v>
      </c>
      <c r="P10" s="85">
        <v>0.21200000000000002</v>
      </c>
      <c r="Q10" s="85">
        <v>0.26200000000000001</v>
      </c>
      <c r="R10" s="85">
        <v>0</v>
      </c>
      <c r="S10" s="85">
        <v>0</v>
      </c>
      <c r="T10" s="85">
        <f t="shared" si="6"/>
        <v>0.23700000000000002</v>
      </c>
      <c r="U10" s="85">
        <f t="shared" si="7"/>
        <v>4.9999999999999989E-2</v>
      </c>
      <c r="V10" s="56"/>
      <c r="W10" s="224">
        <v>0.23799999999999999</v>
      </c>
      <c r="X10" s="56"/>
      <c r="Y10" s="85">
        <v>0.23700000000000002</v>
      </c>
      <c r="Z10" s="187">
        <f>_xll.qlSimpleQuoteSetValue(F10,Y10/100,Trigger)</f>
        <v>0</v>
      </c>
      <c r="AA10" s="77"/>
      <c r="AC10" s="225"/>
    </row>
    <row r="11" spans="1:29" x14ac:dyDescent="0.2">
      <c r="A11" s="218"/>
      <c r="B11" s="226" t="str">
        <f t="shared" si="2"/>
        <v/>
      </c>
      <c r="C11" s="227">
        <f t="shared" si="3"/>
        <v>8</v>
      </c>
      <c r="D11" s="228" t="str">
        <f t="shared" si="4"/>
        <v>X1S</v>
      </c>
      <c r="E11" s="229" t="str">
        <f t="shared" si="0"/>
        <v>USD8X1S_Quote</v>
      </c>
      <c r="F11" s="229" t="str">
        <f>_xll.qlSimpleQuote(Currency&amp;$C11&amp;$D11&amp;$B11&amp;QuoteSuffix,,RateTickValue,Permanent,Trigger,ObjectOverwrite)</f>
        <v>USD8X1S_Quote#0000</v>
      </c>
      <c r="G11" s="230" t="str">
        <f>_xll.ohRangeRetrieveError(F11)</f>
        <v/>
      </c>
      <c r="H11" s="170" t="s">
        <v>220</v>
      </c>
      <c r="J11" s="76"/>
      <c r="K11" s="182" t="str">
        <f>IF($O$2="ICAP Singapore","8M","")</f>
        <v/>
      </c>
      <c r="L11" s="182">
        <f>IF($O$2="ICAP Singapore","AM",8)</f>
        <v>8</v>
      </c>
      <c r="M11" s="182" t="str">
        <f t="shared" si="5"/>
        <v>X1S</v>
      </c>
      <c r="N11" s="82" t="str">
        <f t="shared" si="1"/>
        <v>USD8X1S</v>
      </c>
      <c r="O11" s="82" t="str">
        <v>USD8X1S=ICAP</v>
      </c>
      <c r="P11" s="85">
        <v>0.23500000000000001</v>
      </c>
      <c r="Q11" s="85">
        <v>0.28500000000000003</v>
      </c>
      <c r="R11" s="85">
        <v>0</v>
      </c>
      <c r="S11" s="85">
        <v>0</v>
      </c>
      <c r="T11" s="85">
        <f t="shared" si="6"/>
        <v>0.26</v>
      </c>
      <c r="U11" s="85">
        <f t="shared" si="7"/>
        <v>5.0000000000000017E-2</v>
      </c>
      <c r="V11" s="56"/>
      <c r="W11" s="224">
        <v>0.26100000000000001</v>
      </c>
      <c r="X11" s="56"/>
      <c r="Y11" s="85">
        <v>0.26</v>
      </c>
      <c r="Z11" s="187">
        <f>_xll.qlSimpleQuoteSetValue(F11,Y11/100,Trigger)</f>
        <v>0</v>
      </c>
      <c r="AA11" s="77"/>
      <c r="AC11" s="225"/>
    </row>
    <row r="12" spans="1:29" x14ac:dyDescent="0.2">
      <c r="A12" s="218"/>
      <c r="B12" s="226" t="str">
        <f t="shared" si="2"/>
        <v/>
      </c>
      <c r="C12" s="227">
        <f t="shared" si="3"/>
        <v>9</v>
      </c>
      <c r="D12" s="228" t="str">
        <f t="shared" si="4"/>
        <v>X1S</v>
      </c>
      <c r="E12" s="229" t="str">
        <f t="shared" si="0"/>
        <v>USD9X1S_Quote</v>
      </c>
      <c r="F12" s="229" t="str">
        <f>_xll.qlSimpleQuote(Currency&amp;$C12&amp;$D12&amp;$B12&amp;QuoteSuffix,,RateTickValue,Permanent,Trigger,ObjectOverwrite)</f>
        <v>USD9X1S_Quote#0000</v>
      </c>
      <c r="G12" s="230" t="str">
        <f>_xll.ohRangeRetrieveError(F12)</f>
        <v/>
      </c>
      <c r="H12" s="170" t="s">
        <v>220</v>
      </c>
      <c r="J12" s="76"/>
      <c r="K12" s="182" t="str">
        <f>IF($O$2="ICAP Singapore","9M","")</f>
        <v/>
      </c>
      <c r="L12" s="182">
        <f>IF($O$2="ICAP Singapore","AM",9)</f>
        <v>9</v>
      </c>
      <c r="M12" s="182" t="str">
        <f t="shared" si="5"/>
        <v>X1S</v>
      </c>
      <c r="N12" s="82" t="str">
        <f t="shared" si="1"/>
        <v>USD9X1S</v>
      </c>
      <c r="O12" s="82" t="str">
        <v>USD9X1S=ICAP</v>
      </c>
      <c r="P12" s="85">
        <v>0.25700000000000001</v>
      </c>
      <c r="Q12" s="85">
        <v>0.307</v>
      </c>
      <c r="R12" s="85">
        <v>0</v>
      </c>
      <c r="S12" s="85">
        <v>0</v>
      </c>
      <c r="T12" s="85">
        <f t="shared" si="6"/>
        <v>0.28200000000000003</v>
      </c>
      <c r="U12" s="85">
        <f t="shared" si="7"/>
        <v>4.9999999999999989E-2</v>
      </c>
      <c r="V12" s="56"/>
      <c r="W12" s="224">
        <v>0.28300000000000003</v>
      </c>
      <c r="X12" s="56"/>
      <c r="Y12" s="85">
        <v>0.28200000000000003</v>
      </c>
      <c r="Z12" s="187">
        <f>_xll.qlSimpleQuoteSetValue(F12,Y12/100,Trigger)</f>
        <v>0</v>
      </c>
      <c r="AA12" s="77"/>
      <c r="AC12" s="225"/>
    </row>
    <row r="13" spans="1:29" x14ac:dyDescent="0.2">
      <c r="A13" s="218"/>
      <c r="B13" s="226" t="str">
        <f t="shared" si="2"/>
        <v/>
      </c>
      <c r="C13" s="227">
        <f t="shared" si="3"/>
        <v>10</v>
      </c>
      <c r="D13" s="228" t="str">
        <f t="shared" si="4"/>
        <v>X1S</v>
      </c>
      <c r="E13" s="229" t="str">
        <f t="shared" si="0"/>
        <v>USD10X1S_Quote</v>
      </c>
      <c r="F13" s="229" t="str">
        <f>_xll.qlSimpleQuote(Currency&amp;$C13&amp;$D13&amp;$B13&amp;QuoteSuffix,,RateTickValue,Permanent,Trigger,ObjectOverwrite)</f>
        <v>USD10X1S_Quote#0000</v>
      </c>
      <c r="G13" s="230" t="str">
        <f>_xll.ohRangeRetrieveError(F13)</f>
        <v/>
      </c>
      <c r="H13" s="170" t="s">
        <v>220</v>
      </c>
      <c r="J13" s="76"/>
      <c r="K13" s="182" t="str">
        <f>IF($O$2="ICAP Singapore","10M","")</f>
        <v/>
      </c>
      <c r="L13" s="182">
        <f>IF($O$2="ICAP Singapore","AM",10)</f>
        <v>10</v>
      </c>
      <c r="M13" s="182" t="str">
        <f t="shared" si="5"/>
        <v>X1S</v>
      </c>
      <c r="N13" s="82" t="str">
        <f t="shared" si="1"/>
        <v>USD10X1S</v>
      </c>
      <c r="O13" s="82" t="str">
        <v>USD10X1S=ICAP</v>
      </c>
      <c r="P13" s="85">
        <v>0.27700000000000002</v>
      </c>
      <c r="Q13" s="85">
        <v>0.32700000000000001</v>
      </c>
      <c r="R13" s="85">
        <v>0</v>
      </c>
      <c r="S13" s="85">
        <v>0</v>
      </c>
      <c r="T13" s="85">
        <f t="shared" si="6"/>
        <v>0.30200000000000005</v>
      </c>
      <c r="U13" s="85">
        <f t="shared" si="7"/>
        <v>4.9999999999999989E-2</v>
      </c>
      <c r="V13" s="56"/>
      <c r="W13" s="224">
        <v>0.30200000000000005</v>
      </c>
      <c r="X13" s="56"/>
      <c r="Y13" s="85">
        <v>0.30200000000000005</v>
      </c>
      <c r="Z13" s="187">
        <f>_xll.qlSimpleQuoteSetValue(F13,Y13/100,Trigger)</f>
        <v>0</v>
      </c>
      <c r="AA13" s="77"/>
      <c r="AC13" s="225"/>
    </row>
    <row r="14" spans="1:29" x14ac:dyDescent="0.2">
      <c r="A14" s="218"/>
      <c r="B14" s="226" t="str">
        <f t="shared" si="2"/>
        <v/>
      </c>
      <c r="C14" s="227">
        <f t="shared" si="3"/>
        <v>11</v>
      </c>
      <c r="D14" s="228" t="str">
        <f t="shared" si="4"/>
        <v>X1S</v>
      </c>
      <c r="E14" s="229" t="str">
        <f t="shared" si="0"/>
        <v>USD11X1S_Quote</v>
      </c>
      <c r="F14" s="229" t="str">
        <f>_xll.qlSimpleQuote(Currency&amp;$C14&amp;$D14&amp;$B14&amp;QuoteSuffix,,RateTickValue,Permanent,Trigger,ObjectOverwrite)</f>
        <v>USD11X1S_Quote#0000</v>
      </c>
      <c r="G14" s="230" t="str">
        <f>_xll.ohRangeRetrieveError(F14)</f>
        <v/>
      </c>
      <c r="H14" s="170" t="s">
        <v>220</v>
      </c>
      <c r="J14" s="76"/>
      <c r="K14" s="182" t="str">
        <f>IF($O$2="ICAP Singapore","11M","")</f>
        <v/>
      </c>
      <c r="L14" s="182">
        <f>IF($O$2="ICAP Singapore","AM",11)</f>
        <v>11</v>
      </c>
      <c r="M14" s="182" t="str">
        <f t="shared" si="5"/>
        <v>X1S</v>
      </c>
      <c r="N14" s="82" t="str">
        <f t="shared" si="1"/>
        <v>USD11X1S</v>
      </c>
      <c r="O14" s="82" t="str">
        <v>USD11X1S=ICAP</v>
      </c>
      <c r="P14" s="85">
        <v>0.30199999999999999</v>
      </c>
      <c r="Q14" s="85">
        <v>0.35199999999999998</v>
      </c>
      <c r="R14" s="85">
        <v>0</v>
      </c>
      <c r="S14" s="85">
        <v>0</v>
      </c>
      <c r="T14" s="85">
        <f t="shared" si="6"/>
        <v>0.32699999999999996</v>
      </c>
      <c r="U14" s="85">
        <f t="shared" si="7"/>
        <v>4.9999999999999989E-2</v>
      </c>
      <c r="V14" s="56"/>
      <c r="W14" s="224">
        <v>0.32699999999999996</v>
      </c>
      <c r="X14" s="56"/>
      <c r="Y14" s="85">
        <v>0.32699999999999996</v>
      </c>
      <c r="Z14" s="187">
        <f>_xll.qlSimpleQuoteSetValue(F14,Y14/100,Trigger)</f>
        <v>0</v>
      </c>
      <c r="AA14" s="77"/>
      <c r="AC14" s="225"/>
    </row>
    <row r="15" spans="1:29" x14ac:dyDescent="0.2">
      <c r="A15" s="218"/>
      <c r="B15" s="226" t="str">
        <f t="shared" si="2"/>
        <v/>
      </c>
      <c r="C15" s="227">
        <f t="shared" si="3"/>
        <v>12</v>
      </c>
      <c r="D15" s="228" t="str">
        <f t="shared" si="4"/>
        <v>X1S</v>
      </c>
      <c r="E15" s="229" t="str">
        <f t="shared" si="0"/>
        <v>USD12X1S_Quote</v>
      </c>
      <c r="F15" s="229" t="str">
        <f>_xll.qlSimpleQuote(Currency&amp;$C15&amp;$D15&amp;$B15&amp;QuoteSuffix,,RateTickValue,Permanent,Trigger,ObjectOverwrite)</f>
        <v>USD12X1S_Quote#0000</v>
      </c>
      <c r="G15" s="230" t="str">
        <f>_xll.ohRangeRetrieveError(F15)</f>
        <v/>
      </c>
      <c r="H15" s="170" t="s">
        <v>220</v>
      </c>
      <c r="J15" s="76"/>
      <c r="K15" s="182" t="str">
        <f>IF($O$2="ICAP Singapore","12M","")</f>
        <v/>
      </c>
      <c r="L15" s="182">
        <f>IF($O$2="ICAP Singapore","AM",12)</f>
        <v>12</v>
      </c>
      <c r="M15" s="182" t="str">
        <f t="shared" si="5"/>
        <v>X1S</v>
      </c>
      <c r="N15" s="82" t="str">
        <f t="shared" si="1"/>
        <v>USD12X1S</v>
      </c>
      <c r="O15" s="82" t="str">
        <v>USD12X1S=ICAP</v>
      </c>
      <c r="P15" s="85">
        <v>0.32700000000000001</v>
      </c>
      <c r="Q15" s="85">
        <v>0.377</v>
      </c>
      <c r="R15" s="85">
        <v>0</v>
      </c>
      <c r="S15" s="85">
        <v>0</v>
      </c>
      <c r="T15" s="85">
        <f t="shared" si="6"/>
        <v>0.35199999999999998</v>
      </c>
      <c r="U15" s="85">
        <f t="shared" si="7"/>
        <v>4.9999999999999989E-2</v>
      </c>
      <c r="V15" s="56"/>
      <c r="W15" s="224">
        <v>0.35199999999999998</v>
      </c>
      <c r="X15" s="56"/>
      <c r="Y15" s="85">
        <v>0.35199999999999998</v>
      </c>
      <c r="Z15" s="187">
        <f>_xll.qlSimpleQuoteSetValue(F15,Y15/100,Trigger)</f>
        <v>0</v>
      </c>
      <c r="AA15" s="77"/>
      <c r="AC15" s="225"/>
    </row>
    <row r="16" spans="1:29" x14ac:dyDescent="0.2">
      <c r="A16" s="95"/>
      <c r="B16" s="226" t="str">
        <f t="shared" si="2"/>
        <v/>
      </c>
      <c r="C16" s="227">
        <f t="shared" si="3"/>
        <v>15</v>
      </c>
      <c r="D16" s="228" t="str">
        <f t="shared" si="4"/>
        <v>X1S</v>
      </c>
      <c r="E16" s="229" t="str">
        <f t="shared" si="0"/>
        <v>USD15X1S_Quote</v>
      </c>
      <c r="F16" s="229" t="str">
        <f>_xll.qlSimpleQuote(Currency&amp;$C16&amp;$D16&amp;$B16&amp;QuoteSuffix,,RateTickValue,Permanent,Trigger,ObjectOverwrite)</f>
        <v>USD15X1S_Quote#0000</v>
      </c>
      <c r="G16" s="230" t="str">
        <f>_xll.ohRangeRetrieveError(F16)</f>
        <v/>
      </c>
      <c r="H16" s="170" t="s">
        <v>220</v>
      </c>
      <c r="J16" s="76"/>
      <c r="K16" s="182" t="str">
        <f>IF($O$2="ICAP Singapore","15M","")</f>
        <v/>
      </c>
      <c r="L16" s="182">
        <f>IF($O$2="ICAP Singapore","AM",15)</f>
        <v>15</v>
      </c>
      <c r="M16" s="182" t="str">
        <f t="shared" si="5"/>
        <v>X1S</v>
      </c>
      <c r="N16" s="82" t="str">
        <f t="shared" si="1"/>
        <v>USD15X1S</v>
      </c>
      <c r="O16" s="82" t="str">
        <v>USD15X1S=ICAP</v>
      </c>
      <c r="P16" s="85">
        <v>0.41</v>
      </c>
      <c r="Q16" s="85">
        <v>0.45999999999999996</v>
      </c>
      <c r="R16" s="85">
        <v>0</v>
      </c>
      <c r="S16" s="85">
        <v>0</v>
      </c>
      <c r="T16" s="85">
        <f t="shared" si="6"/>
        <v>0.43499999999999994</v>
      </c>
      <c r="U16" s="85">
        <f t="shared" si="7"/>
        <v>4.9999999999999989E-2</v>
      </c>
      <c r="V16" s="56"/>
      <c r="W16" s="224">
        <v>0.43500000000000005</v>
      </c>
      <c r="X16" s="56"/>
      <c r="Y16" s="85">
        <v>0.43499999999999994</v>
      </c>
      <c r="Z16" s="187">
        <f>_xll.qlSimpleQuoteSetValue(F16,Y16/100,Trigger)</f>
        <v>0</v>
      </c>
      <c r="AA16" s="77"/>
    </row>
    <row r="17" spans="1:27" x14ac:dyDescent="0.2">
      <c r="A17" s="136"/>
      <c r="B17" s="226" t="str">
        <f t="shared" si="2"/>
        <v/>
      </c>
      <c r="C17" s="227">
        <f t="shared" si="3"/>
        <v>18</v>
      </c>
      <c r="D17" s="228" t="str">
        <f t="shared" si="4"/>
        <v>X1S</v>
      </c>
      <c r="E17" s="229" t="str">
        <f t="shared" si="0"/>
        <v>USD18X1S_Quote</v>
      </c>
      <c r="F17" s="229" t="str">
        <f>_xll.qlSimpleQuote(Currency&amp;$C17&amp;$D17&amp;$B17&amp;QuoteSuffix,,RateTickValue,Permanent,Trigger,ObjectOverwrite)</f>
        <v>USD18X1S_Quote#0000</v>
      </c>
      <c r="G17" s="230" t="str">
        <f>_xll.ohRangeRetrieveError(F17)</f>
        <v/>
      </c>
      <c r="H17" s="137" t="s">
        <v>220</v>
      </c>
      <c r="J17" s="76"/>
      <c r="K17" s="182" t="str">
        <f>IF($O$2="ICAP Singapore","18M","")</f>
        <v/>
      </c>
      <c r="L17" s="182">
        <f>IF($O$2="ICAP Singapore","AM",18)</f>
        <v>18</v>
      </c>
      <c r="M17" s="182" t="str">
        <f t="shared" si="5"/>
        <v>X1S</v>
      </c>
      <c r="N17" s="82" t="str">
        <f t="shared" si="1"/>
        <v>USD18X1S</v>
      </c>
      <c r="O17" s="82" t="str">
        <v>USD18X1S=ICAP</v>
      </c>
      <c r="P17" s="85">
        <v>0.499</v>
      </c>
      <c r="Q17" s="85">
        <v>0.54900000000000004</v>
      </c>
      <c r="R17" s="85">
        <v>0</v>
      </c>
      <c r="S17" s="85">
        <v>0</v>
      </c>
      <c r="T17" s="85">
        <f t="shared" si="6"/>
        <v>0.52400000000000002</v>
      </c>
      <c r="U17" s="85">
        <f t="shared" si="7"/>
        <v>5.0000000000000044E-2</v>
      </c>
      <c r="V17" s="56"/>
      <c r="W17" s="224">
        <v>0.52400000000000002</v>
      </c>
      <c r="X17" s="56"/>
      <c r="Y17" s="85">
        <v>0.52400000000000002</v>
      </c>
      <c r="Z17" s="187">
        <f>_xll.qlSimpleQuoteSetValue(F17,Y17/100,Trigger)</f>
        <v>0</v>
      </c>
      <c r="AA17" s="77"/>
    </row>
    <row r="18" spans="1:27" x14ac:dyDescent="0.2">
      <c r="A18" s="136"/>
      <c r="B18" s="231" t="str">
        <f t="shared" si="2"/>
        <v/>
      </c>
      <c r="C18" s="232">
        <f t="shared" si="3"/>
        <v>24</v>
      </c>
      <c r="D18" s="233" t="str">
        <f t="shared" si="4"/>
        <v>X1S</v>
      </c>
      <c r="E18" s="234" t="str">
        <f t="shared" si="0"/>
        <v>USD24X1S_Quote</v>
      </c>
      <c r="F18" s="234" t="str">
        <f>_xll.qlSimpleQuote(Currency&amp;$C18&amp;$D18&amp;$B18&amp;QuoteSuffix,,RateTickValue,Permanent,Trigger,ObjectOverwrite)</f>
        <v>USD24X1S_Quote#0000</v>
      </c>
      <c r="G18" s="235" t="str">
        <f>_xll.ohRangeRetrieveError(F18)</f>
        <v/>
      </c>
      <c r="H18" s="137" t="s">
        <v>220</v>
      </c>
      <c r="J18" s="76"/>
      <c r="K18" s="184" t="str">
        <f>IF($O$2="ICAP Singapore","24M","")</f>
        <v/>
      </c>
      <c r="L18" s="182">
        <f>IF($O$2="ICAP Singapore","AM",24)</f>
        <v>24</v>
      </c>
      <c r="M18" s="182" t="str">
        <f t="shared" si="5"/>
        <v>X1S</v>
      </c>
      <c r="N18" s="82" t="str">
        <f t="shared" si="1"/>
        <v>USD24X1S</v>
      </c>
      <c r="O18" s="83" t="str">
        <v>USD24X1S=ICAP</v>
      </c>
      <c r="P18" s="86">
        <v>0.68600000000000005</v>
      </c>
      <c r="Q18" s="86">
        <v>0.73599999999999999</v>
      </c>
      <c r="R18" s="86">
        <v>0</v>
      </c>
      <c r="S18" s="86">
        <v>0</v>
      </c>
      <c r="T18" s="86">
        <f t="shared" si="6"/>
        <v>0.71100000000000008</v>
      </c>
      <c r="U18" s="86">
        <f t="shared" si="7"/>
        <v>4.9999999999999933E-2</v>
      </c>
      <c r="V18" s="56"/>
      <c r="W18" s="236">
        <v>0.71100000000000008</v>
      </c>
      <c r="X18" s="56"/>
      <c r="Y18" s="86">
        <v>0.71100000000000008</v>
      </c>
      <c r="Z18" s="188">
        <f>_xll.qlSimpleQuoteSetValue(F18,Y18/100,Trigger)</f>
        <v>-9.9999999999987252E-6</v>
      </c>
      <c r="AA18" s="77"/>
    </row>
    <row r="19" spans="1:27" x14ac:dyDescent="0.2">
      <c r="A19" s="140"/>
      <c r="B19" s="140"/>
      <c r="C19" s="140"/>
      <c r="D19" s="140"/>
      <c r="E19" s="140"/>
      <c r="F19" s="152"/>
      <c r="G19" s="140"/>
      <c r="H19" s="141"/>
      <c r="J19" s="171"/>
      <c r="K19" s="172"/>
      <c r="L19" s="237"/>
      <c r="M19" s="237"/>
      <c r="N19" s="237"/>
      <c r="O19" s="237"/>
      <c r="P19" s="237"/>
      <c r="Q19" s="237"/>
      <c r="R19" s="237"/>
      <c r="S19" s="237"/>
      <c r="T19" s="237"/>
      <c r="U19" s="172"/>
      <c r="V19" s="172"/>
      <c r="W19" s="237"/>
      <c r="X19" s="172"/>
      <c r="Y19" s="237"/>
      <c r="Z19" s="237"/>
      <c r="AA19" s="238"/>
    </row>
    <row r="26" spans="1:27" x14ac:dyDescent="0.2">
      <c r="M26" s="239"/>
    </row>
  </sheetData>
  <conditionalFormatting sqref="Z5:Z18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D43"/>
  <sheetViews>
    <sheetView showGridLines="0" topLeftCell="I1" workbookViewId="0">
      <selection activeCell="K4" sqref="K4"/>
    </sheetView>
  </sheetViews>
  <sheetFormatPr defaultRowHeight="11.25" outlineLevelCol="1" x14ac:dyDescent="0.2"/>
  <cols>
    <col min="1" max="1" width="2.7109375" style="198" hidden="1" customWidth="1" outlineLevel="1"/>
    <col min="2" max="2" width="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252" customWidth="1"/>
    <col min="12" max="13" width="3" style="252" bestFit="1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8" width="2.7109375" style="198" customWidth="1"/>
    <col min="29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258</v>
      </c>
      <c r="K1" s="253"/>
      <c r="L1" s="253"/>
      <c r="M1" s="253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1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_xll.ohTrigger(Z5:Z42)</f>
        <v>76</v>
      </c>
      <c r="AA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56"/>
      <c r="M3" s="56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7"/>
      <c r="AA3" s="77"/>
    </row>
    <row r="4" spans="1:30" ht="22.5" x14ac:dyDescent="0.2">
      <c r="A4" s="76"/>
      <c r="B4" s="101"/>
      <c r="C4" s="101"/>
      <c r="D4" s="101"/>
      <c r="E4" s="102" t="s">
        <v>248</v>
      </c>
      <c r="F4" s="102" t="s">
        <v>249</v>
      </c>
      <c r="G4" s="166" t="s">
        <v>266</v>
      </c>
      <c r="H4" s="170"/>
      <c r="J4" s="76"/>
      <c r="K4" s="103"/>
      <c r="L4" s="103"/>
      <c r="M4" s="103"/>
      <c r="N4" s="103" t="s">
        <v>268</v>
      </c>
      <c r="O4" s="106" t="str">
        <f>_xll.RData(O5:O42,P4:S4,"RTFEED:IDN",ReutersRtMode,,P5)</f>
        <v>Paused at 10:47:50</v>
      </c>
      <c r="P4" s="87" t="s">
        <v>148</v>
      </c>
      <c r="Q4" s="87" t="s">
        <v>147</v>
      </c>
      <c r="R4" s="87" t="s">
        <v>157</v>
      </c>
      <c r="S4" s="87" t="s">
        <v>165</v>
      </c>
      <c r="T4" s="88" t="s">
        <v>172</v>
      </c>
      <c r="U4" s="88" t="s">
        <v>267</v>
      </c>
      <c r="V4" s="56"/>
      <c r="W4" s="87" t="s">
        <v>162</v>
      </c>
      <c r="X4" s="56"/>
      <c r="Y4" s="240" t="s">
        <v>161</v>
      </c>
      <c r="Z4" s="107" t="s">
        <v>160</v>
      </c>
      <c r="AA4" s="77"/>
      <c r="AD4" s="202"/>
    </row>
    <row r="5" spans="1:30" x14ac:dyDescent="0.2">
      <c r="A5" s="76"/>
      <c r="B5" s="219" t="str">
        <f>K5</f>
        <v>6M</v>
      </c>
      <c r="C5" s="221" t="str">
        <f>L5</f>
        <v>AM</v>
      </c>
      <c r="D5" s="221" t="str">
        <f>M5</f>
        <v>3L</v>
      </c>
      <c r="E5" s="229" t="str">
        <f t="shared" ref="E5:E42" si="0">Currency&amp;$C5&amp;$D5&amp;$B5&amp;QuoteSuffix</f>
        <v>USDAM3L6M_Quote</v>
      </c>
      <c r="F5" s="229" t="str">
        <f>_xll.qlSimpleQuote(Currency&amp;$C5&amp;$D5&amp;$B5&amp;QuoteSuffix,,RateTickValue,Permanent,Trigger,ObjectOverwrite)</f>
        <v>USDAM3L6M_Quote#0001</v>
      </c>
      <c r="G5" s="230" t="str">
        <f>_xll.ohRangeRetrieveError(F5)</f>
        <v/>
      </c>
      <c r="H5" s="170"/>
      <c r="J5" s="76"/>
      <c r="K5" s="180" t="s">
        <v>14</v>
      </c>
      <c r="L5" s="180" t="s">
        <v>143</v>
      </c>
      <c r="M5" s="180" t="s">
        <v>93</v>
      </c>
      <c r="N5" s="181" t="str">
        <f t="shared" ref="N5:N42" si="1">Currency&amp;$L5&amp;$M5&amp;$K5</f>
        <v>USDAM3L6M</v>
      </c>
      <c r="O5" s="181" t="str">
        <f t="array" ref="O5:O42">Instruments&amp;"="&amp;VLOOKUP(Contributor,ContributorTable,2,FALSE)</f>
        <v>USDAM3L6M=ICAP</v>
      </c>
      <c r="P5" s="84" t="s">
        <v>281</v>
      </c>
      <c r="Q5" s="84" t="s">
        <v>281</v>
      </c>
      <c r="R5" s="84" t="s">
        <v>281</v>
      </c>
      <c r="S5" s="84" t="s">
        <v>281</v>
      </c>
      <c r="T5" s="84" t="e">
        <f>IF(ISERROR(AVERAGE(P5,Q5)),#NUM!,AVERAGE(P5,Q5))</f>
        <v>#NUM!</v>
      </c>
      <c r="U5" s="85" t="e">
        <f>Q5-P5</f>
        <v>#VALUE!</v>
      </c>
      <c r="V5" s="194"/>
      <c r="W5" s="196" t="e">
        <v>#NUM!</v>
      </c>
      <c r="X5" s="194"/>
      <c r="Y5" s="84" t="e">
        <f t="array" ref="Y5:Y42">QuoteLive</f>
        <v>#NUM!</v>
      </c>
      <c r="Z5" s="187">
        <f>_xll.qlSimpleQuoteSetValue(F5,Y5/100,Trigger)</f>
        <v>0</v>
      </c>
      <c r="AA5" s="77"/>
      <c r="AD5" s="225"/>
    </row>
    <row r="6" spans="1:30" x14ac:dyDescent="0.2">
      <c r="A6" s="76"/>
      <c r="B6" s="226" t="str">
        <f t="shared" ref="B6:B42" si="2">K6</f>
        <v>1Y</v>
      </c>
      <c r="C6" s="228" t="str">
        <f t="shared" ref="C6:C42" si="3">L6</f>
        <v>AM</v>
      </c>
      <c r="D6" s="228" t="str">
        <f t="shared" ref="D6:D42" si="4">M6</f>
        <v>3L</v>
      </c>
      <c r="E6" s="229" t="str">
        <f t="shared" si="0"/>
        <v>USDAM3L1Y_Quote</v>
      </c>
      <c r="F6" s="229" t="str">
        <f>_xll.qlSimpleQuote(Currency&amp;$C6&amp;$D6&amp;$B6&amp;QuoteSuffix,,RateTickValue,Permanent,Trigger,ObjectOverwrite)</f>
        <v>USDAM3L1Y_Quote#0002</v>
      </c>
      <c r="G6" s="230" t="str">
        <f>_xll.ohRangeRetrieveError(F6)</f>
        <v/>
      </c>
      <c r="H6" s="170"/>
      <c r="J6" s="76"/>
      <c r="K6" s="182" t="s">
        <v>8</v>
      </c>
      <c r="L6" s="182" t="s">
        <v>143</v>
      </c>
      <c r="M6" s="182" t="s">
        <v>93</v>
      </c>
      <c r="N6" s="183" t="str">
        <f t="shared" si="1"/>
        <v>USDAM3L1Y</v>
      </c>
      <c r="O6" s="183" t="str">
        <v>USDAM3L1Y=ICAP</v>
      </c>
      <c r="P6" s="85">
        <v>0.43499999999999994</v>
      </c>
      <c r="Q6" s="85">
        <v>0.47499999999999998</v>
      </c>
      <c r="R6" s="85">
        <v>0</v>
      </c>
      <c r="S6" s="85">
        <v>0</v>
      </c>
      <c r="T6" s="85">
        <f t="shared" ref="T6:T42" si="5">IF(ISERROR(AVERAGE(P6,Q6)),#NUM!,AVERAGE(P6,Q6))</f>
        <v>0.45499999999999996</v>
      </c>
      <c r="U6" s="85">
        <f t="shared" ref="U6:U42" si="6">Q6-P6</f>
        <v>4.0000000000000036E-2</v>
      </c>
      <c r="V6" s="194"/>
      <c r="W6" s="196">
        <v>0.45600000000000002</v>
      </c>
      <c r="X6" s="194"/>
      <c r="Y6" s="85">
        <v>0.45499999999999996</v>
      </c>
      <c r="Z6" s="187" t="e">
        <f>_xll.qlSimpleQuoteSetValue(F6,Y6/100,Trigger)</f>
        <v>#N/A</v>
      </c>
      <c r="AA6" s="77"/>
      <c r="AD6" s="225"/>
    </row>
    <row r="7" spans="1:30" x14ac:dyDescent="0.2">
      <c r="A7" s="76"/>
      <c r="B7" s="226" t="str">
        <f t="shared" si="2"/>
        <v>15M</v>
      </c>
      <c r="C7" s="227" t="str">
        <f t="shared" si="3"/>
        <v>AM</v>
      </c>
      <c r="D7" s="227" t="str">
        <f t="shared" si="4"/>
        <v>3L</v>
      </c>
      <c r="E7" s="229" t="str">
        <f t="shared" si="0"/>
        <v>USDAM3L15M_Quote</v>
      </c>
      <c r="F7" s="229" t="str">
        <f>_xll.qlSimpleQuote(Currency&amp;$C7&amp;$D7&amp;$B7&amp;QuoteSuffix,,RateTickValue,Permanent,Trigger,ObjectOverwrite)</f>
        <v>USDAM3L15M_Quote#0001</v>
      </c>
      <c r="G7" s="230" t="str">
        <f>_xll.ohRangeRetrieveError(F7)</f>
        <v/>
      </c>
      <c r="H7" s="170"/>
      <c r="J7" s="76"/>
      <c r="K7" s="182" t="s">
        <v>97</v>
      </c>
      <c r="L7" s="182" t="s">
        <v>143</v>
      </c>
      <c r="M7" s="182" t="s">
        <v>93</v>
      </c>
      <c r="N7" s="183" t="str">
        <f t="shared" si="1"/>
        <v>USDAM3L15M</v>
      </c>
      <c r="O7" s="183" t="str">
        <v>USDAM3L15M=ICAP</v>
      </c>
      <c r="P7" s="85" t="s">
        <v>281</v>
      </c>
      <c r="Q7" s="85" t="s">
        <v>281</v>
      </c>
      <c r="R7" s="85" t="s">
        <v>281</v>
      </c>
      <c r="S7" s="85" t="s">
        <v>281</v>
      </c>
      <c r="T7" s="85" t="e">
        <f t="shared" si="5"/>
        <v>#NUM!</v>
      </c>
      <c r="U7" s="85" t="e">
        <f t="shared" si="6"/>
        <v>#VALUE!</v>
      </c>
      <c r="V7" s="194"/>
      <c r="W7" s="196" t="e">
        <v>#NUM!</v>
      </c>
      <c r="X7" s="194"/>
      <c r="Y7" s="85" t="e">
        <v>#NUM!</v>
      </c>
      <c r="Z7" s="187">
        <f>_xll.qlSimpleQuoteSetValue(F7,Y7/100,Trigger)</f>
        <v>0</v>
      </c>
      <c r="AA7" s="77"/>
      <c r="AD7" s="225"/>
    </row>
    <row r="8" spans="1:30" x14ac:dyDescent="0.2">
      <c r="A8" s="76"/>
      <c r="B8" s="226" t="str">
        <f t="shared" si="2"/>
        <v>18M</v>
      </c>
      <c r="C8" s="227" t="str">
        <f t="shared" si="3"/>
        <v>AM</v>
      </c>
      <c r="D8" s="227" t="str">
        <f t="shared" si="4"/>
        <v>3L</v>
      </c>
      <c r="E8" s="229" t="str">
        <f t="shared" si="0"/>
        <v>USDAM3L18M_Quote</v>
      </c>
      <c r="F8" s="229" t="str">
        <f>_xll.qlSimpleQuote(Currency&amp;$C8&amp;$D8&amp;$B8&amp;QuoteSuffix,,RateTickValue,Permanent,Trigger,ObjectOverwrite)</f>
        <v>USDAM3L18M_Quote#0001</v>
      </c>
      <c r="G8" s="230" t="str">
        <f>_xll.ohRangeRetrieveError(F8)</f>
        <v/>
      </c>
      <c r="H8" s="170"/>
      <c r="J8" s="76"/>
      <c r="K8" s="182" t="s">
        <v>96</v>
      </c>
      <c r="L8" s="182" t="s">
        <v>143</v>
      </c>
      <c r="M8" s="182" t="s">
        <v>93</v>
      </c>
      <c r="N8" s="183" t="str">
        <f t="shared" si="1"/>
        <v>USDAM3L18M</v>
      </c>
      <c r="O8" s="183" t="str">
        <v>USDAM3L18M=ICAP</v>
      </c>
      <c r="P8" s="85" t="s">
        <v>281</v>
      </c>
      <c r="Q8" s="85" t="s">
        <v>281</v>
      </c>
      <c r="R8" s="85" t="s">
        <v>281</v>
      </c>
      <c r="S8" s="85" t="s">
        <v>281</v>
      </c>
      <c r="T8" s="85" t="e">
        <f t="shared" si="5"/>
        <v>#NUM!</v>
      </c>
      <c r="U8" s="85" t="e">
        <f t="shared" si="6"/>
        <v>#VALUE!</v>
      </c>
      <c r="V8" s="194"/>
      <c r="W8" s="196" t="e">
        <v>#NUM!</v>
      </c>
      <c r="X8" s="194"/>
      <c r="Y8" s="85" t="e">
        <v>#NUM!</v>
      </c>
      <c r="Z8" s="187">
        <f>_xll.qlSimpleQuoteSetValue(F8,Y8/100,Trigger)</f>
        <v>0</v>
      </c>
      <c r="AA8" s="77"/>
      <c r="AD8" s="225"/>
    </row>
    <row r="9" spans="1:30" x14ac:dyDescent="0.2">
      <c r="A9" s="76"/>
      <c r="B9" s="226" t="str">
        <f t="shared" si="2"/>
        <v>21M</v>
      </c>
      <c r="C9" s="227" t="str">
        <f t="shared" si="3"/>
        <v>AM</v>
      </c>
      <c r="D9" s="227" t="str">
        <f t="shared" si="4"/>
        <v>3L</v>
      </c>
      <c r="E9" s="229" t="str">
        <f t="shared" si="0"/>
        <v>USDAM3L21M_Quote</v>
      </c>
      <c r="F9" s="229" t="str">
        <f>_xll.qlSimpleQuote(Currency&amp;$C9&amp;$D9&amp;$B9&amp;QuoteSuffix,,RateTickValue,Permanent,Trigger,ObjectOverwrite)</f>
        <v>USDAM3L21M_Quote#0001</v>
      </c>
      <c r="G9" s="230" t="str">
        <f>_xll.ohRangeRetrieveError(F9)</f>
        <v/>
      </c>
      <c r="H9" s="170"/>
      <c r="J9" s="76"/>
      <c r="K9" s="182" t="s">
        <v>95</v>
      </c>
      <c r="L9" s="182" t="s">
        <v>143</v>
      </c>
      <c r="M9" s="182" t="s">
        <v>93</v>
      </c>
      <c r="N9" s="183" t="str">
        <f t="shared" si="1"/>
        <v>USDAM3L21M</v>
      </c>
      <c r="O9" s="183" t="str">
        <v>USDAM3L21M=ICAP</v>
      </c>
      <c r="P9" s="85" t="s">
        <v>281</v>
      </c>
      <c r="Q9" s="85" t="s">
        <v>281</v>
      </c>
      <c r="R9" s="85" t="s">
        <v>281</v>
      </c>
      <c r="S9" s="85" t="s">
        <v>281</v>
      </c>
      <c r="T9" s="85" t="e">
        <f t="shared" si="5"/>
        <v>#NUM!</v>
      </c>
      <c r="U9" s="85" t="e">
        <f t="shared" si="6"/>
        <v>#VALUE!</v>
      </c>
      <c r="V9" s="194"/>
      <c r="W9" s="196" t="e">
        <v>#NUM!</v>
      </c>
      <c r="X9" s="194"/>
      <c r="Y9" s="85" t="e">
        <v>#NUM!</v>
      </c>
      <c r="Z9" s="187">
        <f>_xll.qlSimpleQuoteSetValue(F9,Y9/100,Trigger)</f>
        <v>0</v>
      </c>
      <c r="AA9" s="77"/>
      <c r="AD9" s="225"/>
    </row>
    <row r="10" spans="1:30" x14ac:dyDescent="0.2">
      <c r="A10" s="76"/>
      <c r="B10" s="226" t="str">
        <f t="shared" si="2"/>
        <v>2Y</v>
      </c>
      <c r="C10" s="227" t="str">
        <f t="shared" si="3"/>
        <v>AM</v>
      </c>
      <c r="D10" s="227" t="str">
        <f t="shared" si="4"/>
        <v>3L</v>
      </c>
      <c r="E10" s="229" t="str">
        <f t="shared" si="0"/>
        <v>USDAM3L2Y_Quote</v>
      </c>
      <c r="F10" s="229" t="str">
        <f>_xll.qlSimpleQuote(Currency&amp;$C10&amp;$D10&amp;$B10&amp;QuoteSuffix,,RateTickValue,Permanent,Trigger,ObjectOverwrite)</f>
        <v>USDAM3L2Y_Quote#0002</v>
      </c>
      <c r="G10" s="230" t="str">
        <f>_xll.ohRangeRetrieveError(F10)</f>
        <v/>
      </c>
      <c r="H10" s="170"/>
      <c r="J10" s="76"/>
      <c r="K10" s="182" t="s">
        <v>84</v>
      </c>
      <c r="L10" s="182" t="s">
        <v>143</v>
      </c>
      <c r="M10" s="182" t="s">
        <v>93</v>
      </c>
      <c r="N10" s="183" t="str">
        <f t="shared" si="1"/>
        <v>USDAM3L2Y</v>
      </c>
      <c r="O10" s="183" t="str">
        <v>USDAM3L2Y=ICAP</v>
      </c>
      <c r="P10" s="85">
        <v>0.80800000000000005</v>
      </c>
      <c r="Q10" s="85">
        <v>0.84800000000000009</v>
      </c>
      <c r="R10" s="85">
        <v>0</v>
      </c>
      <c r="S10" s="85">
        <v>0</v>
      </c>
      <c r="T10" s="85">
        <f t="shared" si="5"/>
        <v>0.82800000000000007</v>
      </c>
      <c r="U10" s="85">
        <f t="shared" si="6"/>
        <v>4.0000000000000036E-2</v>
      </c>
      <c r="V10" s="194"/>
      <c r="W10" s="196">
        <v>0.82800000000000007</v>
      </c>
      <c r="X10" s="194"/>
      <c r="Y10" s="85">
        <v>0.82800000000000007</v>
      </c>
      <c r="Z10" s="187" t="e">
        <f>_xll.qlSimpleQuoteSetValue(F10,Y10/100,Trigger)</f>
        <v>#N/A</v>
      </c>
      <c r="AA10" s="77"/>
      <c r="AD10" s="225"/>
    </row>
    <row r="11" spans="1:30" x14ac:dyDescent="0.2">
      <c r="A11" s="76"/>
      <c r="B11" s="226" t="str">
        <f t="shared" si="2"/>
        <v>3Y</v>
      </c>
      <c r="C11" s="227" t="str">
        <f t="shared" si="3"/>
        <v>AM</v>
      </c>
      <c r="D11" s="227" t="str">
        <f t="shared" si="4"/>
        <v>3L</v>
      </c>
      <c r="E11" s="229" t="str">
        <f t="shared" si="0"/>
        <v>USDAM3L3Y_Quote</v>
      </c>
      <c r="F11" s="229" t="str">
        <f>_xll.qlSimpleQuote(Currency&amp;$C11&amp;$D11&amp;$B11&amp;QuoteSuffix,,RateTickValue,Permanent,Trigger,ObjectOverwrite)</f>
        <v>USDAM3L3Y_Quote#0002</v>
      </c>
      <c r="G11" s="230" t="str">
        <f>_xll.ohRangeRetrieveError(F11)</f>
        <v/>
      </c>
      <c r="H11" s="170"/>
      <c r="J11" s="76"/>
      <c r="K11" s="182" t="s">
        <v>83</v>
      </c>
      <c r="L11" s="257" t="s">
        <v>143</v>
      </c>
      <c r="M11" s="257" t="s">
        <v>93</v>
      </c>
      <c r="N11" s="183" t="str">
        <f t="shared" si="1"/>
        <v>USDAM3L3Y</v>
      </c>
      <c r="O11" s="183" t="str">
        <v>USDAM3L3Y=ICAP</v>
      </c>
      <c r="P11" s="85">
        <v>1.157</v>
      </c>
      <c r="Q11" s="85">
        <v>1.1970000000000001</v>
      </c>
      <c r="R11" s="85">
        <v>0</v>
      </c>
      <c r="S11" s="85">
        <v>0</v>
      </c>
      <c r="T11" s="85">
        <f t="shared" si="5"/>
        <v>1.177</v>
      </c>
      <c r="U11" s="85">
        <f t="shared" si="6"/>
        <v>4.0000000000000036E-2</v>
      </c>
      <c r="V11" s="194"/>
      <c r="W11" s="196">
        <v>1.1779999999999999</v>
      </c>
      <c r="X11" s="194"/>
      <c r="Y11" s="85">
        <v>1.177</v>
      </c>
      <c r="Z11" s="187" t="e">
        <f>_xll.qlSimpleQuoteSetValue(F11,Y11/100,Trigger)</f>
        <v>#N/A</v>
      </c>
      <c r="AA11" s="77"/>
      <c r="AD11" s="225"/>
    </row>
    <row r="12" spans="1:30" x14ac:dyDescent="0.2">
      <c r="A12" s="76"/>
      <c r="B12" s="226" t="str">
        <f t="shared" si="2"/>
        <v>4Y</v>
      </c>
      <c r="C12" s="227" t="str">
        <f t="shared" si="3"/>
        <v>AM</v>
      </c>
      <c r="D12" s="227" t="str">
        <f t="shared" si="4"/>
        <v>3L</v>
      </c>
      <c r="E12" s="229" t="str">
        <f t="shared" si="0"/>
        <v>USDAM3L4Y_Quote</v>
      </c>
      <c r="F12" s="229" t="str">
        <f>_xll.qlSimpleQuote(Currency&amp;$C12&amp;$D12&amp;$B12&amp;QuoteSuffix,,RateTickValue,Permanent,Trigger,ObjectOverwrite)</f>
        <v>USDAM3L4Y_Quote#0002</v>
      </c>
      <c r="G12" s="230" t="str">
        <f>_xll.ohRangeRetrieveError(F12)</f>
        <v/>
      </c>
      <c r="H12" s="170"/>
      <c r="J12" s="76"/>
      <c r="K12" s="182" t="s">
        <v>82</v>
      </c>
      <c r="L12" s="257" t="s">
        <v>143</v>
      </c>
      <c r="M12" s="257" t="s">
        <v>93</v>
      </c>
      <c r="N12" s="183" t="str">
        <f t="shared" si="1"/>
        <v>USDAM3L4Y</v>
      </c>
      <c r="O12" s="183" t="str">
        <v>USDAM3L4Y=ICAP</v>
      </c>
      <c r="P12" s="85">
        <v>1.4359999999999999</v>
      </c>
      <c r="Q12" s="85">
        <v>1.476</v>
      </c>
      <c r="R12" s="85">
        <v>0</v>
      </c>
      <c r="S12" s="85">
        <v>0</v>
      </c>
      <c r="T12" s="85">
        <f t="shared" si="5"/>
        <v>1.456</v>
      </c>
      <c r="U12" s="85">
        <f t="shared" si="6"/>
        <v>4.0000000000000036E-2</v>
      </c>
      <c r="V12" s="194"/>
      <c r="W12" s="196">
        <v>1.458</v>
      </c>
      <c r="X12" s="194"/>
      <c r="Y12" s="85">
        <v>1.456</v>
      </c>
      <c r="Z12" s="187" t="e">
        <f>_xll.qlSimpleQuoteSetValue(F12,Y12/100,Trigger)</f>
        <v>#N/A</v>
      </c>
      <c r="AA12" s="77"/>
      <c r="AD12" s="225"/>
    </row>
    <row r="13" spans="1:30" x14ac:dyDescent="0.2">
      <c r="A13" s="76"/>
      <c r="B13" s="226" t="str">
        <f t="shared" si="2"/>
        <v>5Y</v>
      </c>
      <c r="C13" s="227" t="str">
        <f t="shared" si="3"/>
        <v>AM</v>
      </c>
      <c r="D13" s="227" t="str">
        <f t="shared" si="4"/>
        <v>3L</v>
      </c>
      <c r="E13" s="229" t="str">
        <f t="shared" si="0"/>
        <v>USDAM3L5Y_Quote</v>
      </c>
      <c r="F13" s="229" t="str">
        <f>_xll.qlSimpleQuote(Currency&amp;$C13&amp;$D13&amp;$B13&amp;QuoteSuffix,,RateTickValue,Permanent,Trigger,ObjectOverwrite)</f>
        <v>USDAM3L5Y_Quote#0002</v>
      </c>
      <c r="G13" s="230" t="str">
        <f>_xll.ohRangeRetrieveError(F13)</f>
        <v/>
      </c>
      <c r="H13" s="170"/>
      <c r="J13" s="76"/>
      <c r="K13" s="182" t="s">
        <v>81</v>
      </c>
      <c r="L13" s="257" t="s">
        <v>143</v>
      </c>
      <c r="M13" s="257" t="s">
        <v>93</v>
      </c>
      <c r="N13" s="183" t="str">
        <f t="shared" si="1"/>
        <v>USDAM3L5Y</v>
      </c>
      <c r="O13" s="183" t="str">
        <v>USDAM3L5Y=ICAP</v>
      </c>
      <c r="P13" s="85">
        <v>1.6559999999999999</v>
      </c>
      <c r="Q13" s="85">
        <v>1.696</v>
      </c>
      <c r="R13" s="85">
        <v>0</v>
      </c>
      <c r="S13" s="85">
        <v>0</v>
      </c>
      <c r="T13" s="85">
        <f t="shared" si="5"/>
        <v>1.6759999999999999</v>
      </c>
      <c r="U13" s="85">
        <f t="shared" si="6"/>
        <v>4.0000000000000036E-2</v>
      </c>
      <c r="V13" s="194"/>
      <c r="W13" s="196">
        <v>1.679</v>
      </c>
      <c r="X13" s="194"/>
      <c r="Y13" s="85">
        <v>1.6759999999999999</v>
      </c>
      <c r="Z13" s="187" t="e">
        <f>_xll.qlSimpleQuoteSetValue(F13,Y13/100,Trigger)</f>
        <v>#N/A</v>
      </c>
      <c r="AA13" s="77"/>
      <c r="AD13" s="225"/>
    </row>
    <row r="14" spans="1:30" x14ac:dyDescent="0.2">
      <c r="A14" s="76"/>
      <c r="B14" s="226" t="str">
        <f t="shared" si="2"/>
        <v>6Y</v>
      </c>
      <c r="C14" s="227" t="str">
        <f t="shared" si="3"/>
        <v>AM</v>
      </c>
      <c r="D14" s="227" t="str">
        <f t="shared" si="4"/>
        <v>3L</v>
      </c>
      <c r="E14" s="229" t="str">
        <f t="shared" si="0"/>
        <v>USDAM3L6Y_Quote</v>
      </c>
      <c r="F14" s="229" t="str">
        <f>_xll.qlSimpleQuote(Currency&amp;$C14&amp;$D14&amp;$B14&amp;QuoteSuffix,,RateTickValue,Permanent,Trigger,ObjectOverwrite)</f>
        <v>USDAM3L6Y_Quote#0002</v>
      </c>
      <c r="G14" s="230" t="str">
        <f>_xll.ohRangeRetrieveError(F14)</f>
        <v/>
      </c>
      <c r="H14" s="170"/>
      <c r="J14" s="76"/>
      <c r="K14" s="182" t="s">
        <v>80</v>
      </c>
      <c r="L14" s="257" t="s">
        <v>143</v>
      </c>
      <c r="M14" s="257" t="s">
        <v>93</v>
      </c>
      <c r="N14" s="183" t="str">
        <f t="shared" si="1"/>
        <v>USDAM3L6Y</v>
      </c>
      <c r="O14" s="183" t="str">
        <v>USDAM3L6Y=ICAP</v>
      </c>
      <c r="P14" s="85">
        <v>1.84</v>
      </c>
      <c r="Q14" s="85">
        <v>1.8800000000000001</v>
      </c>
      <c r="R14" s="85">
        <v>0</v>
      </c>
      <c r="S14" s="85">
        <v>0</v>
      </c>
      <c r="T14" s="85">
        <f t="shared" si="5"/>
        <v>1.86</v>
      </c>
      <c r="U14" s="85">
        <f t="shared" si="6"/>
        <v>4.0000000000000036E-2</v>
      </c>
      <c r="V14" s="194"/>
      <c r="W14" s="196">
        <v>1.863</v>
      </c>
      <c r="X14" s="194"/>
      <c r="Y14" s="85">
        <v>1.86</v>
      </c>
      <c r="Z14" s="187" t="e">
        <f>_xll.qlSimpleQuoteSetValue(F14,Y14/100,Trigger)</f>
        <v>#N/A</v>
      </c>
      <c r="AA14" s="77"/>
      <c r="AD14" s="225"/>
    </row>
    <row r="15" spans="1:30" x14ac:dyDescent="0.2">
      <c r="A15" s="76"/>
      <c r="B15" s="226" t="str">
        <f t="shared" si="2"/>
        <v>7Y</v>
      </c>
      <c r="C15" s="227" t="str">
        <f t="shared" si="3"/>
        <v>AM</v>
      </c>
      <c r="D15" s="227" t="str">
        <f t="shared" si="4"/>
        <v>3L</v>
      </c>
      <c r="E15" s="229" t="str">
        <f t="shared" si="0"/>
        <v>USDAM3L7Y_Quote</v>
      </c>
      <c r="F15" s="229" t="str">
        <f>_xll.qlSimpleQuote(Currency&amp;$C15&amp;$D15&amp;$B15&amp;QuoteSuffix,,RateTickValue,Permanent,Trigger,ObjectOverwrite)</f>
        <v>USDAM3L7Y_Quote#0002</v>
      </c>
      <c r="G15" s="230" t="str">
        <f>_xll.ohRangeRetrieveError(F15)</f>
        <v/>
      </c>
      <c r="H15" s="170"/>
      <c r="J15" s="76"/>
      <c r="K15" s="182" t="s">
        <v>79</v>
      </c>
      <c r="L15" s="257" t="s">
        <v>143</v>
      </c>
      <c r="M15" s="257" t="s">
        <v>93</v>
      </c>
      <c r="N15" s="183" t="str">
        <f t="shared" si="1"/>
        <v>USDAM3L7Y</v>
      </c>
      <c r="O15" s="183" t="str">
        <v>USDAM3L7Y=ICAP</v>
      </c>
      <c r="P15" s="85">
        <v>1.9890000000000001</v>
      </c>
      <c r="Q15" s="85">
        <v>2.0289999999999999</v>
      </c>
      <c r="R15" s="85">
        <v>0</v>
      </c>
      <c r="S15" s="85">
        <v>0</v>
      </c>
      <c r="T15" s="85">
        <f t="shared" si="5"/>
        <v>2.0089999999999999</v>
      </c>
      <c r="U15" s="85">
        <f t="shared" si="6"/>
        <v>3.9999999999999813E-2</v>
      </c>
      <c r="V15" s="194"/>
      <c r="W15" s="196">
        <v>2.012</v>
      </c>
      <c r="X15" s="194"/>
      <c r="Y15" s="85">
        <v>2.0089999999999999</v>
      </c>
      <c r="Z15" s="187" t="e">
        <f>_xll.qlSimpleQuoteSetValue(F15,Y15/100,Trigger)</f>
        <v>#N/A</v>
      </c>
      <c r="AA15" s="77"/>
      <c r="AD15" s="225"/>
    </row>
    <row r="16" spans="1:30" x14ac:dyDescent="0.2">
      <c r="A16" s="76"/>
      <c r="B16" s="226" t="str">
        <f t="shared" si="2"/>
        <v>8Y</v>
      </c>
      <c r="C16" s="227" t="str">
        <f t="shared" si="3"/>
        <v>AM</v>
      </c>
      <c r="D16" s="227" t="str">
        <f t="shared" si="4"/>
        <v>3L</v>
      </c>
      <c r="E16" s="229" t="str">
        <f t="shared" si="0"/>
        <v>USDAM3L8Y_Quote</v>
      </c>
      <c r="F16" s="229" t="str">
        <f>_xll.qlSimpleQuote(Currency&amp;$C16&amp;$D16&amp;$B16&amp;QuoteSuffix,,RateTickValue,Permanent,Trigger,ObjectOverwrite)</f>
        <v>USDAM3L8Y_Quote#0002</v>
      </c>
      <c r="G16" s="230" t="str">
        <f>_xll.ohRangeRetrieveError(F16)</f>
        <v/>
      </c>
      <c r="H16" s="170"/>
      <c r="J16" s="76"/>
      <c r="K16" s="182" t="s">
        <v>78</v>
      </c>
      <c r="L16" s="257" t="s">
        <v>143</v>
      </c>
      <c r="M16" s="257" t="s">
        <v>93</v>
      </c>
      <c r="N16" s="183" t="str">
        <f t="shared" si="1"/>
        <v>USDAM3L8Y</v>
      </c>
      <c r="O16" s="183" t="str">
        <v>USDAM3L8Y=ICAP</v>
      </c>
      <c r="P16" s="85">
        <v>2.1080000000000001</v>
      </c>
      <c r="Q16" s="85">
        <v>2.1480000000000001</v>
      </c>
      <c r="R16" s="85">
        <v>0</v>
      </c>
      <c r="S16" s="85">
        <v>0</v>
      </c>
      <c r="T16" s="85">
        <f t="shared" si="5"/>
        <v>2.1280000000000001</v>
      </c>
      <c r="U16" s="85">
        <f t="shared" si="6"/>
        <v>4.0000000000000036E-2</v>
      </c>
      <c r="V16" s="194"/>
      <c r="W16" s="196">
        <v>2.1310000000000002</v>
      </c>
      <c r="X16" s="194"/>
      <c r="Y16" s="85">
        <v>2.1280000000000001</v>
      </c>
      <c r="Z16" s="187" t="e">
        <f>_xll.qlSimpleQuoteSetValue(F16,Y16/100,Trigger)</f>
        <v>#N/A</v>
      </c>
      <c r="AA16" s="77"/>
      <c r="AD16" s="225"/>
    </row>
    <row r="17" spans="1:30" x14ac:dyDescent="0.2">
      <c r="A17" s="76"/>
      <c r="B17" s="226" t="str">
        <f t="shared" si="2"/>
        <v>9Y</v>
      </c>
      <c r="C17" s="227" t="str">
        <f t="shared" si="3"/>
        <v>AM</v>
      </c>
      <c r="D17" s="227" t="str">
        <f t="shared" si="4"/>
        <v>3L</v>
      </c>
      <c r="E17" s="229" t="str">
        <f t="shared" si="0"/>
        <v>USDAM3L9Y_Quote</v>
      </c>
      <c r="F17" s="229" t="str">
        <f>_xll.qlSimpleQuote(Currency&amp;$C17&amp;$D17&amp;$B17&amp;QuoteSuffix,,RateTickValue,Permanent,Trigger,ObjectOverwrite)</f>
        <v>USDAM3L9Y_Quote#0002</v>
      </c>
      <c r="G17" s="230" t="str">
        <f>_xll.ohRangeRetrieveError(F17)</f>
        <v/>
      </c>
      <c r="H17" s="170"/>
      <c r="J17" s="76"/>
      <c r="K17" s="182" t="s">
        <v>77</v>
      </c>
      <c r="L17" s="257" t="s">
        <v>143</v>
      </c>
      <c r="M17" s="257" t="s">
        <v>93</v>
      </c>
      <c r="N17" s="183" t="str">
        <f t="shared" si="1"/>
        <v>USDAM3L9Y</v>
      </c>
      <c r="O17" s="183" t="str">
        <v>USDAM3L9Y=ICAP</v>
      </c>
      <c r="P17" s="85">
        <v>2.206</v>
      </c>
      <c r="Q17" s="85">
        <v>2.246</v>
      </c>
      <c r="R17" s="85">
        <v>0</v>
      </c>
      <c r="S17" s="85">
        <v>0</v>
      </c>
      <c r="T17" s="85">
        <f t="shared" si="5"/>
        <v>2.226</v>
      </c>
      <c r="U17" s="85">
        <f t="shared" si="6"/>
        <v>4.0000000000000036E-2</v>
      </c>
      <c r="V17" s="194"/>
      <c r="W17" s="196">
        <v>2.2290000000000001</v>
      </c>
      <c r="X17" s="194"/>
      <c r="Y17" s="85">
        <v>2.226</v>
      </c>
      <c r="Z17" s="187" t="e">
        <f>_xll.qlSimpleQuoteSetValue(F17,Y17/100,Trigger)</f>
        <v>#N/A</v>
      </c>
      <c r="AA17" s="77"/>
      <c r="AD17" s="225"/>
    </row>
    <row r="18" spans="1:30" x14ac:dyDescent="0.2">
      <c r="A18" s="76"/>
      <c r="B18" s="226" t="str">
        <f t="shared" si="2"/>
        <v>10Y</v>
      </c>
      <c r="C18" s="227" t="str">
        <f t="shared" si="3"/>
        <v>AM</v>
      </c>
      <c r="D18" s="227" t="str">
        <f t="shared" si="4"/>
        <v>3L</v>
      </c>
      <c r="E18" s="229" t="str">
        <f t="shared" si="0"/>
        <v>USDAM3L10Y_Quote</v>
      </c>
      <c r="F18" s="229" t="str">
        <f>_xll.qlSimpleQuote(Currency&amp;$C18&amp;$D18&amp;$B18&amp;QuoteSuffix,,RateTickValue,Permanent,Trigger,ObjectOverwrite)</f>
        <v>USDAM3L10Y_Quote#0002</v>
      </c>
      <c r="G18" s="230" t="str">
        <f>_xll.ohRangeRetrieveError(F18)</f>
        <v/>
      </c>
      <c r="H18" s="170"/>
      <c r="J18" s="76"/>
      <c r="K18" s="182" t="s">
        <v>76</v>
      </c>
      <c r="L18" s="257" t="s">
        <v>143</v>
      </c>
      <c r="M18" s="257" t="s">
        <v>93</v>
      </c>
      <c r="N18" s="183" t="str">
        <f t="shared" si="1"/>
        <v>USDAM3L10Y</v>
      </c>
      <c r="O18" s="183" t="str">
        <v>USDAM3L10Y=ICAP</v>
      </c>
      <c r="P18" s="85">
        <v>2.286</v>
      </c>
      <c r="Q18" s="85">
        <v>2.3260000000000001</v>
      </c>
      <c r="R18" s="85">
        <v>0</v>
      </c>
      <c r="S18" s="85">
        <v>0</v>
      </c>
      <c r="T18" s="85">
        <f t="shared" si="5"/>
        <v>2.306</v>
      </c>
      <c r="U18" s="85">
        <f t="shared" si="6"/>
        <v>4.0000000000000036E-2</v>
      </c>
      <c r="V18" s="194"/>
      <c r="W18" s="196">
        <v>2.31</v>
      </c>
      <c r="X18" s="194"/>
      <c r="Y18" s="85">
        <v>2.306</v>
      </c>
      <c r="Z18" s="187" t="e">
        <f>_xll.qlSimpleQuoteSetValue(F18,Y18/100,Trigger)</f>
        <v>#N/A</v>
      </c>
      <c r="AA18" s="77"/>
      <c r="AD18" s="225"/>
    </row>
    <row r="19" spans="1:30" x14ac:dyDescent="0.2">
      <c r="A19" s="76"/>
      <c r="B19" s="226" t="str">
        <f t="shared" si="2"/>
        <v>11Y</v>
      </c>
      <c r="C19" s="227" t="str">
        <f t="shared" si="3"/>
        <v>AM</v>
      </c>
      <c r="D19" s="227" t="str">
        <f t="shared" si="4"/>
        <v>3L</v>
      </c>
      <c r="E19" s="229" t="str">
        <f t="shared" si="0"/>
        <v>USDAM3L11Y_Quote</v>
      </c>
      <c r="F19" s="229" t="str">
        <f>_xll.qlSimpleQuote(Currency&amp;$C19&amp;$D19&amp;$B19&amp;QuoteSuffix,,RateTickValue,Permanent,Trigger,ObjectOverwrite)</f>
        <v>USDAM3L11Y_Quote#0001</v>
      </c>
      <c r="G19" s="230" t="str">
        <f>_xll.ohRangeRetrieveError(F19)</f>
        <v/>
      </c>
      <c r="H19" s="170"/>
      <c r="J19" s="76"/>
      <c r="K19" s="182" t="s">
        <v>75</v>
      </c>
      <c r="L19" s="257" t="s">
        <v>143</v>
      </c>
      <c r="M19" s="257" t="s">
        <v>93</v>
      </c>
      <c r="N19" s="183" t="str">
        <f t="shared" si="1"/>
        <v>USDAM3L11Y</v>
      </c>
      <c r="O19" s="183" t="str">
        <v>USDAM3L11Y=ICAP</v>
      </c>
      <c r="P19" s="85" t="s">
        <v>281</v>
      </c>
      <c r="Q19" s="85" t="s">
        <v>281</v>
      </c>
      <c r="R19" s="85" t="s">
        <v>281</v>
      </c>
      <c r="S19" s="85" t="s">
        <v>281</v>
      </c>
      <c r="T19" s="85" t="e">
        <f t="shared" si="5"/>
        <v>#NUM!</v>
      </c>
      <c r="U19" s="85" t="e">
        <f t="shared" si="6"/>
        <v>#VALUE!</v>
      </c>
      <c r="V19" s="194"/>
      <c r="W19" s="196" t="e">
        <v>#NUM!</v>
      </c>
      <c r="X19" s="194"/>
      <c r="Y19" s="85" t="e">
        <v>#NUM!</v>
      </c>
      <c r="Z19" s="187">
        <f>_xll.qlSimpleQuoteSetValue(F19,Y19/100,Trigger)</f>
        <v>0</v>
      </c>
      <c r="AA19" s="77"/>
      <c r="AD19" s="225"/>
    </row>
    <row r="20" spans="1:30" x14ac:dyDescent="0.2">
      <c r="A20" s="76"/>
      <c r="B20" s="226" t="str">
        <f t="shared" si="2"/>
        <v>12Y</v>
      </c>
      <c r="C20" s="227" t="str">
        <f t="shared" si="3"/>
        <v>AM</v>
      </c>
      <c r="D20" s="227" t="str">
        <f t="shared" si="4"/>
        <v>3L</v>
      </c>
      <c r="E20" s="229" t="str">
        <f t="shared" si="0"/>
        <v>USDAM3L12Y_Quote</v>
      </c>
      <c r="F20" s="229" t="str">
        <f>_xll.qlSimpleQuote(Currency&amp;$C20&amp;$D20&amp;$B20&amp;QuoteSuffix,,RateTickValue,Permanent,Trigger,ObjectOverwrite)</f>
        <v>USDAM3L12Y_Quote#0002</v>
      </c>
      <c r="G20" s="230" t="str">
        <f>_xll.ohRangeRetrieveError(F20)</f>
        <v/>
      </c>
      <c r="H20" s="170"/>
      <c r="J20" s="76"/>
      <c r="K20" s="182" t="s">
        <v>74</v>
      </c>
      <c r="L20" s="257" t="s">
        <v>143</v>
      </c>
      <c r="M20" s="257" t="s">
        <v>93</v>
      </c>
      <c r="N20" s="183" t="str">
        <f t="shared" si="1"/>
        <v>USDAM3L12Y</v>
      </c>
      <c r="O20" s="183" t="str">
        <v>USDAM3L12Y=ICAP</v>
      </c>
      <c r="P20" s="85">
        <v>2.419</v>
      </c>
      <c r="Q20" s="85">
        <v>2.4590000000000001</v>
      </c>
      <c r="R20" s="85">
        <v>0</v>
      </c>
      <c r="S20" s="85">
        <v>0</v>
      </c>
      <c r="T20" s="85">
        <f t="shared" si="5"/>
        <v>2.4390000000000001</v>
      </c>
      <c r="U20" s="85">
        <f t="shared" si="6"/>
        <v>4.0000000000000036E-2</v>
      </c>
      <c r="V20" s="194"/>
      <c r="W20" s="196">
        <v>2.4420000000000002</v>
      </c>
      <c r="X20" s="194"/>
      <c r="Y20" s="85">
        <v>2.4390000000000001</v>
      </c>
      <c r="Z20" s="187" t="e">
        <f>_xll.qlSimpleQuoteSetValue(F20,Y20/100,Trigger)</f>
        <v>#N/A</v>
      </c>
      <c r="AA20" s="77"/>
      <c r="AD20" s="225"/>
    </row>
    <row r="21" spans="1:30" x14ac:dyDescent="0.2">
      <c r="A21" s="76"/>
      <c r="B21" s="226" t="str">
        <f t="shared" si="2"/>
        <v>13Y</v>
      </c>
      <c r="C21" s="227" t="str">
        <f t="shared" si="3"/>
        <v>AM</v>
      </c>
      <c r="D21" s="227" t="str">
        <f t="shared" si="4"/>
        <v>3L</v>
      </c>
      <c r="E21" s="229" t="str">
        <f t="shared" si="0"/>
        <v>USDAM3L13Y_Quote</v>
      </c>
      <c r="F21" s="229" t="str">
        <f>_xll.qlSimpleQuote(Currency&amp;$C21&amp;$D21&amp;$B21&amp;QuoteSuffix,,RateTickValue,Permanent,Trigger,ObjectOverwrite)</f>
        <v>USDAM3L13Y_Quote#0001</v>
      </c>
      <c r="G21" s="230" t="str">
        <f>_xll.ohRangeRetrieveError(F21)</f>
        <v/>
      </c>
      <c r="H21" s="170"/>
      <c r="J21" s="76"/>
      <c r="K21" s="182" t="s">
        <v>73</v>
      </c>
      <c r="L21" s="257" t="s">
        <v>143</v>
      </c>
      <c r="M21" s="257" t="s">
        <v>93</v>
      </c>
      <c r="N21" s="183" t="str">
        <f t="shared" si="1"/>
        <v>USDAM3L13Y</v>
      </c>
      <c r="O21" s="183" t="str">
        <v>USDAM3L13Y=ICAP</v>
      </c>
      <c r="P21" s="85" t="s">
        <v>281</v>
      </c>
      <c r="Q21" s="85" t="s">
        <v>281</v>
      </c>
      <c r="R21" s="85" t="s">
        <v>281</v>
      </c>
      <c r="S21" s="85" t="s">
        <v>281</v>
      </c>
      <c r="T21" s="85" t="e">
        <f t="shared" si="5"/>
        <v>#NUM!</v>
      </c>
      <c r="U21" s="85" t="e">
        <f t="shared" si="6"/>
        <v>#VALUE!</v>
      </c>
      <c r="V21" s="194"/>
      <c r="W21" s="196" t="e">
        <v>#NUM!</v>
      </c>
      <c r="X21" s="194"/>
      <c r="Y21" s="85" t="e">
        <v>#NUM!</v>
      </c>
      <c r="Z21" s="187">
        <f>_xll.qlSimpleQuoteSetValue(F21,Y21/100,Trigger)</f>
        <v>0</v>
      </c>
      <c r="AA21" s="77"/>
      <c r="AD21" s="225"/>
    </row>
    <row r="22" spans="1:30" x14ac:dyDescent="0.2">
      <c r="A22" s="76"/>
      <c r="B22" s="226" t="str">
        <f t="shared" si="2"/>
        <v>14Y</v>
      </c>
      <c r="C22" s="227" t="str">
        <f t="shared" si="3"/>
        <v>AM</v>
      </c>
      <c r="D22" s="227" t="str">
        <f t="shared" si="4"/>
        <v>3L</v>
      </c>
      <c r="E22" s="229" t="str">
        <f t="shared" si="0"/>
        <v>USDAM3L14Y_Quote</v>
      </c>
      <c r="F22" s="229" t="str">
        <f>_xll.qlSimpleQuote(Currency&amp;$C22&amp;$D22&amp;$B22&amp;QuoteSuffix,,RateTickValue,Permanent,Trigger,ObjectOverwrite)</f>
        <v>USDAM3L14Y_Quote#0001</v>
      </c>
      <c r="G22" s="230" t="str">
        <f>_xll.ohRangeRetrieveError(F22)</f>
        <v/>
      </c>
      <c r="H22" s="170"/>
      <c r="J22" s="76"/>
      <c r="K22" s="182" t="s">
        <v>72</v>
      </c>
      <c r="L22" s="257" t="s">
        <v>143</v>
      </c>
      <c r="M22" s="257" t="s">
        <v>93</v>
      </c>
      <c r="N22" s="183" t="str">
        <f t="shared" si="1"/>
        <v>USDAM3L14Y</v>
      </c>
      <c r="O22" s="183" t="str">
        <v>USDAM3L14Y=ICAP</v>
      </c>
      <c r="P22" s="85" t="s">
        <v>281</v>
      </c>
      <c r="Q22" s="85" t="s">
        <v>281</v>
      </c>
      <c r="R22" s="85" t="s">
        <v>281</v>
      </c>
      <c r="S22" s="85" t="s">
        <v>281</v>
      </c>
      <c r="T22" s="85" t="e">
        <f t="shared" si="5"/>
        <v>#NUM!</v>
      </c>
      <c r="U22" s="85" t="e">
        <f t="shared" si="6"/>
        <v>#VALUE!</v>
      </c>
      <c r="V22" s="194"/>
      <c r="W22" s="196" t="e">
        <v>#NUM!</v>
      </c>
      <c r="X22" s="194"/>
      <c r="Y22" s="85" t="e">
        <v>#NUM!</v>
      </c>
      <c r="Z22" s="187">
        <f>_xll.qlSimpleQuoteSetValue(F22,Y22/100,Trigger)</f>
        <v>0</v>
      </c>
      <c r="AA22" s="77"/>
      <c r="AD22" s="225"/>
    </row>
    <row r="23" spans="1:30" x14ac:dyDescent="0.2">
      <c r="A23" s="76"/>
      <c r="B23" s="226" t="str">
        <f t="shared" si="2"/>
        <v>15Y</v>
      </c>
      <c r="C23" s="227" t="str">
        <f t="shared" si="3"/>
        <v>AM</v>
      </c>
      <c r="D23" s="227" t="str">
        <f t="shared" si="4"/>
        <v>3L</v>
      </c>
      <c r="E23" s="229" t="str">
        <f t="shared" si="0"/>
        <v>USDAM3L15Y_Quote</v>
      </c>
      <c r="F23" s="229" t="str">
        <f>_xll.qlSimpleQuote(Currency&amp;$C23&amp;$D23&amp;$B23&amp;QuoteSuffix,,RateTickValue,Permanent,Trigger,ObjectOverwrite)</f>
        <v>USDAM3L15Y_Quote#0002</v>
      </c>
      <c r="G23" s="230" t="str">
        <f>_xll.ohRangeRetrieveError(F23)</f>
        <v/>
      </c>
      <c r="H23" s="170"/>
      <c r="J23" s="76"/>
      <c r="K23" s="182" t="s">
        <v>71</v>
      </c>
      <c r="L23" s="257" t="s">
        <v>143</v>
      </c>
      <c r="M23" s="257" t="s">
        <v>93</v>
      </c>
      <c r="N23" s="183" t="str">
        <f t="shared" si="1"/>
        <v>USDAM3L15Y</v>
      </c>
      <c r="O23" s="183" t="str">
        <v>USDAM3L15Y=ICAP</v>
      </c>
      <c r="P23" s="85">
        <v>2.552</v>
      </c>
      <c r="Q23" s="85">
        <v>2.5920000000000001</v>
      </c>
      <c r="R23" s="85">
        <v>0</v>
      </c>
      <c r="S23" s="85">
        <v>0</v>
      </c>
      <c r="T23" s="85">
        <f t="shared" si="5"/>
        <v>2.5720000000000001</v>
      </c>
      <c r="U23" s="85">
        <f t="shared" si="6"/>
        <v>4.0000000000000036E-2</v>
      </c>
      <c r="V23" s="194"/>
      <c r="W23" s="196">
        <v>2.5739999999999998</v>
      </c>
      <c r="X23" s="194"/>
      <c r="Y23" s="85">
        <v>2.5720000000000001</v>
      </c>
      <c r="Z23" s="187" t="e">
        <f>_xll.qlSimpleQuoteSetValue(F23,Y23/100,Trigger)</f>
        <v>#N/A</v>
      </c>
      <c r="AA23" s="77"/>
      <c r="AD23" s="225"/>
    </row>
    <row r="24" spans="1:30" x14ac:dyDescent="0.2">
      <c r="A24" s="76"/>
      <c r="B24" s="226" t="str">
        <f t="shared" si="2"/>
        <v>16Y</v>
      </c>
      <c r="C24" s="227" t="str">
        <f t="shared" si="3"/>
        <v>AM</v>
      </c>
      <c r="D24" s="227" t="str">
        <f t="shared" si="4"/>
        <v>3L</v>
      </c>
      <c r="E24" s="229" t="str">
        <f t="shared" si="0"/>
        <v>USDAM3L16Y_Quote</v>
      </c>
      <c r="F24" s="229" t="str">
        <f>_xll.qlSimpleQuote(Currency&amp;$C24&amp;$D24&amp;$B24&amp;QuoteSuffix,,RateTickValue,Permanent,Trigger,ObjectOverwrite)</f>
        <v>USDAM3L16Y_Quote#0001</v>
      </c>
      <c r="G24" s="230" t="str">
        <f>_xll.ohRangeRetrieveError(F24)</f>
        <v/>
      </c>
      <c r="H24" s="170"/>
      <c r="J24" s="76"/>
      <c r="K24" s="182" t="s">
        <v>70</v>
      </c>
      <c r="L24" s="257" t="s">
        <v>143</v>
      </c>
      <c r="M24" s="257" t="s">
        <v>93</v>
      </c>
      <c r="N24" s="183" t="str">
        <f t="shared" si="1"/>
        <v>USDAM3L16Y</v>
      </c>
      <c r="O24" s="183" t="str">
        <v>USDAM3L16Y=ICAP</v>
      </c>
      <c r="P24" s="85" t="s">
        <v>281</v>
      </c>
      <c r="Q24" s="85" t="s">
        <v>281</v>
      </c>
      <c r="R24" s="85" t="s">
        <v>281</v>
      </c>
      <c r="S24" s="85" t="s">
        <v>281</v>
      </c>
      <c r="T24" s="85" t="e">
        <f t="shared" si="5"/>
        <v>#NUM!</v>
      </c>
      <c r="U24" s="85" t="e">
        <f t="shared" si="6"/>
        <v>#VALUE!</v>
      </c>
      <c r="V24" s="194"/>
      <c r="W24" s="196" t="e">
        <v>#NUM!</v>
      </c>
      <c r="X24" s="194"/>
      <c r="Y24" s="85" t="e">
        <v>#NUM!</v>
      </c>
      <c r="Z24" s="187">
        <f>_xll.qlSimpleQuoteSetValue(F24,Y24/100,Trigger)</f>
        <v>0</v>
      </c>
      <c r="AA24" s="77"/>
      <c r="AD24" s="225"/>
    </row>
    <row r="25" spans="1:30" x14ac:dyDescent="0.2">
      <c r="A25" s="76"/>
      <c r="B25" s="226" t="str">
        <f t="shared" si="2"/>
        <v>17Y</v>
      </c>
      <c r="C25" s="227" t="str">
        <f t="shared" si="3"/>
        <v>AM</v>
      </c>
      <c r="D25" s="227" t="str">
        <f t="shared" si="4"/>
        <v>3L</v>
      </c>
      <c r="E25" s="229" t="str">
        <f t="shared" si="0"/>
        <v>USDAM3L17Y_Quote</v>
      </c>
      <c r="F25" s="229" t="str">
        <f>_xll.qlSimpleQuote(Currency&amp;$C25&amp;$D25&amp;$B25&amp;QuoteSuffix,,RateTickValue,Permanent,Trigger,ObjectOverwrite)</f>
        <v>USDAM3L17Y_Quote#0001</v>
      </c>
      <c r="G25" s="230" t="str">
        <f>_xll.ohRangeRetrieveError(F25)</f>
        <v/>
      </c>
      <c r="H25" s="170"/>
      <c r="J25" s="76"/>
      <c r="K25" s="182" t="s">
        <v>69</v>
      </c>
      <c r="L25" s="257" t="s">
        <v>143</v>
      </c>
      <c r="M25" s="257" t="s">
        <v>93</v>
      </c>
      <c r="N25" s="183" t="str">
        <f t="shared" si="1"/>
        <v>USDAM3L17Y</v>
      </c>
      <c r="O25" s="183" t="str">
        <v>USDAM3L17Y=ICAP</v>
      </c>
      <c r="P25" s="85" t="s">
        <v>281</v>
      </c>
      <c r="Q25" s="85" t="s">
        <v>281</v>
      </c>
      <c r="R25" s="85" t="s">
        <v>281</v>
      </c>
      <c r="S25" s="85" t="s">
        <v>281</v>
      </c>
      <c r="T25" s="85" t="e">
        <f t="shared" si="5"/>
        <v>#NUM!</v>
      </c>
      <c r="U25" s="85" t="e">
        <f t="shared" si="6"/>
        <v>#VALUE!</v>
      </c>
      <c r="V25" s="194"/>
      <c r="W25" s="196" t="e">
        <v>#NUM!</v>
      </c>
      <c r="X25" s="194"/>
      <c r="Y25" s="85" t="e">
        <v>#NUM!</v>
      </c>
      <c r="Z25" s="187">
        <f>_xll.qlSimpleQuoteSetValue(F25,Y25/100,Trigger)</f>
        <v>0</v>
      </c>
      <c r="AA25" s="77"/>
      <c r="AD25" s="225"/>
    </row>
    <row r="26" spans="1:30" x14ac:dyDescent="0.2">
      <c r="A26" s="76"/>
      <c r="B26" s="226" t="str">
        <f t="shared" si="2"/>
        <v>18Y</v>
      </c>
      <c r="C26" s="227" t="str">
        <f t="shared" si="3"/>
        <v>AM</v>
      </c>
      <c r="D26" s="227" t="str">
        <f t="shared" si="4"/>
        <v>3L</v>
      </c>
      <c r="E26" s="229" t="str">
        <f t="shared" si="0"/>
        <v>USDAM3L18Y_Quote</v>
      </c>
      <c r="F26" s="229" t="str">
        <f>_xll.qlSimpleQuote(Currency&amp;$C26&amp;$D26&amp;$B26&amp;QuoteSuffix,,RateTickValue,Permanent,Trigger,ObjectOverwrite)</f>
        <v>USDAM3L18Y_Quote#0001</v>
      </c>
      <c r="G26" s="230" t="str">
        <f>_xll.ohRangeRetrieveError(F26)</f>
        <v/>
      </c>
      <c r="H26" s="170"/>
      <c r="J26" s="76"/>
      <c r="K26" s="182" t="s">
        <v>68</v>
      </c>
      <c r="L26" s="257" t="s">
        <v>143</v>
      </c>
      <c r="M26" s="257" t="s">
        <v>93</v>
      </c>
      <c r="N26" s="183" t="str">
        <f t="shared" si="1"/>
        <v>USDAM3L18Y</v>
      </c>
      <c r="O26" s="183" t="str">
        <v>USDAM3L18Y=ICAP</v>
      </c>
      <c r="P26" s="85" t="s">
        <v>281</v>
      </c>
      <c r="Q26" s="85" t="s">
        <v>281</v>
      </c>
      <c r="R26" s="85" t="s">
        <v>281</v>
      </c>
      <c r="S26" s="85" t="s">
        <v>281</v>
      </c>
      <c r="T26" s="85" t="e">
        <f t="shared" si="5"/>
        <v>#NUM!</v>
      </c>
      <c r="U26" s="85" t="e">
        <f t="shared" si="6"/>
        <v>#VALUE!</v>
      </c>
      <c r="V26" s="194"/>
      <c r="W26" s="196" t="e">
        <v>#NUM!</v>
      </c>
      <c r="X26" s="194"/>
      <c r="Y26" s="85" t="e">
        <v>#NUM!</v>
      </c>
      <c r="Z26" s="187">
        <f>_xll.qlSimpleQuoteSetValue(F26,Y26/100,Trigger)</f>
        <v>0</v>
      </c>
      <c r="AA26" s="77"/>
      <c r="AD26" s="225"/>
    </row>
    <row r="27" spans="1:30" x14ac:dyDescent="0.2">
      <c r="A27" s="76"/>
      <c r="B27" s="226" t="str">
        <f t="shared" si="2"/>
        <v>19Y</v>
      </c>
      <c r="C27" s="227" t="str">
        <f t="shared" si="3"/>
        <v>AM</v>
      </c>
      <c r="D27" s="227" t="str">
        <f t="shared" si="4"/>
        <v>3L</v>
      </c>
      <c r="E27" s="229" t="str">
        <f t="shared" si="0"/>
        <v>USDAM3L19Y_Quote</v>
      </c>
      <c r="F27" s="229" t="str">
        <f>_xll.qlSimpleQuote(Currency&amp;$C27&amp;$D27&amp;$B27&amp;QuoteSuffix,,RateTickValue,Permanent,Trigger,ObjectOverwrite)</f>
        <v>USDAM3L19Y_Quote#0001</v>
      </c>
      <c r="G27" s="230" t="str">
        <f>_xll.ohRangeRetrieveError(F27)</f>
        <v/>
      </c>
      <c r="H27" s="170"/>
      <c r="J27" s="76"/>
      <c r="K27" s="182" t="s">
        <v>67</v>
      </c>
      <c r="L27" s="257" t="s">
        <v>143</v>
      </c>
      <c r="M27" s="257" t="s">
        <v>93</v>
      </c>
      <c r="N27" s="183" t="str">
        <f t="shared" si="1"/>
        <v>USDAM3L19Y</v>
      </c>
      <c r="O27" s="183" t="str">
        <v>USDAM3L19Y=ICAP</v>
      </c>
      <c r="P27" s="85" t="s">
        <v>281</v>
      </c>
      <c r="Q27" s="85" t="s">
        <v>281</v>
      </c>
      <c r="R27" s="85" t="s">
        <v>281</v>
      </c>
      <c r="S27" s="85" t="s">
        <v>281</v>
      </c>
      <c r="T27" s="85" t="e">
        <f t="shared" si="5"/>
        <v>#NUM!</v>
      </c>
      <c r="U27" s="85" t="e">
        <f t="shared" si="6"/>
        <v>#VALUE!</v>
      </c>
      <c r="V27" s="194"/>
      <c r="W27" s="196" t="e">
        <v>#NUM!</v>
      </c>
      <c r="X27" s="194"/>
      <c r="Y27" s="85" t="e">
        <v>#NUM!</v>
      </c>
      <c r="Z27" s="187">
        <f>_xll.qlSimpleQuoteSetValue(F27,Y27/100,Trigger)</f>
        <v>0</v>
      </c>
      <c r="AA27" s="77"/>
      <c r="AD27" s="225"/>
    </row>
    <row r="28" spans="1:30" x14ac:dyDescent="0.2">
      <c r="A28" s="76"/>
      <c r="B28" s="226" t="str">
        <f t="shared" si="2"/>
        <v>20Y</v>
      </c>
      <c r="C28" s="227" t="str">
        <f t="shared" si="3"/>
        <v>AM</v>
      </c>
      <c r="D28" s="227" t="str">
        <f t="shared" si="4"/>
        <v>3L</v>
      </c>
      <c r="E28" s="229" t="str">
        <f t="shared" si="0"/>
        <v>USDAM3L20Y_Quote</v>
      </c>
      <c r="F28" s="229" t="str">
        <f>_xll.qlSimpleQuote(Currency&amp;$C28&amp;$D28&amp;$B28&amp;QuoteSuffix,,RateTickValue,Permanent,Trigger,ObjectOverwrite)</f>
        <v>USDAM3L20Y_Quote#0002</v>
      </c>
      <c r="G28" s="230" t="str">
        <f>_xll.ohRangeRetrieveError(F28)</f>
        <v/>
      </c>
      <c r="H28" s="170"/>
      <c r="J28" s="76"/>
      <c r="K28" s="182" t="s">
        <v>66</v>
      </c>
      <c r="L28" s="257" t="s">
        <v>143</v>
      </c>
      <c r="M28" s="257" t="s">
        <v>93</v>
      </c>
      <c r="N28" s="183" t="str">
        <f t="shared" si="1"/>
        <v>USDAM3L20Y</v>
      </c>
      <c r="O28" s="183" t="str">
        <v>USDAM3L20Y=ICAP</v>
      </c>
      <c r="P28" s="85">
        <v>2.6779999999999999</v>
      </c>
      <c r="Q28" s="85">
        <v>2.718</v>
      </c>
      <c r="R28" s="85">
        <v>0</v>
      </c>
      <c r="S28" s="85">
        <v>0</v>
      </c>
      <c r="T28" s="85">
        <f t="shared" si="5"/>
        <v>2.698</v>
      </c>
      <c r="U28" s="85">
        <f t="shared" si="6"/>
        <v>4.0000000000000036E-2</v>
      </c>
      <c r="V28" s="194"/>
      <c r="W28" s="196">
        <v>2.7010000000000001</v>
      </c>
      <c r="X28" s="194"/>
      <c r="Y28" s="85">
        <v>2.698</v>
      </c>
      <c r="Z28" s="187" t="e">
        <f>_xll.qlSimpleQuoteSetValue(F28,Y28/100,Trigger)</f>
        <v>#N/A</v>
      </c>
      <c r="AA28" s="77"/>
      <c r="AD28" s="225"/>
    </row>
    <row r="29" spans="1:30" x14ac:dyDescent="0.2">
      <c r="A29" s="76"/>
      <c r="B29" s="226" t="str">
        <f t="shared" si="2"/>
        <v>21Y</v>
      </c>
      <c r="C29" s="227" t="str">
        <f t="shared" si="3"/>
        <v>AM</v>
      </c>
      <c r="D29" s="227" t="str">
        <f t="shared" si="4"/>
        <v>3L</v>
      </c>
      <c r="E29" s="229" t="str">
        <f t="shared" si="0"/>
        <v>USDAM3L21Y_Quote</v>
      </c>
      <c r="F29" s="229" t="str">
        <f>_xll.qlSimpleQuote(Currency&amp;$C29&amp;$D29&amp;$B29&amp;QuoteSuffix,,RateTickValue,Permanent,Trigger,ObjectOverwrite)</f>
        <v>USDAM3L21Y_Quote#0001</v>
      </c>
      <c r="G29" s="230" t="str">
        <f>_xll.ohRangeRetrieveError(F29)</f>
        <v/>
      </c>
      <c r="H29" s="170"/>
      <c r="J29" s="76"/>
      <c r="K29" s="182" t="s">
        <v>65</v>
      </c>
      <c r="L29" s="52" t="s">
        <v>143</v>
      </c>
      <c r="M29" s="52" t="s">
        <v>93</v>
      </c>
      <c r="N29" s="183" t="str">
        <f t="shared" si="1"/>
        <v>USDAM3L21Y</v>
      </c>
      <c r="O29" s="183" t="str">
        <v>USDAM3L21Y=ICAP</v>
      </c>
      <c r="P29" s="85" t="s">
        <v>281</v>
      </c>
      <c r="Q29" s="85" t="s">
        <v>281</v>
      </c>
      <c r="R29" s="85" t="s">
        <v>281</v>
      </c>
      <c r="S29" s="85" t="s">
        <v>281</v>
      </c>
      <c r="T29" s="85" t="e">
        <f t="shared" si="5"/>
        <v>#NUM!</v>
      </c>
      <c r="U29" s="85" t="e">
        <f t="shared" si="6"/>
        <v>#VALUE!</v>
      </c>
      <c r="V29" s="194"/>
      <c r="W29" s="196" t="e">
        <v>#NUM!</v>
      </c>
      <c r="X29" s="194"/>
      <c r="Y29" s="85" t="e">
        <v>#NUM!</v>
      </c>
      <c r="Z29" s="187">
        <f>_xll.qlSimpleQuoteSetValue(F29,Y29/100,Trigger)</f>
        <v>0</v>
      </c>
      <c r="AA29" s="77"/>
      <c r="AD29" s="225"/>
    </row>
    <row r="30" spans="1:30" x14ac:dyDescent="0.2">
      <c r="A30" s="76"/>
      <c r="B30" s="226" t="str">
        <f t="shared" si="2"/>
        <v>22Y</v>
      </c>
      <c r="C30" s="227" t="str">
        <f t="shared" si="3"/>
        <v>AM</v>
      </c>
      <c r="D30" s="227" t="str">
        <f t="shared" si="4"/>
        <v>3L</v>
      </c>
      <c r="E30" s="229" t="str">
        <f t="shared" si="0"/>
        <v>USDAM3L22Y_Quote</v>
      </c>
      <c r="F30" s="229" t="str">
        <f>_xll.qlSimpleQuote(Currency&amp;$C30&amp;$D30&amp;$B30&amp;QuoteSuffix,,RateTickValue,Permanent,Trigger,ObjectOverwrite)</f>
        <v>USDAM3L22Y_Quote#0001</v>
      </c>
      <c r="G30" s="230" t="str">
        <f>_xll.ohRangeRetrieveError(F30)</f>
        <v/>
      </c>
      <c r="H30" s="170"/>
      <c r="J30" s="76"/>
      <c r="K30" s="182" t="s">
        <v>64</v>
      </c>
      <c r="L30" s="257" t="s">
        <v>143</v>
      </c>
      <c r="M30" s="257" t="s">
        <v>93</v>
      </c>
      <c r="N30" s="183" t="str">
        <f t="shared" si="1"/>
        <v>USDAM3L22Y</v>
      </c>
      <c r="O30" s="183" t="str">
        <v>USDAM3L22Y=ICAP</v>
      </c>
      <c r="P30" s="85" t="s">
        <v>281</v>
      </c>
      <c r="Q30" s="85" t="s">
        <v>281</v>
      </c>
      <c r="R30" s="85" t="s">
        <v>281</v>
      </c>
      <c r="S30" s="85" t="s">
        <v>281</v>
      </c>
      <c r="T30" s="85" t="e">
        <f t="shared" si="5"/>
        <v>#NUM!</v>
      </c>
      <c r="U30" s="85" t="e">
        <f t="shared" si="6"/>
        <v>#VALUE!</v>
      </c>
      <c r="V30" s="194"/>
      <c r="W30" s="196" t="e">
        <v>#NUM!</v>
      </c>
      <c r="X30" s="194"/>
      <c r="Y30" s="85" t="e">
        <v>#NUM!</v>
      </c>
      <c r="Z30" s="187">
        <f>_xll.qlSimpleQuoteSetValue(F30,Y30/100,Trigger)</f>
        <v>0</v>
      </c>
      <c r="AA30" s="77"/>
      <c r="AD30" s="225"/>
    </row>
    <row r="31" spans="1:30" x14ac:dyDescent="0.2">
      <c r="A31" s="76"/>
      <c r="B31" s="226" t="str">
        <f t="shared" si="2"/>
        <v>23Y</v>
      </c>
      <c r="C31" s="227" t="str">
        <f t="shared" si="3"/>
        <v>AM</v>
      </c>
      <c r="D31" s="227" t="str">
        <f t="shared" si="4"/>
        <v>3L</v>
      </c>
      <c r="E31" s="229" t="str">
        <f t="shared" si="0"/>
        <v>USDAM3L23Y_Quote</v>
      </c>
      <c r="F31" s="229" t="str">
        <f>_xll.qlSimpleQuote(Currency&amp;$C31&amp;$D31&amp;$B31&amp;QuoteSuffix,,RateTickValue,Permanent,Trigger,ObjectOverwrite)</f>
        <v>USDAM3L23Y_Quote#0001</v>
      </c>
      <c r="G31" s="230" t="str">
        <f>_xll.ohRangeRetrieveError(F31)</f>
        <v/>
      </c>
      <c r="H31" s="170"/>
      <c r="J31" s="76"/>
      <c r="K31" s="182" t="s">
        <v>63</v>
      </c>
      <c r="L31" s="257" t="s">
        <v>143</v>
      </c>
      <c r="M31" s="257" t="s">
        <v>93</v>
      </c>
      <c r="N31" s="183" t="str">
        <f t="shared" si="1"/>
        <v>USDAM3L23Y</v>
      </c>
      <c r="O31" s="183" t="str">
        <v>USDAM3L23Y=ICAP</v>
      </c>
      <c r="P31" s="85" t="s">
        <v>281</v>
      </c>
      <c r="Q31" s="85" t="s">
        <v>281</v>
      </c>
      <c r="R31" s="85" t="s">
        <v>281</v>
      </c>
      <c r="S31" s="85" t="s">
        <v>281</v>
      </c>
      <c r="T31" s="85" t="e">
        <f t="shared" si="5"/>
        <v>#NUM!</v>
      </c>
      <c r="U31" s="85" t="e">
        <f t="shared" si="6"/>
        <v>#VALUE!</v>
      </c>
      <c r="V31" s="194"/>
      <c r="W31" s="196" t="e">
        <v>#NUM!</v>
      </c>
      <c r="X31" s="194"/>
      <c r="Y31" s="85" t="e">
        <v>#NUM!</v>
      </c>
      <c r="Z31" s="187">
        <f>_xll.qlSimpleQuoteSetValue(F31,Y31/100,Trigger)</f>
        <v>0</v>
      </c>
      <c r="AA31" s="77"/>
      <c r="AD31" s="225"/>
    </row>
    <row r="32" spans="1:30" x14ac:dyDescent="0.2">
      <c r="A32" s="76"/>
      <c r="B32" s="226" t="str">
        <f t="shared" si="2"/>
        <v>24Y</v>
      </c>
      <c r="C32" s="227" t="str">
        <f t="shared" si="3"/>
        <v>AM</v>
      </c>
      <c r="D32" s="227" t="str">
        <f t="shared" si="4"/>
        <v>3L</v>
      </c>
      <c r="E32" s="229" t="str">
        <f t="shared" si="0"/>
        <v>USDAM3L24Y_Quote</v>
      </c>
      <c r="F32" s="229" t="str">
        <f>_xll.qlSimpleQuote(Currency&amp;$C32&amp;$D32&amp;$B32&amp;QuoteSuffix,,RateTickValue,Permanent,Trigger,ObjectOverwrite)</f>
        <v>USDAM3L24Y_Quote#0001</v>
      </c>
      <c r="G32" s="230" t="str">
        <f>_xll.ohRangeRetrieveError(F32)</f>
        <v/>
      </c>
      <c r="H32" s="170"/>
      <c r="J32" s="76"/>
      <c r="K32" s="182" t="s">
        <v>62</v>
      </c>
      <c r="L32" s="257" t="s">
        <v>143</v>
      </c>
      <c r="M32" s="257" t="s">
        <v>93</v>
      </c>
      <c r="N32" s="183" t="str">
        <f t="shared" si="1"/>
        <v>USDAM3L24Y</v>
      </c>
      <c r="O32" s="183" t="str">
        <v>USDAM3L24Y=ICAP</v>
      </c>
      <c r="P32" s="85" t="s">
        <v>281</v>
      </c>
      <c r="Q32" s="85" t="s">
        <v>281</v>
      </c>
      <c r="R32" s="85" t="s">
        <v>281</v>
      </c>
      <c r="S32" s="85" t="s">
        <v>281</v>
      </c>
      <c r="T32" s="85" t="e">
        <f t="shared" si="5"/>
        <v>#NUM!</v>
      </c>
      <c r="U32" s="85" t="e">
        <f t="shared" si="6"/>
        <v>#VALUE!</v>
      </c>
      <c r="V32" s="194"/>
      <c r="W32" s="196" t="e">
        <v>#NUM!</v>
      </c>
      <c r="X32" s="194"/>
      <c r="Y32" s="85" t="e">
        <v>#NUM!</v>
      </c>
      <c r="Z32" s="187">
        <f>_xll.qlSimpleQuoteSetValue(F32,Y32/100,Trigger)</f>
        <v>0</v>
      </c>
      <c r="AA32" s="77"/>
      <c r="AD32" s="225"/>
    </row>
    <row r="33" spans="1:30" x14ac:dyDescent="0.2">
      <c r="A33" s="76"/>
      <c r="B33" s="226" t="str">
        <f t="shared" si="2"/>
        <v>25Y</v>
      </c>
      <c r="C33" s="227" t="str">
        <f t="shared" si="3"/>
        <v>AM</v>
      </c>
      <c r="D33" s="227" t="str">
        <f t="shared" si="4"/>
        <v>3L</v>
      </c>
      <c r="E33" s="229" t="str">
        <f t="shared" si="0"/>
        <v>USDAM3L25Y_Quote</v>
      </c>
      <c r="F33" s="229" t="str">
        <f>_xll.qlSimpleQuote(Currency&amp;$C33&amp;$D33&amp;$B33&amp;QuoteSuffix,,RateTickValue,Permanent,Trigger,ObjectOverwrite)</f>
        <v>USDAM3L25Y_Quote#0002</v>
      </c>
      <c r="G33" s="230" t="str">
        <f>_xll.ohRangeRetrieveError(F33)</f>
        <v/>
      </c>
      <c r="H33" s="170"/>
      <c r="J33" s="76"/>
      <c r="K33" s="182" t="s">
        <v>61</v>
      </c>
      <c r="L33" s="257" t="s">
        <v>143</v>
      </c>
      <c r="M33" s="257" t="s">
        <v>93</v>
      </c>
      <c r="N33" s="183" t="str">
        <f t="shared" si="1"/>
        <v>USDAM3L25Y</v>
      </c>
      <c r="O33" s="183" t="str">
        <v>USDAM3L25Y=ICAP</v>
      </c>
      <c r="P33" s="85">
        <v>2.738</v>
      </c>
      <c r="Q33" s="85">
        <v>2.778</v>
      </c>
      <c r="R33" s="85">
        <v>0</v>
      </c>
      <c r="S33" s="85">
        <v>0</v>
      </c>
      <c r="T33" s="85">
        <f t="shared" si="5"/>
        <v>2.758</v>
      </c>
      <c r="U33" s="85">
        <f t="shared" si="6"/>
        <v>4.0000000000000036E-2</v>
      </c>
      <c r="V33" s="194"/>
      <c r="W33" s="196">
        <v>2.7610000000000001</v>
      </c>
      <c r="X33" s="194"/>
      <c r="Y33" s="85">
        <v>2.758</v>
      </c>
      <c r="Z33" s="187" t="e">
        <f>_xll.qlSimpleQuoteSetValue(F33,Y33/100,Trigger)</f>
        <v>#N/A</v>
      </c>
      <c r="AA33" s="77"/>
      <c r="AD33" s="225"/>
    </row>
    <row r="34" spans="1:30" x14ac:dyDescent="0.2">
      <c r="A34" s="76"/>
      <c r="B34" s="226" t="str">
        <f t="shared" si="2"/>
        <v>26Y</v>
      </c>
      <c r="C34" s="227" t="str">
        <f t="shared" si="3"/>
        <v>AM</v>
      </c>
      <c r="D34" s="227" t="str">
        <f t="shared" si="4"/>
        <v>3L</v>
      </c>
      <c r="E34" s="229" t="str">
        <f t="shared" si="0"/>
        <v>USDAM3L26Y_Quote</v>
      </c>
      <c r="F34" s="229" t="str">
        <f>_xll.qlSimpleQuote(Currency&amp;$C34&amp;$D34&amp;$B34&amp;QuoteSuffix,,RateTickValue,Permanent,Trigger,ObjectOverwrite)</f>
        <v>USDAM3L26Y_Quote#0001</v>
      </c>
      <c r="G34" s="230" t="str">
        <f>_xll.ohRangeRetrieveError(F34)</f>
        <v/>
      </c>
      <c r="H34" s="170"/>
      <c r="J34" s="76"/>
      <c r="K34" s="182" t="s">
        <v>60</v>
      </c>
      <c r="L34" s="257" t="s">
        <v>143</v>
      </c>
      <c r="M34" s="257" t="s">
        <v>93</v>
      </c>
      <c r="N34" s="183" t="str">
        <f t="shared" si="1"/>
        <v>USDAM3L26Y</v>
      </c>
      <c r="O34" s="183" t="str">
        <v>USDAM3L26Y=ICAP</v>
      </c>
      <c r="P34" s="85" t="s">
        <v>281</v>
      </c>
      <c r="Q34" s="85" t="s">
        <v>281</v>
      </c>
      <c r="R34" s="85" t="s">
        <v>281</v>
      </c>
      <c r="S34" s="85" t="s">
        <v>281</v>
      </c>
      <c r="T34" s="85" t="e">
        <f t="shared" si="5"/>
        <v>#NUM!</v>
      </c>
      <c r="U34" s="85" t="e">
        <f t="shared" si="6"/>
        <v>#VALUE!</v>
      </c>
      <c r="V34" s="194"/>
      <c r="W34" s="196" t="e">
        <v>#NUM!</v>
      </c>
      <c r="X34" s="194"/>
      <c r="Y34" s="85" t="e">
        <v>#NUM!</v>
      </c>
      <c r="Z34" s="187">
        <f>_xll.qlSimpleQuoteSetValue(F34,Y34/100,Trigger)</f>
        <v>0</v>
      </c>
      <c r="AA34" s="77"/>
      <c r="AD34" s="225"/>
    </row>
    <row r="35" spans="1:30" x14ac:dyDescent="0.2">
      <c r="A35" s="76"/>
      <c r="B35" s="226" t="str">
        <f t="shared" si="2"/>
        <v>27Y</v>
      </c>
      <c r="C35" s="227" t="str">
        <f t="shared" si="3"/>
        <v>AM</v>
      </c>
      <c r="D35" s="227" t="str">
        <f t="shared" si="4"/>
        <v>3L</v>
      </c>
      <c r="E35" s="229" t="str">
        <f t="shared" si="0"/>
        <v>USDAM3L27Y_Quote</v>
      </c>
      <c r="F35" s="229" t="str">
        <f>_xll.qlSimpleQuote(Currency&amp;$C35&amp;$D35&amp;$B35&amp;QuoteSuffix,,RateTickValue,Permanent,Trigger,ObjectOverwrite)</f>
        <v>USDAM3L27Y_Quote#0001</v>
      </c>
      <c r="G35" s="230" t="str">
        <f>_xll.ohRangeRetrieveError(F35)</f>
        <v/>
      </c>
      <c r="H35" s="170"/>
      <c r="J35" s="76"/>
      <c r="K35" s="182" t="s">
        <v>59</v>
      </c>
      <c r="L35" s="257" t="s">
        <v>143</v>
      </c>
      <c r="M35" s="257" t="s">
        <v>93</v>
      </c>
      <c r="N35" s="183" t="str">
        <f t="shared" si="1"/>
        <v>USDAM3L27Y</v>
      </c>
      <c r="O35" s="183" t="str">
        <v>USDAM3L27Y=ICAP</v>
      </c>
      <c r="P35" s="85" t="s">
        <v>281</v>
      </c>
      <c r="Q35" s="85" t="s">
        <v>281</v>
      </c>
      <c r="R35" s="85" t="s">
        <v>281</v>
      </c>
      <c r="S35" s="85" t="s">
        <v>281</v>
      </c>
      <c r="T35" s="85" t="e">
        <f t="shared" si="5"/>
        <v>#NUM!</v>
      </c>
      <c r="U35" s="85" t="e">
        <f t="shared" si="6"/>
        <v>#VALUE!</v>
      </c>
      <c r="V35" s="194"/>
      <c r="W35" s="196" t="e">
        <v>#NUM!</v>
      </c>
      <c r="X35" s="194"/>
      <c r="Y35" s="85" t="e">
        <v>#NUM!</v>
      </c>
      <c r="Z35" s="187">
        <f>_xll.qlSimpleQuoteSetValue(F35,Y35/100,Trigger)</f>
        <v>0</v>
      </c>
      <c r="AA35" s="77"/>
      <c r="AD35" s="225"/>
    </row>
    <row r="36" spans="1:30" x14ac:dyDescent="0.2">
      <c r="A36" s="76"/>
      <c r="B36" s="226" t="str">
        <f t="shared" si="2"/>
        <v>28Y</v>
      </c>
      <c r="C36" s="227" t="str">
        <f t="shared" si="3"/>
        <v>AM</v>
      </c>
      <c r="D36" s="227" t="str">
        <f t="shared" si="4"/>
        <v>3L</v>
      </c>
      <c r="E36" s="229" t="str">
        <f t="shared" si="0"/>
        <v>USDAM3L28Y_Quote</v>
      </c>
      <c r="F36" s="229" t="str">
        <f>_xll.qlSimpleQuote(Currency&amp;$C36&amp;$D36&amp;$B36&amp;QuoteSuffix,,RateTickValue,Permanent,Trigger,ObjectOverwrite)</f>
        <v>USDAM3L28Y_Quote#0001</v>
      </c>
      <c r="G36" s="230" t="str">
        <f>_xll.ohRangeRetrieveError(F36)</f>
        <v/>
      </c>
      <c r="H36" s="170"/>
      <c r="J36" s="76"/>
      <c r="K36" s="182" t="s">
        <v>58</v>
      </c>
      <c r="L36" s="257" t="s">
        <v>143</v>
      </c>
      <c r="M36" s="257" t="s">
        <v>93</v>
      </c>
      <c r="N36" s="183" t="str">
        <f t="shared" si="1"/>
        <v>USDAM3L28Y</v>
      </c>
      <c r="O36" s="183" t="str">
        <v>USDAM3L28Y=ICAP</v>
      </c>
      <c r="P36" s="85" t="s">
        <v>281</v>
      </c>
      <c r="Q36" s="85" t="s">
        <v>281</v>
      </c>
      <c r="R36" s="85" t="s">
        <v>281</v>
      </c>
      <c r="S36" s="85" t="s">
        <v>281</v>
      </c>
      <c r="T36" s="85" t="e">
        <f t="shared" si="5"/>
        <v>#NUM!</v>
      </c>
      <c r="U36" s="85" t="e">
        <f t="shared" si="6"/>
        <v>#VALUE!</v>
      </c>
      <c r="V36" s="194"/>
      <c r="W36" s="196" t="e">
        <v>#NUM!</v>
      </c>
      <c r="X36" s="194"/>
      <c r="Y36" s="85" t="e">
        <v>#NUM!</v>
      </c>
      <c r="Z36" s="187">
        <f>_xll.qlSimpleQuoteSetValue(F36,Y36/100,Trigger)</f>
        <v>0</v>
      </c>
      <c r="AA36" s="77"/>
      <c r="AD36" s="225"/>
    </row>
    <row r="37" spans="1:30" x14ac:dyDescent="0.2">
      <c r="A37" s="76"/>
      <c r="B37" s="226" t="str">
        <f t="shared" si="2"/>
        <v>29Y</v>
      </c>
      <c r="C37" s="227" t="str">
        <f t="shared" si="3"/>
        <v>AM</v>
      </c>
      <c r="D37" s="227" t="str">
        <f t="shared" si="4"/>
        <v>3L</v>
      </c>
      <c r="E37" s="229" t="str">
        <f t="shared" si="0"/>
        <v>USDAM3L29Y_Quote</v>
      </c>
      <c r="F37" s="229" t="str">
        <f>_xll.qlSimpleQuote(Currency&amp;$C37&amp;$D37&amp;$B37&amp;QuoteSuffix,,RateTickValue,Permanent,Trigger,ObjectOverwrite)</f>
        <v>USDAM3L29Y_Quote#0001</v>
      </c>
      <c r="G37" s="230" t="str">
        <f>_xll.ohRangeRetrieveError(F37)</f>
        <v/>
      </c>
      <c r="H37" s="170"/>
      <c r="J37" s="76"/>
      <c r="K37" s="182" t="s">
        <v>57</v>
      </c>
      <c r="L37" s="257" t="s">
        <v>143</v>
      </c>
      <c r="M37" s="257" t="s">
        <v>93</v>
      </c>
      <c r="N37" s="183" t="str">
        <f t="shared" si="1"/>
        <v>USDAM3L29Y</v>
      </c>
      <c r="O37" s="183" t="str">
        <v>USDAM3L29Y=ICAP</v>
      </c>
      <c r="P37" s="85" t="s">
        <v>281</v>
      </c>
      <c r="Q37" s="85" t="s">
        <v>281</v>
      </c>
      <c r="R37" s="85" t="s">
        <v>281</v>
      </c>
      <c r="S37" s="85" t="s">
        <v>281</v>
      </c>
      <c r="T37" s="85" t="e">
        <f t="shared" si="5"/>
        <v>#NUM!</v>
      </c>
      <c r="U37" s="85" t="e">
        <f t="shared" si="6"/>
        <v>#VALUE!</v>
      </c>
      <c r="V37" s="194"/>
      <c r="W37" s="196" t="e">
        <v>#NUM!</v>
      </c>
      <c r="X37" s="194"/>
      <c r="Y37" s="85" t="e">
        <v>#NUM!</v>
      </c>
      <c r="Z37" s="187">
        <f>_xll.qlSimpleQuoteSetValue(F37,Y37/100,Trigger)</f>
        <v>0</v>
      </c>
      <c r="AA37" s="77"/>
      <c r="AD37" s="225"/>
    </row>
    <row r="38" spans="1:30" x14ac:dyDescent="0.2">
      <c r="A38" s="76"/>
      <c r="B38" s="226" t="str">
        <f t="shared" si="2"/>
        <v>30Y</v>
      </c>
      <c r="C38" s="227" t="str">
        <f t="shared" si="3"/>
        <v>AM</v>
      </c>
      <c r="D38" s="227" t="str">
        <f t="shared" si="4"/>
        <v>3L</v>
      </c>
      <c r="E38" s="229" t="str">
        <f t="shared" si="0"/>
        <v>USDAM3L30Y_Quote</v>
      </c>
      <c r="F38" s="229" t="str">
        <f>_xll.qlSimpleQuote(Currency&amp;$C38&amp;$D38&amp;$B38&amp;QuoteSuffix,,RateTickValue,Permanent,Trigger,ObjectOverwrite)</f>
        <v>USDAM3L30Y_Quote#0002</v>
      </c>
      <c r="G38" s="230" t="str">
        <f>_xll.ohRangeRetrieveError(F38)</f>
        <v/>
      </c>
      <c r="H38" s="170"/>
      <c r="J38" s="76"/>
      <c r="K38" s="182" t="s">
        <v>56</v>
      </c>
      <c r="L38" s="257" t="s">
        <v>143</v>
      </c>
      <c r="M38" s="257" t="s">
        <v>93</v>
      </c>
      <c r="N38" s="183" t="str">
        <f t="shared" si="1"/>
        <v>USDAM3L30Y</v>
      </c>
      <c r="O38" s="183" t="str">
        <v>USDAM3L30Y=ICAP</v>
      </c>
      <c r="P38" s="85">
        <v>2.7720000000000002</v>
      </c>
      <c r="Q38" s="85">
        <v>2.8119999999999998</v>
      </c>
      <c r="R38" s="85">
        <v>0</v>
      </c>
      <c r="S38" s="85">
        <v>0</v>
      </c>
      <c r="T38" s="85">
        <f t="shared" si="5"/>
        <v>2.7919999999999998</v>
      </c>
      <c r="U38" s="85">
        <f t="shared" si="6"/>
        <v>3.9999999999999591E-2</v>
      </c>
      <c r="V38" s="194"/>
      <c r="W38" s="196">
        <v>2.7970000000000002</v>
      </c>
      <c r="X38" s="194"/>
      <c r="Y38" s="85">
        <v>2.7919999999999998</v>
      </c>
      <c r="Z38" s="187" t="e">
        <f>_xll.qlSimpleQuoteSetValue(F38,Y38/100,Trigger)</f>
        <v>#N/A</v>
      </c>
      <c r="AA38" s="77"/>
      <c r="AD38" s="225"/>
    </row>
    <row r="39" spans="1:30" x14ac:dyDescent="0.2">
      <c r="A39" s="76"/>
      <c r="B39" s="226" t="str">
        <f t="shared" si="2"/>
        <v>35Y</v>
      </c>
      <c r="C39" s="227" t="str">
        <f t="shared" si="3"/>
        <v>AM</v>
      </c>
      <c r="D39" s="227" t="str">
        <f t="shared" si="4"/>
        <v>3L</v>
      </c>
      <c r="E39" s="229" t="str">
        <f t="shared" si="0"/>
        <v>USDAM3L35Y_Quote</v>
      </c>
      <c r="F39" s="229" t="str">
        <f>_xll.qlSimpleQuote(Currency&amp;$C39&amp;$D39&amp;$B39&amp;QuoteSuffix,,RateTickValue,Permanent,Trigger,ObjectOverwrite)</f>
        <v>USDAM3L35Y_Quote#0001</v>
      </c>
      <c r="G39" s="230" t="str">
        <f>_xll.ohRangeRetrieveError(F39)</f>
        <v/>
      </c>
      <c r="H39" s="170"/>
      <c r="J39" s="76"/>
      <c r="K39" s="182" t="s">
        <v>51</v>
      </c>
      <c r="L39" s="257" t="s">
        <v>143</v>
      </c>
      <c r="M39" s="257" t="s">
        <v>93</v>
      </c>
      <c r="N39" s="183" t="str">
        <f t="shared" si="1"/>
        <v>USDAM3L35Y</v>
      </c>
      <c r="O39" s="183" t="str">
        <v>USDAM3L35Y=ICAP</v>
      </c>
      <c r="P39" s="85" t="s">
        <v>281</v>
      </c>
      <c r="Q39" s="85" t="s">
        <v>281</v>
      </c>
      <c r="R39" s="85" t="s">
        <v>281</v>
      </c>
      <c r="S39" s="85" t="s">
        <v>281</v>
      </c>
      <c r="T39" s="85" t="e">
        <f t="shared" si="5"/>
        <v>#NUM!</v>
      </c>
      <c r="U39" s="85" t="e">
        <f t="shared" si="6"/>
        <v>#VALUE!</v>
      </c>
      <c r="V39" s="194"/>
      <c r="W39" s="196" t="e">
        <v>#NUM!</v>
      </c>
      <c r="X39" s="194"/>
      <c r="Y39" s="85" t="e">
        <v>#NUM!</v>
      </c>
      <c r="Z39" s="187">
        <f>_xll.qlSimpleQuoteSetValue(F39,Y39/100,Trigger)</f>
        <v>0</v>
      </c>
      <c r="AA39" s="77"/>
      <c r="AD39" s="225"/>
    </row>
    <row r="40" spans="1:30" x14ac:dyDescent="0.2">
      <c r="A40" s="76"/>
      <c r="B40" s="226" t="str">
        <f t="shared" si="2"/>
        <v>40Y</v>
      </c>
      <c r="C40" s="227" t="str">
        <f t="shared" si="3"/>
        <v>AM</v>
      </c>
      <c r="D40" s="227" t="str">
        <f t="shared" si="4"/>
        <v>3L</v>
      </c>
      <c r="E40" s="229" t="str">
        <f t="shared" si="0"/>
        <v>USDAM3L40Y_Quote</v>
      </c>
      <c r="F40" s="229" t="str">
        <f>_xll.qlSimpleQuote(Currency&amp;$C40&amp;$D40&amp;$B40&amp;QuoteSuffix,,RateTickValue,Permanent,Trigger,ObjectOverwrite)</f>
        <v>USDAM3L40Y_Quote#0002</v>
      </c>
      <c r="G40" s="230" t="str">
        <f>_xll.ohRangeRetrieveError(F40)</f>
        <v/>
      </c>
      <c r="H40" s="170"/>
      <c r="J40" s="76"/>
      <c r="K40" s="182" t="s">
        <v>46</v>
      </c>
      <c r="L40" s="257" t="s">
        <v>143</v>
      </c>
      <c r="M40" s="257" t="s">
        <v>93</v>
      </c>
      <c r="N40" s="183" t="str">
        <f t="shared" si="1"/>
        <v>USDAM3L40Y</v>
      </c>
      <c r="O40" s="183" t="str">
        <v>USDAM3L40Y=ICAP</v>
      </c>
      <c r="P40" s="85">
        <v>2.7909999999999999</v>
      </c>
      <c r="Q40" s="85">
        <v>2.831</v>
      </c>
      <c r="R40" s="85">
        <v>0</v>
      </c>
      <c r="S40" s="85">
        <v>0</v>
      </c>
      <c r="T40" s="85">
        <f t="shared" si="5"/>
        <v>2.8109999999999999</v>
      </c>
      <c r="U40" s="85">
        <f t="shared" si="6"/>
        <v>4.0000000000000036E-2</v>
      </c>
      <c r="V40" s="194"/>
      <c r="W40" s="196">
        <v>2.8149999999999999</v>
      </c>
      <c r="X40" s="194"/>
      <c r="Y40" s="85">
        <v>2.8109999999999999</v>
      </c>
      <c r="Z40" s="187" t="e">
        <f>_xll.qlSimpleQuoteSetValue(F40,Y40/100,Trigger)</f>
        <v>#N/A</v>
      </c>
      <c r="AA40" s="77"/>
      <c r="AD40" s="225"/>
    </row>
    <row r="41" spans="1:30" x14ac:dyDescent="0.2">
      <c r="A41" s="76"/>
      <c r="B41" s="226" t="str">
        <f t="shared" si="2"/>
        <v>50Y</v>
      </c>
      <c r="C41" s="227" t="str">
        <f t="shared" si="3"/>
        <v>AM</v>
      </c>
      <c r="D41" s="227" t="str">
        <f t="shared" si="4"/>
        <v>3L</v>
      </c>
      <c r="E41" s="229" t="str">
        <f t="shared" si="0"/>
        <v>USDAM3L50Y_Quote</v>
      </c>
      <c r="F41" s="229" t="str">
        <f>_xll.qlSimpleQuote(Currency&amp;$C41&amp;$D41&amp;$B41&amp;QuoteSuffix,,RateTickValue,Permanent,Trigger,ObjectOverwrite)</f>
        <v>USDAM3L50Y_Quote#0002</v>
      </c>
      <c r="G41" s="230" t="str">
        <f>_xll.ohRangeRetrieveError(F41)</f>
        <v/>
      </c>
      <c r="H41" s="170"/>
      <c r="J41" s="76"/>
      <c r="K41" s="182" t="s">
        <v>36</v>
      </c>
      <c r="L41" s="257" t="s">
        <v>143</v>
      </c>
      <c r="M41" s="257" t="s">
        <v>93</v>
      </c>
      <c r="N41" s="183" t="str">
        <f t="shared" si="1"/>
        <v>USDAM3L50Y</v>
      </c>
      <c r="O41" s="183" t="str">
        <v>USDAM3L50Y=ICAP</v>
      </c>
      <c r="P41" s="85">
        <v>2.7720000000000002</v>
      </c>
      <c r="Q41" s="85">
        <v>2.8119999999999998</v>
      </c>
      <c r="R41" s="85">
        <v>0</v>
      </c>
      <c r="S41" s="85">
        <v>0</v>
      </c>
      <c r="T41" s="85">
        <f t="shared" si="5"/>
        <v>2.7919999999999998</v>
      </c>
      <c r="U41" s="85">
        <f t="shared" si="6"/>
        <v>3.9999999999999591E-2</v>
      </c>
      <c r="V41" s="194"/>
      <c r="W41" s="196">
        <v>2.7970000000000002</v>
      </c>
      <c r="X41" s="194"/>
      <c r="Y41" s="85">
        <v>2.7919999999999998</v>
      </c>
      <c r="Z41" s="187" t="e">
        <f>_xll.qlSimpleQuoteSetValue(F41,Y41/100,Trigger)</f>
        <v>#N/A</v>
      </c>
      <c r="AA41" s="77"/>
      <c r="AD41" s="225"/>
    </row>
    <row r="42" spans="1:30" x14ac:dyDescent="0.2">
      <c r="A42" s="76"/>
      <c r="B42" s="231" t="str">
        <f t="shared" si="2"/>
        <v>60Y</v>
      </c>
      <c r="C42" s="232" t="str">
        <f t="shared" si="3"/>
        <v>AM</v>
      </c>
      <c r="D42" s="232" t="str">
        <f t="shared" si="4"/>
        <v>3L</v>
      </c>
      <c r="E42" s="234" t="str">
        <f t="shared" si="0"/>
        <v>USDAM3L60Y_Quote</v>
      </c>
      <c r="F42" s="234" t="str">
        <f>_xll.qlSimpleQuote(Currency&amp;$C42&amp;$D42&amp;$B42&amp;QuoteSuffix,,RateTickValue,Permanent,Trigger,ObjectOverwrite)</f>
        <v>USDAM3L60Y_Quote#0001</v>
      </c>
      <c r="G42" s="235" t="str">
        <f>_xll.ohRangeRetrieveError(F42)</f>
        <v/>
      </c>
      <c r="H42" s="170"/>
      <c r="J42" s="76"/>
      <c r="K42" s="184" t="s">
        <v>26</v>
      </c>
      <c r="L42" s="258" t="s">
        <v>143</v>
      </c>
      <c r="M42" s="258" t="s">
        <v>93</v>
      </c>
      <c r="N42" s="185" t="str">
        <f t="shared" si="1"/>
        <v>USDAM3L60Y</v>
      </c>
      <c r="O42" s="185" t="str">
        <v>USDAM3L60Y=ICAP</v>
      </c>
      <c r="P42" s="86" t="s">
        <v>281</v>
      </c>
      <c r="Q42" s="86" t="s">
        <v>281</v>
      </c>
      <c r="R42" s="86" t="s">
        <v>281</v>
      </c>
      <c r="S42" s="86" t="s">
        <v>281</v>
      </c>
      <c r="T42" s="86" t="e">
        <f t="shared" si="5"/>
        <v>#NUM!</v>
      </c>
      <c r="U42" s="86" t="e">
        <f t="shared" si="6"/>
        <v>#VALUE!</v>
      </c>
      <c r="V42" s="194"/>
      <c r="W42" s="200" t="e">
        <v>#NUM!</v>
      </c>
      <c r="X42" s="194"/>
      <c r="Y42" s="86" t="e">
        <v>#NUM!</v>
      </c>
      <c r="Z42" s="188">
        <f>_xll.qlSimpleQuoteSetValue(F42,Y42/100,Trigger)</f>
        <v>0</v>
      </c>
      <c r="AA42" s="77"/>
      <c r="AD42" s="225"/>
    </row>
    <row r="43" spans="1:30" x14ac:dyDescent="0.2">
      <c r="A43" s="171"/>
      <c r="B43" s="172"/>
      <c r="C43" s="172"/>
      <c r="D43" s="172"/>
      <c r="E43" s="172"/>
      <c r="F43" s="173"/>
      <c r="G43" s="173"/>
      <c r="H43" s="174"/>
      <c r="J43" s="254"/>
      <c r="K43" s="255"/>
      <c r="L43" s="255"/>
      <c r="M43" s="255"/>
      <c r="N43" s="172"/>
      <c r="O43" s="172"/>
      <c r="P43" s="172"/>
      <c r="Q43" s="172"/>
      <c r="R43" s="172"/>
      <c r="S43" s="172"/>
      <c r="T43" s="172"/>
      <c r="U43" s="172"/>
      <c r="V43" s="255"/>
      <c r="W43" s="255"/>
      <c r="X43" s="255"/>
      <c r="Y43" s="255"/>
      <c r="Z43" s="255"/>
      <c r="AA43" s="238"/>
    </row>
  </sheetData>
  <conditionalFormatting sqref="Z5:Z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C12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98" hidden="1" customWidth="1" outlineLevel="1"/>
    <col min="2" max="2" width="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16384" width="9.140625" style="198"/>
  </cols>
  <sheetData>
    <row r="1" spans="1:29" x14ac:dyDescent="0.2">
      <c r="A1" s="136"/>
      <c r="B1" s="136"/>
      <c r="C1" s="136"/>
      <c r="D1" s="136"/>
      <c r="E1" s="136"/>
      <c r="F1" s="149"/>
      <c r="G1" s="136"/>
      <c r="H1" s="137"/>
      <c r="J1" s="142" t="s">
        <v>259</v>
      </c>
      <c r="K1" s="133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168"/>
    </row>
    <row r="2" spans="1:29" x14ac:dyDescent="0.2">
      <c r="A2" s="136"/>
      <c r="B2" s="136"/>
      <c r="C2" s="136"/>
      <c r="D2" s="136"/>
      <c r="E2" s="136"/>
      <c r="F2" s="149"/>
      <c r="G2" s="136"/>
      <c r="H2" s="137"/>
      <c r="J2" s="169"/>
      <c r="K2" s="7"/>
      <c r="L2" s="56"/>
      <c r="M2" s="56"/>
      <c r="N2" s="56"/>
      <c r="O2" s="241" t="str">
        <f>VLOOKUP($J$1,AreaTable,AreaIndex,0)</f>
        <v>ICAP LN</v>
      </c>
      <c r="P2" s="56"/>
      <c r="Q2" s="56"/>
      <c r="R2" s="56"/>
      <c r="S2" s="56"/>
      <c r="T2" s="7"/>
      <c r="U2" s="7"/>
      <c r="V2" s="56"/>
      <c r="W2" s="56"/>
      <c r="X2" s="56"/>
      <c r="Y2" s="56"/>
      <c r="Z2" s="109">
        <f>_xll.ohTrigger(Z5:Z11)</f>
        <v>20</v>
      </c>
      <c r="AA2" s="170"/>
    </row>
    <row r="3" spans="1:29" x14ac:dyDescent="0.2">
      <c r="A3" s="138"/>
      <c r="B3" s="159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7"/>
      <c r="P3" s="7"/>
      <c r="Q3" s="7"/>
      <c r="R3" s="7"/>
      <c r="S3" s="7"/>
      <c r="T3" s="7"/>
      <c r="U3" s="7"/>
      <c r="V3" s="56"/>
      <c r="W3" s="56"/>
      <c r="X3" s="56"/>
      <c r="Y3" s="7"/>
      <c r="Z3" s="56"/>
      <c r="AA3" s="77"/>
    </row>
    <row r="4" spans="1:29" ht="22.5" x14ac:dyDescent="0.2">
      <c r="A4" s="76"/>
      <c r="B4" s="101"/>
      <c r="C4" s="101"/>
      <c r="D4" s="101"/>
      <c r="E4" s="102" t="s">
        <v>248</v>
      </c>
      <c r="F4" s="102" t="s">
        <v>249</v>
      </c>
      <c r="G4" s="166" t="s">
        <v>266</v>
      </c>
      <c r="H4" s="170"/>
      <c r="J4" s="76"/>
      <c r="K4" s="241"/>
      <c r="L4" s="103"/>
      <c r="M4" s="103"/>
      <c r="N4" s="103" t="s">
        <v>268</v>
      </c>
      <c r="O4" s="106" t="str">
        <f>_xll.RData(O5:O11,P4:S4,"RTFEED:IDN",ReutersRtMode,,P5)</f>
        <v>Paused at 10:47:50</v>
      </c>
      <c r="P4" s="87" t="s">
        <v>148</v>
      </c>
      <c r="Q4" s="87" t="s">
        <v>147</v>
      </c>
      <c r="R4" s="87" t="s">
        <v>157</v>
      </c>
      <c r="S4" s="87" t="s">
        <v>165</v>
      </c>
      <c r="T4" s="88" t="s">
        <v>172</v>
      </c>
      <c r="U4" s="88" t="s">
        <v>267</v>
      </c>
      <c r="V4" s="260"/>
      <c r="W4" s="87" t="s">
        <v>162</v>
      </c>
      <c r="X4" s="260"/>
      <c r="Y4" s="103" t="s">
        <v>161</v>
      </c>
      <c r="Z4" s="103" t="s">
        <v>160</v>
      </c>
      <c r="AA4" s="77"/>
      <c r="AC4" s="202"/>
    </row>
    <row r="5" spans="1:29" x14ac:dyDescent="0.2">
      <c r="A5" s="76"/>
      <c r="B5" s="261"/>
      <c r="C5" s="221" t="str">
        <f>L5</f>
        <v>1S</v>
      </c>
      <c r="D5" s="221">
        <f>M5</f>
        <v>12</v>
      </c>
      <c r="E5" s="222" t="str">
        <f t="shared" ref="E5:E11" si="0">Currency&amp;$C5&amp;$D5&amp;QuoteSuffix</f>
        <v>USD1S12_Quote</v>
      </c>
      <c r="F5" s="222" t="str">
        <f>_xll.qlSimpleQuote(Currency&amp;$C5&amp;$D5&amp;QuoteSuffix,,RateTickValue,Permanent,Trigger,ObjectOverwrite)</f>
        <v>USD1S12_Quote#0000</v>
      </c>
      <c r="G5" s="262" t="str">
        <f>_xll.ohRangeRetrieveError(F5)</f>
        <v/>
      </c>
      <c r="H5" s="170"/>
      <c r="J5" s="76"/>
      <c r="K5" s="271"/>
      <c r="L5" s="263" t="s">
        <v>139</v>
      </c>
      <c r="M5" s="263">
        <v>12</v>
      </c>
      <c r="N5" s="264" t="str">
        <f t="shared" ref="N5:N11" si="1">Currency&amp;$L5&amp;$M5</f>
        <v>USD1S12</v>
      </c>
      <c r="O5" s="264" t="str">
        <f t="array" ref="O5:O11">Instruments&amp;"="&amp;VLOOKUP($O$2,ContributorTable,2,FALSE)</f>
        <v>USD1S12=ICAP</v>
      </c>
      <c r="P5" s="189">
        <v>0.47199999999999998</v>
      </c>
      <c r="Q5" s="189">
        <v>0.52200000000000002</v>
      </c>
      <c r="R5" s="189">
        <v>0</v>
      </c>
      <c r="S5" s="189">
        <v>0</v>
      </c>
      <c r="T5" s="189">
        <f>IF(ISERROR(AVERAGE(P5,Q5)),#NUM!,AVERAGE(P5,Q5))</f>
        <v>0.497</v>
      </c>
      <c r="U5" s="189">
        <f>Q5-P5</f>
        <v>5.0000000000000044E-2</v>
      </c>
      <c r="V5" s="192"/>
      <c r="W5" s="189">
        <v>0.317</v>
      </c>
      <c r="X5" s="192"/>
      <c r="Y5" s="189">
        <f t="array" ref="Y5:Y11">QuoteLive</f>
        <v>0.497</v>
      </c>
      <c r="Z5" s="269">
        <f>_xll.qlSimpleQuoteSetValue(F5,Y5/100,Trigger)</f>
        <v>0</v>
      </c>
      <c r="AA5" s="77"/>
      <c r="AC5" s="225"/>
    </row>
    <row r="6" spans="1:29" x14ac:dyDescent="0.2">
      <c r="A6" s="76"/>
      <c r="B6" s="76"/>
      <c r="C6" s="228" t="str">
        <f t="shared" ref="C6:C11" si="2">L6</f>
        <v>2S</v>
      </c>
      <c r="D6" s="228">
        <f t="shared" ref="D6:D11" si="3">M6</f>
        <v>12</v>
      </c>
      <c r="E6" s="229" t="str">
        <f t="shared" si="0"/>
        <v>USD2S12_Quote</v>
      </c>
      <c r="F6" s="229" t="str">
        <f>_xll.qlSimpleQuote(Currency&amp;$C6&amp;$D6&amp;QuoteSuffix,,RateTickValue,Permanent,Trigger,ObjectOverwrite)</f>
        <v>USD2S12_Quote#0000</v>
      </c>
      <c r="G6" s="265" t="str">
        <f>_xll.ohRangeRetrieveError(F6)</f>
        <v/>
      </c>
      <c r="H6" s="170"/>
      <c r="J6" s="76"/>
      <c r="K6" s="271"/>
      <c r="L6" s="263" t="s">
        <v>140</v>
      </c>
      <c r="M6" s="263">
        <v>12</v>
      </c>
      <c r="N6" s="264" t="str">
        <f t="shared" si="1"/>
        <v>USD2S12</v>
      </c>
      <c r="O6" s="264" t="str">
        <v>USD2S12=ICAP</v>
      </c>
      <c r="P6" s="189">
        <v>0.64400000000000002</v>
      </c>
      <c r="Q6" s="189">
        <v>0.69400000000000006</v>
      </c>
      <c r="R6" s="189">
        <v>0</v>
      </c>
      <c r="S6" s="189">
        <v>0</v>
      </c>
      <c r="T6" s="189">
        <f t="shared" ref="T6:T11" si="4">IF(ISERROR(AVERAGE(P6,Q6)),#NUM!,AVERAGE(P6,Q6))</f>
        <v>0.66900000000000004</v>
      </c>
      <c r="U6" s="189">
        <f t="shared" ref="U6:U11" si="5">Q6-P6</f>
        <v>5.0000000000000044E-2</v>
      </c>
      <c r="V6" s="192"/>
      <c r="W6" s="189">
        <v>0.36899999999999999</v>
      </c>
      <c r="X6" s="192"/>
      <c r="Y6" s="189">
        <v>0.66900000000000004</v>
      </c>
      <c r="Z6" s="269">
        <f>_xll.qlSimpleQuoteSetValue(F6,Y6/100,Trigger)</f>
        <v>0</v>
      </c>
      <c r="AA6" s="77"/>
      <c r="AC6" s="225"/>
    </row>
    <row r="7" spans="1:29" x14ac:dyDescent="0.2">
      <c r="A7" s="76"/>
      <c r="B7" s="76"/>
      <c r="C7" s="228" t="str">
        <f t="shared" si="2"/>
        <v>3S</v>
      </c>
      <c r="D7" s="228">
        <f t="shared" si="3"/>
        <v>12</v>
      </c>
      <c r="E7" s="229" t="str">
        <f t="shared" si="0"/>
        <v>USD3S12_Quote</v>
      </c>
      <c r="F7" s="229" t="str">
        <f>_xll.qlSimpleQuote(Currency&amp;$C7&amp;$D7&amp;QuoteSuffix,,RateTickValue,Permanent,Trigger,ObjectOverwrite)</f>
        <v>USD3S12_Quote#0000</v>
      </c>
      <c r="G7" s="265" t="str">
        <f>_xll.ohRangeRetrieveError(F7)</f>
        <v/>
      </c>
      <c r="H7" s="170"/>
      <c r="J7" s="76"/>
      <c r="K7" s="271"/>
      <c r="L7" s="263" t="s">
        <v>142</v>
      </c>
      <c r="M7" s="263">
        <v>12</v>
      </c>
      <c r="N7" s="264" t="str">
        <f t="shared" si="1"/>
        <v>USD3S12</v>
      </c>
      <c r="O7" s="264" t="str">
        <v>USD3S12=ICAP</v>
      </c>
      <c r="P7" s="189">
        <v>0.83599999999999997</v>
      </c>
      <c r="Q7" s="189">
        <v>0.8859999999999999</v>
      </c>
      <c r="R7" s="189">
        <v>0</v>
      </c>
      <c r="S7" s="189">
        <v>0</v>
      </c>
      <c r="T7" s="189">
        <f t="shared" si="4"/>
        <v>0.86099999999999999</v>
      </c>
      <c r="U7" s="189">
        <f t="shared" si="5"/>
        <v>4.9999999999999933E-2</v>
      </c>
      <c r="V7" s="192"/>
      <c r="W7" s="189">
        <v>0.434</v>
      </c>
      <c r="X7" s="192"/>
      <c r="Y7" s="189">
        <v>0.86099999999999999</v>
      </c>
      <c r="Z7" s="269">
        <f>_xll.qlSimpleQuoteSetValue(F7,Y7/100,Trigger)</f>
        <v>0</v>
      </c>
      <c r="AA7" s="77"/>
      <c r="AC7" s="225"/>
    </row>
    <row r="8" spans="1:29" x14ac:dyDescent="0.2">
      <c r="A8" s="76"/>
      <c r="B8" s="76"/>
      <c r="C8" s="228" t="str">
        <f t="shared" si="2"/>
        <v>4S</v>
      </c>
      <c r="D8" s="228">
        <f t="shared" si="3"/>
        <v>12</v>
      </c>
      <c r="E8" s="229" t="str">
        <f t="shared" si="0"/>
        <v>USD4S12_Quote</v>
      </c>
      <c r="F8" s="229" t="str">
        <f>_xll.qlSimpleQuote(Currency&amp;$C8&amp;$D8&amp;QuoteSuffix,,RateTickValue,Permanent,Trigger,ObjectOverwrite)</f>
        <v>USD4S12_Quote#0000</v>
      </c>
      <c r="G8" s="265" t="str">
        <f>_xll.ohRangeRetrieveError(F8)</f>
        <v/>
      </c>
      <c r="H8" s="170"/>
      <c r="J8" s="76"/>
      <c r="K8" s="271"/>
      <c r="L8" s="263" t="s">
        <v>141</v>
      </c>
      <c r="M8" s="263">
        <v>12</v>
      </c>
      <c r="N8" s="264" t="str">
        <f t="shared" si="1"/>
        <v>USD4S12</v>
      </c>
      <c r="O8" s="264" t="str">
        <v>USD4S12=ICAP</v>
      </c>
      <c r="P8" s="189">
        <v>1.0329999999999999</v>
      </c>
      <c r="Q8" s="189">
        <v>1.083</v>
      </c>
      <c r="R8" s="189">
        <v>0</v>
      </c>
      <c r="S8" s="189">
        <v>0</v>
      </c>
      <c r="T8" s="189">
        <f t="shared" si="4"/>
        <v>1.0579999999999998</v>
      </c>
      <c r="U8" s="189">
        <f t="shared" si="5"/>
        <v>5.0000000000000044E-2</v>
      </c>
      <c r="V8" s="192"/>
      <c r="W8" s="189">
        <v>0.51900000000000002</v>
      </c>
      <c r="X8" s="192"/>
      <c r="Y8" s="189">
        <v>1.0579999999999998</v>
      </c>
      <c r="Z8" s="269">
        <f>_xll.qlSimpleQuoteSetValue(F8,Y8/100,Trigger)</f>
        <v>-1.0000000000003062E-5</v>
      </c>
      <c r="AA8" s="77"/>
      <c r="AC8" s="225"/>
    </row>
    <row r="9" spans="1:29" x14ac:dyDescent="0.2">
      <c r="A9" s="76"/>
      <c r="B9" s="76"/>
      <c r="C9" s="228" t="str">
        <f t="shared" si="2"/>
        <v>5S</v>
      </c>
      <c r="D9" s="228">
        <f t="shared" si="3"/>
        <v>12</v>
      </c>
      <c r="E9" s="229" t="str">
        <f t="shared" si="0"/>
        <v>USD5S12_Quote</v>
      </c>
      <c r="F9" s="229" t="str">
        <f>_xll.qlSimpleQuote(Currency&amp;$C9&amp;$D9&amp;QuoteSuffix,,RateTickValue,Permanent,Trigger,ObjectOverwrite)</f>
        <v>USD5S12_Quote#0000</v>
      </c>
      <c r="G9" s="265" t="str">
        <f>_xll.ohRangeRetrieveError(F9)</f>
        <v/>
      </c>
      <c r="H9" s="170"/>
      <c r="J9" s="76"/>
      <c r="K9" s="271"/>
      <c r="L9" s="263" t="s">
        <v>174</v>
      </c>
      <c r="M9" s="263">
        <v>12</v>
      </c>
      <c r="N9" s="264" t="str">
        <f t="shared" si="1"/>
        <v>USD5S12</v>
      </c>
      <c r="O9" s="264" t="str">
        <v>USD5S12=ICAP</v>
      </c>
      <c r="P9" s="189">
        <v>1.2450000000000001</v>
      </c>
      <c r="Q9" s="189">
        <v>1.2949999999999999</v>
      </c>
      <c r="R9" s="189">
        <v>0</v>
      </c>
      <c r="S9" s="189">
        <v>0</v>
      </c>
      <c r="T9" s="189">
        <f t="shared" si="4"/>
        <v>1.27</v>
      </c>
      <c r="U9" s="189">
        <f t="shared" si="5"/>
        <v>4.9999999999999822E-2</v>
      </c>
      <c r="V9" s="192"/>
      <c r="W9" s="189" t="e">
        <v>#NUM!</v>
      </c>
      <c r="X9" s="192"/>
      <c r="Y9" s="189">
        <v>1.27</v>
      </c>
      <c r="Z9" s="269">
        <f>_xll.qlSimpleQuoteSetValue(F9,Y9/100,Trigger)</f>
        <v>-9.9999999999995925E-6</v>
      </c>
      <c r="AA9" s="77"/>
      <c r="AC9" s="225"/>
    </row>
    <row r="10" spans="1:29" x14ac:dyDescent="0.2">
      <c r="A10" s="76"/>
      <c r="B10" s="76"/>
      <c r="C10" s="228" t="str">
        <f t="shared" si="2"/>
        <v>6S</v>
      </c>
      <c r="D10" s="228">
        <f t="shared" si="3"/>
        <v>12</v>
      </c>
      <c r="E10" s="229" t="str">
        <f t="shared" si="0"/>
        <v>USD6S12_Quote</v>
      </c>
      <c r="F10" s="229" t="str">
        <f>_xll.qlSimpleQuote(Currency&amp;$C10&amp;$D10&amp;QuoteSuffix,,RateTickValue,Permanent,Trigger,ObjectOverwrite)</f>
        <v>USD6S12_Quote#0000</v>
      </c>
      <c r="G10" s="265" t="str">
        <f>_xll.ohRangeRetrieveError(F10)</f>
        <v/>
      </c>
      <c r="H10" s="170"/>
      <c r="J10" s="76"/>
      <c r="K10" s="271"/>
      <c r="L10" s="263" t="s">
        <v>173</v>
      </c>
      <c r="M10" s="263">
        <v>12</v>
      </c>
      <c r="N10" s="264" t="str">
        <f t="shared" si="1"/>
        <v>USD6S12</v>
      </c>
      <c r="O10" s="264" t="str">
        <v>USD6S12=ICAP</v>
      </c>
      <c r="P10" s="189" t="s">
        <v>281</v>
      </c>
      <c r="Q10" s="189" t="s">
        <v>281</v>
      </c>
      <c r="R10" s="189" t="s">
        <v>281</v>
      </c>
      <c r="S10" s="189" t="s">
        <v>281</v>
      </c>
      <c r="T10" s="189" t="e">
        <f t="shared" si="4"/>
        <v>#NUM!</v>
      </c>
      <c r="U10" s="189" t="e">
        <f t="shared" si="5"/>
        <v>#VALUE!</v>
      </c>
      <c r="V10" s="192"/>
      <c r="W10" s="189" t="e">
        <v>#NUM!</v>
      </c>
      <c r="X10" s="192"/>
      <c r="Y10" s="189" t="e">
        <v>#NUM!</v>
      </c>
      <c r="Z10" s="269">
        <f>_xll.qlSimpleQuoteSetValue(F10,Y10/100,Trigger)</f>
        <v>0</v>
      </c>
      <c r="AA10" s="77"/>
      <c r="AC10" s="225"/>
    </row>
    <row r="11" spans="1:29" x14ac:dyDescent="0.2">
      <c r="A11" s="76"/>
      <c r="B11" s="254"/>
      <c r="C11" s="233" t="str">
        <f t="shared" si="2"/>
        <v>1S</v>
      </c>
      <c r="D11" s="233">
        <f t="shared" si="3"/>
        <v>24</v>
      </c>
      <c r="E11" s="234" t="str">
        <f t="shared" si="0"/>
        <v>USD1S24_Quote</v>
      </c>
      <c r="F11" s="234" t="str">
        <f>_xll.qlSimpleQuote(Currency&amp;$C11&amp;$D11&amp;QuoteSuffix,,RateTickValue,Permanent,Trigger,ObjectOverwrite)</f>
        <v>USD1S24_Quote#0000</v>
      </c>
      <c r="G11" s="266" t="str">
        <f>_xll.ohRangeRetrieveError(F11)</f>
        <v/>
      </c>
      <c r="H11" s="170" t="s">
        <v>220</v>
      </c>
      <c r="J11" s="76"/>
      <c r="K11" s="272"/>
      <c r="L11" s="267" t="s">
        <v>139</v>
      </c>
      <c r="M11" s="267">
        <v>24</v>
      </c>
      <c r="N11" s="268" t="str">
        <f t="shared" si="1"/>
        <v>USD1S24</v>
      </c>
      <c r="O11" s="268" t="str">
        <v>USD1S24=ICAP</v>
      </c>
      <c r="P11" s="191" t="s">
        <v>281</v>
      </c>
      <c r="Q11" s="191" t="s">
        <v>281</v>
      </c>
      <c r="R11" s="191" t="s">
        <v>281</v>
      </c>
      <c r="S11" s="191" t="s">
        <v>281</v>
      </c>
      <c r="T11" s="191" t="e">
        <f t="shared" si="4"/>
        <v>#NUM!</v>
      </c>
      <c r="U11" s="191" t="e">
        <f t="shared" si="5"/>
        <v>#VALUE!</v>
      </c>
      <c r="V11" s="192"/>
      <c r="W11" s="191" t="e">
        <v>#NUM!</v>
      </c>
      <c r="X11" s="192"/>
      <c r="Y11" s="191" t="e">
        <v>#NUM!</v>
      </c>
      <c r="Z11" s="270">
        <f>_xll.qlSimpleQuoteSetValue(F11,Y11/100,Trigger)</f>
        <v>0</v>
      </c>
      <c r="AA11" s="77"/>
      <c r="AC11" s="225"/>
    </row>
    <row r="12" spans="1:29" x14ac:dyDescent="0.2">
      <c r="A12" s="171"/>
      <c r="B12" s="172"/>
      <c r="C12" s="172"/>
      <c r="D12" s="172"/>
      <c r="E12" s="172"/>
      <c r="F12" s="173"/>
      <c r="G12" s="173"/>
      <c r="H12" s="174"/>
      <c r="J12" s="171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238"/>
    </row>
  </sheetData>
  <conditionalFormatting sqref="Z5:Z1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260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1" t="str">
        <f>VLOOKUP($J$1,AreaTable,AreaIndex,0)</f>
        <v>ICAP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109">
        <f>_xll.ohTrigger(AB5:AB42)</f>
        <v>4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obj_00590#0002</v>
      </c>
      <c r="V3" s="7"/>
      <c r="W3" s="7"/>
      <c r="X3" s="56"/>
      <c r="Y3" s="56"/>
      <c r="Z3" s="56"/>
      <c r="AA3" s="7"/>
      <c r="AB3" s="56"/>
      <c r="AC3" s="77"/>
    </row>
    <row r="4" spans="1:30" ht="22.5" x14ac:dyDescent="0.2">
      <c r="A4" s="76"/>
      <c r="B4" s="101"/>
      <c r="C4" s="101"/>
      <c r="D4" s="101"/>
      <c r="E4" s="102" t="s">
        <v>248</v>
      </c>
      <c r="F4" s="102" t="s">
        <v>249</v>
      </c>
      <c r="G4" s="166" t="s">
        <v>266</v>
      </c>
      <c r="H4" s="170"/>
      <c r="J4" s="271"/>
      <c r="K4" s="241"/>
      <c r="L4" s="103"/>
      <c r="M4" s="103"/>
      <c r="N4" s="103" t="s">
        <v>268</v>
      </c>
      <c r="O4" s="106" t="str">
        <f>_xll.RData(O5:O42,P4:S4,"RTFEED:IDN",ReutersRtMode,,P5)</f>
        <v>Paused at 10:47:50</v>
      </c>
      <c r="P4" s="87" t="s">
        <v>148</v>
      </c>
      <c r="Q4" s="87" t="s">
        <v>147</v>
      </c>
      <c r="R4" s="87" t="s">
        <v>157</v>
      </c>
      <c r="S4" s="87" t="s">
        <v>165</v>
      </c>
      <c r="T4" s="87" t="s">
        <v>172</v>
      </c>
      <c r="U4" s="87" t="s">
        <v>271</v>
      </c>
      <c r="V4" s="87" t="s">
        <v>270</v>
      </c>
      <c r="W4" s="88" t="s">
        <v>269</v>
      </c>
      <c r="X4" s="56"/>
      <c r="Y4" s="87" t="s">
        <v>162</v>
      </c>
      <c r="Z4" s="56"/>
      <c r="AA4" s="103" t="s">
        <v>161</v>
      </c>
      <c r="AB4" s="103" t="s">
        <v>160</v>
      </c>
      <c r="AC4" s="77"/>
    </row>
    <row r="5" spans="1:30" s="215" customFormat="1" ht="11.25" customHeight="1" x14ac:dyDescent="0.25">
      <c r="A5" s="76"/>
      <c r="B5" s="182" t="str">
        <f>K5</f>
        <v>6M</v>
      </c>
      <c r="C5" s="220" t="str">
        <f>L5</f>
        <v>3L</v>
      </c>
      <c r="D5" s="221" t="str">
        <f>M5</f>
        <v>1L</v>
      </c>
      <c r="E5" s="222" t="str">
        <f t="shared" ref="E5:E42" si="0">IF(ISBLANK(C5),"#",Currency&amp;$C5&amp;$D5&amp;$B5&amp;QuoteSuffix)</f>
        <v>USD3L1L6M_Quote</v>
      </c>
      <c r="F5" s="222" t="str">
        <f>_xll.qlSimpleQuote(E5,,RateTickValue,Permanent,Trigger,ObjectOverwrite)</f>
        <v>USD3L1L6M_Quote#0000</v>
      </c>
      <c r="G5" s="274" t="str">
        <f>_xll.ohRangeRetrieveError(F5)</f>
        <v/>
      </c>
      <c r="H5" s="170"/>
      <c r="I5" s="198"/>
      <c r="J5" s="283"/>
      <c r="K5" s="182" t="s">
        <v>14</v>
      </c>
      <c r="L5" s="182" t="s">
        <v>93</v>
      </c>
      <c r="M5" s="182" t="s">
        <v>92</v>
      </c>
      <c r="N5" s="183" t="str">
        <f t="shared" ref="N5:N42" si="1">IF(Contributor="ICAP LN",Currency&amp;$L5&amp;$M5&amp;$K5,Currency&amp;$M5&amp;$L5&amp;$K5)</f>
        <v>USD3L1L6M</v>
      </c>
      <c r="O5" s="82" t="str">
        <f t="array" ref="O5:O42">Instruments&amp;"="&amp;VLOOKUP(Contributor,ContributorTable,2,FALSE)</f>
        <v>USD3L1L6M=ICAP</v>
      </c>
      <c r="P5" s="275">
        <v>9.4</v>
      </c>
      <c r="Q5" s="275">
        <v>0</v>
      </c>
      <c r="R5" s="291">
        <v>0</v>
      </c>
      <c r="S5" s="288">
        <v>0</v>
      </c>
      <c r="T5" s="275">
        <f>_xll.qlMidEquivalent(P5,Q5)</f>
        <v>9.4</v>
      </c>
      <c r="U5" s="285">
        <v>0.5</v>
      </c>
      <c r="V5" s="85" t="b">
        <f t="shared" ref="V5:V42" si="2">IF(ISNUMBER(T5),TRUE,FALSE)</f>
        <v>1</v>
      </c>
      <c r="W5" s="275">
        <f t="array" ref="W5:W38">_xll.qlInterpolationInterpolate(U3,U5:U42)</f>
        <v>9.4</v>
      </c>
      <c r="X5" s="194"/>
      <c r="Y5" s="281">
        <v>9.4</v>
      </c>
      <c r="Z5" s="194"/>
      <c r="AA5" s="282">
        <f t="array" ref="AA5:AA42">QuoteLive</f>
        <v>9.4</v>
      </c>
      <c r="AB5" s="186">
        <f>_xll.qlSimpleQuoteSetValue(F5,AA5/10000,Trigger)</f>
        <v>0</v>
      </c>
      <c r="AC5" s="77"/>
      <c r="AD5" s="198"/>
    </row>
    <row r="6" spans="1:30" s="215" customFormat="1" ht="11.25" customHeight="1" x14ac:dyDescent="0.25">
      <c r="A6" s="76"/>
      <c r="B6" s="182" t="str">
        <f t="shared" ref="B6:B42" si="3">K6</f>
        <v>1Y</v>
      </c>
      <c r="C6" s="227" t="str">
        <f t="shared" ref="C6:C42" si="4">L6</f>
        <v>3L</v>
      </c>
      <c r="D6" s="228" t="str">
        <f t="shared" ref="D6:D42" si="5">M6</f>
        <v>1L</v>
      </c>
      <c r="E6" s="229" t="str">
        <f t="shared" si="0"/>
        <v>USD3L1L1Y_Quote</v>
      </c>
      <c r="F6" s="229" t="str">
        <f>_xll.qlSimpleQuote(E6,,RateTickValue,Permanent,Trigger,ObjectOverwrite)</f>
        <v>USD3L1L1Y_Quote#0000</v>
      </c>
      <c r="G6" s="277" t="str">
        <f>_xll.ohRangeRetrieveError(F6)</f>
        <v/>
      </c>
      <c r="H6" s="170"/>
      <c r="I6" s="198"/>
      <c r="J6" s="283"/>
      <c r="K6" s="182" t="s">
        <v>8</v>
      </c>
      <c r="L6" s="182" t="s">
        <v>93</v>
      </c>
      <c r="M6" s="182" t="s">
        <v>92</v>
      </c>
      <c r="N6" s="183" t="str">
        <f t="shared" si="1"/>
        <v>USD3L1L1Y</v>
      </c>
      <c r="O6" s="82" t="str">
        <v>USD3L1L1Y=ICAP</v>
      </c>
      <c r="P6" s="275">
        <v>10.3</v>
      </c>
      <c r="Q6" s="275">
        <v>0</v>
      </c>
      <c r="R6" s="289">
        <v>0</v>
      </c>
      <c r="S6" s="288">
        <v>0</v>
      </c>
      <c r="T6" s="275">
        <f>_xll.qlMidEquivalent(P6,Q6)</f>
        <v>10.3</v>
      </c>
      <c r="U6" s="285">
        <v>1</v>
      </c>
      <c r="V6" s="85" t="b">
        <f t="shared" si="2"/>
        <v>1</v>
      </c>
      <c r="W6" s="275">
        <v>10.3</v>
      </c>
      <c r="X6" s="194"/>
      <c r="Y6" s="281">
        <v>10.4</v>
      </c>
      <c r="Z6" s="194"/>
      <c r="AA6" s="275">
        <v>10.3</v>
      </c>
      <c r="AB6" s="187">
        <f>_xll.qlSimpleQuoteSetValue(F6,AA6/10000,Trigger)</f>
        <v>-1.0000000000000026E-5</v>
      </c>
      <c r="AC6" s="77"/>
      <c r="AD6" s="198"/>
    </row>
    <row r="7" spans="1:30" s="215" customFormat="1" ht="11.25" customHeight="1" x14ac:dyDescent="0.25">
      <c r="A7" s="76"/>
      <c r="B7" s="276" t="str">
        <f t="shared" si="3"/>
        <v>15M</v>
      </c>
      <c r="C7" s="227" t="str">
        <f t="shared" si="4"/>
        <v>3L</v>
      </c>
      <c r="D7" s="228" t="str">
        <f t="shared" si="5"/>
        <v>1L</v>
      </c>
      <c r="E7" s="229" t="str">
        <f t="shared" si="0"/>
        <v>USD3L1L15M_Quote</v>
      </c>
      <c r="F7" s="229" t="str">
        <f>_xll.qlSimpleQuote(E7,,RateTickValue,Permanent,Trigger,ObjectOverwrite)</f>
        <v>USD3L1L15M_Quote#0000</v>
      </c>
      <c r="G7" s="277" t="str">
        <f>_xll.ohRangeRetrieveError(F7)</f>
        <v/>
      </c>
      <c r="H7" s="170"/>
      <c r="J7" s="283"/>
      <c r="K7" s="182" t="s">
        <v>97</v>
      </c>
      <c r="L7" s="182" t="s">
        <v>93</v>
      </c>
      <c r="M7" s="182" t="s">
        <v>92</v>
      </c>
      <c r="N7" s="183" t="str">
        <f t="shared" si="1"/>
        <v>USD3L1L15M</v>
      </c>
      <c r="O7" s="82" t="str">
        <v>USD3L1L15M=ICAP</v>
      </c>
      <c r="P7" s="275" t="s">
        <v>281</v>
      </c>
      <c r="Q7" s="275" t="s">
        <v>281</v>
      </c>
      <c r="R7" s="289" t="s">
        <v>281</v>
      </c>
      <c r="S7" s="288" t="s">
        <v>281</v>
      </c>
      <c r="T7" s="275" t="e">
        <f>_xll.qlMidEquivalent(P7,Q7)</f>
        <v>#NUM!</v>
      </c>
      <c r="U7" s="285">
        <v>1.25</v>
      </c>
      <c r="V7" s="85" t="b">
        <f t="shared" si="2"/>
        <v>0</v>
      </c>
      <c r="W7" s="275">
        <v>10.660133271634113</v>
      </c>
      <c r="X7" s="194"/>
      <c r="Y7" s="281">
        <v>10.762174405620561</v>
      </c>
      <c r="Z7" s="194"/>
      <c r="AA7" s="275">
        <v>10.660133271634113</v>
      </c>
      <c r="AB7" s="187">
        <f>_xll.qlSimpleQuoteSetValue(F7,AA7/10000,Trigger)</f>
        <v>-1.0045678415033761E-5</v>
      </c>
      <c r="AC7" s="77"/>
      <c r="AD7" s="198"/>
    </row>
    <row r="8" spans="1:30" ht="11.25" customHeight="1" x14ac:dyDescent="0.25">
      <c r="A8" s="76"/>
      <c r="B8" s="276" t="str">
        <f t="shared" si="3"/>
        <v>18M</v>
      </c>
      <c r="C8" s="227" t="str">
        <f t="shared" si="4"/>
        <v>3L</v>
      </c>
      <c r="D8" s="228" t="str">
        <f t="shared" si="5"/>
        <v>1L</v>
      </c>
      <c r="E8" s="229" t="str">
        <f t="shared" si="0"/>
        <v>USD3L1L18M_Quote</v>
      </c>
      <c r="F8" s="229" t="str">
        <f>_xll.qlSimpleQuote(E8,,RateTickValue,Permanent,Trigger,ObjectOverwrite)</f>
        <v>USD3L1L18M_Quote#0000</v>
      </c>
      <c r="G8" s="277" t="str">
        <f>_xll.ohRangeRetrieveError(F8)</f>
        <v/>
      </c>
      <c r="H8" s="170"/>
      <c r="I8" s="215"/>
      <c r="J8" s="284"/>
      <c r="K8" s="182" t="s">
        <v>96</v>
      </c>
      <c r="L8" s="182" t="s">
        <v>93</v>
      </c>
      <c r="M8" s="182" t="s">
        <v>92</v>
      </c>
      <c r="N8" s="183" t="str">
        <f t="shared" si="1"/>
        <v>USD3L1L18M</v>
      </c>
      <c r="O8" s="82" t="str">
        <v>USD3L1L18M=ICAP</v>
      </c>
      <c r="P8" s="275" t="s">
        <v>281</v>
      </c>
      <c r="Q8" s="275" t="s">
        <v>281</v>
      </c>
      <c r="R8" s="289" t="s">
        <v>281</v>
      </c>
      <c r="S8" s="288" t="s">
        <v>281</v>
      </c>
      <c r="T8" s="275" t="e">
        <f>_xll.qlMidEquivalent(P8,Q8)</f>
        <v>#NUM!</v>
      </c>
      <c r="U8" s="285">
        <v>1.5</v>
      </c>
      <c r="V8" s="85" t="b">
        <f t="shared" si="2"/>
        <v>0</v>
      </c>
      <c r="W8" s="275">
        <v>10.964016543268226</v>
      </c>
      <c r="X8" s="194"/>
      <c r="Y8" s="281">
        <v>11.039973811241122</v>
      </c>
      <c r="Z8" s="194"/>
      <c r="AA8" s="275">
        <v>10.964016543268226</v>
      </c>
      <c r="AB8" s="187">
        <f>_xll.qlSimpleQuoteSetValue(F8,AA8/10000,Trigger)</f>
        <v>-7.2788568300677196E-6</v>
      </c>
      <c r="AC8" s="77"/>
    </row>
    <row r="9" spans="1:30" ht="11.25" customHeight="1" x14ac:dyDescent="0.25">
      <c r="A9" s="76"/>
      <c r="B9" s="276" t="str">
        <f t="shared" si="3"/>
        <v>21M</v>
      </c>
      <c r="C9" s="227" t="str">
        <f t="shared" si="4"/>
        <v>3L</v>
      </c>
      <c r="D9" s="228" t="str">
        <f t="shared" si="5"/>
        <v>1L</v>
      </c>
      <c r="E9" s="229" t="str">
        <f t="shared" si="0"/>
        <v>USD3L1L21M_Quote</v>
      </c>
      <c r="F9" s="229" t="str">
        <f>_xll.qlSimpleQuote(E9,,RateTickValue,Permanent,Trigger,ObjectOverwrite)</f>
        <v>USD3L1L21M_Quote#0000</v>
      </c>
      <c r="G9" s="277" t="str">
        <f>_xll.ohRangeRetrieveError(F9)</f>
        <v/>
      </c>
      <c r="H9" s="170"/>
      <c r="I9" s="215"/>
      <c r="J9" s="284"/>
      <c r="K9" s="182" t="s">
        <v>95</v>
      </c>
      <c r="L9" s="182" t="s">
        <v>93</v>
      </c>
      <c r="M9" s="182" t="s">
        <v>92</v>
      </c>
      <c r="N9" s="183" t="str">
        <f t="shared" si="1"/>
        <v>USD3L1L21M</v>
      </c>
      <c r="O9" s="82" t="str">
        <v>USD3L1L21M=ICAP</v>
      </c>
      <c r="P9" s="275" t="s">
        <v>281</v>
      </c>
      <c r="Q9" s="275" t="s">
        <v>281</v>
      </c>
      <c r="R9" s="289" t="s">
        <v>281</v>
      </c>
      <c r="S9" s="288" t="s">
        <v>281</v>
      </c>
      <c r="T9" s="275" t="e">
        <f>_xll.qlMidEquivalent(P9,Q9)</f>
        <v>#NUM!</v>
      </c>
      <c r="U9" s="285">
        <v>1.75</v>
      </c>
      <c r="V9" s="85" t="b">
        <f t="shared" si="2"/>
        <v>0</v>
      </c>
      <c r="W9" s="275">
        <v>11.235891543268226</v>
      </c>
      <c r="X9" s="194"/>
      <c r="Y9" s="281">
        <v>11.272786311241124</v>
      </c>
      <c r="Z9" s="194"/>
      <c r="AA9" s="275">
        <v>11.235891543268226</v>
      </c>
      <c r="AB9" s="187">
        <f>_xll.qlSimpleQuoteSetValue(F9,AA9/10000,Trigger)</f>
        <v>-3.372606830067933E-6</v>
      </c>
      <c r="AC9" s="77"/>
    </row>
    <row r="10" spans="1:30" ht="11.25" customHeight="1" x14ac:dyDescent="0.2">
      <c r="A10" s="76"/>
      <c r="B10" s="276" t="str">
        <f t="shared" si="3"/>
        <v>2Y</v>
      </c>
      <c r="C10" s="227" t="str">
        <f t="shared" si="4"/>
        <v>3L</v>
      </c>
      <c r="D10" s="228" t="str">
        <f t="shared" si="5"/>
        <v>1L</v>
      </c>
      <c r="E10" s="229" t="str">
        <f t="shared" si="0"/>
        <v>USD3L1L2Y_Quote</v>
      </c>
      <c r="F10" s="229" t="str">
        <f>_xll.qlSimpleQuote(E10,,RateTickValue,Permanent,Trigger,ObjectOverwrite)</f>
        <v>USD3L1L2Y_Quote#0000</v>
      </c>
      <c r="G10" s="277" t="str">
        <f>_xll.ohRangeRetrieveError(F10)</f>
        <v/>
      </c>
      <c r="H10" s="170"/>
      <c r="J10" s="284"/>
      <c r="K10" s="182" t="s">
        <v>84</v>
      </c>
      <c r="L10" s="182" t="s">
        <v>93</v>
      </c>
      <c r="M10" s="182" t="s">
        <v>92</v>
      </c>
      <c r="N10" s="183" t="str">
        <f t="shared" si="1"/>
        <v>USD3L1L2Y</v>
      </c>
      <c r="O10" s="82" t="str">
        <v>USD3L1L2Y=ICAP</v>
      </c>
      <c r="P10" s="275">
        <v>11.5</v>
      </c>
      <c r="Q10" s="275">
        <v>0</v>
      </c>
      <c r="R10" s="289">
        <v>0</v>
      </c>
      <c r="S10" s="288">
        <v>0</v>
      </c>
      <c r="T10" s="275">
        <f>_xll.qlMidEquivalent(P10,Q10)</f>
        <v>11.5</v>
      </c>
      <c r="U10" s="286">
        <v>2</v>
      </c>
      <c r="V10" s="85" t="b">
        <f t="shared" si="2"/>
        <v>1</v>
      </c>
      <c r="W10" s="275">
        <v>11.5</v>
      </c>
      <c r="X10" s="194"/>
      <c r="Y10" s="281">
        <v>11.5</v>
      </c>
      <c r="Z10" s="194"/>
      <c r="AA10" s="275">
        <v>11.5</v>
      </c>
      <c r="AB10" s="187">
        <f>_xll.qlSimpleQuoteSetValue(F10,AA10/10000,Trigger)</f>
        <v>0</v>
      </c>
      <c r="AC10" s="77"/>
    </row>
    <row r="11" spans="1:30" ht="11.25" customHeight="1" x14ac:dyDescent="0.2">
      <c r="A11" s="76"/>
      <c r="B11" s="276" t="str">
        <f t="shared" si="3"/>
        <v>3Y</v>
      </c>
      <c r="C11" s="227" t="str">
        <f t="shared" si="4"/>
        <v>3L</v>
      </c>
      <c r="D11" s="228" t="str">
        <f t="shared" si="5"/>
        <v>1L</v>
      </c>
      <c r="E11" s="229" t="str">
        <f t="shared" si="0"/>
        <v>USD3L1L3Y_Quote</v>
      </c>
      <c r="F11" s="229" t="str">
        <f>_xll.qlSimpleQuote(E11,,RateTickValue,Permanent,Trigger,ObjectOverwrite)</f>
        <v>USD3L1L3Y_Quote#0000</v>
      </c>
      <c r="G11" s="277" t="str">
        <f>_xll.ohRangeRetrieveError(F11)</f>
        <v/>
      </c>
      <c r="H11" s="170"/>
      <c r="J11" s="284"/>
      <c r="K11" s="182" t="s">
        <v>83</v>
      </c>
      <c r="L11" s="182" t="s">
        <v>93</v>
      </c>
      <c r="M11" s="182" t="s">
        <v>92</v>
      </c>
      <c r="N11" s="183" t="str">
        <f t="shared" si="1"/>
        <v>USD3L1L3Y</v>
      </c>
      <c r="O11" s="82" t="str">
        <v>USD3L1L3Y=ICAP</v>
      </c>
      <c r="P11" s="275">
        <v>12.5</v>
      </c>
      <c r="Q11" s="275">
        <v>0</v>
      </c>
      <c r="R11" s="289">
        <v>0</v>
      </c>
      <c r="S11" s="288">
        <v>0</v>
      </c>
      <c r="T11" s="275">
        <f>_xll.qlMidEquivalent(P11,Q11)</f>
        <v>12.5</v>
      </c>
      <c r="U11" s="286">
        <v>3</v>
      </c>
      <c r="V11" s="85" t="b">
        <f t="shared" si="2"/>
        <v>1</v>
      </c>
      <c r="W11" s="275">
        <v>12.5</v>
      </c>
      <c r="X11" s="194"/>
      <c r="Y11" s="281">
        <v>12.5</v>
      </c>
      <c r="Z11" s="194"/>
      <c r="AA11" s="275">
        <v>12.5</v>
      </c>
      <c r="AB11" s="187">
        <f>_xll.qlSimpleQuoteSetValue(F11,AA11/10000,Trigger)</f>
        <v>0</v>
      </c>
      <c r="AC11" s="77"/>
    </row>
    <row r="12" spans="1:30" ht="11.25" customHeight="1" x14ac:dyDescent="0.2">
      <c r="A12" s="76"/>
      <c r="B12" s="276" t="str">
        <f t="shared" si="3"/>
        <v>4Y</v>
      </c>
      <c r="C12" s="227" t="str">
        <f t="shared" si="4"/>
        <v>3L</v>
      </c>
      <c r="D12" s="228" t="str">
        <f t="shared" si="5"/>
        <v>1L</v>
      </c>
      <c r="E12" s="229" t="str">
        <f t="shared" si="0"/>
        <v>USD3L1L4Y_Quote</v>
      </c>
      <c r="F12" s="229" t="str">
        <f>_xll.qlSimpleQuote(E12,,RateTickValue,Permanent,Trigger,ObjectOverwrite)</f>
        <v>USD3L1L4Y_Quote#0000</v>
      </c>
      <c r="G12" s="277" t="str">
        <f>_xll.ohRangeRetrieveError(F12)</f>
        <v/>
      </c>
      <c r="H12" s="170"/>
      <c r="J12" s="284"/>
      <c r="K12" s="182" t="s">
        <v>82</v>
      </c>
      <c r="L12" s="182" t="s">
        <v>93</v>
      </c>
      <c r="M12" s="182" t="s">
        <v>92</v>
      </c>
      <c r="N12" s="183" t="str">
        <f t="shared" si="1"/>
        <v>USD3L1L4Y</v>
      </c>
      <c r="O12" s="82" t="str">
        <v>USD3L1L4Y=ICAP</v>
      </c>
      <c r="P12" s="275">
        <v>12.9</v>
      </c>
      <c r="Q12" s="275">
        <v>0</v>
      </c>
      <c r="R12" s="289">
        <v>0</v>
      </c>
      <c r="S12" s="288">
        <v>0</v>
      </c>
      <c r="T12" s="275">
        <f>_xll.qlMidEquivalent(P12,Q12)</f>
        <v>12.9</v>
      </c>
      <c r="U12" s="286">
        <v>4</v>
      </c>
      <c r="V12" s="85" t="b">
        <f t="shared" si="2"/>
        <v>1</v>
      </c>
      <c r="W12" s="275">
        <v>12.9</v>
      </c>
      <c r="X12" s="194"/>
      <c r="Y12" s="281">
        <v>13</v>
      </c>
      <c r="Z12" s="194"/>
      <c r="AA12" s="275">
        <v>12.9</v>
      </c>
      <c r="AB12" s="187">
        <f>_xll.qlSimpleQuoteSetValue(F12,AA12/10000,Trigger)</f>
        <v>0</v>
      </c>
      <c r="AC12" s="77"/>
    </row>
    <row r="13" spans="1:30" ht="11.25" customHeight="1" x14ac:dyDescent="0.2">
      <c r="A13" s="76"/>
      <c r="B13" s="276" t="str">
        <f t="shared" si="3"/>
        <v>5Y</v>
      </c>
      <c r="C13" s="227" t="str">
        <f t="shared" si="4"/>
        <v>3L</v>
      </c>
      <c r="D13" s="228" t="str">
        <f t="shared" si="5"/>
        <v>1L</v>
      </c>
      <c r="E13" s="229" t="str">
        <f t="shared" si="0"/>
        <v>USD3L1L5Y_Quote</v>
      </c>
      <c r="F13" s="229" t="str">
        <f>_xll.qlSimpleQuote(E13,,RateTickValue,Permanent,Trigger,ObjectOverwrite)</f>
        <v>USD3L1L5Y_Quote#0000</v>
      </c>
      <c r="G13" s="277" t="str">
        <f>_xll.ohRangeRetrieveError(F13)</f>
        <v/>
      </c>
      <c r="H13" s="170"/>
      <c r="J13" s="284"/>
      <c r="K13" s="182" t="s">
        <v>81</v>
      </c>
      <c r="L13" s="182" t="s">
        <v>93</v>
      </c>
      <c r="M13" s="182" t="s">
        <v>92</v>
      </c>
      <c r="N13" s="183" t="str">
        <f t="shared" si="1"/>
        <v>USD3L1L5Y</v>
      </c>
      <c r="O13" s="82" t="str">
        <v>USD3L1L5Y=ICAP</v>
      </c>
      <c r="P13" s="275">
        <v>13.1</v>
      </c>
      <c r="Q13" s="275">
        <v>0</v>
      </c>
      <c r="R13" s="289">
        <v>0</v>
      </c>
      <c r="S13" s="288">
        <v>0</v>
      </c>
      <c r="T13" s="275">
        <f>_xll.qlMidEquivalent(P13,Q13)</f>
        <v>13.1</v>
      </c>
      <c r="U13" s="286">
        <v>5</v>
      </c>
      <c r="V13" s="85" t="b">
        <f t="shared" si="2"/>
        <v>1</v>
      </c>
      <c r="W13" s="275">
        <v>13.1</v>
      </c>
      <c r="X13" s="194"/>
      <c r="Y13" s="281">
        <v>13.100000000000001</v>
      </c>
      <c r="Z13" s="194"/>
      <c r="AA13" s="275">
        <v>13.1</v>
      </c>
      <c r="AB13" s="187">
        <f>_xll.qlSimpleQuoteSetValue(F13,AA13/10000,Trigger)</f>
        <v>0</v>
      </c>
      <c r="AC13" s="77"/>
    </row>
    <row r="14" spans="1:30" ht="11.25" customHeight="1" x14ac:dyDescent="0.2">
      <c r="A14" s="76"/>
      <c r="B14" s="276" t="str">
        <f t="shared" si="3"/>
        <v>6Y</v>
      </c>
      <c r="C14" s="227" t="str">
        <f t="shared" si="4"/>
        <v>3L</v>
      </c>
      <c r="D14" s="228" t="str">
        <f t="shared" si="5"/>
        <v>1L</v>
      </c>
      <c r="E14" s="229" t="str">
        <f t="shared" si="0"/>
        <v>USD3L1L6Y_Quote</v>
      </c>
      <c r="F14" s="229" t="str">
        <f>_xll.qlSimpleQuote(E14,,RateTickValue,Permanent,Trigger,ObjectOverwrite)</f>
        <v>USD3L1L6Y_Quote#0000</v>
      </c>
      <c r="G14" s="277" t="str">
        <f>_xll.ohRangeRetrieveError(F14)</f>
        <v/>
      </c>
      <c r="H14" s="170"/>
      <c r="J14" s="284"/>
      <c r="K14" s="182" t="s">
        <v>80</v>
      </c>
      <c r="L14" s="182" t="s">
        <v>93</v>
      </c>
      <c r="M14" s="182" t="s">
        <v>92</v>
      </c>
      <c r="N14" s="183" t="str">
        <f t="shared" si="1"/>
        <v>USD3L1L6Y</v>
      </c>
      <c r="O14" s="82" t="str">
        <v>USD3L1L6Y=ICAP</v>
      </c>
      <c r="P14" s="275">
        <v>13.1</v>
      </c>
      <c r="Q14" s="275">
        <v>0</v>
      </c>
      <c r="R14" s="289">
        <v>0</v>
      </c>
      <c r="S14" s="288">
        <v>0</v>
      </c>
      <c r="T14" s="275">
        <f>_xll.qlMidEquivalent(P14,Q14)</f>
        <v>13.1</v>
      </c>
      <c r="U14" s="286">
        <v>6</v>
      </c>
      <c r="V14" s="85" t="b">
        <f t="shared" si="2"/>
        <v>1</v>
      </c>
      <c r="W14" s="275">
        <v>13.1</v>
      </c>
      <c r="X14" s="194"/>
      <c r="Y14" s="281">
        <v>13.100000000000001</v>
      </c>
      <c r="Z14" s="194"/>
      <c r="AA14" s="275">
        <v>13.1</v>
      </c>
      <c r="AB14" s="187">
        <f>_xll.qlSimpleQuoteSetValue(F14,AA14/10000,Trigger)</f>
        <v>0</v>
      </c>
      <c r="AC14" s="77"/>
    </row>
    <row r="15" spans="1:30" ht="11.25" customHeight="1" x14ac:dyDescent="0.2">
      <c r="A15" s="76"/>
      <c r="B15" s="276" t="str">
        <f t="shared" si="3"/>
        <v>7Y</v>
      </c>
      <c r="C15" s="227" t="str">
        <f t="shared" si="4"/>
        <v>3L</v>
      </c>
      <c r="D15" s="228" t="str">
        <f t="shared" si="5"/>
        <v>1L</v>
      </c>
      <c r="E15" s="229" t="str">
        <f t="shared" si="0"/>
        <v>USD3L1L7Y_Quote</v>
      </c>
      <c r="F15" s="229" t="str">
        <f>_xll.qlSimpleQuote(E15,,RateTickValue,Permanent,Trigger,ObjectOverwrite)</f>
        <v>USD3L1L7Y_Quote#0000</v>
      </c>
      <c r="G15" s="277" t="str">
        <f>_xll.ohRangeRetrieveError(F15)</f>
        <v/>
      </c>
      <c r="H15" s="170"/>
      <c r="J15" s="284"/>
      <c r="K15" s="182" t="s">
        <v>79</v>
      </c>
      <c r="L15" s="182" t="s">
        <v>93</v>
      </c>
      <c r="M15" s="182" t="s">
        <v>92</v>
      </c>
      <c r="N15" s="183" t="str">
        <f t="shared" si="1"/>
        <v>USD3L1L7Y</v>
      </c>
      <c r="O15" s="82" t="str">
        <v>USD3L1L7Y=ICAP</v>
      </c>
      <c r="P15" s="275">
        <v>12.9</v>
      </c>
      <c r="Q15" s="275">
        <v>0</v>
      </c>
      <c r="R15" s="289">
        <v>0</v>
      </c>
      <c r="S15" s="288">
        <v>0</v>
      </c>
      <c r="T15" s="275">
        <f>_xll.qlMidEquivalent(P15,Q15)</f>
        <v>12.9</v>
      </c>
      <c r="U15" s="286">
        <v>7</v>
      </c>
      <c r="V15" s="85" t="b">
        <f t="shared" si="2"/>
        <v>1</v>
      </c>
      <c r="W15" s="275">
        <v>12.9</v>
      </c>
      <c r="X15" s="194"/>
      <c r="Y15" s="281">
        <v>12.9</v>
      </c>
      <c r="Z15" s="194"/>
      <c r="AA15" s="275">
        <v>12.9</v>
      </c>
      <c r="AB15" s="187">
        <f>_xll.qlSimpleQuoteSetValue(F15,AA15/10000,Trigger)</f>
        <v>0</v>
      </c>
      <c r="AC15" s="77"/>
    </row>
    <row r="16" spans="1:30" ht="11.25" customHeight="1" x14ac:dyDescent="0.2">
      <c r="A16" s="76"/>
      <c r="B16" s="276" t="str">
        <f t="shared" si="3"/>
        <v>8Y</v>
      </c>
      <c r="C16" s="227" t="str">
        <f t="shared" si="4"/>
        <v>3L</v>
      </c>
      <c r="D16" s="228" t="str">
        <f t="shared" si="5"/>
        <v>1L</v>
      </c>
      <c r="E16" s="229" t="str">
        <f t="shared" si="0"/>
        <v>USD3L1L8Y_Quote</v>
      </c>
      <c r="F16" s="229" t="str">
        <f>_xll.qlSimpleQuote(E16,,RateTickValue,Permanent,Trigger,ObjectOverwrite)</f>
        <v>USD3L1L8Y_Quote#0000</v>
      </c>
      <c r="G16" s="277" t="str">
        <f>_xll.ohRangeRetrieveError(F16)</f>
        <v/>
      </c>
      <c r="H16" s="170"/>
      <c r="J16" s="284"/>
      <c r="K16" s="182" t="s">
        <v>78</v>
      </c>
      <c r="L16" s="182" t="s">
        <v>93</v>
      </c>
      <c r="M16" s="182" t="s">
        <v>92</v>
      </c>
      <c r="N16" s="183" t="str">
        <f t="shared" si="1"/>
        <v>USD3L1L8Y</v>
      </c>
      <c r="O16" s="82" t="str">
        <v>USD3L1L8Y=ICAP</v>
      </c>
      <c r="P16" s="275">
        <v>12.6</v>
      </c>
      <c r="Q16" s="275">
        <v>0</v>
      </c>
      <c r="R16" s="289">
        <v>0</v>
      </c>
      <c r="S16" s="288">
        <v>0</v>
      </c>
      <c r="T16" s="275">
        <f>_xll.qlMidEquivalent(P16,Q16)</f>
        <v>12.6</v>
      </c>
      <c r="U16" s="286">
        <v>8</v>
      </c>
      <c r="V16" s="85" t="b">
        <f t="shared" si="2"/>
        <v>1</v>
      </c>
      <c r="W16" s="275">
        <v>12.6</v>
      </c>
      <c r="X16" s="194"/>
      <c r="Y16" s="281">
        <v>12.600000000000001</v>
      </c>
      <c r="Z16" s="194"/>
      <c r="AA16" s="275">
        <v>12.6</v>
      </c>
      <c r="AB16" s="187">
        <f>_xll.qlSimpleQuoteSetValue(F16,AA16/10000,Trigger)</f>
        <v>0</v>
      </c>
      <c r="AC16" s="77"/>
    </row>
    <row r="17" spans="1:29" ht="11.25" customHeight="1" x14ac:dyDescent="0.2">
      <c r="A17" s="76"/>
      <c r="B17" s="276" t="str">
        <f t="shared" si="3"/>
        <v>9Y</v>
      </c>
      <c r="C17" s="227" t="str">
        <f t="shared" si="4"/>
        <v>3L</v>
      </c>
      <c r="D17" s="228" t="str">
        <f t="shared" si="5"/>
        <v>1L</v>
      </c>
      <c r="E17" s="229" t="str">
        <f t="shared" si="0"/>
        <v>USD3L1L9Y_Quote</v>
      </c>
      <c r="F17" s="229" t="str">
        <f>_xll.qlSimpleQuote(E17,,RateTickValue,Permanent,Trigger,ObjectOverwrite)</f>
        <v>USD3L1L9Y_Quote#0000</v>
      </c>
      <c r="G17" s="277" t="str">
        <f>_xll.ohRangeRetrieveError(F17)</f>
        <v/>
      </c>
      <c r="H17" s="170"/>
      <c r="J17" s="284"/>
      <c r="K17" s="182" t="s">
        <v>77</v>
      </c>
      <c r="L17" s="182" t="s">
        <v>93</v>
      </c>
      <c r="M17" s="182" t="s">
        <v>92</v>
      </c>
      <c r="N17" s="183" t="str">
        <f t="shared" si="1"/>
        <v>USD3L1L9Y</v>
      </c>
      <c r="O17" s="82" t="str">
        <v>USD3L1L9Y=ICAP</v>
      </c>
      <c r="P17" s="275">
        <v>12.2</v>
      </c>
      <c r="Q17" s="275">
        <v>0</v>
      </c>
      <c r="R17" s="289">
        <v>0</v>
      </c>
      <c r="S17" s="288">
        <v>0</v>
      </c>
      <c r="T17" s="275">
        <f>_xll.qlMidEquivalent(P17,Q17)</f>
        <v>12.2</v>
      </c>
      <c r="U17" s="286">
        <v>9</v>
      </c>
      <c r="V17" s="85" t="b">
        <f t="shared" si="2"/>
        <v>1</v>
      </c>
      <c r="W17" s="275">
        <v>12.2</v>
      </c>
      <c r="X17" s="194"/>
      <c r="Y17" s="281">
        <v>12.200000000000001</v>
      </c>
      <c r="Z17" s="194"/>
      <c r="AA17" s="275">
        <v>12.2</v>
      </c>
      <c r="AB17" s="187">
        <f>_xll.qlSimpleQuoteSetValue(F17,AA17/10000,Trigger)</f>
        <v>0</v>
      </c>
      <c r="AC17" s="77"/>
    </row>
    <row r="18" spans="1:29" ht="11.25" customHeight="1" x14ac:dyDescent="0.2">
      <c r="A18" s="76"/>
      <c r="B18" s="276" t="str">
        <f t="shared" si="3"/>
        <v>10Y</v>
      </c>
      <c r="C18" s="227" t="str">
        <f t="shared" si="4"/>
        <v>3L</v>
      </c>
      <c r="D18" s="228" t="str">
        <f t="shared" si="5"/>
        <v>1L</v>
      </c>
      <c r="E18" s="229" t="str">
        <f t="shared" si="0"/>
        <v>USD3L1L10Y_Quote</v>
      </c>
      <c r="F18" s="229" t="str">
        <f>_xll.qlSimpleQuote(E18,,RateTickValue,Permanent,Trigger,ObjectOverwrite)</f>
        <v>USD3L1L10Y_Quote#0000</v>
      </c>
      <c r="G18" s="277" t="str">
        <f>_xll.ohRangeRetrieveError(F18)</f>
        <v/>
      </c>
      <c r="H18" s="170"/>
      <c r="J18" s="284"/>
      <c r="K18" s="182" t="s">
        <v>76</v>
      </c>
      <c r="L18" s="182" t="s">
        <v>93</v>
      </c>
      <c r="M18" s="182" t="s">
        <v>92</v>
      </c>
      <c r="N18" s="183" t="str">
        <f t="shared" si="1"/>
        <v>USD3L1L10Y</v>
      </c>
      <c r="O18" s="82" t="str">
        <v>USD3L1L10Y=ICAP</v>
      </c>
      <c r="P18" s="275">
        <v>11.9</v>
      </c>
      <c r="Q18" s="275">
        <v>0</v>
      </c>
      <c r="R18" s="289">
        <v>0</v>
      </c>
      <c r="S18" s="288">
        <v>0</v>
      </c>
      <c r="T18" s="275">
        <f>_xll.qlMidEquivalent(P18,Q18)</f>
        <v>11.9</v>
      </c>
      <c r="U18" s="286">
        <v>10</v>
      </c>
      <c r="V18" s="85" t="b">
        <f t="shared" si="2"/>
        <v>1</v>
      </c>
      <c r="W18" s="275">
        <v>11.9</v>
      </c>
      <c r="X18" s="194"/>
      <c r="Y18" s="281">
        <v>11.9</v>
      </c>
      <c r="Z18" s="194"/>
      <c r="AA18" s="275">
        <v>11.9</v>
      </c>
      <c r="AB18" s="187">
        <f>_xll.qlSimpleQuoteSetValue(F18,AA18/10000,Trigger)</f>
        <v>0</v>
      </c>
      <c r="AC18" s="77"/>
    </row>
    <row r="19" spans="1:29" ht="11.25" customHeight="1" x14ac:dyDescent="0.2">
      <c r="A19" s="76"/>
      <c r="B19" s="276" t="str">
        <f t="shared" si="3"/>
        <v>11Y</v>
      </c>
      <c r="C19" s="227" t="str">
        <f t="shared" si="4"/>
        <v>3L</v>
      </c>
      <c r="D19" s="228" t="str">
        <f t="shared" si="5"/>
        <v>1L</v>
      </c>
      <c r="E19" s="229" t="str">
        <f t="shared" si="0"/>
        <v>USD3L1L11Y_Quote</v>
      </c>
      <c r="F19" s="229" t="str">
        <f>_xll.qlSimpleQuote(E19,,RateTickValue,Permanent,Trigger,ObjectOverwrite)</f>
        <v>USD3L1L11Y_Quote#0000</v>
      </c>
      <c r="G19" s="277" t="str">
        <f>_xll.ohRangeRetrieveError(F19)</f>
        <v/>
      </c>
      <c r="H19" s="170"/>
      <c r="J19" s="284"/>
      <c r="K19" s="182" t="s">
        <v>75</v>
      </c>
      <c r="L19" s="182" t="s">
        <v>93</v>
      </c>
      <c r="M19" s="182" t="s">
        <v>92</v>
      </c>
      <c r="N19" s="183" t="str">
        <f t="shared" si="1"/>
        <v>USD3L1L11Y</v>
      </c>
      <c r="O19" s="82" t="str">
        <v>USD3L1L11Y=ICAP</v>
      </c>
      <c r="P19" s="275" t="s">
        <v>281</v>
      </c>
      <c r="Q19" s="275" t="s">
        <v>281</v>
      </c>
      <c r="R19" s="289" t="s">
        <v>281</v>
      </c>
      <c r="S19" s="288" t="s">
        <v>281</v>
      </c>
      <c r="T19" s="275" t="e">
        <f>_xll.qlMidEquivalent(P19,Q19)</f>
        <v>#NUM!</v>
      </c>
      <c r="U19" s="286">
        <v>11</v>
      </c>
      <c r="V19" s="85" t="b">
        <f t="shared" si="2"/>
        <v>0</v>
      </c>
      <c r="W19" s="275">
        <v>11.63146328572245</v>
      </c>
      <c r="X19" s="194"/>
      <c r="Y19" s="281">
        <v>11.631511486119631</v>
      </c>
      <c r="Z19" s="194"/>
      <c r="AA19" s="275">
        <v>11.63146328572245</v>
      </c>
      <c r="AB19" s="187">
        <f>_xll.qlSimpleQuoteSetValue(F19,AA19/10000,Trigger)</f>
        <v>1.2050099286453619E-10</v>
      </c>
      <c r="AC19" s="77"/>
    </row>
    <row r="20" spans="1:29" ht="11.25" customHeight="1" x14ac:dyDescent="0.2">
      <c r="A20" s="76"/>
      <c r="B20" s="276" t="str">
        <f t="shared" si="3"/>
        <v>12Y</v>
      </c>
      <c r="C20" s="227" t="str">
        <f t="shared" si="4"/>
        <v>3L</v>
      </c>
      <c r="D20" s="228" t="str">
        <f t="shared" si="5"/>
        <v>1L</v>
      </c>
      <c r="E20" s="229" t="str">
        <f t="shared" si="0"/>
        <v>USD3L1L12Y_Quote</v>
      </c>
      <c r="F20" s="229" t="str">
        <f>_xll.qlSimpleQuote(E20,,RateTickValue,Permanent,Trigger,ObjectOverwrite)</f>
        <v>USD3L1L12Y_Quote#0000</v>
      </c>
      <c r="G20" s="277" t="str">
        <f>_xll.ohRangeRetrieveError(F20)</f>
        <v/>
      </c>
      <c r="H20" s="170"/>
      <c r="J20" s="284"/>
      <c r="K20" s="182" t="s">
        <v>74</v>
      </c>
      <c r="L20" s="182" t="s">
        <v>93</v>
      </c>
      <c r="M20" s="182" t="s">
        <v>92</v>
      </c>
      <c r="N20" s="183" t="str">
        <f t="shared" si="1"/>
        <v>USD3L1L12Y</v>
      </c>
      <c r="O20" s="82" t="str">
        <v>USD3L1L12Y=ICAP</v>
      </c>
      <c r="P20" s="275">
        <v>11.4</v>
      </c>
      <c r="Q20" s="275">
        <v>0</v>
      </c>
      <c r="R20" s="289">
        <v>0</v>
      </c>
      <c r="S20" s="288">
        <v>0</v>
      </c>
      <c r="T20" s="275">
        <f>_xll.qlMidEquivalent(P20,Q20)</f>
        <v>11.4</v>
      </c>
      <c r="U20" s="286">
        <v>12</v>
      </c>
      <c r="V20" s="85" t="b">
        <f t="shared" si="2"/>
        <v>1</v>
      </c>
      <c r="W20" s="275">
        <v>11.4</v>
      </c>
      <c r="X20" s="194"/>
      <c r="Y20" s="281">
        <v>11.4</v>
      </c>
      <c r="Z20" s="194"/>
      <c r="AA20" s="275">
        <v>11.4</v>
      </c>
      <c r="AB20" s="187">
        <f>_xll.qlSimpleQuoteSetValue(F20,AA20/10000,Trigger)</f>
        <v>0</v>
      </c>
      <c r="AC20" s="77"/>
    </row>
    <row r="21" spans="1:29" ht="11.25" customHeight="1" x14ac:dyDescent="0.2">
      <c r="A21" s="76"/>
      <c r="B21" s="276" t="str">
        <f t="shared" si="3"/>
        <v>13Y</v>
      </c>
      <c r="C21" s="227" t="str">
        <f t="shared" si="4"/>
        <v>3L</v>
      </c>
      <c r="D21" s="228" t="str">
        <f t="shared" si="5"/>
        <v>1L</v>
      </c>
      <c r="E21" s="229" t="str">
        <f t="shared" si="0"/>
        <v>USD3L1L13Y_Quote</v>
      </c>
      <c r="F21" s="229" t="str">
        <f>_xll.qlSimpleQuote(E21,,RateTickValue,Permanent,Trigger,ObjectOverwrite)</f>
        <v>USD3L1L13Y_Quote#0000</v>
      </c>
      <c r="G21" s="277" t="str">
        <f>_xll.ohRangeRetrieveError(F21)</f>
        <v/>
      </c>
      <c r="H21" s="170"/>
      <c r="J21" s="284"/>
      <c r="K21" s="182" t="s">
        <v>73</v>
      </c>
      <c r="L21" s="182" t="s">
        <v>93</v>
      </c>
      <c r="M21" s="182" t="s">
        <v>92</v>
      </c>
      <c r="N21" s="183" t="str">
        <f t="shared" si="1"/>
        <v>USD3L1L13Y</v>
      </c>
      <c r="O21" s="82" t="str">
        <v>USD3L1L13Y=ICAP</v>
      </c>
      <c r="P21" s="275" t="s">
        <v>281</v>
      </c>
      <c r="Q21" s="275" t="s">
        <v>281</v>
      </c>
      <c r="R21" s="289" t="s">
        <v>281</v>
      </c>
      <c r="S21" s="288" t="s">
        <v>281</v>
      </c>
      <c r="T21" s="275" t="e">
        <f>_xll.qlMidEquivalent(P21,Q21)</f>
        <v>#NUM!</v>
      </c>
      <c r="U21" s="286">
        <v>13</v>
      </c>
      <c r="V21" s="85" t="b">
        <f t="shared" si="2"/>
        <v>0</v>
      </c>
      <c r="W21" s="275">
        <v>11.238208686101478</v>
      </c>
      <c r="X21" s="194"/>
      <c r="Y21" s="281">
        <v>11.238187856938389</v>
      </c>
      <c r="Z21" s="194"/>
      <c r="AA21" s="275">
        <v>11.238208686101478</v>
      </c>
      <c r="AB21" s="187">
        <f>_xll.qlSimpleQuoteSetValue(F21,AA21/10000,Trigger)</f>
        <v>-5.207290783466878E-11</v>
      </c>
      <c r="AC21" s="77"/>
    </row>
    <row r="22" spans="1:29" ht="11.25" customHeight="1" x14ac:dyDescent="0.2">
      <c r="A22" s="76"/>
      <c r="B22" s="276" t="str">
        <f t="shared" si="3"/>
        <v>14Y</v>
      </c>
      <c r="C22" s="227" t="str">
        <f t="shared" si="4"/>
        <v>3L</v>
      </c>
      <c r="D22" s="228" t="str">
        <f t="shared" si="5"/>
        <v>1L</v>
      </c>
      <c r="E22" s="229" t="str">
        <f t="shared" si="0"/>
        <v>USD3L1L14Y_Quote</v>
      </c>
      <c r="F22" s="229" t="str">
        <f>_xll.qlSimpleQuote(E22,,RateTickValue,Permanent,Trigger,ObjectOverwrite)</f>
        <v>USD3L1L14Y_Quote#0000</v>
      </c>
      <c r="G22" s="277" t="str">
        <f>_xll.ohRangeRetrieveError(F22)</f>
        <v/>
      </c>
      <c r="H22" s="170"/>
      <c r="J22" s="284"/>
      <c r="K22" s="182" t="s">
        <v>72</v>
      </c>
      <c r="L22" s="182" t="s">
        <v>93</v>
      </c>
      <c r="M22" s="182" t="s">
        <v>92</v>
      </c>
      <c r="N22" s="183" t="str">
        <f t="shared" si="1"/>
        <v>USD3L1L14Y</v>
      </c>
      <c r="O22" s="82" t="str">
        <v>USD3L1L14Y=ICAP</v>
      </c>
      <c r="P22" s="275" t="s">
        <v>281</v>
      </c>
      <c r="Q22" s="275" t="s">
        <v>281</v>
      </c>
      <c r="R22" s="289" t="s">
        <v>281</v>
      </c>
      <c r="S22" s="288" t="s">
        <v>281</v>
      </c>
      <c r="T22" s="275" t="e">
        <f>_xll.qlMidEquivalent(P22,Q22)</f>
        <v>#NUM!</v>
      </c>
      <c r="U22" s="286">
        <v>14</v>
      </c>
      <c r="V22" s="85" t="b">
        <f t="shared" si="2"/>
        <v>0</v>
      </c>
      <c r="W22" s="275">
        <v>11.140771009717405</v>
      </c>
      <c r="X22" s="194"/>
      <c r="Y22" s="281">
        <v>11.140760595135863</v>
      </c>
      <c r="Z22" s="194"/>
      <c r="AA22" s="275">
        <v>11.140771009717405</v>
      </c>
      <c r="AB22" s="187">
        <f>_xll.qlSimpleQuoteSetValue(F22,AA22/10000,Trigger)</f>
        <v>-2.6036453808914173E-11</v>
      </c>
      <c r="AC22" s="77"/>
    </row>
    <row r="23" spans="1:29" ht="11.25" customHeight="1" x14ac:dyDescent="0.2">
      <c r="A23" s="76"/>
      <c r="B23" s="276" t="str">
        <f t="shared" si="3"/>
        <v>15Y</v>
      </c>
      <c r="C23" s="227" t="str">
        <f t="shared" si="4"/>
        <v>3L</v>
      </c>
      <c r="D23" s="228" t="str">
        <f t="shared" si="5"/>
        <v>1L</v>
      </c>
      <c r="E23" s="229" t="str">
        <f t="shared" si="0"/>
        <v>USD3L1L15Y_Quote</v>
      </c>
      <c r="F23" s="229" t="str">
        <f>_xll.qlSimpleQuote(E23,,RateTickValue,Permanent,Trigger,ObjectOverwrite)</f>
        <v>USD3L1L15Y_Quote#0000</v>
      </c>
      <c r="G23" s="277" t="str">
        <f>_xll.ohRangeRetrieveError(F23)</f>
        <v/>
      </c>
      <c r="H23" s="170"/>
      <c r="J23" s="284"/>
      <c r="K23" s="182" t="s">
        <v>71</v>
      </c>
      <c r="L23" s="182" t="s">
        <v>93</v>
      </c>
      <c r="M23" s="182" t="s">
        <v>92</v>
      </c>
      <c r="N23" s="183" t="str">
        <f t="shared" si="1"/>
        <v>USD3L1L15Y</v>
      </c>
      <c r="O23" s="82" t="str">
        <v>USD3L1L15Y=ICAP</v>
      </c>
      <c r="P23" s="275">
        <v>11.1</v>
      </c>
      <c r="Q23" s="275">
        <v>0</v>
      </c>
      <c r="R23" s="289">
        <v>0</v>
      </c>
      <c r="S23" s="288">
        <v>0</v>
      </c>
      <c r="T23" s="275">
        <f>_xll.qlMidEquivalent(P23,Q23)</f>
        <v>11.1</v>
      </c>
      <c r="U23" s="286">
        <v>15</v>
      </c>
      <c r="V23" s="85" t="b">
        <f t="shared" si="2"/>
        <v>1</v>
      </c>
      <c r="W23" s="275">
        <v>11.1</v>
      </c>
      <c r="X23" s="194"/>
      <c r="Y23" s="281">
        <v>11.100000000000001</v>
      </c>
      <c r="Z23" s="194"/>
      <c r="AA23" s="275">
        <v>11.1</v>
      </c>
      <c r="AB23" s="187">
        <f>_xll.qlSimpleQuoteSetValue(F23,AA23/10000,Trigger)</f>
        <v>0</v>
      </c>
      <c r="AC23" s="77"/>
    </row>
    <row r="24" spans="1:29" ht="11.25" customHeight="1" x14ac:dyDescent="0.2">
      <c r="A24" s="76"/>
      <c r="B24" s="276" t="str">
        <f t="shared" si="3"/>
        <v>16Y</v>
      </c>
      <c r="C24" s="227" t="str">
        <f t="shared" si="4"/>
        <v>3L</v>
      </c>
      <c r="D24" s="228" t="str">
        <f t="shared" si="5"/>
        <v>1L</v>
      </c>
      <c r="E24" s="229" t="str">
        <f t="shared" si="0"/>
        <v>USD3L1L16Y_Quote</v>
      </c>
      <c r="F24" s="229" t="str">
        <f>_xll.qlSimpleQuote(E24,,RateTickValue,Permanent,Trigger,ObjectOverwrite)</f>
        <v>USD3L1L16Y_Quote#0000</v>
      </c>
      <c r="G24" s="277" t="str">
        <f>_xll.ohRangeRetrieveError(F24)</f>
        <v/>
      </c>
      <c r="H24" s="170"/>
      <c r="J24" s="284"/>
      <c r="K24" s="182" t="s">
        <v>70</v>
      </c>
      <c r="L24" s="182" t="s">
        <v>93</v>
      </c>
      <c r="M24" s="182" t="s">
        <v>92</v>
      </c>
      <c r="N24" s="183" t="str">
        <f t="shared" si="1"/>
        <v>USD3L1L16Y</v>
      </c>
      <c r="O24" s="82" t="str">
        <v>USD3L1L16Y=ICAP</v>
      </c>
      <c r="P24" s="275" t="s">
        <v>281</v>
      </c>
      <c r="Q24" s="275" t="s">
        <v>281</v>
      </c>
      <c r="R24" s="289" t="s">
        <v>281</v>
      </c>
      <c r="S24" s="288" t="s">
        <v>281</v>
      </c>
      <c r="T24" s="275" t="e">
        <f>_xll.qlMidEquivalent(P24,Q24)</f>
        <v>#NUM!</v>
      </c>
      <c r="U24" s="286">
        <v>16</v>
      </c>
      <c r="V24" s="85" t="b">
        <f t="shared" si="2"/>
        <v>0</v>
      </c>
      <c r="W24" s="275">
        <v>11.087999999999999</v>
      </c>
      <c r="X24" s="194"/>
      <c r="Y24" s="281">
        <v>11.088000000000001</v>
      </c>
      <c r="Z24" s="194"/>
      <c r="AA24" s="275">
        <v>11.087999999999999</v>
      </c>
      <c r="AB24" s="187">
        <f>_xll.qlSimpleQuoteSetValue(F24,AA24/10000,Trigger)</f>
        <v>0</v>
      </c>
      <c r="AC24" s="77"/>
    </row>
    <row r="25" spans="1:29" ht="11.25" customHeight="1" x14ac:dyDescent="0.2">
      <c r="A25" s="76"/>
      <c r="B25" s="276" t="str">
        <f t="shared" si="3"/>
        <v>17Y</v>
      </c>
      <c r="C25" s="227" t="str">
        <f t="shared" si="4"/>
        <v>3L</v>
      </c>
      <c r="D25" s="228" t="str">
        <f t="shared" si="5"/>
        <v>1L</v>
      </c>
      <c r="E25" s="229" t="str">
        <f t="shared" si="0"/>
        <v>USD3L1L17Y_Quote</v>
      </c>
      <c r="F25" s="229" t="str">
        <f>_xll.qlSimpleQuote(E25,,RateTickValue,Permanent,Trigger,ObjectOverwrite)</f>
        <v>USD3L1L17Y_Quote#0000</v>
      </c>
      <c r="G25" s="277" t="str">
        <f>_xll.ohRangeRetrieveError(F25)</f>
        <v/>
      </c>
      <c r="H25" s="170"/>
      <c r="J25" s="284"/>
      <c r="K25" s="182" t="s">
        <v>69</v>
      </c>
      <c r="L25" s="182" t="s">
        <v>93</v>
      </c>
      <c r="M25" s="182" t="s">
        <v>92</v>
      </c>
      <c r="N25" s="183" t="str">
        <f t="shared" si="1"/>
        <v>USD3L1L17Y</v>
      </c>
      <c r="O25" s="82" t="str">
        <v>USD3L1L17Y=ICAP</v>
      </c>
      <c r="P25" s="275" t="s">
        <v>281</v>
      </c>
      <c r="Q25" s="275" t="s">
        <v>281</v>
      </c>
      <c r="R25" s="289" t="s">
        <v>281</v>
      </c>
      <c r="S25" s="288" t="s">
        <v>281</v>
      </c>
      <c r="T25" s="275" t="e">
        <f>_xll.qlMidEquivalent(P25,Q25)</f>
        <v>#NUM!</v>
      </c>
      <c r="U25" s="286">
        <v>17</v>
      </c>
      <c r="V25" s="85" t="b">
        <f t="shared" si="2"/>
        <v>0</v>
      </c>
      <c r="W25" s="275">
        <v>11.081999999999999</v>
      </c>
      <c r="X25" s="194"/>
      <c r="Y25" s="281">
        <v>11.082000000000001</v>
      </c>
      <c r="Z25" s="194"/>
      <c r="AA25" s="275">
        <v>11.081999999999999</v>
      </c>
      <c r="AB25" s="187">
        <f>_xll.qlSimpleQuoteSetValue(F25,AA25/10000,Trigger)</f>
        <v>0</v>
      </c>
      <c r="AC25" s="77"/>
    </row>
    <row r="26" spans="1:29" ht="11.25" customHeight="1" x14ac:dyDescent="0.2">
      <c r="A26" s="76"/>
      <c r="B26" s="276" t="str">
        <f t="shared" si="3"/>
        <v>18Y</v>
      </c>
      <c r="C26" s="227" t="str">
        <f t="shared" si="4"/>
        <v>3L</v>
      </c>
      <c r="D26" s="228" t="str">
        <f t="shared" si="5"/>
        <v>1L</v>
      </c>
      <c r="E26" s="229" t="str">
        <f t="shared" si="0"/>
        <v>USD3L1L18Y_Quote</v>
      </c>
      <c r="F26" s="229" t="str">
        <f>_xll.qlSimpleQuote(E26,,RateTickValue,Permanent,Trigger,ObjectOverwrite)</f>
        <v>USD3L1L18Y_Quote#0000</v>
      </c>
      <c r="G26" s="277" t="str">
        <f>_xll.ohRangeRetrieveError(F26)</f>
        <v/>
      </c>
      <c r="H26" s="170"/>
      <c r="J26" s="284"/>
      <c r="K26" s="182" t="s">
        <v>68</v>
      </c>
      <c r="L26" s="182" t="s">
        <v>93</v>
      </c>
      <c r="M26" s="182" t="s">
        <v>92</v>
      </c>
      <c r="N26" s="183" t="str">
        <f t="shared" si="1"/>
        <v>USD3L1L18Y</v>
      </c>
      <c r="O26" s="82" t="str">
        <v>USD3L1L18Y=ICAP</v>
      </c>
      <c r="P26" s="275" t="s">
        <v>281</v>
      </c>
      <c r="Q26" s="275" t="s">
        <v>281</v>
      </c>
      <c r="R26" s="289" t="s">
        <v>281</v>
      </c>
      <c r="S26" s="288" t="s">
        <v>281</v>
      </c>
      <c r="T26" s="275" t="e">
        <f>_xll.qlMidEquivalent(P26,Q26)</f>
        <v>#NUM!</v>
      </c>
      <c r="U26" s="286">
        <v>18</v>
      </c>
      <c r="V26" s="85" t="b">
        <f t="shared" si="2"/>
        <v>0</v>
      </c>
      <c r="W26" s="275">
        <v>11.081999999999999</v>
      </c>
      <c r="X26" s="194"/>
      <c r="Y26" s="281">
        <v>11.082000000000001</v>
      </c>
      <c r="Z26" s="194"/>
      <c r="AA26" s="275">
        <v>11.081999999999999</v>
      </c>
      <c r="AB26" s="187">
        <f>_xll.qlSimpleQuoteSetValue(F26,AA26/10000,Trigger)</f>
        <v>0</v>
      </c>
      <c r="AC26" s="77"/>
    </row>
    <row r="27" spans="1:29" ht="11.25" customHeight="1" x14ac:dyDescent="0.2">
      <c r="A27" s="76"/>
      <c r="B27" s="276" t="str">
        <f t="shared" si="3"/>
        <v>19Y</v>
      </c>
      <c r="C27" s="227" t="str">
        <f t="shared" si="4"/>
        <v>3L</v>
      </c>
      <c r="D27" s="228" t="str">
        <f t="shared" si="5"/>
        <v>1L</v>
      </c>
      <c r="E27" s="229" t="str">
        <f t="shared" si="0"/>
        <v>USD3L1L19Y_Quote</v>
      </c>
      <c r="F27" s="229" t="str">
        <f>_xll.qlSimpleQuote(E27,,RateTickValue,Permanent,Trigger,ObjectOverwrite)</f>
        <v>USD3L1L19Y_Quote#0000</v>
      </c>
      <c r="G27" s="277" t="str">
        <f>_xll.ohRangeRetrieveError(F27)</f>
        <v/>
      </c>
      <c r="H27" s="170"/>
      <c r="J27" s="284"/>
      <c r="K27" s="182" t="s">
        <v>67</v>
      </c>
      <c r="L27" s="182" t="s">
        <v>93</v>
      </c>
      <c r="M27" s="182" t="s">
        <v>92</v>
      </c>
      <c r="N27" s="183" t="str">
        <f t="shared" si="1"/>
        <v>USD3L1L19Y</v>
      </c>
      <c r="O27" s="82" t="str">
        <v>USD3L1L19Y=ICAP</v>
      </c>
      <c r="P27" s="275" t="s">
        <v>281</v>
      </c>
      <c r="Q27" s="275" t="s">
        <v>281</v>
      </c>
      <c r="R27" s="289" t="s">
        <v>281</v>
      </c>
      <c r="S27" s="288" t="s">
        <v>281</v>
      </c>
      <c r="T27" s="275" t="e">
        <f>_xll.qlMidEquivalent(P27,Q27)</f>
        <v>#NUM!</v>
      </c>
      <c r="U27" s="286">
        <v>19</v>
      </c>
      <c r="V27" s="85" t="b">
        <f t="shared" si="2"/>
        <v>0</v>
      </c>
      <c r="W27" s="275">
        <v>11.087999999999999</v>
      </c>
      <c r="X27" s="194"/>
      <c r="Y27" s="281">
        <v>11.088000000000001</v>
      </c>
      <c r="Z27" s="194"/>
      <c r="AA27" s="275">
        <v>11.087999999999999</v>
      </c>
      <c r="AB27" s="187">
        <f>_xll.qlSimpleQuoteSetValue(F27,AA27/10000,Trigger)</f>
        <v>0</v>
      </c>
      <c r="AC27" s="77"/>
    </row>
    <row r="28" spans="1:29" ht="11.25" customHeight="1" x14ac:dyDescent="0.2">
      <c r="A28" s="76"/>
      <c r="B28" s="276" t="str">
        <f t="shared" si="3"/>
        <v>20Y</v>
      </c>
      <c r="C28" s="227" t="str">
        <f t="shared" si="4"/>
        <v>3L</v>
      </c>
      <c r="D28" s="228" t="str">
        <f t="shared" si="5"/>
        <v>1L</v>
      </c>
      <c r="E28" s="229" t="str">
        <f t="shared" si="0"/>
        <v>USD3L1L20Y_Quote</v>
      </c>
      <c r="F28" s="229" t="str">
        <f>_xll.qlSimpleQuote(E28,,RateTickValue,Permanent,Trigger,ObjectOverwrite)</f>
        <v>USD3L1L20Y_Quote#0000</v>
      </c>
      <c r="G28" s="277" t="str">
        <f>_xll.ohRangeRetrieveError(F28)</f>
        <v/>
      </c>
      <c r="H28" s="170"/>
      <c r="J28" s="284"/>
      <c r="K28" s="182" t="s">
        <v>66</v>
      </c>
      <c r="L28" s="182" t="s">
        <v>93</v>
      </c>
      <c r="M28" s="182" t="s">
        <v>92</v>
      </c>
      <c r="N28" s="183" t="str">
        <f t="shared" si="1"/>
        <v>USD3L1L20Y</v>
      </c>
      <c r="O28" s="82" t="str">
        <v>USD3L1L20Y=ICAP</v>
      </c>
      <c r="P28" s="275">
        <v>11.1</v>
      </c>
      <c r="Q28" s="275">
        <v>0</v>
      </c>
      <c r="R28" s="289">
        <v>0</v>
      </c>
      <c r="S28" s="288">
        <v>0</v>
      </c>
      <c r="T28" s="275">
        <f>_xll.qlMidEquivalent(P28,Q28)</f>
        <v>11.1</v>
      </c>
      <c r="U28" s="286">
        <v>20</v>
      </c>
      <c r="V28" s="85" t="b">
        <f t="shared" si="2"/>
        <v>1</v>
      </c>
      <c r="W28" s="275">
        <v>11.1</v>
      </c>
      <c r="X28" s="194"/>
      <c r="Y28" s="281">
        <v>11.100000000000001</v>
      </c>
      <c r="Z28" s="194"/>
      <c r="AA28" s="275">
        <v>11.1</v>
      </c>
      <c r="AB28" s="187">
        <f>_xll.qlSimpleQuoteSetValue(F28,AA28/10000,Trigger)</f>
        <v>0</v>
      </c>
      <c r="AC28" s="77"/>
    </row>
    <row r="29" spans="1:29" ht="11.25" customHeight="1" x14ac:dyDescent="0.2">
      <c r="A29" s="76"/>
      <c r="B29" s="276" t="str">
        <f t="shared" si="3"/>
        <v>21Y</v>
      </c>
      <c r="C29" s="227" t="str">
        <f t="shared" si="4"/>
        <v>3L</v>
      </c>
      <c r="D29" s="228" t="str">
        <f t="shared" si="5"/>
        <v>1L</v>
      </c>
      <c r="E29" s="229" t="str">
        <f t="shared" si="0"/>
        <v>USD3L1L21Y_Quote</v>
      </c>
      <c r="F29" s="229" t="str">
        <f>_xll.qlSimpleQuote(E29,,RateTickValue,Permanent,Trigger,ObjectOverwrite)</f>
        <v>USD3L1L21Y_Quote#0000</v>
      </c>
      <c r="G29" s="277" t="str">
        <f>_xll.ohRangeRetrieveError(F29)</f>
        <v/>
      </c>
      <c r="H29" s="170"/>
      <c r="J29" s="284"/>
      <c r="K29" s="182" t="s">
        <v>65</v>
      </c>
      <c r="L29" s="182" t="s">
        <v>93</v>
      </c>
      <c r="M29" s="182" t="s">
        <v>92</v>
      </c>
      <c r="N29" s="183" t="str">
        <f t="shared" si="1"/>
        <v>USD3L1L21Y</v>
      </c>
      <c r="O29" s="82" t="str">
        <v>USD3L1L21Y=ICAP</v>
      </c>
      <c r="P29" s="275" t="s">
        <v>281</v>
      </c>
      <c r="Q29" s="275" t="s">
        <v>281</v>
      </c>
      <c r="R29" s="289" t="s">
        <v>281</v>
      </c>
      <c r="S29" s="288" t="s">
        <v>281</v>
      </c>
      <c r="T29" s="275" t="e">
        <f>_xll.qlMidEquivalent(P29,Q29)</f>
        <v>#NUM!</v>
      </c>
      <c r="U29" s="286">
        <v>21</v>
      </c>
      <c r="V29" s="85" t="b">
        <f t="shared" si="2"/>
        <v>0</v>
      </c>
      <c r="W29" s="275">
        <v>11.12</v>
      </c>
      <c r="X29" s="194"/>
      <c r="Y29" s="281">
        <v>11.120000000000001</v>
      </c>
      <c r="Z29" s="194"/>
      <c r="AA29" s="275">
        <v>11.12</v>
      </c>
      <c r="AB29" s="187">
        <f>_xll.qlSimpleQuoteSetValue(F29,AA29/10000,Trigger)</f>
        <v>0</v>
      </c>
      <c r="AC29" s="77"/>
    </row>
    <row r="30" spans="1:29" ht="11.25" customHeight="1" x14ac:dyDescent="0.2">
      <c r="A30" s="76"/>
      <c r="B30" s="276" t="str">
        <f t="shared" si="3"/>
        <v>22Y</v>
      </c>
      <c r="C30" s="227" t="str">
        <f t="shared" si="4"/>
        <v>3L</v>
      </c>
      <c r="D30" s="228" t="str">
        <f t="shared" si="5"/>
        <v>1L</v>
      </c>
      <c r="E30" s="229" t="str">
        <f t="shared" si="0"/>
        <v>USD3L1L22Y_Quote</v>
      </c>
      <c r="F30" s="229" t="str">
        <f>_xll.qlSimpleQuote(E30,,RateTickValue,Permanent,Trigger,ObjectOverwrite)</f>
        <v>USD3L1L22Y_Quote#0000</v>
      </c>
      <c r="G30" s="277" t="str">
        <f>_xll.ohRangeRetrieveError(F30)</f>
        <v/>
      </c>
      <c r="H30" s="170"/>
      <c r="J30" s="284"/>
      <c r="K30" s="182" t="s">
        <v>64</v>
      </c>
      <c r="L30" s="182" t="s">
        <v>93</v>
      </c>
      <c r="M30" s="182" t="s">
        <v>92</v>
      </c>
      <c r="N30" s="183" t="str">
        <f t="shared" si="1"/>
        <v>USD3L1L22Y</v>
      </c>
      <c r="O30" s="82" t="str">
        <v>USD3L1L22Y=ICAP</v>
      </c>
      <c r="P30" s="275" t="s">
        <v>281</v>
      </c>
      <c r="Q30" s="275" t="s">
        <v>281</v>
      </c>
      <c r="R30" s="289" t="s">
        <v>281</v>
      </c>
      <c r="S30" s="288" t="s">
        <v>281</v>
      </c>
      <c r="T30" s="275" t="e">
        <f>_xll.qlMidEquivalent(P30,Q30)</f>
        <v>#NUM!</v>
      </c>
      <c r="U30" s="286">
        <v>22</v>
      </c>
      <c r="V30" s="85" t="b">
        <f t="shared" si="2"/>
        <v>0</v>
      </c>
      <c r="W30" s="275">
        <v>11.145999999999999</v>
      </c>
      <c r="X30" s="194"/>
      <c r="Y30" s="281">
        <v>11.146000000000001</v>
      </c>
      <c r="Z30" s="194"/>
      <c r="AA30" s="275">
        <v>11.145999999999999</v>
      </c>
      <c r="AB30" s="187">
        <f>_xll.qlSimpleQuoteSetValue(F30,AA30/10000,Trigger)</f>
        <v>0</v>
      </c>
      <c r="AC30" s="77"/>
    </row>
    <row r="31" spans="1:29" ht="11.25" customHeight="1" x14ac:dyDescent="0.2">
      <c r="A31" s="76"/>
      <c r="B31" s="276" t="str">
        <f t="shared" si="3"/>
        <v>23Y</v>
      </c>
      <c r="C31" s="227" t="str">
        <f t="shared" si="4"/>
        <v>3L</v>
      </c>
      <c r="D31" s="228" t="str">
        <f t="shared" si="5"/>
        <v>1L</v>
      </c>
      <c r="E31" s="229" t="str">
        <f t="shared" si="0"/>
        <v>USD3L1L23Y_Quote</v>
      </c>
      <c r="F31" s="229" t="str">
        <f>_xll.qlSimpleQuote(E31,,RateTickValue,Permanent,Trigger,ObjectOverwrite)</f>
        <v>USD3L1L23Y_Quote#0000</v>
      </c>
      <c r="G31" s="277" t="str">
        <f>_xll.ohRangeRetrieveError(F31)</f>
        <v/>
      </c>
      <c r="H31" s="170"/>
      <c r="J31" s="284"/>
      <c r="K31" s="182" t="s">
        <v>63</v>
      </c>
      <c r="L31" s="182" t="s">
        <v>93</v>
      </c>
      <c r="M31" s="182" t="s">
        <v>92</v>
      </c>
      <c r="N31" s="183" t="str">
        <f t="shared" si="1"/>
        <v>USD3L1L23Y</v>
      </c>
      <c r="O31" s="82" t="str">
        <v>USD3L1L23Y=ICAP</v>
      </c>
      <c r="P31" s="275" t="s">
        <v>281</v>
      </c>
      <c r="Q31" s="275" t="s">
        <v>281</v>
      </c>
      <c r="R31" s="289" t="s">
        <v>281</v>
      </c>
      <c r="S31" s="288" t="s">
        <v>281</v>
      </c>
      <c r="T31" s="275" t="e">
        <f>_xll.qlMidEquivalent(P31,Q31)</f>
        <v>#NUM!</v>
      </c>
      <c r="U31" s="286">
        <v>23</v>
      </c>
      <c r="V31" s="85" t="b">
        <f t="shared" si="2"/>
        <v>0</v>
      </c>
      <c r="W31" s="275">
        <v>11.171999999999999</v>
      </c>
      <c r="X31" s="194"/>
      <c r="Y31" s="281">
        <v>11.172000000000001</v>
      </c>
      <c r="Z31" s="194"/>
      <c r="AA31" s="275">
        <v>11.171999999999999</v>
      </c>
      <c r="AB31" s="187">
        <f>_xll.qlSimpleQuoteSetValue(F31,AA31/10000,Trigger)</f>
        <v>0</v>
      </c>
      <c r="AC31" s="77"/>
    </row>
    <row r="32" spans="1:29" ht="11.25" customHeight="1" x14ac:dyDescent="0.2">
      <c r="A32" s="76"/>
      <c r="B32" s="276" t="str">
        <f t="shared" si="3"/>
        <v>24Y</v>
      </c>
      <c r="C32" s="227" t="str">
        <f t="shared" si="4"/>
        <v>3L</v>
      </c>
      <c r="D32" s="228" t="str">
        <f t="shared" si="5"/>
        <v>1L</v>
      </c>
      <c r="E32" s="229" t="str">
        <f t="shared" si="0"/>
        <v>USD3L1L24Y_Quote</v>
      </c>
      <c r="F32" s="229" t="str">
        <f>_xll.qlSimpleQuote(E32,,RateTickValue,Permanent,Trigger,ObjectOverwrite)</f>
        <v>USD3L1L24Y_Quote#0000</v>
      </c>
      <c r="G32" s="277" t="str">
        <f>_xll.ohRangeRetrieveError(F32)</f>
        <v/>
      </c>
      <c r="H32" s="170"/>
      <c r="J32" s="284"/>
      <c r="K32" s="182" t="s">
        <v>62</v>
      </c>
      <c r="L32" s="182" t="s">
        <v>93</v>
      </c>
      <c r="M32" s="182" t="s">
        <v>92</v>
      </c>
      <c r="N32" s="183" t="str">
        <f t="shared" si="1"/>
        <v>USD3L1L24Y</v>
      </c>
      <c r="O32" s="82" t="str">
        <v>USD3L1L24Y=ICAP</v>
      </c>
      <c r="P32" s="275" t="s">
        <v>281</v>
      </c>
      <c r="Q32" s="275" t="s">
        <v>281</v>
      </c>
      <c r="R32" s="289" t="s">
        <v>281</v>
      </c>
      <c r="S32" s="288" t="s">
        <v>281</v>
      </c>
      <c r="T32" s="275" t="e">
        <f>_xll.qlMidEquivalent(P32,Q32)</f>
        <v>#NUM!</v>
      </c>
      <c r="U32" s="286">
        <v>24</v>
      </c>
      <c r="V32" s="85" t="b">
        <f t="shared" si="2"/>
        <v>0</v>
      </c>
      <c r="W32" s="275">
        <v>11.192</v>
      </c>
      <c r="X32" s="194"/>
      <c r="Y32" s="281">
        <v>11.192000000000002</v>
      </c>
      <c r="Z32" s="194"/>
      <c r="AA32" s="275">
        <v>11.192</v>
      </c>
      <c r="AB32" s="187">
        <f>_xll.qlSimpleQuoteSetValue(F32,AA32/10000,Trigger)</f>
        <v>0</v>
      </c>
      <c r="AC32" s="77"/>
    </row>
    <row r="33" spans="1:29" ht="11.25" customHeight="1" x14ac:dyDescent="0.2">
      <c r="A33" s="76"/>
      <c r="B33" s="276" t="str">
        <f t="shared" si="3"/>
        <v>25Y</v>
      </c>
      <c r="C33" s="227" t="str">
        <f t="shared" si="4"/>
        <v>3L</v>
      </c>
      <c r="D33" s="228" t="str">
        <f t="shared" si="5"/>
        <v>1L</v>
      </c>
      <c r="E33" s="229" t="str">
        <f t="shared" si="0"/>
        <v>USD3L1L25Y_Quote</v>
      </c>
      <c r="F33" s="229" t="str">
        <f>_xll.qlSimpleQuote(E33,,RateTickValue,Permanent,Trigger,ObjectOverwrite)</f>
        <v>USD3L1L25Y_Quote#0000</v>
      </c>
      <c r="G33" s="277" t="str">
        <f>_xll.ohRangeRetrieveError(F33)</f>
        <v/>
      </c>
      <c r="H33" s="170"/>
      <c r="J33" s="284"/>
      <c r="K33" s="182" t="s">
        <v>61</v>
      </c>
      <c r="L33" s="182" t="s">
        <v>93</v>
      </c>
      <c r="M33" s="182" t="s">
        <v>92</v>
      </c>
      <c r="N33" s="183" t="str">
        <f t="shared" si="1"/>
        <v>USD3L1L25Y</v>
      </c>
      <c r="O33" s="82" t="str">
        <v>USD3L1L25Y=ICAP</v>
      </c>
      <c r="P33" s="275">
        <v>11.2</v>
      </c>
      <c r="Q33" s="275">
        <v>0</v>
      </c>
      <c r="R33" s="289">
        <v>0</v>
      </c>
      <c r="S33" s="288">
        <v>0</v>
      </c>
      <c r="T33" s="275">
        <f>_xll.qlMidEquivalent(P33,Q33)</f>
        <v>11.2</v>
      </c>
      <c r="U33" s="286">
        <v>25</v>
      </c>
      <c r="V33" s="85" t="b">
        <f t="shared" si="2"/>
        <v>1</v>
      </c>
      <c r="W33" s="275">
        <v>11.2</v>
      </c>
      <c r="X33" s="194"/>
      <c r="Y33" s="281">
        <v>11.200000000000001</v>
      </c>
      <c r="Z33" s="194"/>
      <c r="AA33" s="275">
        <v>11.2</v>
      </c>
      <c r="AB33" s="187">
        <f>_xll.qlSimpleQuoteSetValue(F33,AA33/10000,Trigger)</f>
        <v>0</v>
      </c>
      <c r="AC33" s="77"/>
    </row>
    <row r="34" spans="1:29" ht="11.25" customHeight="1" x14ac:dyDescent="0.2">
      <c r="A34" s="76"/>
      <c r="B34" s="276" t="str">
        <f t="shared" si="3"/>
        <v>26Y</v>
      </c>
      <c r="C34" s="227" t="str">
        <f t="shared" si="4"/>
        <v>3L</v>
      </c>
      <c r="D34" s="228" t="str">
        <f t="shared" si="5"/>
        <v>1L</v>
      </c>
      <c r="E34" s="229" t="str">
        <f t="shared" si="0"/>
        <v>USD3L1L26Y_Quote</v>
      </c>
      <c r="F34" s="229" t="str">
        <f>_xll.qlSimpleQuote(E34,,RateTickValue,Permanent,Trigger,ObjectOverwrite)</f>
        <v>USD3L1L26Y_Quote#0000</v>
      </c>
      <c r="G34" s="277" t="str">
        <f>_xll.ohRangeRetrieveError(F34)</f>
        <v/>
      </c>
      <c r="H34" s="170"/>
      <c r="J34" s="284"/>
      <c r="K34" s="182" t="s">
        <v>60</v>
      </c>
      <c r="L34" s="182" t="s">
        <v>93</v>
      </c>
      <c r="M34" s="182" t="s">
        <v>92</v>
      </c>
      <c r="N34" s="183" t="str">
        <f t="shared" si="1"/>
        <v>USD3L1L26Y</v>
      </c>
      <c r="O34" s="82" t="str">
        <v>USD3L1L26Y=ICAP</v>
      </c>
      <c r="P34" s="275" t="s">
        <v>281</v>
      </c>
      <c r="Q34" s="275" t="s">
        <v>281</v>
      </c>
      <c r="R34" s="289" t="s">
        <v>281</v>
      </c>
      <c r="S34" s="288" t="s">
        <v>281</v>
      </c>
      <c r="T34" s="275" t="e">
        <f>_xll.qlMidEquivalent(P34,Q34)</f>
        <v>#NUM!</v>
      </c>
      <c r="U34" s="286">
        <v>26</v>
      </c>
      <c r="V34" s="85" t="b">
        <f t="shared" si="2"/>
        <v>0</v>
      </c>
      <c r="W34" s="275">
        <v>11.2</v>
      </c>
      <c r="X34" s="194"/>
      <c r="Y34" s="281">
        <v>11.200000000000001</v>
      </c>
      <c r="Z34" s="194"/>
      <c r="AA34" s="275">
        <v>11.2</v>
      </c>
      <c r="AB34" s="187">
        <f>_xll.qlSimpleQuoteSetValue(F34,AA34/10000,Trigger)</f>
        <v>0</v>
      </c>
      <c r="AC34" s="77"/>
    </row>
    <row r="35" spans="1:29" ht="11.25" customHeight="1" x14ac:dyDescent="0.2">
      <c r="A35" s="76"/>
      <c r="B35" s="276" t="str">
        <f t="shared" si="3"/>
        <v>27Y</v>
      </c>
      <c r="C35" s="227" t="str">
        <f t="shared" si="4"/>
        <v>3L</v>
      </c>
      <c r="D35" s="228" t="str">
        <f t="shared" si="5"/>
        <v>1L</v>
      </c>
      <c r="E35" s="229" t="str">
        <f t="shared" si="0"/>
        <v>USD3L1L27Y_Quote</v>
      </c>
      <c r="F35" s="229" t="str">
        <f>_xll.qlSimpleQuote(E35,,RateTickValue,Permanent,Trigger,ObjectOverwrite)</f>
        <v>USD3L1L27Y_Quote#0000</v>
      </c>
      <c r="G35" s="277" t="str">
        <f>_xll.ohRangeRetrieveError(F35)</f>
        <v/>
      </c>
      <c r="H35" s="170"/>
      <c r="J35" s="284"/>
      <c r="K35" s="182" t="s">
        <v>59</v>
      </c>
      <c r="L35" s="182" t="s">
        <v>93</v>
      </c>
      <c r="M35" s="182" t="s">
        <v>92</v>
      </c>
      <c r="N35" s="183" t="str">
        <f t="shared" si="1"/>
        <v>USD3L1L27Y</v>
      </c>
      <c r="O35" s="82" t="str">
        <v>USD3L1L27Y=ICAP</v>
      </c>
      <c r="P35" s="275" t="s">
        <v>281</v>
      </c>
      <c r="Q35" s="275" t="s">
        <v>281</v>
      </c>
      <c r="R35" s="289" t="s">
        <v>281</v>
      </c>
      <c r="S35" s="288" t="s">
        <v>281</v>
      </c>
      <c r="T35" s="275" t="e">
        <f>_xll.qlMidEquivalent(P35,Q35)</f>
        <v>#NUM!</v>
      </c>
      <c r="U35" s="286">
        <v>27</v>
      </c>
      <c r="V35" s="85" t="b">
        <f t="shared" si="2"/>
        <v>0</v>
      </c>
      <c r="W35" s="275">
        <v>11.2</v>
      </c>
      <c r="X35" s="194"/>
      <c r="Y35" s="281">
        <v>11.200000000000001</v>
      </c>
      <c r="Z35" s="194"/>
      <c r="AA35" s="275">
        <v>11.2</v>
      </c>
      <c r="AB35" s="187">
        <f>_xll.qlSimpleQuoteSetValue(F35,AA35/10000,Trigger)</f>
        <v>0</v>
      </c>
      <c r="AC35" s="77"/>
    </row>
    <row r="36" spans="1:29" ht="11.25" customHeight="1" x14ac:dyDescent="0.2">
      <c r="A36" s="76"/>
      <c r="B36" s="276" t="str">
        <f t="shared" si="3"/>
        <v>28Y</v>
      </c>
      <c r="C36" s="227" t="str">
        <f t="shared" si="4"/>
        <v>3L</v>
      </c>
      <c r="D36" s="228" t="str">
        <f t="shared" si="5"/>
        <v>1L</v>
      </c>
      <c r="E36" s="229" t="str">
        <f t="shared" si="0"/>
        <v>USD3L1L28Y_Quote</v>
      </c>
      <c r="F36" s="229" t="str">
        <f>_xll.qlSimpleQuote(E36,,RateTickValue,Permanent,Trigger,ObjectOverwrite)</f>
        <v>USD3L1L28Y_Quote#0000</v>
      </c>
      <c r="G36" s="277" t="str">
        <f>_xll.ohRangeRetrieveError(F36)</f>
        <v/>
      </c>
      <c r="H36" s="170"/>
      <c r="J36" s="284"/>
      <c r="K36" s="182" t="s">
        <v>58</v>
      </c>
      <c r="L36" s="182" t="s">
        <v>93</v>
      </c>
      <c r="M36" s="182" t="s">
        <v>92</v>
      </c>
      <c r="N36" s="183" t="str">
        <f t="shared" si="1"/>
        <v>USD3L1L28Y</v>
      </c>
      <c r="O36" s="82" t="str">
        <v>USD3L1L28Y=ICAP</v>
      </c>
      <c r="P36" s="275" t="s">
        <v>281</v>
      </c>
      <c r="Q36" s="275" t="s">
        <v>281</v>
      </c>
      <c r="R36" s="289" t="s">
        <v>281</v>
      </c>
      <c r="S36" s="288" t="s">
        <v>281</v>
      </c>
      <c r="T36" s="275" t="e">
        <f>_xll.qlMidEquivalent(P36,Q36)</f>
        <v>#NUM!</v>
      </c>
      <c r="U36" s="286">
        <v>28</v>
      </c>
      <c r="V36" s="85" t="b">
        <f t="shared" si="2"/>
        <v>0</v>
      </c>
      <c r="W36" s="275">
        <v>11.2</v>
      </c>
      <c r="X36" s="194"/>
      <c r="Y36" s="281">
        <v>11.200000000000001</v>
      </c>
      <c r="Z36" s="194"/>
      <c r="AA36" s="275">
        <v>11.2</v>
      </c>
      <c r="AB36" s="187">
        <f>_xll.qlSimpleQuoteSetValue(F36,AA36/10000,Trigger)</f>
        <v>0</v>
      </c>
      <c r="AC36" s="77"/>
    </row>
    <row r="37" spans="1:29" ht="11.25" customHeight="1" x14ac:dyDescent="0.2">
      <c r="A37" s="76"/>
      <c r="B37" s="276" t="str">
        <f t="shared" si="3"/>
        <v>29Y</v>
      </c>
      <c r="C37" s="227" t="str">
        <f t="shared" si="4"/>
        <v>3L</v>
      </c>
      <c r="D37" s="228" t="str">
        <f t="shared" si="5"/>
        <v>1L</v>
      </c>
      <c r="E37" s="229" t="str">
        <f t="shared" si="0"/>
        <v>USD3L1L29Y_Quote</v>
      </c>
      <c r="F37" s="229" t="str">
        <f>_xll.qlSimpleQuote(E37,,RateTickValue,Permanent,Trigger,ObjectOverwrite)</f>
        <v>USD3L1L29Y_Quote#0000</v>
      </c>
      <c r="G37" s="277" t="str">
        <f>_xll.ohRangeRetrieveError(F37)</f>
        <v/>
      </c>
      <c r="H37" s="170"/>
      <c r="J37" s="284"/>
      <c r="K37" s="182" t="s">
        <v>57</v>
      </c>
      <c r="L37" s="182" t="s">
        <v>93</v>
      </c>
      <c r="M37" s="182" t="s">
        <v>92</v>
      </c>
      <c r="N37" s="183" t="str">
        <f t="shared" si="1"/>
        <v>USD3L1L29Y</v>
      </c>
      <c r="O37" s="82" t="str">
        <v>USD3L1L29Y=ICAP</v>
      </c>
      <c r="P37" s="275" t="s">
        <v>281</v>
      </c>
      <c r="Q37" s="275" t="s">
        <v>281</v>
      </c>
      <c r="R37" s="289" t="s">
        <v>281</v>
      </c>
      <c r="S37" s="288" t="s">
        <v>281</v>
      </c>
      <c r="T37" s="275" t="e">
        <f>_xll.qlMidEquivalent(P37,Q37)</f>
        <v>#NUM!</v>
      </c>
      <c r="U37" s="286">
        <v>29</v>
      </c>
      <c r="V37" s="85" t="b">
        <f t="shared" si="2"/>
        <v>0</v>
      </c>
      <c r="W37" s="275">
        <v>11.2</v>
      </c>
      <c r="X37" s="194"/>
      <c r="Y37" s="281">
        <v>11.200000000000001</v>
      </c>
      <c r="Z37" s="194"/>
      <c r="AA37" s="275">
        <v>11.2</v>
      </c>
      <c r="AB37" s="187">
        <f>_xll.qlSimpleQuoteSetValue(F37,AA37/10000,Trigger)</f>
        <v>0</v>
      </c>
      <c r="AC37" s="77"/>
    </row>
    <row r="38" spans="1:29" ht="11.25" customHeight="1" x14ac:dyDescent="0.2">
      <c r="A38" s="76"/>
      <c r="B38" s="276" t="str">
        <f t="shared" si="3"/>
        <v>30Y</v>
      </c>
      <c r="C38" s="227" t="str">
        <f t="shared" si="4"/>
        <v>3L</v>
      </c>
      <c r="D38" s="228" t="str">
        <f t="shared" si="5"/>
        <v>1L</v>
      </c>
      <c r="E38" s="229" t="str">
        <f t="shared" si="0"/>
        <v>USD3L1L30Y_Quote</v>
      </c>
      <c r="F38" s="229" t="str">
        <f>_xll.qlSimpleQuote(E38,,RateTickValue,Permanent,Trigger,ObjectOverwrite)</f>
        <v>USD3L1L30Y_Quote#0000</v>
      </c>
      <c r="G38" s="277" t="str">
        <f>_xll.ohRangeRetrieveError(F38)</f>
        <v/>
      </c>
      <c r="H38" s="170"/>
      <c r="J38" s="284"/>
      <c r="K38" s="182" t="s">
        <v>56</v>
      </c>
      <c r="L38" s="182" t="s">
        <v>93</v>
      </c>
      <c r="M38" s="182" t="s">
        <v>92</v>
      </c>
      <c r="N38" s="183" t="str">
        <f t="shared" si="1"/>
        <v>USD3L1L30Y</v>
      </c>
      <c r="O38" s="82" t="str">
        <v>USD3L1L30Y=ICAP</v>
      </c>
      <c r="P38" s="275">
        <v>11.2</v>
      </c>
      <c r="Q38" s="275">
        <v>0</v>
      </c>
      <c r="R38" s="289">
        <v>0</v>
      </c>
      <c r="S38" s="288">
        <v>0</v>
      </c>
      <c r="T38" s="275">
        <f>_xll.qlMidEquivalent(P38,Q38)</f>
        <v>11.2</v>
      </c>
      <c r="U38" s="286">
        <v>30</v>
      </c>
      <c r="V38" s="85" t="b">
        <f t="shared" si="2"/>
        <v>1</v>
      </c>
      <c r="W38" s="275">
        <v>11.2</v>
      </c>
      <c r="X38" s="194"/>
      <c r="Y38" s="281">
        <v>11.200000000000001</v>
      </c>
      <c r="Z38" s="194"/>
      <c r="AA38" s="275">
        <v>11.2</v>
      </c>
      <c r="AB38" s="187">
        <f>_xll.qlSimpleQuoteSetValue(F38,AA38/10000,Trigger)</f>
        <v>0</v>
      </c>
      <c r="AC38" s="77"/>
    </row>
    <row r="39" spans="1:29" ht="11.25" customHeight="1" x14ac:dyDescent="0.2">
      <c r="A39" s="76"/>
      <c r="B39" s="276" t="str">
        <f t="shared" si="3"/>
        <v>35Y</v>
      </c>
      <c r="C39" s="227" t="str">
        <f t="shared" si="4"/>
        <v>3L</v>
      </c>
      <c r="D39" s="228" t="str">
        <f t="shared" si="5"/>
        <v>1L</v>
      </c>
      <c r="E39" s="229" t="str">
        <f t="shared" si="0"/>
        <v>USD3L1L35Y_Quote</v>
      </c>
      <c r="F39" s="229" t="str">
        <f>_xll.qlSimpleQuote(E39,,RateTickValue,Permanent,Trigger,ObjectOverwrite)</f>
        <v>USD3L1L35Y_Quote#0000</v>
      </c>
      <c r="G39" s="277" t="str">
        <f>_xll.ohRangeRetrieveError(F39)</f>
        <v/>
      </c>
      <c r="H39" s="170"/>
      <c r="J39" s="284"/>
      <c r="K39" s="182" t="s">
        <v>51</v>
      </c>
      <c r="L39" s="182" t="s">
        <v>93</v>
      </c>
      <c r="M39" s="182" t="s">
        <v>92</v>
      </c>
      <c r="N39" s="183" t="str">
        <f t="shared" si="1"/>
        <v>USD3L1L35Y</v>
      </c>
      <c r="O39" s="82" t="str">
        <v>USD3L1L35Y=ICAP</v>
      </c>
      <c r="P39" s="275" t="s">
        <v>281</v>
      </c>
      <c r="Q39" s="275" t="s">
        <v>281</v>
      </c>
      <c r="R39" s="289" t="s">
        <v>281</v>
      </c>
      <c r="S39" s="288" t="s">
        <v>281</v>
      </c>
      <c r="T39" s="275" t="e">
        <f>_xll.qlMidEquivalent(P39,Q39)</f>
        <v>#NUM!</v>
      </c>
      <c r="U39" s="286">
        <v>35</v>
      </c>
      <c r="V39" s="85" t="b">
        <f t="shared" si="2"/>
        <v>0</v>
      </c>
      <c r="W39" s="294">
        <f>W38</f>
        <v>11.2</v>
      </c>
      <c r="X39" s="194"/>
      <c r="Y39" s="294">
        <v>11.200000000000001</v>
      </c>
      <c r="Z39" s="194"/>
      <c r="AA39" s="294">
        <v>11.2</v>
      </c>
      <c r="AB39" s="187">
        <f>_xll.qlSimpleQuoteSetValue(F39,AA39/10000,Trigger)</f>
        <v>0</v>
      </c>
      <c r="AC39" s="77"/>
    </row>
    <row r="40" spans="1:29" ht="11.25" customHeight="1" x14ac:dyDescent="0.2">
      <c r="A40" s="76"/>
      <c r="B40" s="276" t="str">
        <f t="shared" si="3"/>
        <v>40Y</v>
      </c>
      <c r="C40" s="227" t="str">
        <f t="shared" si="4"/>
        <v>3L</v>
      </c>
      <c r="D40" s="228" t="str">
        <f t="shared" si="5"/>
        <v>1L</v>
      </c>
      <c r="E40" s="229" t="str">
        <f t="shared" si="0"/>
        <v>USD3L1L40Y_Quote</v>
      </c>
      <c r="F40" s="229" t="str">
        <f>_xll.qlSimpleQuote(E40,,RateTickValue,Permanent,Trigger,ObjectOverwrite)</f>
        <v>USD3L1L40Y_Quote#0000</v>
      </c>
      <c r="G40" s="277" t="str">
        <f>_xll.ohRangeRetrieveError(F40)</f>
        <v/>
      </c>
      <c r="H40" s="170"/>
      <c r="J40" s="284"/>
      <c r="K40" s="182" t="s">
        <v>46</v>
      </c>
      <c r="L40" s="182" t="s">
        <v>93</v>
      </c>
      <c r="M40" s="182" t="s">
        <v>92</v>
      </c>
      <c r="N40" s="183" t="str">
        <f t="shared" si="1"/>
        <v>USD3L1L40Y</v>
      </c>
      <c r="O40" s="82" t="str">
        <v>USD3L1L40Y=ICAP</v>
      </c>
      <c r="P40" s="275" t="s">
        <v>281</v>
      </c>
      <c r="Q40" s="275" t="s">
        <v>281</v>
      </c>
      <c r="R40" s="289" t="s">
        <v>281</v>
      </c>
      <c r="S40" s="288" t="s">
        <v>281</v>
      </c>
      <c r="T40" s="275" t="e">
        <f>_xll.qlMidEquivalent(P40,Q40)</f>
        <v>#NUM!</v>
      </c>
      <c r="U40" s="286">
        <v>40</v>
      </c>
      <c r="V40" s="85" t="b">
        <f t="shared" si="2"/>
        <v>0</v>
      </c>
      <c r="W40" s="294">
        <f>W39</f>
        <v>11.2</v>
      </c>
      <c r="X40" s="194"/>
      <c r="Y40" s="294">
        <v>11.200000000000001</v>
      </c>
      <c r="Z40" s="194"/>
      <c r="AA40" s="294">
        <v>11.2</v>
      </c>
      <c r="AB40" s="187">
        <f>_xll.qlSimpleQuoteSetValue(F40,AA40/10000,Trigger)</f>
        <v>0</v>
      </c>
      <c r="AC40" s="77"/>
    </row>
    <row r="41" spans="1:29" ht="11.25" customHeight="1" x14ac:dyDescent="0.2">
      <c r="A41" s="76"/>
      <c r="B41" s="276" t="str">
        <f t="shared" si="3"/>
        <v>50Y</v>
      </c>
      <c r="C41" s="227" t="str">
        <f t="shared" si="4"/>
        <v>3L</v>
      </c>
      <c r="D41" s="228" t="str">
        <f t="shared" si="5"/>
        <v>1L</v>
      </c>
      <c r="E41" s="229" t="str">
        <f t="shared" si="0"/>
        <v>USD3L1L50Y_Quote</v>
      </c>
      <c r="F41" s="229" t="str">
        <f>_xll.qlSimpleQuote(E41,,RateTickValue,Permanent,Trigger,ObjectOverwrite)</f>
        <v>USD3L1L50Y_Quote#0000</v>
      </c>
      <c r="G41" s="277" t="str">
        <f>_xll.ohRangeRetrieveError(F41)</f>
        <v/>
      </c>
      <c r="H41" s="170"/>
      <c r="J41" s="284"/>
      <c r="K41" s="182" t="s">
        <v>36</v>
      </c>
      <c r="L41" s="182" t="s">
        <v>93</v>
      </c>
      <c r="M41" s="182" t="s">
        <v>92</v>
      </c>
      <c r="N41" s="183" t="str">
        <f t="shared" si="1"/>
        <v>USD3L1L50Y</v>
      </c>
      <c r="O41" s="82" t="str">
        <v>USD3L1L50Y=ICAP</v>
      </c>
      <c r="P41" s="275" t="s">
        <v>281</v>
      </c>
      <c r="Q41" s="275" t="s">
        <v>281</v>
      </c>
      <c r="R41" s="289" t="s">
        <v>281</v>
      </c>
      <c r="S41" s="288" t="s">
        <v>281</v>
      </c>
      <c r="T41" s="275" t="e">
        <f>_xll.qlMidEquivalent(P41,Q41)</f>
        <v>#NUM!</v>
      </c>
      <c r="U41" s="286">
        <v>50</v>
      </c>
      <c r="V41" s="85" t="b">
        <f t="shared" si="2"/>
        <v>0</v>
      </c>
      <c r="W41" s="294">
        <f>W40</f>
        <v>11.2</v>
      </c>
      <c r="X41" s="194"/>
      <c r="Y41" s="294">
        <v>11.200000000000001</v>
      </c>
      <c r="Z41" s="194"/>
      <c r="AA41" s="294">
        <v>11.2</v>
      </c>
      <c r="AB41" s="187">
        <f>_xll.qlSimpleQuoteSetValue(F41,AA41/10000,Trigger)</f>
        <v>0</v>
      </c>
      <c r="AC41" s="77"/>
    </row>
    <row r="42" spans="1:29" ht="11.25" customHeight="1" x14ac:dyDescent="0.2">
      <c r="A42" s="76"/>
      <c r="B42" s="278" t="str">
        <f t="shared" si="3"/>
        <v>60Y</v>
      </c>
      <c r="C42" s="232" t="str">
        <f t="shared" si="4"/>
        <v>3L</v>
      </c>
      <c r="D42" s="233" t="str">
        <f t="shared" si="5"/>
        <v>1L</v>
      </c>
      <c r="E42" s="234" t="str">
        <f t="shared" si="0"/>
        <v>USD3L1L60Y_Quote</v>
      </c>
      <c r="F42" s="234" t="str">
        <f>_xll.qlSimpleQuote(E42,,RateTickValue,Permanent,Trigger,ObjectOverwrite)</f>
        <v>USD3L1L60Y_Quote#0000</v>
      </c>
      <c r="G42" s="279" t="str">
        <f>_xll.ohRangeRetrieveError(F42)</f>
        <v/>
      </c>
      <c r="H42" s="170"/>
      <c r="J42" s="284"/>
      <c r="K42" s="184" t="s">
        <v>26</v>
      </c>
      <c r="L42" s="184" t="s">
        <v>93</v>
      </c>
      <c r="M42" s="184" t="s">
        <v>92</v>
      </c>
      <c r="N42" s="185" t="str">
        <f t="shared" si="1"/>
        <v>USD3L1L60Y</v>
      </c>
      <c r="O42" s="83" t="str">
        <v>USD3L1L60Y=ICAP</v>
      </c>
      <c r="P42" s="280" t="s">
        <v>281</v>
      </c>
      <c r="Q42" s="280" t="s">
        <v>281</v>
      </c>
      <c r="R42" s="290" t="s">
        <v>281</v>
      </c>
      <c r="S42" s="280" t="s">
        <v>281</v>
      </c>
      <c r="T42" s="280" t="e">
        <f>_xll.qlMidEquivalent(P42,Q42)</f>
        <v>#NUM!</v>
      </c>
      <c r="U42" s="287">
        <v>60</v>
      </c>
      <c r="V42" s="86" t="b">
        <f t="shared" si="2"/>
        <v>0</v>
      </c>
      <c r="W42" s="295">
        <f>W41</f>
        <v>11.2</v>
      </c>
      <c r="X42" s="194"/>
      <c r="Y42" s="295">
        <v>11.200000000000001</v>
      </c>
      <c r="Z42" s="194"/>
      <c r="AA42" s="295">
        <v>11.2</v>
      </c>
      <c r="AB42" s="188">
        <f>_xll.qlSimpleQuoteSetValue(F42,AA42/10000,Trigger)</f>
        <v>0</v>
      </c>
      <c r="AC42" s="77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38"/>
    </row>
  </sheetData>
  <conditionalFormatting sqref="AB5:AB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261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1" t="str">
        <f>VLOOKUP($J$1,AreaTable,AreaIndex,0)</f>
        <v>ICAP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292">
        <f>_xll.ohTrigger(AB5:AB42)</f>
        <v>12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obj_0058e#0010</v>
      </c>
      <c r="V3" s="7"/>
      <c r="W3" s="7"/>
      <c r="X3" s="56"/>
      <c r="Y3" s="56"/>
      <c r="Z3" s="56"/>
      <c r="AA3" s="7"/>
      <c r="AB3" s="7"/>
      <c r="AC3" s="77"/>
    </row>
    <row r="4" spans="1:30" ht="22.5" customHeight="1" x14ac:dyDescent="0.2">
      <c r="A4" s="76"/>
      <c r="B4" s="101"/>
      <c r="C4" s="101"/>
      <c r="D4" s="101"/>
      <c r="E4" s="102" t="s">
        <v>248</v>
      </c>
      <c r="F4" s="102" t="s">
        <v>249</v>
      </c>
      <c r="G4" s="166" t="s">
        <v>266</v>
      </c>
      <c r="H4" s="170"/>
      <c r="J4" s="271"/>
      <c r="K4" s="241"/>
      <c r="L4" s="103"/>
      <c r="M4" s="103"/>
      <c r="N4" s="103" t="s">
        <v>268</v>
      </c>
      <c r="O4" s="106" t="str">
        <f>_xll.RData(O5:O42,P4:S4,"RTFEED:IDN",ReutersRtMode,,P5)</f>
        <v>Paused at 10:47:50</v>
      </c>
      <c r="P4" s="87" t="s">
        <v>148</v>
      </c>
      <c r="Q4" s="87" t="s">
        <v>147</v>
      </c>
      <c r="R4" s="87" t="s">
        <v>157</v>
      </c>
      <c r="S4" s="87" t="s">
        <v>165</v>
      </c>
      <c r="T4" s="87" t="s">
        <v>172</v>
      </c>
      <c r="U4" s="87" t="s">
        <v>271</v>
      </c>
      <c r="V4" s="87" t="s">
        <v>270</v>
      </c>
      <c r="W4" s="88" t="s">
        <v>269</v>
      </c>
      <c r="X4" s="56"/>
      <c r="Y4" s="87" t="s">
        <v>162</v>
      </c>
      <c r="Z4" s="56"/>
      <c r="AA4" s="103" t="s">
        <v>161</v>
      </c>
      <c r="AB4" s="103" t="s">
        <v>160</v>
      </c>
      <c r="AC4" s="77"/>
    </row>
    <row r="5" spans="1:30" s="215" customFormat="1" ht="11.25" customHeight="1" x14ac:dyDescent="0.25">
      <c r="A5" s="76"/>
      <c r="B5" s="180" t="str">
        <f>K5</f>
        <v>6M</v>
      </c>
      <c r="C5" s="220" t="str">
        <f>L5</f>
        <v>6L</v>
      </c>
      <c r="D5" s="221" t="str">
        <f>M5</f>
        <v>3L</v>
      </c>
      <c r="E5" s="222" t="str">
        <f t="shared" ref="E5:E42" si="0">IF(ISBLANK(C5),"#",Currency&amp;$C5&amp;$D5&amp;$B5&amp;QuoteSuffix)</f>
        <v>USD6L3L6M_Quote</v>
      </c>
      <c r="F5" s="222" t="str">
        <f>_xll.qlSimpleQuote(E5,,RateTickValue,Permanent,Trigger,ObjectOverwrite)</f>
        <v>USD6L3L6M_Quote#0000</v>
      </c>
      <c r="G5" s="274" t="str">
        <f>_xll.ohRangeRetrieveError(F5)</f>
        <v/>
      </c>
      <c r="H5" s="170"/>
      <c r="I5" s="198"/>
      <c r="J5" s="283"/>
      <c r="K5" s="182" t="s">
        <v>14</v>
      </c>
      <c r="L5" s="182" t="s">
        <v>94</v>
      </c>
      <c r="M5" s="182" t="s">
        <v>93</v>
      </c>
      <c r="N5" s="183" t="str">
        <f t="shared" ref="N5:N42" si="1">IF(Contributor="ICAP LN",Currency&amp;$L5&amp;$M5&amp;$K5,Currency&amp;$M5&amp;$L5&amp;$K5)</f>
        <v>USD6L3L6M</v>
      </c>
      <c r="O5" s="82" t="str">
        <f t="array" ref="O5:O42">Instrments&amp;"="&amp;VLOOKUP(Contributor,ContributorTable,2,FALSE)</f>
        <v>USD6L3L6M=ICAP</v>
      </c>
      <c r="P5" s="275">
        <v>9.6</v>
      </c>
      <c r="Q5" s="275">
        <v>0</v>
      </c>
      <c r="R5" s="291">
        <v>0</v>
      </c>
      <c r="S5" s="288">
        <v>0</v>
      </c>
      <c r="T5" s="275">
        <f>_xll.qlMidEquivalent(P5,Q5)</f>
        <v>9.6</v>
      </c>
      <c r="U5" s="285">
        <v>0.5</v>
      </c>
      <c r="V5" s="85" t="b">
        <f t="shared" ref="V5:V42" si="2">IF(ISNUMBER(T5),TRUE,FALSE)</f>
        <v>1</v>
      </c>
      <c r="W5" s="275">
        <f t="array" ref="W5:W38">_xll.qlInterpolationInterpolate(U3,U5:U42)</f>
        <v>9.6</v>
      </c>
      <c r="X5" s="194"/>
      <c r="Y5" s="281">
        <v>9.6000000000000014</v>
      </c>
      <c r="Z5" s="194"/>
      <c r="AA5" s="282">
        <f t="array" ref="AA5:AA42">QuoteLive</f>
        <v>9.6</v>
      </c>
      <c r="AB5" s="186">
        <f>_xll.qlSimpleQuoteSetValue(F5,AA5/10000,Trigger)</f>
        <v>0</v>
      </c>
      <c r="AC5" s="77"/>
      <c r="AD5" s="198"/>
    </row>
    <row r="6" spans="1:30" s="215" customFormat="1" ht="11.25" customHeight="1" x14ac:dyDescent="0.25">
      <c r="A6" s="76"/>
      <c r="B6" s="182" t="str">
        <f t="shared" ref="B6:B42" si="3">K6</f>
        <v>1Y</v>
      </c>
      <c r="C6" s="227" t="str">
        <f t="shared" ref="C6:C42" si="4">L6</f>
        <v>6L</v>
      </c>
      <c r="D6" s="228" t="str">
        <f t="shared" ref="D6:D42" si="5">M6</f>
        <v>3L</v>
      </c>
      <c r="E6" s="229" t="str">
        <f t="shared" si="0"/>
        <v>USD6L3L1Y_Quote</v>
      </c>
      <c r="F6" s="229" t="str">
        <f>_xll.qlSimpleQuote(E6,,RateTickValue,Permanent,Trigger,ObjectOverwrite)</f>
        <v>USD6L3L1Y_Quote#0000</v>
      </c>
      <c r="G6" s="277" t="str">
        <f>_xll.ohRangeRetrieveError(F6)</f>
        <v/>
      </c>
      <c r="H6" s="170"/>
      <c r="I6" s="198"/>
      <c r="J6" s="283"/>
      <c r="K6" s="182" t="s">
        <v>8</v>
      </c>
      <c r="L6" s="182" t="s">
        <v>94</v>
      </c>
      <c r="M6" s="182" t="s">
        <v>93</v>
      </c>
      <c r="N6" s="183" t="str">
        <f t="shared" si="1"/>
        <v>USD6L3L1Y</v>
      </c>
      <c r="O6" s="82" t="str">
        <v>USD6L3L1Y=ICAP</v>
      </c>
      <c r="P6" s="275">
        <v>8.5</v>
      </c>
      <c r="Q6" s="275">
        <v>0</v>
      </c>
      <c r="R6" s="289">
        <v>0</v>
      </c>
      <c r="S6" s="288">
        <v>0</v>
      </c>
      <c r="T6" s="275">
        <f>_xll.qlMidEquivalent(P6,Q6)</f>
        <v>8.5</v>
      </c>
      <c r="U6" s="285">
        <v>1</v>
      </c>
      <c r="V6" s="85" t="b">
        <f t="shared" si="2"/>
        <v>1</v>
      </c>
      <c r="W6" s="275">
        <v>8.5</v>
      </c>
      <c r="X6" s="194"/>
      <c r="Y6" s="281">
        <v>8.5</v>
      </c>
      <c r="Z6" s="194"/>
      <c r="AA6" s="275">
        <v>8.5</v>
      </c>
      <c r="AB6" s="187">
        <f>_xll.qlSimpleQuoteSetValue(F6,AA6/10000,Trigger)</f>
        <v>-1.0000000000000026E-5</v>
      </c>
      <c r="AC6" s="77"/>
      <c r="AD6" s="198"/>
    </row>
    <row r="7" spans="1:30" s="215" customFormat="1" ht="11.25" customHeight="1" x14ac:dyDescent="0.25">
      <c r="A7" s="76"/>
      <c r="B7" s="182" t="str">
        <f t="shared" si="3"/>
        <v>15M</v>
      </c>
      <c r="C7" s="227" t="str">
        <f t="shared" si="4"/>
        <v>6L</v>
      </c>
      <c r="D7" s="228" t="str">
        <f t="shared" si="5"/>
        <v>3L</v>
      </c>
      <c r="E7" s="229" t="str">
        <f t="shared" si="0"/>
        <v>USD6L3L15M_Quote</v>
      </c>
      <c r="F7" s="229" t="str">
        <f>_xll.qlSimpleQuote(E7,,RateTickValue,Permanent,Trigger,ObjectOverwrite)</f>
        <v>USD6L3L15M_Quote#0000</v>
      </c>
      <c r="G7" s="277" t="str">
        <f>_xll.ohRangeRetrieveError(F7)</f>
        <v/>
      </c>
      <c r="H7" s="170"/>
      <c r="J7" s="283"/>
      <c r="K7" s="182" t="s">
        <v>97</v>
      </c>
      <c r="L7" s="182" t="s">
        <v>94</v>
      </c>
      <c r="M7" s="182" t="s">
        <v>93</v>
      </c>
      <c r="N7" s="183" t="str">
        <f t="shared" si="1"/>
        <v>USD6L3L15M</v>
      </c>
      <c r="O7" s="82" t="str">
        <v>USD6L3L15M=ICAP</v>
      </c>
      <c r="P7" s="275" t="s">
        <v>281</v>
      </c>
      <c r="Q7" s="275" t="s">
        <v>281</v>
      </c>
      <c r="R7" s="289" t="s">
        <v>281</v>
      </c>
      <c r="S7" s="288" t="s">
        <v>281</v>
      </c>
      <c r="T7" s="275" t="e">
        <f>_xll.qlMidEquivalent(P7,Q7)</f>
        <v>#NUM!</v>
      </c>
      <c r="U7" s="285">
        <v>1.25</v>
      </c>
      <c r="V7" s="85" t="b">
        <f t="shared" si="2"/>
        <v>0</v>
      </c>
      <c r="W7" s="275">
        <v>8.2123670084277034</v>
      </c>
      <c r="X7" s="194"/>
      <c r="Y7" s="281">
        <v>8.2120869469943969</v>
      </c>
      <c r="Z7" s="194"/>
      <c r="AA7" s="275">
        <v>8.2123670084277034</v>
      </c>
      <c r="AB7" s="187">
        <f>_xll.qlSimpleQuoteSetValue(F7,AA7/10000,Trigger)</f>
        <v>-8.4014964208794498E-6</v>
      </c>
      <c r="AC7" s="77"/>
      <c r="AD7" s="198"/>
    </row>
    <row r="8" spans="1:30" ht="11.25" customHeight="1" x14ac:dyDescent="0.25">
      <c r="A8" s="76"/>
      <c r="B8" s="182" t="str">
        <f t="shared" si="3"/>
        <v>18M</v>
      </c>
      <c r="C8" s="227" t="str">
        <f t="shared" si="4"/>
        <v>6L</v>
      </c>
      <c r="D8" s="228" t="str">
        <f t="shared" si="5"/>
        <v>3L</v>
      </c>
      <c r="E8" s="229" t="str">
        <f t="shared" si="0"/>
        <v>USD6L3L18M_Quote</v>
      </c>
      <c r="F8" s="229" t="str">
        <f>_xll.qlSimpleQuote(E8,,RateTickValue,Permanent,Trigger,ObjectOverwrite)</f>
        <v>USD6L3L18M_Quote#0000</v>
      </c>
      <c r="G8" s="277" t="str">
        <f>_xll.ohRangeRetrieveError(F8)</f>
        <v/>
      </c>
      <c r="H8" s="170"/>
      <c r="I8" s="215"/>
      <c r="J8" s="284"/>
      <c r="K8" s="182" t="s">
        <v>96</v>
      </c>
      <c r="L8" s="182" t="s">
        <v>94</v>
      </c>
      <c r="M8" s="182" t="s">
        <v>93</v>
      </c>
      <c r="N8" s="183" t="str">
        <f t="shared" si="1"/>
        <v>USD6L3L18M</v>
      </c>
      <c r="O8" s="82" t="str">
        <v>USD6L3L18M=ICAP</v>
      </c>
      <c r="P8" s="275" t="s">
        <v>281</v>
      </c>
      <c r="Q8" s="275" t="s">
        <v>281</v>
      </c>
      <c r="R8" s="289" t="s">
        <v>281</v>
      </c>
      <c r="S8" s="288" t="s">
        <v>281</v>
      </c>
      <c r="T8" s="275" t="e">
        <f>_xll.qlMidEquivalent(P8,Q8)</f>
        <v>#NUM!</v>
      </c>
      <c r="U8" s="285">
        <v>1.5</v>
      </c>
      <c r="V8" s="85" t="b">
        <f t="shared" si="2"/>
        <v>0</v>
      </c>
      <c r="W8" s="275">
        <v>8.0663120224738751</v>
      </c>
      <c r="X8" s="194"/>
      <c r="Y8" s="281">
        <v>8.0655651919850584</v>
      </c>
      <c r="Z8" s="194"/>
      <c r="AA8" s="275">
        <v>8.0663120224738751</v>
      </c>
      <c r="AB8" s="187">
        <f>_xll.qlSimpleQuoteSetValue(F8,AA8/10000,Trigger)</f>
        <v>-5.7701922799122552E-6</v>
      </c>
      <c r="AC8" s="77"/>
    </row>
    <row r="9" spans="1:30" ht="11.25" customHeight="1" x14ac:dyDescent="0.25">
      <c r="A9" s="76"/>
      <c r="B9" s="182" t="str">
        <f t="shared" si="3"/>
        <v>21M</v>
      </c>
      <c r="C9" s="227" t="str">
        <f t="shared" si="4"/>
        <v>6L</v>
      </c>
      <c r="D9" s="228" t="str">
        <f t="shared" si="5"/>
        <v>3L</v>
      </c>
      <c r="E9" s="229" t="str">
        <f t="shared" si="0"/>
        <v>USD6L3L21M_Quote</v>
      </c>
      <c r="F9" s="229" t="str">
        <f>_xll.qlSimpleQuote(E9,,RateTickValue,Permanent,Trigger,ObjectOverwrite)</f>
        <v>USD6L3L21M_Quote#0000</v>
      </c>
      <c r="G9" s="277" t="str">
        <f>_xll.ohRangeRetrieveError(F9)</f>
        <v/>
      </c>
      <c r="H9" s="170"/>
      <c r="I9" s="215"/>
      <c r="J9" s="284"/>
      <c r="K9" s="182" t="s">
        <v>95</v>
      </c>
      <c r="L9" s="182" t="s">
        <v>94</v>
      </c>
      <c r="M9" s="182" t="s">
        <v>93</v>
      </c>
      <c r="N9" s="183" t="str">
        <f t="shared" si="1"/>
        <v>USD6L3L21M</v>
      </c>
      <c r="O9" s="82" t="str">
        <v>USD6L3L21M=ICAP</v>
      </c>
      <c r="P9" s="275" t="s">
        <v>281</v>
      </c>
      <c r="Q9" s="275" t="s">
        <v>281</v>
      </c>
      <c r="R9" s="289" t="s">
        <v>281</v>
      </c>
      <c r="S9" s="288" t="s">
        <v>281</v>
      </c>
      <c r="T9" s="275" t="e">
        <f>_xll.qlMidEquivalent(P9,Q9)</f>
        <v>#NUM!</v>
      </c>
      <c r="U9" s="285">
        <v>1.75</v>
      </c>
      <c r="V9" s="85" t="b">
        <f t="shared" si="2"/>
        <v>0</v>
      </c>
      <c r="W9" s="275">
        <v>8.0121010252831102</v>
      </c>
      <c r="X9" s="194"/>
      <c r="Y9" s="281">
        <v>8.0112608409831907</v>
      </c>
      <c r="Z9" s="194"/>
      <c r="AA9" s="275">
        <v>8.0121010252831102</v>
      </c>
      <c r="AB9" s="187">
        <f>_xll.qlSimpleQuoteSetValue(F9,AA9/10000,Trigger)</f>
        <v>-2.7537919989887227E-6</v>
      </c>
      <c r="AC9" s="77"/>
    </row>
    <row r="10" spans="1:30" ht="11.25" customHeight="1" x14ac:dyDescent="0.2">
      <c r="A10" s="76"/>
      <c r="B10" s="182" t="str">
        <f t="shared" si="3"/>
        <v>2Y</v>
      </c>
      <c r="C10" s="227" t="str">
        <f t="shared" si="4"/>
        <v>6L</v>
      </c>
      <c r="D10" s="228" t="str">
        <f t="shared" si="5"/>
        <v>3L</v>
      </c>
      <c r="E10" s="229" t="str">
        <f t="shared" si="0"/>
        <v>USD6L3L2Y_Quote</v>
      </c>
      <c r="F10" s="229" t="str">
        <f>_xll.qlSimpleQuote(E10,,RateTickValue,Permanent,Trigger,ObjectOverwrite)</f>
        <v>USD6L3L2Y_Quote#0000</v>
      </c>
      <c r="G10" s="277" t="str">
        <f>_xll.ohRangeRetrieveError(F10)</f>
        <v/>
      </c>
      <c r="H10" s="170"/>
      <c r="J10" s="284"/>
      <c r="K10" s="182" t="s">
        <v>84</v>
      </c>
      <c r="L10" s="182" t="s">
        <v>94</v>
      </c>
      <c r="M10" s="182" t="s">
        <v>93</v>
      </c>
      <c r="N10" s="183" t="str">
        <f t="shared" si="1"/>
        <v>USD6L3L2Y</v>
      </c>
      <c r="O10" s="82" t="str">
        <v>USD6L3L2Y=ICAP</v>
      </c>
      <c r="P10" s="275">
        <v>8</v>
      </c>
      <c r="Q10" s="275">
        <v>0</v>
      </c>
      <c r="R10" s="289">
        <v>0</v>
      </c>
      <c r="S10" s="288">
        <v>0</v>
      </c>
      <c r="T10" s="275">
        <f>_xll.qlMidEquivalent(P10,Q10)</f>
        <v>8</v>
      </c>
      <c r="U10" s="286">
        <v>2</v>
      </c>
      <c r="V10" s="85" t="b">
        <f t="shared" si="2"/>
        <v>1</v>
      </c>
      <c r="W10" s="275">
        <v>8</v>
      </c>
      <c r="X10" s="194"/>
      <c r="Y10" s="281">
        <v>8</v>
      </c>
      <c r="Z10" s="194"/>
      <c r="AA10" s="275">
        <v>8</v>
      </c>
      <c r="AB10" s="187">
        <f>_xll.qlSimpleQuoteSetValue(F10,AA10/10000,Trigger)</f>
        <v>0</v>
      </c>
      <c r="AC10" s="77"/>
    </row>
    <row r="11" spans="1:30" ht="11.25" customHeight="1" x14ac:dyDescent="0.2">
      <c r="A11" s="76"/>
      <c r="B11" s="182" t="str">
        <f t="shared" si="3"/>
        <v>3Y</v>
      </c>
      <c r="C11" s="227" t="str">
        <f t="shared" si="4"/>
        <v>6L</v>
      </c>
      <c r="D11" s="228" t="str">
        <f t="shared" si="5"/>
        <v>3L</v>
      </c>
      <c r="E11" s="229" t="str">
        <f t="shared" si="0"/>
        <v>USD6L3L3Y_Quote</v>
      </c>
      <c r="F11" s="229" t="str">
        <f>_xll.qlSimpleQuote(E11,,RateTickValue,Permanent,Trigger,ObjectOverwrite)</f>
        <v>USD6L3L3Y_Quote#0000</v>
      </c>
      <c r="G11" s="277" t="str">
        <f>_xll.ohRangeRetrieveError(F11)</f>
        <v/>
      </c>
      <c r="H11" s="170"/>
      <c r="J11" s="284"/>
      <c r="K11" s="182" t="s">
        <v>83</v>
      </c>
      <c r="L11" s="182" t="s">
        <v>94</v>
      </c>
      <c r="M11" s="182" t="s">
        <v>93</v>
      </c>
      <c r="N11" s="183" t="str">
        <f t="shared" si="1"/>
        <v>USD6L3L3Y</v>
      </c>
      <c r="O11" s="82" t="str">
        <v>USD6L3L3Y=ICAP</v>
      </c>
      <c r="P11" s="275">
        <v>7.9</v>
      </c>
      <c r="Q11" s="275">
        <v>0</v>
      </c>
      <c r="R11" s="289">
        <v>0</v>
      </c>
      <c r="S11" s="288">
        <v>0</v>
      </c>
      <c r="T11" s="275">
        <f>_xll.qlMidEquivalent(P11,Q11)</f>
        <v>7.9</v>
      </c>
      <c r="U11" s="286">
        <v>3</v>
      </c>
      <c r="V11" s="85" t="b">
        <f t="shared" si="2"/>
        <v>1</v>
      </c>
      <c r="W11" s="275">
        <v>7.9</v>
      </c>
      <c r="X11" s="194"/>
      <c r="Y11" s="281">
        <v>7.9</v>
      </c>
      <c r="Z11" s="194"/>
      <c r="AA11" s="275">
        <v>7.9</v>
      </c>
      <c r="AB11" s="187">
        <f>_xll.qlSimpleQuoteSetValue(F11,AA11/10000,Trigger)</f>
        <v>0</v>
      </c>
      <c r="AC11" s="77"/>
    </row>
    <row r="12" spans="1:30" ht="11.25" customHeight="1" x14ac:dyDescent="0.2">
      <c r="A12" s="76"/>
      <c r="B12" s="182" t="str">
        <f t="shared" si="3"/>
        <v>4Y</v>
      </c>
      <c r="C12" s="227" t="str">
        <f t="shared" si="4"/>
        <v>6L</v>
      </c>
      <c r="D12" s="228" t="str">
        <f t="shared" si="5"/>
        <v>3L</v>
      </c>
      <c r="E12" s="229" t="str">
        <f t="shared" si="0"/>
        <v>USD6L3L4Y_Quote</v>
      </c>
      <c r="F12" s="229" t="str">
        <f>_xll.qlSimpleQuote(E12,,RateTickValue,Permanent,Trigger,ObjectOverwrite)</f>
        <v>USD6L3L4Y_Quote#0000</v>
      </c>
      <c r="G12" s="277" t="str">
        <f>_xll.ohRangeRetrieveError(F12)</f>
        <v/>
      </c>
      <c r="H12" s="170"/>
      <c r="J12" s="284"/>
      <c r="K12" s="182" t="s">
        <v>82</v>
      </c>
      <c r="L12" s="182" t="s">
        <v>94</v>
      </c>
      <c r="M12" s="182" t="s">
        <v>93</v>
      </c>
      <c r="N12" s="183" t="str">
        <f t="shared" si="1"/>
        <v>USD6L3L4Y</v>
      </c>
      <c r="O12" s="82" t="str">
        <v>USD6L3L4Y=ICAP</v>
      </c>
      <c r="P12" s="275">
        <v>7.9</v>
      </c>
      <c r="Q12" s="275">
        <v>0</v>
      </c>
      <c r="R12" s="289">
        <v>0</v>
      </c>
      <c r="S12" s="288">
        <v>0</v>
      </c>
      <c r="T12" s="275">
        <f>_xll.qlMidEquivalent(P12,Q12)</f>
        <v>7.9</v>
      </c>
      <c r="U12" s="286">
        <v>4</v>
      </c>
      <c r="V12" s="85" t="b">
        <f t="shared" si="2"/>
        <v>1</v>
      </c>
      <c r="W12" s="275">
        <v>7.9</v>
      </c>
      <c r="X12" s="194"/>
      <c r="Y12" s="281">
        <v>7.9</v>
      </c>
      <c r="Z12" s="194"/>
      <c r="AA12" s="275">
        <v>7.9</v>
      </c>
      <c r="AB12" s="187">
        <f>_xll.qlSimpleQuoteSetValue(F12,AA12/10000,Trigger)</f>
        <v>0</v>
      </c>
      <c r="AC12" s="77"/>
    </row>
    <row r="13" spans="1:30" ht="11.25" customHeight="1" x14ac:dyDescent="0.2">
      <c r="A13" s="76"/>
      <c r="B13" s="182" t="str">
        <f t="shared" si="3"/>
        <v>5Y</v>
      </c>
      <c r="C13" s="227" t="str">
        <f t="shared" si="4"/>
        <v>6L</v>
      </c>
      <c r="D13" s="228" t="str">
        <f t="shared" si="5"/>
        <v>3L</v>
      </c>
      <c r="E13" s="229" t="str">
        <f t="shared" si="0"/>
        <v>USD6L3L5Y_Quote</v>
      </c>
      <c r="F13" s="229" t="str">
        <f>_xll.qlSimpleQuote(E13,,RateTickValue,Permanent,Trigger,ObjectOverwrite)</f>
        <v>USD6L3L5Y_Quote#0000</v>
      </c>
      <c r="G13" s="277" t="str">
        <f>_xll.ohRangeRetrieveError(F13)</f>
        <v/>
      </c>
      <c r="H13" s="170"/>
      <c r="J13" s="284"/>
      <c r="K13" s="182" t="s">
        <v>81</v>
      </c>
      <c r="L13" s="182" t="s">
        <v>94</v>
      </c>
      <c r="M13" s="182" t="s">
        <v>93</v>
      </c>
      <c r="N13" s="183" t="str">
        <f t="shared" si="1"/>
        <v>USD6L3L5Y</v>
      </c>
      <c r="O13" s="82" t="str">
        <v>USD6L3L5Y=ICAP</v>
      </c>
      <c r="P13" s="275">
        <v>7.9</v>
      </c>
      <c r="Q13" s="275">
        <v>0</v>
      </c>
      <c r="R13" s="289">
        <v>0</v>
      </c>
      <c r="S13" s="288">
        <v>0</v>
      </c>
      <c r="T13" s="275">
        <f>_xll.qlMidEquivalent(P13,Q13)</f>
        <v>7.9</v>
      </c>
      <c r="U13" s="286">
        <v>5</v>
      </c>
      <c r="V13" s="85" t="b">
        <f t="shared" si="2"/>
        <v>1</v>
      </c>
      <c r="W13" s="275">
        <v>7.9</v>
      </c>
      <c r="X13" s="194"/>
      <c r="Y13" s="281">
        <v>8</v>
      </c>
      <c r="Z13" s="194"/>
      <c r="AA13" s="275">
        <v>7.9</v>
      </c>
      <c r="AB13" s="187">
        <f>_xll.qlSimpleQuoteSetValue(F13,AA13/10000,Trigger)</f>
        <v>-1.0000000000000026E-5</v>
      </c>
      <c r="AC13" s="77"/>
    </row>
    <row r="14" spans="1:30" ht="11.25" customHeight="1" x14ac:dyDescent="0.2">
      <c r="A14" s="76"/>
      <c r="B14" s="182" t="str">
        <f t="shared" si="3"/>
        <v>6Y</v>
      </c>
      <c r="C14" s="227" t="str">
        <f t="shared" si="4"/>
        <v>6L</v>
      </c>
      <c r="D14" s="228" t="str">
        <f t="shared" si="5"/>
        <v>3L</v>
      </c>
      <c r="E14" s="229" t="str">
        <f t="shared" si="0"/>
        <v>USD6L3L6Y_Quote</v>
      </c>
      <c r="F14" s="229" t="str">
        <f>_xll.qlSimpleQuote(E14,,RateTickValue,Permanent,Trigger,ObjectOverwrite)</f>
        <v>USD6L3L6Y_Quote#0000</v>
      </c>
      <c r="G14" s="277" t="str">
        <f>_xll.ohRangeRetrieveError(F14)</f>
        <v/>
      </c>
      <c r="H14" s="170"/>
      <c r="J14" s="284"/>
      <c r="K14" s="182" t="s">
        <v>80</v>
      </c>
      <c r="L14" s="182" t="s">
        <v>94</v>
      </c>
      <c r="M14" s="182" t="s">
        <v>93</v>
      </c>
      <c r="N14" s="183" t="str">
        <f t="shared" si="1"/>
        <v>USD6L3L6Y</v>
      </c>
      <c r="O14" s="82" t="str">
        <v>USD6L3L6Y=ICAP</v>
      </c>
      <c r="P14" s="275">
        <v>8.1</v>
      </c>
      <c r="Q14" s="275">
        <v>0</v>
      </c>
      <c r="R14" s="289">
        <v>0</v>
      </c>
      <c r="S14" s="288">
        <v>0</v>
      </c>
      <c r="T14" s="275">
        <f>_xll.qlMidEquivalent(P14,Q14)</f>
        <v>8.1</v>
      </c>
      <c r="U14" s="286">
        <v>6</v>
      </c>
      <c r="V14" s="85" t="b">
        <f t="shared" si="2"/>
        <v>1</v>
      </c>
      <c r="W14" s="275">
        <v>8.1</v>
      </c>
      <c r="X14" s="194"/>
      <c r="Y14" s="281">
        <v>8.1</v>
      </c>
      <c r="Z14" s="194"/>
      <c r="AA14" s="275">
        <v>8.1</v>
      </c>
      <c r="AB14" s="187">
        <f>_xll.qlSimpleQuoteSetValue(F14,AA14/10000,Trigger)</f>
        <v>0</v>
      </c>
      <c r="AC14" s="77"/>
    </row>
    <row r="15" spans="1:30" ht="11.25" customHeight="1" x14ac:dyDescent="0.2">
      <c r="A15" s="76"/>
      <c r="B15" s="182" t="str">
        <f t="shared" si="3"/>
        <v>7Y</v>
      </c>
      <c r="C15" s="227" t="str">
        <f t="shared" si="4"/>
        <v>6L</v>
      </c>
      <c r="D15" s="228" t="str">
        <f t="shared" si="5"/>
        <v>3L</v>
      </c>
      <c r="E15" s="229" t="str">
        <f t="shared" si="0"/>
        <v>USD6L3L7Y_Quote</v>
      </c>
      <c r="F15" s="229" t="str">
        <f>_xll.qlSimpleQuote(E15,,RateTickValue,Permanent,Trigger,ObjectOverwrite)</f>
        <v>USD6L3L7Y_Quote#0000</v>
      </c>
      <c r="G15" s="277" t="str">
        <f>_xll.ohRangeRetrieveError(F15)</f>
        <v/>
      </c>
      <c r="H15" s="170"/>
      <c r="J15" s="284"/>
      <c r="K15" s="182" t="s">
        <v>79</v>
      </c>
      <c r="L15" s="182" t="s">
        <v>94</v>
      </c>
      <c r="M15" s="182" t="s">
        <v>93</v>
      </c>
      <c r="N15" s="183" t="str">
        <f t="shared" si="1"/>
        <v>USD6L3L7Y</v>
      </c>
      <c r="O15" s="82" t="str">
        <v>USD6L3L7Y=ICAP</v>
      </c>
      <c r="P15" s="275">
        <v>8.1999999999999993</v>
      </c>
      <c r="Q15" s="275">
        <v>0</v>
      </c>
      <c r="R15" s="289">
        <v>0</v>
      </c>
      <c r="S15" s="288">
        <v>0</v>
      </c>
      <c r="T15" s="275">
        <f>_xll.qlMidEquivalent(P15,Q15)</f>
        <v>8.1999999999999993</v>
      </c>
      <c r="U15" s="286">
        <v>7</v>
      </c>
      <c r="V15" s="85" t="b">
        <f t="shared" si="2"/>
        <v>1</v>
      </c>
      <c r="W15" s="275">
        <v>8.1999999999999993</v>
      </c>
      <c r="X15" s="194"/>
      <c r="Y15" s="281">
        <v>8.3000000000000007</v>
      </c>
      <c r="Z15" s="194"/>
      <c r="AA15" s="275">
        <v>8.1999999999999993</v>
      </c>
      <c r="AB15" s="187">
        <f>_xll.qlSimpleQuoteSetValue(F15,AA15/10000,Trigger)</f>
        <v>0</v>
      </c>
      <c r="AC15" s="77"/>
    </row>
    <row r="16" spans="1:30" ht="11.25" customHeight="1" x14ac:dyDescent="0.2">
      <c r="A16" s="76"/>
      <c r="B16" s="182" t="str">
        <f t="shared" si="3"/>
        <v>8Y</v>
      </c>
      <c r="C16" s="227" t="str">
        <f t="shared" si="4"/>
        <v>6L</v>
      </c>
      <c r="D16" s="228" t="str">
        <f t="shared" si="5"/>
        <v>3L</v>
      </c>
      <c r="E16" s="229" t="str">
        <f t="shared" si="0"/>
        <v>USD6L3L8Y_Quote</v>
      </c>
      <c r="F16" s="229" t="str">
        <f>_xll.qlSimpleQuote(E16,,RateTickValue,Permanent,Trigger,ObjectOverwrite)</f>
        <v>USD6L3L8Y_Quote#0000</v>
      </c>
      <c r="G16" s="277" t="str">
        <f>_xll.ohRangeRetrieveError(F16)</f>
        <v/>
      </c>
      <c r="H16" s="170"/>
      <c r="J16" s="284"/>
      <c r="K16" s="182" t="s">
        <v>78</v>
      </c>
      <c r="L16" s="182" t="s">
        <v>94</v>
      </c>
      <c r="M16" s="182" t="s">
        <v>93</v>
      </c>
      <c r="N16" s="183" t="str">
        <f t="shared" si="1"/>
        <v>USD6L3L8Y</v>
      </c>
      <c r="O16" s="82" t="str">
        <v>USD6L3L8Y=ICAP</v>
      </c>
      <c r="P16" s="275">
        <v>8.5</v>
      </c>
      <c r="Q16" s="275">
        <v>0</v>
      </c>
      <c r="R16" s="289">
        <v>0</v>
      </c>
      <c r="S16" s="288">
        <v>0</v>
      </c>
      <c r="T16" s="275">
        <f>_xll.qlMidEquivalent(P16,Q16)</f>
        <v>8.5</v>
      </c>
      <c r="U16" s="286">
        <v>8</v>
      </c>
      <c r="V16" s="85" t="b">
        <f t="shared" si="2"/>
        <v>1</v>
      </c>
      <c r="W16" s="275">
        <v>8.5</v>
      </c>
      <c r="X16" s="194"/>
      <c r="Y16" s="281">
        <v>8.6</v>
      </c>
      <c r="Z16" s="194"/>
      <c r="AA16" s="275">
        <v>8.5</v>
      </c>
      <c r="AB16" s="187">
        <f>_xll.qlSimpleQuoteSetValue(F16,AA16/10000,Trigger)</f>
        <v>0</v>
      </c>
      <c r="AC16" s="77"/>
    </row>
    <row r="17" spans="1:29" ht="11.25" customHeight="1" x14ac:dyDescent="0.2">
      <c r="A17" s="76"/>
      <c r="B17" s="182" t="str">
        <f t="shared" si="3"/>
        <v>9Y</v>
      </c>
      <c r="C17" s="227" t="str">
        <f t="shared" si="4"/>
        <v>6L</v>
      </c>
      <c r="D17" s="228" t="str">
        <f t="shared" si="5"/>
        <v>3L</v>
      </c>
      <c r="E17" s="229" t="str">
        <f t="shared" si="0"/>
        <v>USD6L3L9Y_Quote</v>
      </c>
      <c r="F17" s="229" t="str">
        <f>_xll.qlSimpleQuote(E17,,RateTickValue,Permanent,Trigger,ObjectOverwrite)</f>
        <v>USD6L3L9Y_Quote#0000</v>
      </c>
      <c r="G17" s="277" t="str">
        <f>_xll.ohRangeRetrieveError(F17)</f>
        <v/>
      </c>
      <c r="H17" s="170"/>
      <c r="J17" s="284"/>
      <c r="K17" s="182" t="s">
        <v>77</v>
      </c>
      <c r="L17" s="182" t="s">
        <v>94</v>
      </c>
      <c r="M17" s="182" t="s">
        <v>93</v>
      </c>
      <c r="N17" s="183" t="str">
        <f t="shared" si="1"/>
        <v>USD6L3L9Y</v>
      </c>
      <c r="O17" s="82" t="str">
        <v>USD6L3L9Y=ICAP</v>
      </c>
      <c r="P17" s="275">
        <v>8.6999999999999993</v>
      </c>
      <c r="Q17" s="275">
        <v>0</v>
      </c>
      <c r="R17" s="289">
        <v>0</v>
      </c>
      <c r="S17" s="288">
        <v>0</v>
      </c>
      <c r="T17" s="275">
        <f>_xll.qlMidEquivalent(P17,Q17)</f>
        <v>8.6999999999999993</v>
      </c>
      <c r="U17" s="286">
        <v>9</v>
      </c>
      <c r="V17" s="85" t="b">
        <f t="shared" si="2"/>
        <v>1</v>
      </c>
      <c r="W17" s="275">
        <v>8.6999999999999993</v>
      </c>
      <c r="X17" s="194"/>
      <c r="Y17" s="281">
        <v>8.8000000000000007</v>
      </c>
      <c r="Z17" s="194"/>
      <c r="AA17" s="275">
        <v>8.6999999999999993</v>
      </c>
      <c r="AB17" s="187">
        <f>_xll.qlSimpleQuoteSetValue(F17,AA17/10000,Trigger)</f>
        <v>0</v>
      </c>
      <c r="AC17" s="77"/>
    </row>
    <row r="18" spans="1:29" ht="11.25" customHeight="1" x14ac:dyDescent="0.2">
      <c r="A18" s="76"/>
      <c r="B18" s="182" t="str">
        <f t="shared" si="3"/>
        <v>10Y</v>
      </c>
      <c r="C18" s="227" t="str">
        <f t="shared" si="4"/>
        <v>6L</v>
      </c>
      <c r="D18" s="228" t="str">
        <f t="shared" si="5"/>
        <v>3L</v>
      </c>
      <c r="E18" s="229" t="str">
        <f t="shared" si="0"/>
        <v>USD6L3L10Y_Quote</v>
      </c>
      <c r="F18" s="229" t="str">
        <f>_xll.qlSimpleQuote(E18,,RateTickValue,Permanent,Trigger,ObjectOverwrite)</f>
        <v>USD6L3L10Y_Quote#0000</v>
      </c>
      <c r="G18" s="277" t="str">
        <f>_xll.ohRangeRetrieveError(F18)</f>
        <v/>
      </c>
      <c r="H18" s="170"/>
      <c r="J18" s="284"/>
      <c r="K18" s="182" t="s">
        <v>76</v>
      </c>
      <c r="L18" s="182" t="s">
        <v>94</v>
      </c>
      <c r="M18" s="182" t="s">
        <v>93</v>
      </c>
      <c r="N18" s="183" t="str">
        <f t="shared" si="1"/>
        <v>USD6L3L10Y</v>
      </c>
      <c r="O18" s="82" t="str">
        <v>USD6L3L10Y=ICAP</v>
      </c>
      <c r="P18" s="275">
        <v>8.9</v>
      </c>
      <c r="Q18" s="275">
        <v>0</v>
      </c>
      <c r="R18" s="289">
        <v>0</v>
      </c>
      <c r="S18" s="288">
        <v>0</v>
      </c>
      <c r="T18" s="275">
        <f>_xll.qlMidEquivalent(P18,Q18)</f>
        <v>8.9</v>
      </c>
      <c r="U18" s="286">
        <v>10</v>
      </c>
      <c r="V18" s="85" t="b">
        <f t="shared" si="2"/>
        <v>1</v>
      </c>
      <c r="W18" s="275">
        <v>8.9</v>
      </c>
      <c r="X18" s="194"/>
      <c r="Y18" s="281">
        <v>9.1</v>
      </c>
      <c r="Z18" s="194"/>
      <c r="AA18" s="275">
        <v>8.9</v>
      </c>
      <c r="AB18" s="187">
        <f>_xll.qlSimpleQuoteSetValue(F18,AA18/10000,Trigger)</f>
        <v>0</v>
      </c>
      <c r="AC18" s="77"/>
    </row>
    <row r="19" spans="1:29" ht="11.25" customHeight="1" x14ac:dyDescent="0.2">
      <c r="A19" s="76"/>
      <c r="B19" s="182" t="str">
        <f t="shared" si="3"/>
        <v>11Y</v>
      </c>
      <c r="C19" s="227" t="str">
        <f t="shared" si="4"/>
        <v>6L</v>
      </c>
      <c r="D19" s="228" t="str">
        <f t="shared" si="5"/>
        <v>3L</v>
      </c>
      <c r="E19" s="229" t="str">
        <f t="shared" si="0"/>
        <v>USD6L3L11Y_Quote</v>
      </c>
      <c r="F19" s="229" t="str">
        <f>_xll.qlSimpleQuote(E19,,RateTickValue,Permanent,Trigger,ObjectOverwrite)</f>
        <v>USD6L3L11Y_Quote#0000</v>
      </c>
      <c r="G19" s="277" t="str">
        <f>_xll.ohRangeRetrieveError(F19)</f>
        <v/>
      </c>
      <c r="H19" s="170"/>
      <c r="J19" s="284"/>
      <c r="K19" s="182" t="s">
        <v>75</v>
      </c>
      <c r="L19" s="182" t="s">
        <v>94</v>
      </c>
      <c r="M19" s="182" t="s">
        <v>93</v>
      </c>
      <c r="N19" s="183" t="str">
        <f t="shared" si="1"/>
        <v>USD6L3L11Y</v>
      </c>
      <c r="O19" s="82" t="str">
        <v>USD6L3L11Y=ICAP</v>
      </c>
      <c r="P19" s="275" t="s">
        <v>281</v>
      </c>
      <c r="Q19" s="275" t="s">
        <v>281</v>
      </c>
      <c r="R19" s="289" t="s">
        <v>281</v>
      </c>
      <c r="S19" s="288" t="s">
        <v>281</v>
      </c>
      <c r="T19" s="275" t="e">
        <f>_xll.qlMidEquivalent(P19,Q19)</f>
        <v>#NUM!</v>
      </c>
      <c r="U19" s="286">
        <v>11</v>
      </c>
      <c r="V19" s="85" t="b">
        <f t="shared" si="2"/>
        <v>0</v>
      </c>
      <c r="W19" s="275">
        <v>9.1131678786917458</v>
      </c>
      <c r="X19" s="194"/>
      <c r="Y19" s="281">
        <v>9.2910253608408411</v>
      </c>
      <c r="Z19" s="194"/>
      <c r="AA19" s="275">
        <v>9.1131678786917458</v>
      </c>
      <c r="AB19" s="187">
        <f>_xll.qlSimpleQuoteSetValue(F19,AA19/10000,Trigger)</f>
        <v>1.855715291436584E-8</v>
      </c>
      <c r="AC19" s="77"/>
    </row>
    <row r="20" spans="1:29" ht="11.25" customHeight="1" x14ac:dyDescent="0.2">
      <c r="A20" s="76"/>
      <c r="B20" s="182" t="str">
        <f t="shared" si="3"/>
        <v>12Y</v>
      </c>
      <c r="C20" s="227" t="str">
        <f t="shared" si="4"/>
        <v>6L</v>
      </c>
      <c r="D20" s="228" t="str">
        <f t="shared" si="5"/>
        <v>3L</v>
      </c>
      <c r="E20" s="229" t="str">
        <f t="shared" si="0"/>
        <v>USD6L3L12Y_Quote</v>
      </c>
      <c r="F20" s="229" t="str">
        <f>_xll.qlSimpleQuote(E20,,RateTickValue,Permanent,Trigger,ObjectOverwrite)</f>
        <v>USD6L3L12Y_Quote#0000</v>
      </c>
      <c r="G20" s="277" t="str">
        <f>_xll.ohRangeRetrieveError(F20)</f>
        <v/>
      </c>
      <c r="H20" s="170"/>
      <c r="J20" s="284"/>
      <c r="K20" s="182" t="s">
        <v>74</v>
      </c>
      <c r="L20" s="182" t="s">
        <v>94</v>
      </c>
      <c r="M20" s="182" t="s">
        <v>93</v>
      </c>
      <c r="N20" s="183" t="str">
        <f t="shared" si="1"/>
        <v>USD6L3L12Y</v>
      </c>
      <c r="O20" s="82" t="str">
        <v>USD6L3L12Y=ICAP</v>
      </c>
      <c r="P20" s="275">
        <v>9.3000000000000007</v>
      </c>
      <c r="Q20" s="275">
        <v>0</v>
      </c>
      <c r="R20" s="289">
        <v>0</v>
      </c>
      <c r="S20" s="288">
        <v>0</v>
      </c>
      <c r="T20" s="275">
        <f>_xll.qlMidEquivalent(P20,Q20)</f>
        <v>9.3000000000000007</v>
      </c>
      <c r="U20" s="286">
        <v>12</v>
      </c>
      <c r="V20" s="85" t="b">
        <f t="shared" si="2"/>
        <v>1</v>
      </c>
      <c r="W20" s="275">
        <v>9.3000000000000007</v>
      </c>
      <c r="X20" s="194"/>
      <c r="Y20" s="281">
        <v>9.4</v>
      </c>
      <c r="Z20" s="194"/>
      <c r="AA20" s="275">
        <v>9.3000000000000007</v>
      </c>
      <c r="AB20" s="187">
        <f>_xll.qlSimpleQuoteSetValue(F20,AA20/10000,Trigger)</f>
        <v>0</v>
      </c>
      <c r="AC20" s="77"/>
    </row>
    <row r="21" spans="1:29" ht="11.25" customHeight="1" x14ac:dyDescent="0.2">
      <c r="A21" s="76"/>
      <c r="B21" s="182" t="str">
        <f t="shared" si="3"/>
        <v>13Y</v>
      </c>
      <c r="C21" s="227" t="str">
        <f t="shared" si="4"/>
        <v>6L</v>
      </c>
      <c r="D21" s="228" t="str">
        <f t="shared" si="5"/>
        <v>3L</v>
      </c>
      <c r="E21" s="229" t="str">
        <f t="shared" si="0"/>
        <v>USD6L3L13Y_Quote</v>
      </c>
      <c r="F21" s="229" t="str">
        <f>_xll.qlSimpleQuote(E21,,RateTickValue,Permanent,Trigger,ObjectOverwrite)</f>
        <v>USD6L3L13Y_Quote#0000</v>
      </c>
      <c r="G21" s="277" t="str">
        <f>_xll.ohRangeRetrieveError(F21)</f>
        <v/>
      </c>
      <c r="H21" s="170"/>
      <c r="J21" s="284"/>
      <c r="K21" s="182" t="s">
        <v>73</v>
      </c>
      <c r="L21" s="182" t="s">
        <v>94</v>
      </c>
      <c r="M21" s="182" t="s">
        <v>93</v>
      </c>
      <c r="N21" s="183" t="str">
        <f t="shared" si="1"/>
        <v>USD6L3L13Y</v>
      </c>
      <c r="O21" s="82" t="str">
        <v>USD6L3L13Y=ICAP</v>
      </c>
      <c r="P21" s="275" t="s">
        <v>281</v>
      </c>
      <c r="Q21" s="275" t="s">
        <v>281</v>
      </c>
      <c r="R21" s="289" t="s">
        <v>281</v>
      </c>
      <c r="S21" s="288" t="s">
        <v>281</v>
      </c>
      <c r="T21" s="275" t="e">
        <f>_xll.qlMidEquivalent(P21,Q21)</f>
        <v>#NUM!</v>
      </c>
      <c r="U21" s="286">
        <v>13</v>
      </c>
      <c r="V21" s="85" t="b">
        <f t="shared" si="2"/>
        <v>0</v>
      </c>
      <c r="W21" s="275">
        <v>9.4343250880566671</v>
      </c>
      <c r="X21" s="194"/>
      <c r="Y21" s="281">
        <v>9.528463134646934</v>
      </c>
      <c r="Z21" s="194"/>
      <c r="AA21" s="275">
        <v>9.4343250880566671</v>
      </c>
      <c r="AB21" s="187">
        <f>_xll.qlSimpleQuoteSetValue(F21,AA21/10000,Trigger)</f>
        <v>-9.3388475522638431E-9</v>
      </c>
      <c r="AC21" s="77"/>
    </row>
    <row r="22" spans="1:29" ht="11.25" customHeight="1" x14ac:dyDescent="0.2">
      <c r="A22" s="76"/>
      <c r="B22" s="182" t="str">
        <f t="shared" si="3"/>
        <v>14Y</v>
      </c>
      <c r="C22" s="227" t="str">
        <f t="shared" si="4"/>
        <v>6L</v>
      </c>
      <c r="D22" s="228" t="str">
        <f t="shared" si="5"/>
        <v>3L</v>
      </c>
      <c r="E22" s="229" t="str">
        <f t="shared" si="0"/>
        <v>USD6L3L14Y_Quote</v>
      </c>
      <c r="F22" s="229" t="str">
        <f>_xll.qlSimpleQuote(E22,,RateTickValue,Permanent,Trigger,ObjectOverwrite)</f>
        <v>USD6L3L14Y_Quote#0000</v>
      </c>
      <c r="G22" s="277" t="str">
        <f>_xll.ohRangeRetrieveError(F22)</f>
        <v/>
      </c>
      <c r="H22" s="170"/>
      <c r="J22" s="284"/>
      <c r="K22" s="182" t="s">
        <v>72</v>
      </c>
      <c r="L22" s="182" t="s">
        <v>94</v>
      </c>
      <c r="M22" s="182" t="s">
        <v>93</v>
      </c>
      <c r="N22" s="183" t="str">
        <f t="shared" si="1"/>
        <v>USD6L3L14Y</v>
      </c>
      <c r="O22" s="82" t="str">
        <v>USD6L3L14Y=ICAP</v>
      </c>
      <c r="P22" s="275" t="s">
        <v>281</v>
      </c>
      <c r="Q22" s="275" t="s">
        <v>281</v>
      </c>
      <c r="R22" s="289" t="s">
        <v>281</v>
      </c>
      <c r="S22" s="288" t="s">
        <v>281</v>
      </c>
      <c r="T22" s="275" t="e">
        <f>_xll.qlMidEquivalent(P22,Q22)</f>
        <v>#NUM!</v>
      </c>
      <c r="U22" s="286">
        <v>14</v>
      </c>
      <c r="V22" s="85" t="b">
        <f t="shared" si="2"/>
        <v>0</v>
      </c>
      <c r="W22" s="275">
        <v>9.5274379703012144</v>
      </c>
      <c r="X22" s="194"/>
      <c r="Y22" s="281">
        <v>9.6720688621671123</v>
      </c>
      <c r="Z22" s="194"/>
      <c r="AA22" s="275">
        <v>9.5274379703012144</v>
      </c>
      <c r="AB22" s="187">
        <f>_xll.qlSimpleQuoteSetValue(F22,AA22/10000,Trigger)</f>
        <v>-6.6488534201979491E-9</v>
      </c>
      <c r="AC22" s="77"/>
    </row>
    <row r="23" spans="1:29" ht="11.25" customHeight="1" x14ac:dyDescent="0.2">
      <c r="A23" s="76"/>
      <c r="B23" s="182" t="str">
        <f t="shared" si="3"/>
        <v>15Y</v>
      </c>
      <c r="C23" s="227" t="str">
        <f t="shared" si="4"/>
        <v>6L</v>
      </c>
      <c r="D23" s="228" t="str">
        <f t="shared" si="5"/>
        <v>3L</v>
      </c>
      <c r="E23" s="229" t="str">
        <f t="shared" si="0"/>
        <v>USD6L3L15Y_Quote</v>
      </c>
      <c r="F23" s="229" t="str">
        <f>_xll.qlSimpleQuote(E23,,RateTickValue,Permanent,Trigger,ObjectOverwrite)</f>
        <v>USD6L3L15Y_Quote#0000</v>
      </c>
      <c r="G23" s="277" t="str">
        <f>_xll.ohRangeRetrieveError(F23)</f>
        <v/>
      </c>
      <c r="H23" s="170"/>
      <c r="J23" s="284"/>
      <c r="K23" s="182" t="s">
        <v>71</v>
      </c>
      <c r="L23" s="182" t="s">
        <v>94</v>
      </c>
      <c r="M23" s="182" t="s">
        <v>93</v>
      </c>
      <c r="N23" s="183" t="str">
        <f t="shared" si="1"/>
        <v>USD6L3L15Y</v>
      </c>
      <c r="O23" s="82" t="str">
        <v>USD6L3L15Y=ICAP</v>
      </c>
      <c r="P23" s="275">
        <v>9.6</v>
      </c>
      <c r="Q23" s="275">
        <v>0</v>
      </c>
      <c r="R23" s="289">
        <v>0</v>
      </c>
      <c r="S23" s="288">
        <v>0</v>
      </c>
      <c r="T23" s="275">
        <f>_xll.qlMidEquivalent(P23,Q23)</f>
        <v>9.6</v>
      </c>
      <c r="U23" s="286">
        <v>15</v>
      </c>
      <c r="V23" s="85" t="b">
        <f t="shared" si="2"/>
        <v>1</v>
      </c>
      <c r="W23" s="275">
        <v>9.6</v>
      </c>
      <c r="X23" s="194"/>
      <c r="Y23" s="281">
        <v>9.8000000000000007</v>
      </c>
      <c r="Z23" s="194"/>
      <c r="AA23" s="275">
        <v>9.6</v>
      </c>
      <c r="AB23" s="187">
        <f>_xll.qlSimpleQuoteSetValue(F23,AA23/10000,Trigger)</f>
        <v>0</v>
      </c>
      <c r="AC23" s="77"/>
    </row>
    <row r="24" spans="1:29" ht="11.25" customHeight="1" x14ac:dyDescent="0.2">
      <c r="A24" s="76"/>
      <c r="B24" s="182" t="str">
        <f t="shared" si="3"/>
        <v>16Y</v>
      </c>
      <c r="C24" s="227" t="str">
        <f t="shared" si="4"/>
        <v>6L</v>
      </c>
      <c r="D24" s="228" t="str">
        <f t="shared" si="5"/>
        <v>3L</v>
      </c>
      <c r="E24" s="229" t="str">
        <f t="shared" si="0"/>
        <v>USD6L3L16Y_Quote</v>
      </c>
      <c r="F24" s="229" t="str">
        <f>_xll.qlSimpleQuote(E24,,RateTickValue,Permanent,Trigger,ObjectOverwrite)</f>
        <v>USD6L3L16Y_Quote#0000</v>
      </c>
      <c r="G24" s="277" t="str">
        <f>_xll.ohRangeRetrieveError(F24)</f>
        <v/>
      </c>
      <c r="H24" s="170"/>
      <c r="J24" s="284"/>
      <c r="K24" s="182" t="s">
        <v>70</v>
      </c>
      <c r="L24" s="182" t="s">
        <v>94</v>
      </c>
      <c r="M24" s="182" t="s">
        <v>93</v>
      </c>
      <c r="N24" s="183" t="str">
        <f t="shared" si="1"/>
        <v>USD6L3L16Y</v>
      </c>
      <c r="O24" s="82" t="str">
        <v>USD6L3L16Y=ICAP</v>
      </c>
      <c r="P24" s="275" t="s">
        <v>281</v>
      </c>
      <c r="Q24" s="275" t="s">
        <v>281</v>
      </c>
      <c r="R24" s="289" t="s">
        <v>281</v>
      </c>
      <c r="S24" s="288" t="s">
        <v>281</v>
      </c>
      <c r="T24" s="275" t="e">
        <f>_xll.qlMidEquivalent(P24,Q24)</f>
        <v>#NUM!</v>
      </c>
      <c r="U24" s="286">
        <v>16</v>
      </c>
      <c r="V24" s="85" t="b">
        <f t="shared" si="2"/>
        <v>0</v>
      </c>
      <c r="W24" s="275">
        <v>9.6688509726223426</v>
      </c>
      <c r="X24" s="194"/>
      <c r="Y24" s="281">
        <v>9.8884318819511794</v>
      </c>
      <c r="Z24" s="194"/>
      <c r="AA24" s="275">
        <v>9.6688509726223426</v>
      </c>
      <c r="AB24" s="187">
        <f>_xll.qlSimpleQuoteSetValue(F24,AA24/10000,Trigger)</f>
        <v>4.0563081324818812E-9</v>
      </c>
      <c r="AC24" s="77"/>
    </row>
    <row r="25" spans="1:29" ht="11.25" customHeight="1" x14ac:dyDescent="0.2">
      <c r="A25" s="76"/>
      <c r="B25" s="182" t="str">
        <f t="shared" si="3"/>
        <v>17Y</v>
      </c>
      <c r="C25" s="227" t="str">
        <f t="shared" si="4"/>
        <v>6L</v>
      </c>
      <c r="D25" s="228" t="str">
        <f t="shared" si="5"/>
        <v>3L</v>
      </c>
      <c r="E25" s="229" t="str">
        <f t="shared" si="0"/>
        <v>USD6L3L17Y_Quote</v>
      </c>
      <c r="F25" s="229" t="str">
        <f>_xll.qlSimpleQuote(E25,,RateTickValue,Permanent,Trigger,ObjectOverwrite)</f>
        <v>USD6L3L17Y_Quote#0000</v>
      </c>
      <c r="G25" s="277" t="str">
        <f>_xll.ohRangeRetrieveError(F25)</f>
        <v/>
      </c>
      <c r="H25" s="170"/>
      <c r="J25" s="284"/>
      <c r="K25" s="182" t="s">
        <v>69</v>
      </c>
      <c r="L25" s="182" t="s">
        <v>94</v>
      </c>
      <c r="M25" s="182" t="s">
        <v>93</v>
      </c>
      <c r="N25" s="183" t="str">
        <f t="shared" si="1"/>
        <v>USD6L3L17Y</v>
      </c>
      <c r="O25" s="82" t="str">
        <v>USD6L3L17Y=ICAP</v>
      </c>
      <c r="P25" s="275" t="s">
        <v>281</v>
      </c>
      <c r="Q25" s="275" t="s">
        <v>281</v>
      </c>
      <c r="R25" s="289" t="s">
        <v>281</v>
      </c>
      <c r="S25" s="288" t="s">
        <v>281</v>
      </c>
      <c r="T25" s="275" t="e">
        <f>_xll.qlMidEquivalent(P25,Q25)</f>
        <v>#NUM!</v>
      </c>
      <c r="U25" s="286">
        <v>17</v>
      </c>
      <c r="V25" s="85" t="b">
        <f t="shared" si="2"/>
        <v>0</v>
      </c>
      <c r="W25" s="275">
        <v>9.7355444524493997</v>
      </c>
      <c r="X25" s="194"/>
      <c r="Y25" s="281">
        <v>9.9415099072906568</v>
      </c>
      <c r="Z25" s="194"/>
      <c r="AA25" s="275">
        <v>9.7355444524493997</v>
      </c>
      <c r="AB25" s="187">
        <f>_xll.qlSimpleQuoteSetValue(F25,AA25/10000,Trigger)</f>
        <v>5.0429776781357391E-9</v>
      </c>
      <c r="AC25" s="77"/>
    </row>
    <row r="26" spans="1:29" ht="11.25" customHeight="1" x14ac:dyDescent="0.2">
      <c r="A26" s="76"/>
      <c r="B26" s="182" t="str">
        <f t="shared" si="3"/>
        <v>18Y</v>
      </c>
      <c r="C26" s="227" t="str">
        <f t="shared" si="4"/>
        <v>6L</v>
      </c>
      <c r="D26" s="228" t="str">
        <f t="shared" si="5"/>
        <v>3L</v>
      </c>
      <c r="E26" s="229" t="str">
        <f t="shared" si="0"/>
        <v>USD6L3L18Y_Quote</v>
      </c>
      <c r="F26" s="229" t="str">
        <f>_xll.qlSimpleQuote(E26,,RateTickValue,Permanent,Trigger,ObjectOverwrite)</f>
        <v>USD6L3L18Y_Quote#0000</v>
      </c>
      <c r="G26" s="277" t="str">
        <f>_xll.ohRangeRetrieveError(F26)</f>
        <v/>
      </c>
      <c r="H26" s="170"/>
      <c r="J26" s="284"/>
      <c r="K26" s="182" t="s">
        <v>68</v>
      </c>
      <c r="L26" s="182" t="s">
        <v>94</v>
      </c>
      <c r="M26" s="182" t="s">
        <v>93</v>
      </c>
      <c r="N26" s="183" t="str">
        <f t="shared" si="1"/>
        <v>USD6L3L18Y</v>
      </c>
      <c r="O26" s="82" t="str">
        <v>USD6L3L18Y=ICAP</v>
      </c>
      <c r="P26" s="275" t="s">
        <v>281</v>
      </c>
      <c r="Q26" s="275" t="s">
        <v>281</v>
      </c>
      <c r="R26" s="289" t="s">
        <v>281</v>
      </c>
      <c r="S26" s="288" t="s">
        <v>281</v>
      </c>
      <c r="T26" s="275" t="e">
        <f>_xll.qlMidEquivalent(P26,Q26)</f>
        <v>#NUM!</v>
      </c>
      <c r="U26" s="286">
        <v>18</v>
      </c>
      <c r="V26" s="85" t="b">
        <f t="shared" si="2"/>
        <v>0</v>
      </c>
      <c r="W26" s="275">
        <v>9.7978124459652847</v>
      </c>
      <c r="X26" s="194"/>
      <c r="Y26" s="281">
        <v>9.9703719916545417</v>
      </c>
      <c r="Z26" s="194"/>
      <c r="AA26" s="275">
        <v>9.7978124459652847</v>
      </c>
      <c r="AB26" s="187">
        <f>_xll.qlSimpleQuoteSetValue(F26,AA26/10000,Trigger)</f>
        <v>4.0014931576570767E-9</v>
      </c>
      <c r="AC26" s="77"/>
    </row>
    <row r="27" spans="1:29" ht="11.25" customHeight="1" x14ac:dyDescent="0.2">
      <c r="A27" s="76"/>
      <c r="B27" s="182" t="str">
        <f t="shared" si="3"/>
        <v>19Y</v>
      </c>
      <c r="C27" s="227" t="str">
        <f t="shared" si="4"/>
        <v>6L</v>
      </c>
      <c r="D27" s="228" t="str">
        <f t="shared" si="5"/>
        <v>3L</v>
      </c>
      <c r="E27" s="229" t="str">
        <f t="shared" si="0"/>
        <v>USD6L3L19Y_Quote</v>
      </c>
      <c r="F27" s="229" t="str">
        <f>_xll.qlSimpleQuote(E27,,RateTickValue,Permanent,Trigger,ObjectOverwrite)</f>
        <v>USD6L3L19Y_Quote#0000</v>
      </c>
      <c r="G27" s="277" t="str">
        <f>_xll.ohRangeRetrieveError(F27)</f>
        <v/>
      </c>
      <c r="H27" s="170"/>
      <c r="J27" s="284"/>
      <c r="K27" s="182" t="s">
        <v>67</v>
      </c>
      <c r="L27" s="182" t="s">
        <v>94</v>
      </c>
      <c r="M27" s="182" t="s">
        <v>93</v>
      </c>
      <c r="N27" s="183" t="str">
        <f t="shared" si="1"/>
        <v>USD6L3L19Y</v>
      </c>
      <c r="O27" s="82" t="str">
        <v>USD6L3L19Y=ICAP</v>
      </c>
      <c r="P27" s="275" t="s">
        <v>281</v>
      </c>
      <c r="Q27" s="275" t="s">
        <v>281</v>
      </c>
      <c r="R27" s="289" t="s">
        <v>281</v>
      </c>
      <c r="S27" s="288" t="s">
        <v>281</v>
      </c>
      <c r="T27" s="275" t="e">
        <f>_xll.qlMidEquivalent(P27,Q27)</f>
        <v>#NUM!</v>
      </c>
      <c r="U27" s="286">
        <v>19</v>
      </c>
      <c r="V27" s="85" t="b">
        <f t="shared" si="2"/>
        <v>0</v>
      </c>
      <c r="W27" s="275">
        <v>9.853386959654113</v>
      </c>
      <c r="X27" s="194"/>
      <c r="Y27" s="281">
        <v>9.986156050678952</v>
      </c>
      <c r="Z27" s="194"/>
      <c r="AA27" s="275">
        <v>9.853386959654113</v>
      </c>
      <c r="AB27" s="187">
        <f>_xll.qlSimpleQuoteSetValue(F27,AA27/10000,Trigger)</f>
        <v>1.9733390913077159E-9</v>
      </c>
      <c r="AC27" s="77"/>
    </row>
    <row r="28" spans="1:29" ht="11.25" customHeight="1" x14ac:dyDescent="0.2">
      <c r="A28" s="76"/>
      <c r="B28" s="182" t="str">
        <f t="shared" si="3"/>
        <v>20Y</v>
      </c>
      <c r="C28" s="227" t="str">
        <f t="shared" si="4"/>
        <v>6L</v>
      </c>
      <c r="D28" s="228" t="str">
        <f t="shared" si="5"/>
        <v>3L</v>
      </c>
      <c r="E28" s="229" t="str">
        <f t="shared" si="0"/>
        <v>USD6L3L20Y_Quote</v>
      </c>
      <c r="F28" s="229" t="str">
        <f>_xll.qlSimpleQuote(E28,,RateTickValue,Permanent,Trigger,ObjectOverwrite)</f>
        <v>USD6L3L20Y_Quote#0000</v>
      </c>
      <c r="G28" s="277" t="str">
        <f>_xll.ohRangeRetrieveError(F28)</f>
        <v/>
      </c>
      <c r="H28" s="170"/>
      <c r="J28" s="284"/>
      <c r="K28" s="182" t="s">
        <v>66</v>
      </c>
      <c r="L28" s="182" t="s">
        <v>94</v>
      </c>
      <c r="M28" s="182" t="s">
        <v>93</v>
      </c>
      <c r="N28" s="183" t="str">
        <f t="shared" si="1"/>
        <v>USD6L3L20Y</v>
      </c>
      <c r="O28" s="82" t="str">
        <v>USD6L3L20Y=ICAP</v>
      </c>
      <c r="P28" s="275">
        <v>9.9</v>
      </c>
      <c r="Q28" s="275">
        <v>0</v>
      </c>
      <c r="R28" s="289">
        <v>0</v>
      </c>
      <c r="S28" s="288">
        <v>0</v>
      </c>
      <c r="T28" s="275">
        <f>_xll.qlMidEquivalent(P28,Q28)</f>
        <v>9.9</v>
      </c>
      <c r="U28" s="286">
        <v>20</v>
      </c>
      <c r="V28" s="85" t="b">
        <f t="shared" si="2"/>
        <v>1</v>
      </c>
      <c r="W28" s="275">
        <v>9.9</v>
      </c>
      <c r="X28" s="194"/>
      <c r="Y28" s="281">
        <v>10</v>
      </c>
      <c r="Z28" s="194"/>
      <c r="AA28" s="275">
        <v>9.9</v>
      </c>
      <c r="AB28" s="187">
        <f>_xll.qlSimpleQuoteSetValue(F28,AA28/10000,Trigger)</f>
        <v>0</v>
      </c>
      <c r="AC28" s="77"/>
    </row>
    <row r="29" spans="1:29" ht="11.25" customHeight="1" x14ac:dyDescent="0.2">
      <c r="A29" s="76"/>
      <c r="B29" s="182" t="str">
        <f t="shared" si="3"/>
        <v>21Y</v>
      </c>
      <c r="C29" s="227" t="str">
        <f t="shared" si="4"/>
        <v>6L</v>
      </c>
      <c r="D29" s="228" t="str">
        <f t="shared" si="5"/>
        <v>3L</v>
      </c>
      <c r="E29" s="229" t="str">
        <f t="shared" si="0"/>
        <v>USD6L3L21Y_Quote</v>
      </c>
      <c r="F29" s="229" t="str">
        <f>_xll.qlSimpleQuote(E29,,RateTickValue,Permanent,Trigger,ObjectOverwrite)</f>
        <v>USD6L3L21Y_Quote#0000</v>
      </c>
      <c r="G29" s="277" t="str">
        <f>_xll.ohRangeRetrieveError(F29)</f>
        <v/>
      </c>
      <c r="H29" s="170"/>
      <c r="J29" s="284"/>
      <c r="K29" s="182" t="s">
        <v>65</v>
      </c>
      <c r="L29" s="182" t="s">
        <v>94</v>
      </c>
      <c r="M29" s="182" t="s">
        <v>93</v>
      </c>
      <c r="N29" s="183" t="str">
        <f t="shared" si="1"/>
        <v>USD6L3L21Y</v>
      </c>
      <c r="O29" s="82" t="str">
        <v>USD6L3L21Y=ICAP</v>
      </c>
      <c r="P29" s="275" t="s">
        <v>281</v>
      </c>
      <c r="Q29" s="275" t="s">
        <v>281</v>
      </c>
      <c r="R29" s="289" t="s">
        <v>281</v>
      </c>
      <c r="S29" s="288" t="s">
        <v>281</v>
      </c>
      <c r="T29" s="275" t="e">
        <f>_xll.qlMidEquivalent(P29,Q29)</f>
        <v>#NUM!</v>
      </c>
      <c r="U29" s="286">
        <v>21</v>
      </c>
      <c r="V29" s="85" t="b">
        <f t="shared" si="2"/>
        <v>0</v>
      </c>
      <c r="W29" s="275">
        <v>9.9368808357349057</v>
      </c>
      <c r="X29" s="194"/>
      <c r="Y29" s="281">
        <v>10.021015381129432</v>
      </c>
      <c r="Z29" s="194"/>
      <c r="AA29" s="275">
        <v>9.9368808357349057</v>
      </c>
      <c r="AB29" s="187">
        <f>_xll.qlSimpleQuoteSetValue(F29,AA29/10000,Trigger)</f>
        <v>-1.0232128623121478E-9</v>
      </c>
      <c r="AC29" s="77"/>
    </row>
    <row r="30" spans="1:29" ht="11.25" customHeight="1" x14ac:dyDescent="0.2">
      <c r="A30" s="76"/>
      <c r="B30" s="182" t="str">
        <f t="shared" si="3"/>
        <v>22Y</v>
      </c>
      <c r="C30" s="227" t="str">
        <f t="shared" si="4"/>
        <v>6L</v>
      </c>
      <c r="D30" s="228" t="str">
        <f t="shared" si="5"/>
        <v>3L</v>
      </c>
      <c r="E30" s="229" t="str">
        <f t="shared" si="0"/>
        <v>USD6L3L22Y_Quote</v>
      </c>
      <c r="F30" s="229" t="str">
        <f>_xll.qlSimpleQuote(E30,,RateTickValue,Permanent,Trigger,ObjectOverwrite)</f>
        <v>USD6L3L22Y_Quote#0000</v>
      </c>
      <c r="G30" s="277" t="str">
        <f>_xll.ohRangeRetrieveError(F30)</f>
        <v/>
      </c>
      <c r="H30" s="170"/>
      <c r="J30" s="284"/>
      <c r="K30" s="182" t="s">
        <v>64</v>
      </c>
      <c r="L30" s="182" t="s">
        <v>94</v>
      </c>
      <c r="M30" s="182" t="s">
        <v>93</v>
      </c>
      <c r="N30" s="183" t="str">
        <f t="shared" si="1"/>
        <v>USD6L3L22Y</v>
      </c>
      <c r="O30" s="82" t="str">
        <v>USD6L3L22Y=ICAP</v>
      </c>
      <c r="P30" s="275" t="s">
        <v>281</v>
      </c>
      <c r="Q30" s="275" t="s">
        <v>281</v>
      </c>
      <c r="R30" s="289" t="s">
        <v>281</v>
      </c>
      <c r="S30" s="288" t="s">
        <v>281</v>
      </c>
      <c r="T30" s="275" t="e">
        <f>_xll.qlMidEquivalent(P30,Q30)</f>
        <v>#NUM!</v>
      </c>
      <c r="U30" s="286">
        <v>22</v>
      </c>
      <c r="V30" s="85" t="b">
        <f t="shared" si="2"/>
        <v>0</v>
      </c>
      <c r="W30" s="275">
        <v>9.9649909402017673</v>
      </c>
      <c r="X30" s="194"/>
      <c r="Y30" s="281">
        <v>10.047142303770611</v>
      </c>
      <c r="Z30" s="194"/>
      <c r="AA30" s="275">
        <v>9.9649909402017673</v>
      </c>
      <c r="AB30" s="187">
        <f>_xll.qlSimpleQuoteSetValue(F30,AA30/10000,Trigger)</f>
        <v>-1.1511144700198511E-9</v>
      </c>
      <c r="AC30" s="77"/>
    </row>
    <row r="31" spans="1:29" ht="11.25" customHeight="1" x14ac:dyDescent="0.2">
      <c r="A31" s="76"/>
      <c r="B31" s="182" t="str">
        <f t="shared" si="3"/>
        <v>23Y</v>
      </c>
      <c r="C31" s="227" t="str">
        <f t="shared" si="4"/>
        <v>6L</v>
      </c>
      <c r="D31" s="228" t="str">
        <f t="shared" si="5"/>
        <v>3L</v>
      </c>
      <c r="E31" s="229" t="str">
        <f t="shared" si="0"/>
        <v>USD6L3L23Y_Quote</v>
      </c>
      <c r="F31" s="229" t="str">
        <f>_xll.qlSimpleQuote(E31,,RateTickValue,Permanent,Trigger,ObjectOverwrite)</f>
        <v>USD6L3L23Y_Quote#0000</v>
      </c>
      <c r="G31" s="277" t="str">
        <f>_xll.ohRangeRetrieveError(F31)</f>
        <v/>
      </c>
      <c r="H31" s="170"/>
      <c r="J31" s="284"/>
      <c r="K31" s="182" t="s">
        <v>63</v>
      </c>
      <c r="L31" s="182" t="s">
        <v>94</v>
      </c>
      <c r="M31" s="182" t="s">
        <v>93</v>
      </c>
      <c r="N31" s="183" t="str">
        <f t="shared" si="1"/>
        <v>USD6L3L23Y</v>
      </c>
      <c r="O31" s="82" t="str">
        <v>USD6L3L23Y=ICAP</v>
      </c>
      <c r="P31" s="275" t="s">
        <v>281</v>
      </c>
      <c r="Q31" s="275" t="s">
        <v>281</v>
      </c>
      <c r="R31" s="289" t="s">
        <v>281</v>
      </c>
      <c r="S31" s="288" t="s">
        <v>281</v>
      </c>
      <c r="T31" s="275" t="e">
        <f>_xll.qlMidEquivalent(P31,Q31)</f>
        <v>#NUM!</v>
      </c>
      <c r="U31" s="286">
        <v>23</v>
      </c>
      <c r="V31" s="85" t="b">
        <f t="shared" si="2"/>
        <v>0</v>
      </c>
      <c r="W31" s="275">
        <v>9.9846606268011779</v>
      </c>
      <c r="X31" s="194"/>
      <c r="Y31" s="281">
        <v>10.072761535847075</v>
      </c>
      <c r="Z31" s="194"/>
      <c r="AA31" s="275">
        <v>9.9846606268011779</v>
      </c>
      <c r="AB31" s="187">
        <f>_xll.qlSimpleQuoteSetValue(F31,AA31/10000,Trigger)</f>
        <v>-7.6740964689674118E-10</v>
      </c>
      <c r="AC31" s="77"/>
    </row>
    <row r="32" spans="1:29" ht="11.25" customHeight="1" x14ac:dyDescent="0.2">
      <c r="A32" s="76"/>
      <c r="B32" s="182" t="str">
        <f t="shared" si="3"/>
        <v>24Y</v>
      </c>
      <c r="C32" s="227" t="str">
        <f t="shared" si="4"/>
        <v>6L</v>
      </c>
      <c r="D32" s="228" t="str">
        <f t="shared" si="5"/>
        <v>3L</v>
      </c>
      <c r="E32" s="229" t="str">
        <f t="shared" si="0"/>
        <v>USD6L3L24Y_Quote</v>
      </c>
      <c r="F32" s="229" t="str">
        <f>_xll.qlSimpleQuote(E32,,RateTickValue,Permanent,Trigger,ObjectOverwrite)</f>
        <v>USD6L3L24Y_Quote#0000</v>
      </c>
      <c r="G32" s="277" t="str">
        <f>_xll.ohRangeRetrieveError(F32)</f>
        <v/>
      </c>
      <c r="H32" s="170"/>
      <c r="J32" s="284"/>
      <c r="K32" s="182" t="s">
        <v>62</v>
      </c>
      <c r="L32" s="182" t="s">
        <v>94</v>
      </c>
      <c r="M32" s="182" t="s">
        <v>93</v>
      </c>
      <c r="N32" s="183" t="str">
        <f t="shared" si="1"/>
        <v>USD6L3L24Y</v>
      </c>
      <c r="O32" s="82" t="str">
        <v>USD6L3L24Y=ICAP</v>
      </c>
      <c r="P32" s="275" t="s">
        <v>281</v>
      </c>
      <c r="Q32" s="275" t="s">
        <v>281</v>
      </c>
      <c r="R32" s="289" t="s">
        <v>281</v>
      </c>
      <c r="S32" s="288" t="s">
        <v>281</v>
      </c>
      <c r="T32" s="275" t="e">
        <f>_xll.qlMidEquivalent(P32,Q32)</f>
        <v>#NUM!</v>
      </c>
      <c r="U32" s="286">
        <v>24</v>
      </c>
      <c r="V32" s="85" t="b">
        <f t="shared" si="2"/>
        <v>0</v>
      </c>
      <c r="W32" s="275">
        <v>9.9962202089337264</v>
      </c>
      <c r="X32" s="194"/>
      <c r="Y32" s="281">
        <v>10.092253845282359</v>
      </c>
      <c r="Z32" s="194"/>
      <c r="AA32" s="275">
        <v>9.9962202089337264</v>
      </c>
      <c r="AB32" s="187">
        <f>_xll.qlSimpleQuoteSetValue(F32,AA32/10000,Trigger)</f>
        <v>-2.5580321563224706E-10</v>
      </c>
      <c r="AC32" s="77"/>
    </row>
    <row r="33" spans="1:29" ht="11.25" customHeight="1" x14ac:dyDescent="0.2">
      <c r="A33" s="76"/>
      <c r="B33" s="182" t="str">
        <f t="shared" si="3"/>
        <v>25Y</v>
      </c>
      <c r="C33" s="227" t="str">
        <f t="shared" si="4"/>
        <v>6L</v>
      </c>
      <c r="D33" s="228" t="str">
        <f t="shared" si="5"/>
        <v>3L</v>
      </c>
      <c r="E33" s="229" t="str">
        <f t="shared" si="0"/>
        <v>USD6L3L25Y_Quote</v>
      </c>
      <c r="F33" s="229" t="str">
        <f>_xll.qlSimpleQuote(E33,,RateTickValue,Permanent,Trigger,ObjectOverwrite)</f>
        <v>USD6L3L25Y_Quote#0000</v>
      </c>
      <c r="G33" s="277" t="str">
        <f>_xll.ohRangeRetrieveError(F33)</f>
        <v/>
      </c>
      <c r="H33" s="170"/>
      <c r="J33" s="284"/>
      <c r="K33" s="182" t="s">
        <v>61</v>
      </c>
      <c r="L33" s="182" t="s">
        <v>94</v>
      </c>
      <c r="M33" s="182" t="s">
        <v>93</v>
      </c>
      <c r="N33" s="183" t="str">
        <f t="shared" si="1"/>
        <v>USD6L3L25Y</v>
      </c>
      <c r="O33" s="82" t="str">
        <v>USD6L3L25Y=ICAP</v>
      </c>
      <c r="P33" s="275">
        <v>10</v>
      </c>
      <c r="Q33" s="275">
        <v>0</v>
      </c>
      <c r="R33" s="289">
        <v>0</v>
      </c>
      <c r="S33" s="288">
        <v>0</v>
      </c>
      <c r="T33" s="275">
        <f>_xll.qlMidEquivalent(P33,Q33)</f>
        <v>10</v>
      </c>
      <c r="U33" s="286">
        <v>25</v>
      </c>
      <c r="V33" s="85" t="b">
        <f t="shared" si="2"/>
        <v>1</v>
      </c>
      <c r="W33" s="275">
        <v>10</v>
      </c>
      <c r="X33" s="194"/>
      <c r="Y33" s="281">
        <v>10.100000000000001</v>
      </c>
      <c r="Z33" s="194"/>
      <c r="AA33" s="275">
        <v>10</v>
      </c>
      <c r="AB33" s="187">
        <f>_xll.qlSimpleQuoteSetValue(F33,AA33/10000,Trigger)</f>
        <v>0</v>
      </c>
      <c r="AC33" s="77"/>
    </row>
    <row r="34" spans="1:29" ht="11.25" customHeight="1" x14ac:dyDescent="0.2">
      <c r="A34" s="76"/>
      <c r="B34" s="182" t="str">
        <f t="shared" si="3"/>
        <v>26Y</v>
      </c>
      <c r="C34" s="227" t="str">
        <f t="shared" si="4"/>
        <v>6L</v>
      </c>
      <c r="D34" s="228" t="str">
        <f t="shared" si="5"/>
        <v>3L</v>
      </c>
      <c r="E34" s="229" t="str">
        <f t="shared" si="0"/>
        <v>USD6L3L26Y_Quote</v>
      </c>
      <c r="F34" s="229" t="str">
        <f>_xll.qlSimpleQuote(E34,,RateTickValue,Permanent,Trigger,ObjectOverwrite)</f>
        <v>USD6L3L26Y_Quote#0000</v>
      </c>
      <c r="G34" s="277" t="str">
        <f>_xll.ohRangeRetrieveError(F34)</f>
        <v/>
      </c>
      <c r="H34" s="170"/>
      <c r="J34" s="284"/>
      <c r="K34" s="182" t="s">
        <v>60</v>
      </c>
      <c r="L34" s="182" t="s">
        <v>94</v>
      </c>
      <c r="M34" s="182" t="s">
        <v>93</v>
      </c>
      <c r="N34" s="183" t="str">
        <f t="shared" si="1"/>
        <v>USD6L3L26Y</v>
      </c>
      <c r="O34" s="82" t="str">
        <v>USD6L3L26Y=ICAP</v>
      </c>
      <c r="P34" s="275" t="s">
        <v>281</v>
      </c>
      <c r="Q34" s="275" t="s">
        <v>281</v>
      </c>
      <c r="R34" s="289" t="s">
        <v>281</v>
      </c>
      <c r="S34" s="288" t="s">
        <v>281</v>
      </c>
      <c r="T34" s="275" t="e">
        <f>_xll.qlMidEquivalent(P34,Q34)</f>
        <v>#NUM!</v>
      </c>
      <c r="U34" s="286">
        <v>26</v>
      </c>
      <c r="V34" s="85" t="b">
        <f t="shared" si="2"/>
        <v>0</v>
      </c>
      <c r="W34" s="275">
        <v>10</v>
      </c>
      <c r="X34" s="194"/>
      <c r="Y34" s="281">
        <v>10.094706593531093</v>
      </c>
      <c r="Z34" s="194"/>
      <c r="AA34" s="275">
        <v>10</v>
      </c>
      <c r="AB34" s="187">
        <f>_xll.qlSimpleQuoteSetValue(F34,AA34/10000,Trigger)</f>
        <v>0</v>
      </c>
      <c r="AC34" s="77"/>
    </row>
    <row r="35" spans="1:29" ht="11.25" customHeight="1" x14ac:dyDescent="0.2">
      <c r="A35" s="76"/>
      <c r="B35" s="182" t="str">
        <f t="shared" si="3"/>
        <v>27Y</v>
      </c>
      <c r="C35" s="227" t="str">
        <f t="shared" si="4"/>
        <v>6L</v>
      </c>
      <c r="D35" s="228" t="str">
        <f t="shared" si="5"/>
        <v>3L</v>
      </c>
      <c r="E35" s="229" t="str">
        <f t="shared" si="0"/>
        <v>USD6L3L27Y_Quote</v>
      </c>
      <c r="F35" s="229" t="str">
        <f>_xll.qlSimpleQuote(E35,,RateTickValue,Permanent,Trigger,ObjectOverwrite)</f>
        <v>USD6L3L27Y_Quote#0000</v>
      </c>
      <c r="G35" s="277" t="str">
        <f>_xll.ohRangeRetrieveError(F35)</f>
        <v/>
      </c>
      <c r="H35" s="170"/>
      <c r="J35" s="284"/>
      <c r="K35" s="182" t="s">
        <v>59</v>
      </c>
      <c r="L35" s="182" t="s">
        <v>94</v>
      </c>
      <c r="M35" s="182" t="s">
        <v>93</v>
      </c>
      <c r="N35" s="183" t="str">
        <f t="shared" si="1"/>
        <v>USD6L3L27Y</v>
      </c>
      <c r="O35" s="82" t="str">
        <v>USD6L3L27Y=ICAP</v>
      </c>
      <c r="P35" s="275" t="s">
        <v>281</v>
      </c>
      <c r="Q35" s="275" t="s">
        <v>281</v>
      </c>
      <c r="R35" s="289" t="s">
        <v>281</v>
      </c>
      <c r="S35" s="288" t="s">
        <v>281</v>
      </c>
      <c r="T35" s="275" t="e">
        <f>_xll.qlMidEquivalent(P35,Q35)</f>
        <v>#NUM!</v>
      </c>
      <c r="U35" s="286">
        <v>27</v>
      </c>
      <c r="V35" s="85" t="b">
        <f t="shared" si="2"/>
        <v>0</v>
      </c>
      <c r="W35" s="275">
        <v>10</v>
      </c>
      <c r="X35" s="194"/>
      <c r="Y35" s="281">
        <v>10.080119780593277</v>
      </c>
      <c r="Z35" s="194"/>
      <c r="AA35" s="275">
        <v>10</v>
      </c>
      <c r="AB35" s="187">
        <f>_xll.qlSimpleQuoteSetValue(F35,AA35/10000,Trigger)</f>
        <v>0</v>
      </c>
      <c r="AC35" s="77"/>
    </row>
    <row r="36" spans="1:29" ht="11.25" customHeight="1" x14ac:dyDescent="0.2">
      <c r="A36" s="76"/>
      <c r="B36" s="182" t="str">
        <f t="shared" si="3"/>
        <v>28Y</v>
      </c>
      <c r="C36" s="227" t="str">
        <f t="shared" si="4"/>
        <v>6L</v>
      </c>
      <c r="D36" s="228" t="str">
        <f t="shared" si="5"/>
        <v>3L</v>
      </c>
      <c r="E36" s="229" t="str">
        <f t="shared" si="0"/>
        <v>USD6L3L28Y_Quote</v>
      </c>
      <c r="F36" s="229" t="str">
        <f>_xll.qlSimpleQuote(E36,,RateTickValue,Permanent,Trigger,ObjectOverwrite)</f>
        <v>USD6L3L28Y_Quote#0000</v>
      </c>
      <c r="G36" s="277" t="str">
        <f>_xll.ohRangeRetrieveError(F36)</f>
        <v/>
      </c>
      <c r="H36" s="170"/>
      <c r="J36" s="284"/>
      <c r="K36" s="182" t="s">
        <v>58</v>
      </c>
      <c r="L36" s="182" t="s">
        <v>94</v>
      </c>
      <c r="M36" s="182" t="s">
        <v>93</v>
      </c>
      <c r="N36" s="183" t="str">
        <f t="shared" si="1"/>
        <v>USD6L3L28Y</v>
      </c>
      <c r="O36" s="82" t="str">
        <v>USD6L3L28Y=ICAP</v>
      </c>
      <c r="P36" s="275" t="s">
        <v>281</v>
      </c>
      <c r="Q36" s="275" t="s">
        <v>281</v>
      </c>
      <c r="R36" s="289" t="s">
        <v>281</v>
      </c>
      <c r="S36" s="288" t="s">
        <v>281</v>
      </c>
      <c r="T36" s="275" t="e">
        <f>_xll.qlMidEquivalent(P36,Q36)</f>
        <v>#NUM!</v>
      </c>
      <c r="U36" s="286">
        <v>28</v>
      </c>
      <c r="V36" s="85" t="b">
        <f t="shared" si="2"/>
        <v>0</v>
      </c>
      <c r="W36" s="275">
        <v>10</v>
      </c>
      <c r="X36" s="194"/>
      <c r="Y36" s="281">
        <v>10.058179670889913</v>
      </c>
      <c r="Z36" s="194"/>
      <c r="AA36" s="275">
        <v>10</v>
      </c>
      <c r="AB36" s="187">
        <f>_xll.qlSimpleQuoteSetValue(F36,AA36/10000,Trigger)</f>
        <v>0</v>
      </c>
      <c r="AC36" s="77"/>
    </row>
    <row r="37" spans="1:29" ht="11.25" customHeight="1" x14ac:dyDescent="0.2">
      <c r="A37" s="76"/>
      <c r="B37" s="182" t="str">
        <f t="shared" si="3"/>
        <v>29Y</v>
      </c>
      <c r="C37" s="227" t="str">
        <f t="shared" si="4"/>
        <v>6L</v>
      </c>
      <c r="D37" s="228" t="str">
        <f t="shared" si="5"/>
        <v>3L</v>
      </c>
      <c r="E37" s="229" t="str">
        <f t="shared" si="0"/>
        <v>USD6L3L29Y_Quote</v>
      </c>
      <c r="F37" s="229" t="str">
        <f>_xll.qlSimpleQuote(E37,,RateTickValue,Permanent,Trigger,ObjectOverwrite)</f>
        <v>USD6L3L29Y_Quote#0000</v>
      </c>
      <c r="G37" s="277" t="str">
        <f>_xll.ohRangeRetrieveError(F37)</f>
        <v/>
      </c>
      <c r="H37" s="170"/>
      <c r="J37" s="284"/>
      <c r="K37" s="182" t="s">
        <v>57</v>
      </c>
      <c r="L37" s="182" t="s">
        <v>94</v>
      </c>
      <c r="M37" s="182" t="s">
        <v>93</v>
      </c>
      <c r="N37" s="183" t="str">
        <f t="shared" si="1"/>
        <v>USD6L3L29Y</v>
      </c>
      <c r="O37" s="82" t="str">
        <v>USD6L3L29Y=ICAP</v>
      </c>
      <c r="P37" s="275" t="s">
        <v>281</v>
      </c>
      <c r="Q37" s="275" t="s">
        <v>281</v>
      </c>
      <c r="R37" s="289" t="s">
        <v>281</v>
      </c>
      <c r="S37" s="288" t="s">
        <v>281</v>
      </c>
      <c r="T37" s="275" t="e">
        <f>_xll.qlMidEquivalent(P37,Q37)</f>
        <v>#NUM!</v>
      </c>
      <c r="U37" s="286">
        <v>29</v>
      </c>
      <c r="V37" s="85" t="b">
        <f t="shared" si="2"/>
        <v>0</v>
      </c>
      <c r="W37" s="275">
        <v>10</v>
      </c>
      <c r="X37" s="194"/>
      <c r="Y37" s="281">
        <v>10.030826374124366</v>
      </c>
      <c r="Z37" s="194"/>
      <c r="AA37" s="275">
        <v>10</v>
      </c>
      <c r="AB37" s="187">
        <f>_xll.qlSimpleQuoteSetValue(F37,AA37/10000,Trigger)</f>
        <v>0</v>
      </c>
      <c r="AC37" s="77"/>
    </row>
    <row r="38" spans="1:29" ht="11.25" customHeight="1" x14ac:dyDescent="0.2">
      <c r="A38" s="76"/>
      <c r="B38" s="182" t="str">
        <f t="shared" si="3"/>
        <v>30Y</v>
      </c>
      <c r="C38" s="227" t="str">
        <f t="shared" si="4"/>
        <v>6L</v>
      </c>
      <c r="D38" s="228" t="str">
        <f t="shared" si="5"/>
        <v>3L</v>
      </c>
      <c r="E38" s="229" t="str">
        <f t="shared" si="0"/>
        <v>USD6L3L30Y_Quote</v>
      </c>
      <c r="F38" s="229" t="str">
        <f>_xll.qlSimpleQuote(E38,,RateTickValue,Permanent,Trigger,ObjectOverwrite)</f>
        <v>USD6L3L30Y_Quote#0000</v>
      </c>
      <c r="G38" s="277" t="str">
        <f>_xll.ohRangeRetrieveError(F38)</f>
        <v/>
      </c>
      <c r="H38" s="170"/>
      <c r="J38" s="284"/>
      <c r="K38" s="182" t="s">
        <v>56</v>
      </c>
      <c r="L38" s="182" t="s">
        <v>94</v>
      </c>
      <c r="M38" s="182" t="s">
        <v>93</v>
      </c>
      <c r="N38" s="183" t="str">
        <f t="shared" si="1"/>
        <v>USD6L3L30Y</v>
      </c>
      <c r="O38" s="82" t="str">
        <v>USD6L3L30Y=ICAP</v>
      </c>
      <c r="P38" s="275">
        <v>10</v>
      </c>
      <c r="Q38" s="275">
        <v>0</v>
      </c>
      <c r="R38" s="289">
        <v>0</v>
      </c>
      <c r="S38" s="288">
        <v>0</v>
      </c>
      <c r="T38" s="275">
        <f>_xll.qlMidEquivalent(P38,Q38)</f>
        <v>10</v>
      </c>
      <c r="U38" s="286">
        <v>30</v>
      </c>
      <c r="V38" s="85" t="b">
        <f t="shared" si="2"/>
        <v>1</v>
      </c>
      <c r="W38" s="275">
        <v>10</v>
      </c>
      <c r="X38" s="194"/>
      <c r="Y38" s="281">
        <v>10</v>
      </c>
      <c r="Z38" s="194"/>
      <c r="AA38" s="275">
        <v>10</v>
      </c>
      <c r="AB38" s="187">
        <f>_xll.qlSimpleQuoteSetValue(F38,AA38/10000,Trigger)</f>
        <v>0</v>
      </c>
      <c r="AC38" s="77"/>
    </row>
    <row r="39" spans="1:29" ht="11.25" customHeight="1" x14ac:dyDescent="0.2">
      <c r="A39" s="76"/>
      <c r="B39" s="182" t="str">
        <f t="shared" si="3"/>
        <v>35Y</v>
      </c>
      <c r="C39" s="227" t="str">
        <f t="shared" si="4"/>
        <v>6L</v>
      </c>
      <c r="D39" s="228" t="str">
        <f t="shared" si="5"/>
        <v>3L</v>
      </c>
      <c r="E39" s="229" t="str">
        <f t="shared" si="0"/>
        <v>USD6L3L35Y_Quote</v>
      </c>
      <c r="F39" s="229" t="str">
        <f>_xll.qlSimpleQuote(E39,,RateTickValue,Permanent,Trigger,ObjectOverwrite)</f>
        <v>USD6L3L35Y_Quote#0000</v>
      </c>
      <c r="G39" s="277" t="str">
        <f>_xll.ohRangeRetrieveError(F39)</f>
        <v/>
      </c>
      <c r="H39" s="170"/>
      <c r="J39" s="284"/>
      <c r="K39" s="182" t="s">
        <v>51</v>
      </c>
      <c r="L39" s="182" t="s">
        <v>94</v>
      </c>
      <c r="M39" s="182" t="s">
        <v>93</v>
      </c>
      <c r="N39" s="183" t="str">
        <f t="shared" si="1"/>
        <v>USD6L3L35Y</v>
      </c>
      <c r="O39" s="82" t="str">
        <v>USD6L3L35Y=ICAP</v>
      </c>
      <c r="P39" s="275" t="s">
        <v>281</v>
      </c>
      <c r="Q39" s="275" t="s">
        <v>281</v>
      </c>
      <c r="R39" s="289" t="s">
        <v>281</v>
      </c>
      <c r="S39" s="288" t="s">
        <v>281</v>
      </c>
      <c r="T39" s="275" t="e">
        <f>_xll.qlMidEquivalent(P39,Q39)</f>
        <v>#NUM!</v>
      </c>
      <c r="U39" s="286">
        <v>35</v>
      </c>
      <c r="V39" s="85" t="b">
        <f t="shared" si="2"/>
        <v>0</v>
      </c>
      <c r="W39" s="294">
        <f>W38</f>
        <v>10</v>
      </c>
      <c r="X39" s="194"/>
      <c r="Y39" s="294">
        <v>10</v>
      </c>
      <c r="Z39" s="194"/>
      <c r="AA39" s="294">
        <v>10</v>
      </c>
      <c r="AB39" s="187">
        <f>_xll.qlSimpleQuoteSetValue(F39,AA39/10000,Trigger)</f>
        <v>0</v>
      </c>
      <c r="AC39" s="77"/>
    </row>
    <row r="40" spans="1:29" ht="11.25" customHeight="1" x14ac:dyDescent="0.2">
      <c r="A40" s="76"/>
      <c r="B40" s="182" t="str">
        <f t="shared" si="3"/>
        <v>40Y</v>
      </c>
      <c r="C40" s="227" t="str">
        <f t="shared" si="4"/>
        <v>6L</v>
      </c>
      <c r="D40" s="228" t="str">
        <f t="shared" si="5"/>
        <v>3L</v>
      </c>
      <c r="E40" s="229" t="str">
        <f t="shared" si="0"/>
        <v>USD6L3L40Y_Quote</v>
      </c>
      <c r="F40" s="229" t="str">
        <f>_xll.qlSimpleQuote(E40,,RateTickValue,Permanent,Trigger,ObjectOverwrite)</f>
        <v>USD6L3L40Y_Quote#0000</v>
      </c>
      <c r="G40" s="277" t="str">
        <f>_xll.ohRangeRetrieveError(F40)</f>
        <v/>
      </c>
      <c r="H40" s="170"/>
      <c r="J40" s="284"/>
      <c r="K40" s="182" t="s">
        <v>46</v>
      </c>
      <c r="L40" s="182" t="s">
        <v>94</v>
      </c>
      <c r="M40" s="182" t="s">
        <v>93</v>
      </c>
      <c r="N40" s="183" t="str">
        <f t="shared" si="1"/>
        <v>USD6L3L40Y</v>
      </c>
      <c r="O40" s="82" t="str">
        <v>USD6L3L40Y=ICAP</v>
      </c>
      <c r="P40" s="275" t="s">
        <v>281</v>
      </c>
      <c r="Q40" s="275" t="s">
        <v>281</v>
      </c>
      <c r="R40" s="289" t="s">
        <v>281</v>
      </c>
      <c r="S40" s="288" t="s">
        <v>281</v>
      </c>
      <c r="T40" s="275" t="e">
        <f>_xll.qlMidEquivalent(P40,Q40)</f>
        <v>#NUM!</v>
      </c>
      <c r="U40" s="286">
        <v>40</v>
      </c>
      <c r="V40" s="85" t="b">
        <f t="shared" si="2"/>
        <v>0</v>
      </c>
      <c r="W40" s="294">
        <f>W39</f>
        <v>10</v>
      </c>
      <c r="X40" s="194"/>
      <c r="Y40" s="294">
        <v>10</v>
      </c>
      <c r="Z40" s="194"/>
      <c r="AA40" s="294">
        <v>10</v>
      </c>
      <c r="AB40" s="187">
        <f>_xll.qlSimpleQuoteSetValue(F40,AA40/10000,Trigger)</f>
        <v>0</v>
      </c>
      <c r="AC40" s="77"/>
    </row>
    <row r="41" spans="1:29" ht="11.25" customHeight="1" x14ac:dyDescent="0.2">
      <c r="A41" s="76"/>
      <c r="B41" s="182" t="str">
        <f t="shared" si="3"/>
        <v>50Y</v>
      </c>
      <c r="C41" s="227" t="str">
        <f t="shared" si="4"/>
        <v>6L</v>
      </c>
      <c r="D41" s="228" t="str">
        <f t="shared" si="5"/>
        <v>3L</v>
      </c>
      <c r="E41" s="229" t="str">
        <f t="shared" si="0"/>
        <v>USD6L3L50Y_Quote</v>
      </c>
      <c r="F41" s="229" t="str">
        <f>_xll.qlSimpleQuote(E41,,RateTickValue,Permanent,Trigger,ObjectOverwrite)</f>
        <v>USD6L3L50Y_Quote#0000</v>
      </c>
      <c r="G41" s="277" t="str">
        <f>_xll.ohRangeRetrieveError(F41)</f>
        <v/>
      </c>
      <c r="H41" s="170"/>
      <c r="J41" s="284"/>
      <c r="K41" s="182" t="s">
        <v>36</v>
      </c>
      <c r="L41" s="182" t="s">
        <v>94</v>
      </c>
      <c r="M41" s="182" t="s">
        <v>93</v>
      </c>
      <c r="N41" s="183" t="str">
        <f t="shared" si="1"/>
        <v>USD6L3L50Y</v>
      </c>
      <c r="O41" s="82" t="str">
        <v>USD6L3L50Y=ICAP</v>
      </c>
      <c r="P41" s="275" t="s">
        <v>281</v>
      </c>
      <c r="Q41" s="275" t="s">
        <v>281</v>
      </c>
      <c r="R41" s="289" t="s">
        <v>281</v>
      </c>
      <c r="S41" s="288" t="s">
        <v>281</v>
      </c>
      <c r="T41" s="275" t="e">
        <f>_xll.qlMidEquivalent(P41,Q41)</f>
        <v>#NUM!</v>
      </c>
      <c r="U41" s="286">
        <v>50</v>
      </c>
      <c r="V41" s="85" t="b">
        <f t="shared" si="2"/>
        <v>0</v>
      </c>
      <c r="W41" s="294">
        <f>W40</f>
        <v>10</v>
      </c>
      <c r="X41" s="194"/>
      <c r="Y41" s="294">
        <v>10</v>
      </c>
      <c r="Z41" s="194"/>
      <c r="AA41" s="294">
        <v>10</v>
      </c>
      <c r="AB41" s="187">
        <f>_xll.qlSimpleQuoteSetValue(F41,AA41/10000,Trigger)</f>
        <v>0</v>
      </c>
      <c r="AC41" s="77"/>
    </row>
    <row r="42" spans="1:29" ht="11.25" customHeight="1" x14ac:dyDescent="0.2">
      <c r="A42" s="76"/>
      <c r="B42" s="184" t="str">
        <f t="shared" si="3"/>
        <v>60Y</v>
      </c>
      <c r="C42" s="232" t="str">
        <f t="shared" si="4"/>
        <v>6L</v>
      </c>
      <c r="D42" s="233" t="str">
        <f t="shared" si="5"/>
        <v>3L</v>
      </c>
      <c r="E42" s="234" t="str">
        <f t="shared" si="0"/>
        <v>USD6L3L60Y_Quote</v>
      </c>
      <c r="F42" s="234" t="str">
        <f>_xll.qlSimpleQuote(E42,,RateTickValue,Permanent,Trigger,ObjectOverwrite)</f>
        <v>USD6L3L60Y_Quote#0000</v>
      </c>
      <c r="G42" s="279" t="str">
        <f>_xll.ohRangeRetrieveError(F42)</f>
        <v/>
      </c>
      <c r="H42" s="170"/>
      <c r="J42" s="284"/>
      <c r="K42" s="184" t="s">
        <v>26</v>
      </c>
      <c r="L42" s="184" t="s">
        <v>94</v>
      </c>
      <c r="M42" s="184" t="s">
        <v>93</v>
      </c>
      <c r="N42" s="185" t="str">
        <f t="shared" si="1"/>
        <v>USD6L3L60Y</v>
      </c>
      <c r="O42" s="83" t="str">
        <v>USD6L3L60Y=ICAP</v>
      </c>
      <c r="P42" s="280" t="s">
        <v>281</v>
      </c>
      <c r="Q42" s="280" t="s">
        <v>281</v>
      </c>
      <c r="R42" s="290" t="s">
        <v>281</v>
      </c>
      <c r="S42" s="280" t="s">
        <v>281</v>
      </c>
      <c r="T42" s="280" t="e">
        <f>_xll.qlMidEquivalent(P42,Q42)</f>
        <v>#NUM!</v>
      </c>
      <c r="U42" s="287">
        <v>60</v>
      </c>
      <c r="V42" s="86" t="b">
        <f t="shared" si="2"/>
        <v>0</v>
      </c>
      <c r="W42" s="295">
        <f>W41</f>
        <v>10</v>
      </c>
      <c r="X42" s="194"/>
      <c r="Y42" s="295">
        <v>10</v>
      </c>
      <c r="Z42" s="194"/>
      <c r="AA42" s="295">
        <v>10</v>
      </c>
      <c r="AB42" s="188">
        <f>_xll.qlSimpleQuoteSetValue(F42,AA42/10000,Trigger)</f>
        <v>0</v>
      </c>
      <c r="AC42" s="77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38"/>
    </row>
  </sheetData>
  <conditionalFormatting sqref="AB5:AB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262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6"/>
      <c r="L2" s="56"/>
      <c r="M2" s="56"/>
      <c r="N2" s="56"/>
      <c r="O2" s="241" t="str">
        <f>VLOOKUP($J$1,AreaTable,AreaIndex,0)</f>
        <v>Tullet Prebon LN</v>
      </c>
      <c r="P2" s="56"/>
      <c r="Q2" s="56"/>
      <c r="R2" s="56"/>
      <c r="S2" s="56"/>
      <c r="T2" s="56"/>
      <c r="U2" s="56"/>
      <c r="V2" s="56"/>
      <c r="W2" s="7"/>
      <c r="X2" s="56"/>
      <c r="Y2" s="56"/>
      <c r="Z2" s="56"/>
      <c r="AA2" s="56"/>
      <c r="AB2" s="293">
        <f>_xll.ohTrigger(AB5:AB42)</f>
        <v>2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6"/>
      <c r="K3" s="56"/>
      <c r="L3" s="7"/>
      <c r="M3" s="7"/>
      <c r="N3" s="7"/>
      <c r="O3" s="56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obj_0058f#0000</v>
      </c>
      <c r="V3" s="7"/>
      <c r="W3" s="7"/>
      <c r="X3" s="56"/>
      <c r="Y3" s="56"/>
      <c r="Z3" s="56"/>
      <c r="AA3" s="7"/>
      <c r="AB3" s="39"/>
      <c r="AC3" s="77"/>
    </row>
    <row r="4" spans="1:30" ht="22.5" customHeight="1" x14ac:dyDescent="0.2">
      <c r="A4" s="76"/>
      <c r="B4" s="101"/>
      <c r="C4" s="101"/>
      <c r="D4" s="101"/>
      <c r="E4" s="102" t="s">
        <v>248</v>
      </c>
      <c r="F4" s="102" t="s">
        <v>249</v>
      </c>
      <c r="G4" s="166" t="s">
        <v>266</v>
      </c>
      <c r="H4" s="170"/>
      <c r="J4" s="271"/>
      <c r="K4" s="241"/>
      <c r="L4" s="103"/>
      <c r="M4" s="103"/>
      <c r="N4" s="103" t="s">
        <v>268</v>
      </c>
      <c r="O4" s="106" t="str">
        <f>_xll.RData(O5:O42,P4:S4,"RTFEED:IDN",ReutersRtMode,,P5)</f>
        <v>Paused at 10:47:50</v>
      </c>
      <c r="P4" s="87" t="s">
        <v>148</v>
      </c>
      <c r="Q4" s="87" t="s">
        <v>147</v>
      </c>
      <c r="R4" s="87" t="s">
        <v>157</v>
      </c>
      <c r="S4" s="87" t="s">
        <v>165</v>
      </c>
      <c r="T4" s="87" t="s">
        <v>172</v>
      </c>
      <c r="U4" s="87" t="s">
        <v>271</v>
      </c>
      <c r="V4" s="87" t="s">
        <v>270</v>
      </c>
      <c r="W4" s="88" t="s">
        <v>269</v>
      </c>
      <c r="X4" s="56"/>
      <c r="Y4" s="87" t="s">
        <v>162</v>
      </c>
      <c r="Z4" s="56"/>
      <c r="AA4" s="103" t="s">
        <v>161</v>
      </c>
      <c r="AB4" s="103" t="s">
        <v>160</v>
      </c>
      <c r="AC4" s="77"/>
    </row>
    <row r="5" spans="1:30" s="215" customFormat="1" ht="11.25" customHeight="1" x14ac:dyDescent="0.25">
      <c r="A5" s="76"/>
      <c r="B5" s="180" t="str">
        <f>K5</f>
        <v>6M</v>
      </c>
      <c r="C5" s="220" t="str">
        <f>L5</f>
        <v>12L</v>
      </c>
      <c r="D5" s="221" t="str">
        <f>M5</f>
        <v>3L</v>
      </c>
      <c r="E5" s="222" t="str">
        <f t="shared" ref="E5:E42" si="0">IF(ISBLANK(C5),"#",Currency&amp;$C5&amp;$D5&amp;$B5&amp;QuoteSuffix)</f>
        <v>USD12L3L6M_Quote</v>
      </c>
      <c r="F5" s="222" t="str">
        <f>_xll.qlSimpleQuote(E5,,RateTickValue,Permanent,Trigger,ObjectOverwrite)</f>
        <v>USD12L3L6M_Quote#0000</v>
      </c>
      <c r="G5" s="274" t="str">
        <f>_xll.ohRangeRetrieveError(F5)</f>
        <v/>
      </c>
      <c r="H5" s="170"/>
      <c r="I5" s="198"/>
      <c r="J5" s="283"/>
      <c r="K5" s="182" t="s">
        <v>14</v>
      </c>
      <c r="L5" s="182" t="s">
        <v>98</v>
      </c>
      <c r="M5" s="182" t="s">
        <v>93</v>
      </c>
      <c r="N5" s="183" t="str">
        <f t="shared" ref="N5:N42" si="1">Currency&amp;$M5&amp;$L5&amp;$K5</f>
        <v>USD3L12L6M</v>
      </c>
      <c r="O5" s="82" t="str">
        <f t="array" ref="O5:O42">Instruments&amp;"="&amp;VLOOKUP(Contributor,ContributorTable,2,FALSE)</f>
        <v>USD3L12L6M=SMKR</v>
      </c>
      <c r="P5" s="275" t="s">
        <v>281</v>
      </c>
      <c r="Q5" s="275" t="s">
        <v>281</v>
      </c>
      <c r="R5" s="291" t="s">
        <v>281</v>
      </c>
      <c r="S5" s="288" t="s">
        <v>281</v>
      </c>
      <c r="T5" s="275" t="e">
        <f>_xll.qlMidEquivalent(P5,Q5)</f>
        <v>#NUM!</v>
      </c>
      <c r="U5" s="285">
        <v>0.5</v>
      </c>
      <c r="V5" s="85" t="b">
        <f t="shared" ref="V5:V42" si="2">IF(ISNUMBER(T5),TRUE,FALSE)</f>
        <v>0</v>
      </c>
      <c r="W5" s="275" t="e">
        <f t="array" ref="W5:W38">_xll.qlInterpolationInterpolate(U3,U5:U42)</f>
        <v>#NUM!</v>
      </c>
      <c r="X5" s="194"/>
      <c r="Y5" s="281" t="e">
        <v>#NUM!</v>
      </c>
      <c r="Z5" s="194"/>
      <c r="AA5" s="282" t="e">
        <f t="array" ref="AA5:AA42">QuoteLive</f>
        <v>#NUM!</v>
      </c>
      <c r="AB5" s="186">
        <f>_xll.qlSimpleQuoteSetValue(F5,AA5/10000,Trigger)</f>
        <v>0</v>
      </c>
      <c r="AC5" s="77"/>
      <c r="AD5" s="198"/>
    </row>
    <row r="6" spans="1:30" s="215" customFormat="1" ht="11.25" customHeight="1" x14ac:dyDescent="0.25">
      <c r="A6" s="76"/>
      <c r="B6" s="182" t="str">
        <f t="shared" ref="B6:B42" si="3">K6</f>
        <v>1Y</v>
      </c>
      <c r="C6" s="227" t="str">
        <f t="shared" ref="C6:C42" si="4">L6</f>
        <v>12L</v>
      </c>
      <c r="D6" s="228" t="str">
        <f t="shared" ref="D6:D42" si="5">M6</f>
        <v>3L</v>
      </c>
      <c r="E6" s="229" t="str">
        <f t="shared" si="0"/>
        <v>USD12L3L1Y_Quote</v>
      </c>
      <c r="F6" s="229" t="str">
        <f>_xll.qlSimpleQuote(E6,,RateTickValue,Permanent,Trigger,ObjectOverwrite)</f>
        <v>USD12L3L1Y_Quote#0000</v>
      </c>
      <c r="G6" s="277" t="str">
        <f>_xll.ohRangeRetrieveError(F6)</f>
        <v/>
      </c>
      <c r="H6" s="170"/>
      <c r="I6" s="198"/>
      <c r="J6" s="283"/>
      <c r="K6" s="182" t="s">
        <v>8</v>
      </c>
      <c r="L6" s="182" t="s">
        <v>98</v>
      </c>
      <c r="M6" s="182" t="s">
        <v>93</v>
      </c>
      <c r="N6" s="183" t="str">
        <f t="shared" si="1"/>
        <v>USD3L12L1Y</v>
      </c>
      <c r="O6" s="82" t="str">
        <v>USD3L12L1Y=SMKR</v>
      </c>
      <c r="P6" s="275">
        <v>23</v>
      </c>
      <c r="Q6" s="275">
        <v>33</v>
      </c>
      <c r="R6" s="289">
        <v>0</v>
      </c>
      <c r="S6" s="288">
        <v>0</v>
      </c>
      <c r="T6" s="275">
        <f>_xll.qlMidEquivalent(P6,Q6)</f>
        <v>28</v>
      </c>
      <c r="U6" s="285">
        <v>1</v>
      </c>
      <c r="V6" s="85" t="b">
        <f t="shared" si="2"/>
        <v>1</v>
      </c>
      <c r="W6" s="275">
        <v>28</v>
      </c>
      <c r="X6" s="194"/>
      <c r="Y6" s="281">
        <v>28</v>
      </c>
      <c r="Z6" s="194"/>
      <c r="AA6" s="275">
        <v>28</v>
      </c>
      <c r="AB6" s="187">
        <f>_xll.qlSimpleQuoteSetValue(F6,AA6/10000,Trigger)</f>
        <v>0</v>
      </c>
      <c r="AC6" s="77"/>
      <c r="AD6" s="198"/>
    </row>
    <row r="7" spans="1:30" s="215" customFormat="1" ht="11.25" customHeight="1" x14ac:dyDescent="0.25">
      <c r="A7" s="76"/>
      <c r="B7" s="182" t="str">
        <f t="shared" si="3"/>
        <v>15M</v>
      </c>
      <c r="C7" s="227" t="str">
        <f t="shared" si="4"/>
        <v>12L</v>
      </c>
      <c r="D7" s="228" t="str">
        <f t="shared" si="5"/>
        <v>3L</v>
      </c>
      <c r="E7" s="229" t="str">
        <f t="shared" si="0"/>
        <v>USD12L3L15M_Quote</v>
      </c>
      <c r="F7" s="229" t="str">
        <f>_xll.qlSimpleQuote(E7,,RateTickValue,Permanent,Trigger,ObjectOverwrite)</f>
        <v>USD12L3L15M_Quote#0000</v>
      </c>
      <c r="G7" s="277" t="str">
        <f>_xll.ohRangeRetrieveError(F7)</f>
        <v/>
      </c>
      <c r="H7" s="170"/>
      <c r="J7" s="283"/>
      <c r="K7" s="182" t="s">
        <v>97</v>
      </c>
      <c r="L7" s="182" t="s">
        <v>98</v>
      </c>
      <c r="M7" s="182" t="s">
        <v>93</v>
      </c>
      <c r="N7" s="183" t="str">
        <f t="shared" si="1"/>
        <v>USD3L12L15M</v>
      </c>
      <c r="O7" s="82" t="str">
        <v>USD3L12L15M=SMKR</v>
      </c>
      <c r="P7" s="275" t="s">
        <v>281</v>
      </c>
      <c r="Q7" s="275" t="s">
        <v>281</v>
      </c>
      <c r="R7" s="289" t="s">
        <v>281</v>
      </c>
      <c r="S7" s="288" t="s">
        <v>281</v>
      </c>
      <c r="T7" s="275" t="e">
        <f>_xll.qlMidEquivalent(P7,Q7)</f>
        <v>#NUM!</v>
      </c>
      <c r="U7" s="285">
        <v>1.25</v>
      </c>
      <c r="V7" s="85" t="b">
        <f t="shared" si="2"/>
        <v>0</v>
      </c>
      <c r="W7" s="275">
        <v>26.65879015017525</v>
      </c>
      <c r="X7" s="194"/>
      <c r="Y7" s="281">
        <v>26.65879015017525</v>
      </c>
      <c r="Z7" s="194"/>
      <c r="AA7" s="275">
        <v>26.65879015017525</v>
      </c>
      <c r="AB7" s="187">
        <f>_xll.qlSimpleQuoteSetValue(F7,AA7/10000,Trigger)</f>
        <v>0</v>
      </c>
      <c r="AC7" s="77"/>
      <c r="AD7" s="198"/>
    </row>
    <row r="8" spans="1:30" ht="11.25" customHeight="1" x14ac:dyDescent="0.25">
      <c r="A8" s="76"/>
      <c r="B8" s="182" t="str">
        <f t="shared" si="3"/>
        <v>18M</v>
      </c>
      <c r="C8" s="227" t="str">
        <f t="shared" si="4"/>
        <v>12L</v>
      </c>
      <c r="D8" s="228" t="str">
        <f t="shared" si="5"/>
        <v>3L</v>
      </c>
      <c r="E8" s="229" t="str">
        <f t="shared" si="0"/>
        <v>USD12L3L18M_Quote</v>
      </c>
      <c r="F8" s="229" t="str">
        <f>_xll.qlSimpleQuote(E8,,RateTickValue,Permanent,Trigger,ObjectOverwrite)</f>
        <v>USD12L3L18M_Quote#0000</v>
      </c>
      <c r="G8" s="277" t="str">
        <f>_xll.ohRangeRetrieveError(F8)</f>
        <v/>
      </c>
      <c r="H8" s="170"/>
      <c r="I8" s="215"/>
      <c r="J8" s="284"/>
      <c r="K8" s="182" t="s">
        <v>96</v>
      </c>
      <c r="L8" s="182" t="s">
        <v>98</v>
      </c>
      <c r="M8" s="182" t="s">
        <v>93</v>
      </c>
      <c r="N8" s="183" t="str">
        <f t="shared" si="1"/>
        <v>USD3L12L18M</v>
      </c>
      <c r="O8" s="82" t="str">
        <v>USD3L12L18M=SMKR</v>
      </c>
      <c r="P8" s="275" t="s">
        <v>281</v>
      </c>
      <c r="Q8" s="275" t="s">
        <v>281</v>
      </c>
      <c r="R8" s="289" t="s">
        <v>281</v>
      </c>
      <c r="S8" s="288" t="s">
        <v>281</v>
      </c>
      <c r="T8" s="275" t="e">
        <f>_xll.qlMidEquivalent(P8,Q8)</f>
        <v>#NUM!</v>
      </c>
      <c r="U8" s="285">
        <v>1.5</v>
      </c>
      <c r="V8" s="85" t="b">
        <f t="shared" si="2"/>
        <v>0</v>
      </c>
      <c r="W8" s="275">
        <v>25.391564240280399</v>
      </c>
      <c r="X8" s="194"/>
      <c r="Y8" s="281">
        <v>25.391564240280399</v>
      </c>
      <c r="Z8" s="194"/>
      <c r="AA8" s="275">
        <v>25.391564240280399</v>
      </c>
      <c r="AB8" s="187">
        <f>_xll.qlSimpleQuoteSetValue(F8,AA8/10000,Trigger)</f>
        <v>0</v>
      </c>
      <c r="AC8" s="77"/>
    </row>
    <row r="9" spans="1:30" ht="11.25" customHeight="1" x14ac:dyDescent="0.25">
      <c r="A9" s="76"/>
      <c r="B9" s="182" t="str">
        <f t="shared" si="3"/>
        <v>21M</v>
      </c>
      <c r="C9" s="227" t="str">
        <f t="shared" si="4"/>
        <v>12L</v>
      </c>
      <c r="D9" s="228" t="str">
        <f t="shared" si="5"/>
        <v>3L</v>
      </c>
      <c r="E9" s="229" t="str">
        <f t="shared" si="0"/>
        <v>USD12L3L21M_Quote</v>
      </c>
      <c r="F9" s="229" t="str">
        <f>_xll.qlSimpleQuote(E9,,RateTickValue,Permanent,Trigger,ObjectOverwrite)</f>
        <v>USD12L3L21M_Quote#0000</v>
      </c>
      <c r="G9" s="277" t="str">
        <f>_xll.ohRangeRetrieveError(F9)</f>
        <v/>
      </c>
      <c r="H9" s="170"/>
      <c r="I9" s="215"/>
      <c r="J9" s="284"/>
      <c r="K9" s="182" t="s">
        <v>95</v>
      </c>
      <c r="L9" s="182" t="s">
        <v>98</v>
      </c>
      <c r="M9" s="182" t="s">
        <v>93</v>
      </c>
      <c r="N9" s="183" t="str">
        <f t="shared" si="1"/>
        <v>USD3L12L21M</v>
      </c>
      <c r="O9" s="82" t="str">
        <v>USD3L12L21M=SMKR</v>
      </c>
      <c r="P9" s="275" t="s">
        <v>281</v>
      </c>
      <c r="Q9" s="275" t="s">
        <v>281</v>
      </c>
      <c r="R9" s="289" t="s">
        <v>281</v>
      </c>
      <c r="S9" s="288" t="s">
        <v>281</v>
      </c>
      <c r="T9" s="275" t="e">
        <f>_xll.qlMidEquivalent(P9,Q9)</f>
        <v>#NUM!</v>
      </c>
      <c r="U9" s="285">
        <v>1.75</v>
      </c>
      <c r="V9" s="85" t="b">
        <f t="shared" si="2"/>
        <v>0</v>
      </c>
      <c r="W9" s="275">
        <v>24.27230621024535</v>
      </c>
      <c r="X9" s="194"/>
      <c r="Y9" s="281">
        <v>24.27230621024535</v>
      </c>
      <c r="Z9" s="194"/>
      <c r="AA9" s="275">
        <v>24.27230621024535</v>
      </c>
      <c r="AB9" s="187">
        <f>_xll.qlSimpleQuoteSetValue(F9,AA9/10000,Trigger)</f>
        <v>0</v>
      </c>
      <c r="AC9" s="77"/>
    </row>
    <row r="10" spans="1:30" ht="11.25" customHeight="1" x14ac:dyDescent="0.2">
      <c r="A10" s="76"/>
      <c r="B10" s="182" t="str">
        <f t="shared" si="3"/>
        <v>2Y</v>
      </c>
      <c r="C10" s="227" t="str">
        <f t="shared" si="4"/>
        <v>12L</v>
      </c>
      <c r="D10" s="228" t="str">
        <f t="shared" si="5"/>
        <v>3L</v>
      </c>
      <c r="E10" s="229" t="str">
        <f t="shared" si="0"/>
        <v>USD12L3L2Y_Quote</v>
      </c>
      <c r="F10" s="229" t="str">
        <f>_xll.qlSimpleQuote(E10,,RateTickValue,Permanent,Trigger,ObjectOverwrite)</f>
        <v>USD12L3L2Y_Quote#0000</v>
      </c>
      <c r="G10" s="277" t="str">
        <f>_xll.ohRangeRetrieveError(F10)</f>
        <v/>
      </c>
      <c r="H10" s="170"/>
      <c r="J10" s="284"/>
      <c r="K10" s="182" t="s">
        <v>84</v>
      </c>
      <c r="L10" s="182" t="s">
        <v>98</v>
      </c>
      <c r="M10" s="182" t="s">
        <v>93</v>
      </c>
      <c r="N10" s="183" t="str">
        <f t="shared" si="1"/>
        <v>USD3L12L2Y</v>
      </c>
      <c r="O10" s="82" t="str">
        <v>USD3L12L2Y=SMKR</v>
      </c>
      <c r="P10" s="275">
        <v>18.375</v>
      </c>
      <c r="Q10" s="275">
        <v>28.375</v>
      </c>
      <c r="R10" s="289">
        <v>0</v>
      </c>
      <c r="S10" s="288">
        <v>0</v>
      </c>
      <c r="T10" s="275">
        <f>_xll.qlMidEquivalent(P10,Q10)</f>
        <v>23.375</v>
      </c>
      <c r="U10" s="286">
        <v>2</v>
      </c>
      <c r="V10" s="85" t="b">
        <f t="shared" si="2"/>
        <v>1</v>
      </c>
      <c r="W10" s="275">
        <v>23.375</v>
      </c>
      <c r="X10" s="194"/>
      <c r="Y10" s="281">
        <v>23.375</v>
      </c>
      <c r="Z10" s="194"/>
      <c r="AA10" s="275">
        <v>23.375</v>
      </c>
      <c r="AB10" s="187">
        <f>_xll.qlSimpleQuoteSetValue(F10,AA10/10000,Trigger)</f>
        <v>0</v>
      </c>
      <c r="AC10" s="77"/>
    </row>
    <row r="11" spans="1:30" ht="11.25" customHeight="1" x14ac:dyDescent="0.2">
      <c r="A11" s="76"/>
      <c r="B11" s="182" t="str">
        <f t="shared" si="3"/>
        <v>3Y</v>
      </c>
      <c r="C11" s="227" t="str">
        <f t="shared" si="4"/>
        <v>12L</v>
      </c>
      <c r="D11" s="228" t="str">
        <f t="shared" si="5"/>
        <v>3L</v>
      </c>
      <c r="E11" s="229" t="str">
        <f t="shared" si="0"/>
        <v>USD12L3L3Y_Quote</v>
      </c>
      <c r="F11" s="229" t="str">
        <f>_xll.qlSimpleQuote(E11,,RateTickValue,Permanent,Trigger,ObjectOverwrite)</f>
        <v>USD12L3L3Y_Quote#0000</v>
      </c>
      <c r="G11" s="277" t="str">
        <f>_xll.ohRangeRetrieveError(F11)</f>
        <v/>
      </c>
      <c r="H11" s="170"/>
      <c r="J11" s="284"/>
      <c r="K11" s="182" t="s">
        <v>83</v>
      </c>
      <c r="L11" s="182" t="s">
        <v>98</v>
      </c>
      <c r="M11" s="182" t="s">
        <v>93</v>
      </c>
      <c r="N11" s="183" t="str">
        <f t="shared" si="1"/>
        <v>USD3L12L3Y</v>
      </c>
      <c r="O11" s="82" t="str">
        <v>USD3L12L3Y=SMKR</v>
      </c>
      <c r="P11" s="275">
        <v>16.75</v>
      </c>
      <c r="Q11" s="275">
        <v>26.75</v>
      </c>
      <c r="R11" s="289">
        <v>0</v>
      </c>
      <c r="S11" s="288">
        <v>0</v>
      </c>
      <c r="T11" s="275">
        <f>_xll.qlMidEquivalent(P11,Q11)</f>
        <v>21.75</v>
      </c>
      <c r="U11" s="286">
        <v>3</v>
      </c>
      <c r="V11" s="85" t="b">
        <f t="shared" si="2"/>
        <v>1</v>
      </c>
      <c r="W11" s="275">
        <v>21.75</v>
      </c>
      <c r="X11" s="194"/>
      <c r="Y11" s="281">
        <v>21.75</v>
      </c>
      <c r="Z11" s="194"/>
      <c r="AA11" s="275">
        <v>21.75</v>
      </c>
      <c r="AB11" s="187">
        <f>_xll.qlSimpleQuoteSetValue(F11,AA11/10000,Trigger)</f>
        <v>0</v>
      </c>
      <c r="AC11" s="77"/>
    </row>
    <row r="12" spans="1:30" ht="11.25" customHeight="1" x14ac:dyDescent="0.2">
      <c r="A12" s="76"/>
      <c r="B12" s="182" t="str">
        <f t="shared" si="3"/>
        <v>4Y</v>
      </c>
      <c r="C12" s="227" t="str">
        <f t="shared" si="4"/>
        <v>12L</v>
      </c>
      <c r="D12" s="228" t="str">
        <f t="shared" si="5"/>
        <v>3L</v>
      </c>
      <c r="E12" s="229" t="str">
        <f t="shared" si="0"/>
        <v>USD12L3L4Y_Quote</v>
      </c>
      <c r="F12" s="229" t="str">
        <f>_xll.qlSimpleQuote(E12,,RateTickValue,Permanent,Trigger,ObjectOverwrite)</f>
        <v>USD12L3L4Y_Quote#0000</v>
      </c>
      <c r="G12" s="277" t="str">
        <f>_xll.ohRangeRetrieveError(F12)</f>
        <v/>
      </c>
      <c r="H12" s="170"/>
      <c r="J12" s="284"/>
      <c r="K12" s="182" t="s">
        <v>82</v>
      </c>
      <c r="L12" s="182" t="s">
        <v>98</v>
      </c>
      <c r="M12" s="182" t="s">
        <v>93</v>
      </c>
      <c r="N12" s="183" t="str">
        <f t="shared" si="1"/>
        <v>USD3L12L4Y</v>
      </c>
      <c r="O12" s="82" t="str">
        <v>USD3L12L4Y=SMKR</v>
      </c>
      <c r="P12" s="275">
        <v>15.5</v>
      </c>
      <c r="Q12" s="275">
        <v>25.5</v>
      </c>
      <c r="R12" s="289">
        <v>0</v>
      </c>
      <c r="S12" s="288">
        <v>0</v>
      </c>
      <c r="T12" s="275">
        <f>_xll.qlMidEquivalent(P12,Q12)</f>
        <v>20.5</v>
      </c>
      <c r="U12" s="286">
        <v>4</v>
      </c>
      <c r="V12" s="85" t="b">
        <f t="shared" si="2"/>
        <v>1</v>
      </c>
      <c r="W12" s="275">
        <v>20.5</v>
      </c>
      <c r="X12" s="194"/>
      <c r="Y12" s="281">
        <v>20.5</v>
      </c>
      <c r="Z12" s="194"/>
      <c r="AA12" s="275">
        <v>20.5</v>
      </c>
      <c r="AB12" s="187">
        <f>_xll.qlSimpleQuoteSetValue(F12,AA12/10000,Trigger)</f>
        <v>0</v>
      </c>
      <c r="AC12" s="77"/>
    </row>
    <row r="13" spans="1:30" ht="11.25" customHeight="1" x14ac:dyDescent="0.2">
      <c r="A13" s="76"/>
      <c r="B13" s="182" t="str">
        <f t="shared" si="3"/>
        <v>5Y</v>
      </c>
      <c r="C13" s="227" t="str">
        <f t="shared" si="4"/>
        <v>12L</v>
      </c>
      <c r="D13" s="228" t="str">
        <f t="shared" si="5"/>
        <v>3L</v>
      </c>
      <c r="E13" s="229" t="str">
        <f t="shared" si="0"/>
        <v>USD12L3L5Y_Quote</v>
      </c>
      <c r="F13" s="229" t="str">
        <f>_xll.qlSimpleQuote(E13,,RateTickValue,Permanent,Trigger,ObjectOverwrite)</f>
        <v>USD12L3L5Y_Quote#0000</v>
      </c>
      <c r="G13" s="277" t="str">
        <f>_xll.ohRangeRetrieveError(F13)</f>
        <v/>
      </c>
      <c r="H13" s="170"/>
      <c r="J13" s="284"/>
      <c r="K13" s="182" t="s">
        <v>81</v>
      </c>
      <c r="L13" s="182" t="s">
        <v>98</v>
      </c>
      <c r="M13" s="182" t="s">
        <v>93</v>
      </c>
      <c r="N13" s="183" t="str">
        <f t="shared" si="1"/>
        <v>USD3L12L5Y</v>
      </c>
      <c r="O13" s="82" t="str">
        <v>USD3L12L5Y=SMKR</v>
      </c>
      <c r="P13" s="275">
        <v>15</v>
      </c>
      <c r="Q13" s="275">
        <v>25</v>
      </c>
      <c r="R13" s="289">
        <v>0</v>
      </c>
      <c r="S13" s="288">
        <v>0</v>
      </c>
      <c r="T13" s="275">
        <f>_xll.qlMidEquivalent(P13,Q13)</f>
        <v>20</v>
      </c>
      <c r="U13" s="286">
        <v>5</v>
      </c>
      <c r="V13" s="85" t="b">
        <f t="shared" si="2"/>
        <v>1</v>
      </c>
      <c r="W13" s="275">
        <v>20</v>
      </c>
      <c r="X13" s="194"/>
      <c r="Y13" s="281">
        <v>20</v>
      </c>
      <c r="Z13" s="194"/>
      <c r="AA13" s="275">
        <v>20</v>
      </c>
      <c r="AB13" s="187">
        <f>_xll.qlSimpleQuoteSetValue(F13,AA13/10000,Trigger)</f>
        <v>0</v>
      </c>
      <c r="AC13" s="77"/>
    </row>
    <row r="14" spans="1:30" ht="11.25" customHeight="1" x14ac:dyDescent="0.2">
      <c r="A14" s="76"/>
      <c r="B14" s="182" t="str">
        <f t="shared" si="3"/>
        <v>6Y</v>
      </c>
      <c r="C14" s="227" t="str">
        <f t="shared" si="4"/>
        <v>12L</v>
      </c>
      <c r="D14" s="228" t="str">
        <f t="shared" si="5"/>
        <v>3L</v>
      </c>
      <c r="E14" s="229" t="str">
        <f t="shared" si="0"/>
        <v>USD12L3L6Y_Quote</v>
      </c>
      <c r="F14" s="229" t="str">
        <f>_xll.qlSimpleQuote(E14,,RateTickValue,Permanent,Trigger,ObjectOverwrite)</f>
        <v>USD12L3L6Y_Quote#0000</v>
      </c>
      <c r="G14" s="277" t="str">
        <f>_xll.ohRangeRetrieveError(F14)</f>
        <v/>
      </c>
      <c r="H14" s="170"/>
      <c r="J14" s="284"/>
      <c r="K14" s="182" t="s">
        <v>80</v>
      </c>
      <c r="L14" s="182" t="s">
        <v>98</v>
      </c>
      <c r="M14" s="182" t="s">
        <v>93</v>
      </c>
      <c r="N14" s="183" t="str">
        <f t="shared" si="1"/>
        <v>USD3L12L6Y</v>
      </c>
      <c r="O14" s="82" t="str">
        <v>USD3L12L6Y=SMKR</v>
      </c>
      <c r="P14" s="275">
        <v>14.875</v>
      </c>
      <c r="Q14" s="275">
        <v>24.875</v>
      </c>
      <c r="R14" s="289">
        <v>0</v>
      </c>
      <c r="S14" s="288">
        <v>0</v>
      </c>
      <c r="T14" s="275">
        <f>_xll.qlMidEquivalent(P14,Q14)</f>
        <v>19.875</v>
      </c>
      <c r="U14" s="286">
        <v>6</v>
      </c>
      <c r="V14" s="85" t="b">
        <f t="shared" si="2"/>
        <v>1</v>
      </c>
      <c r="W14" s="275">
        <v>19.875</v>
      </c>
      <c r="X14" s="194"/>
      <c r="Y14" s="281">
        <v>19.875</v>
      </c>
      <c r="Z14" s="194"/>
      <c r="AA14" s="275">
        <v>19.875</v>
      </c>
      <c r="AB14" s="187">
        <f>_xll.qlSimpleQuoteSetValue(F14,AA14/10000,Trigger)</f>
        <v>0</v>
      </c>
      <c r="AC14" s="77"/>
    </row>
    <row r="15" spans="1:30" ht="11.25" customHeight="1" x14ac:dyDescent="0.2">
      <c r="A15" s="76"/>
      <c r="B15" s="182" t="str">
        <f t="shared" si="3"/>
        <v>7Y</v>
      </c>
      <c r="C15" s="227" t="str">
        <f t="shared" si="4"/>
        <v>12L</v>
      </c>
      <c r="D15" s="228" t="str">
        <f t="shared" si="5"/>
        <v>3L</v>
      </c>
      <c r="E15" s="229" t="str">
        <f t="shared" si="0"/>
        <v>USD12L3L7Y_Quote</v>
      </c>
      <c r="F15" s="229" t="str">
        <f>_xll.qlSimpleQuote(E15,,RateTickValue,Permanent,Trigger,ObjectOverwrite)</f>
        <v>USD12L3L7Y_Quote#0000</v>
      </c>
      <c r="G15" s="277" t="str">
        <f>_xll.ohRangeRetrieveError(F15)</f>
        <v/>
      </c>
      <c r="H15" s="170"/>
      <c r="J15" s="284"/>
      <c r="K15" s="182" t="s">
        <v>79</v>
      </c>
      <c r="L15" s="182" t="s">
        <v>98</v>
      </c>
      <c r="M15" s="182" t="s">
        <v>93</v>
      </c>
      <c r="N15" s="183" t="str">
        <f t="shared" si="1"/>
        <v>USD3L12L7Y</v>
      </c>
      <c r="O15" s="82" t="str">
        <v>USD3L12L7Y=SMKR</v>
      </c>
      <c r="P15" s="275">
        <v>14.625</v>
      </c>
      <c r="Q15" s="275">
        <v>24.625</v>
      </c>
      <c r="R15" s="289">
        <v>0</v>
      </c>
      <c r="S15" s="288">
        <v>0</v>
      </c>
      <c r="T15" s="275">
        <f>_xll.qlMidEquivalent(P15,Q15)</f>
        <v>19.625</v>
      </c>
      <c r="U15" s="286">
        <v>7</v>
      </c>
      <c r="V15" s="85" t="b">
        <f t="shared" si="2"/>
        <v>1</v>
      </c>
      <c r="W15" s="275">
        <v>19.625</v>
      </c>
      <c r="X15" s="194"/>
      <c r="Y15" s="281">
        <v>19.625</v>
      </c>
      <c r="Z15" s="194"/>
      <c r="AA15" s="275">
        <v>19.625</v>
      </c>
      <c r="AB15" s="187">
        <f>_xll.qlSimpleQuoteSetValue(F15,AA15/10000,Trigger)</f>
        <v>0</v>
      </c>
      <c r="AC15" s="77"/>
    </row>
    <row r="16" spans="1:30" ht="11.25" customHeight="1" x14ac:dyDescent="0.2">
      <c r="A16" s="76"/>
      <c r="B16" s="182" t="str">
        <f t="shared" si="3"/>
        <v>8Y</v>
      </c>
      <c r="C16" s="227" t="str">
        <f t="shared" si="4"/>
        <v>12L</v>
      </c>
      <c r="D16" s="228" t="str">
        <f t="shared" si="5"/>
        <v>3L</v>
      </c>
      <c r="E16" s="229" t="str">
        <f t="shared" si="0"/>
        <v>USD12L3L8Y_Quote</v>
      </c>
      <c r="F16" s="229" t="str">
        <f>_xll.qlSimpleQuote(E16,,RateTickValue,Permanent,Trigger,ObjectOverwrite)</f>
        <v>USD12L3L8Y_Quote#0000</v>
      </c>
      <c r="G16" s="277" t="str">
        <f>_xll.ohRangeRetrieveError(F16)</f>
        <v/>
      </c>
      <c r="H16" s="170"/>
      <c r="J16" s="284"/>
      <c r="K16" s="182" t="s">
        <v>78</v>
      </c>
      <c r="L16" s="182" t="s">
        <v>98</v>
      </c>
      <c r="M16" s="182" t="s">
        <v>93</v>
      </c>
      <c r="N16" s="183" t="str">
        <f t="shared" si="1"/>
        <v>USD3L12L8Y</v>
      </c>
      <c r="O16" s="82" t="str">
        <v>USD3L12L8Y=SMKR</v>
      </c>
      <c r="P16" s="275">
        <v>14.625</v>
      </c>
      <c r="Q16" s="275">
        <v>24.625</v>
      </c>
      <c r="R16" s="289">
        <v>0</v>
      </c>
      <c r="S16" s="288">
        <v>0</v>
      </c>
      <c r="T16" s="275">
        <f>_xll.qlMidEquivalent(P16,Q16)</f>
        <v>19.625</v>
      </c>
      <c r="U16" s="286">
        <v>8</v>
      </c>
      <c r="V16" s="85" t="b">
        <f t="shared" si="2"/>
        <v>1</v>
      </c>
      <c r="W16" s="275">
        <v>19.625</v>
      </c>
      <c r="X16" s="194"/>
      <c r="Y16" s="281">
        <v>19.625</v>
      </c>
      <c r="Z16" s="194"/>
      <c r="AA16" s="275">
        <v>19.625</v>
      </c>
      <c r="AB16" s="187">
        <f>_xll.qlSimpleQuoteSetValue(F16,AA16/10000,Trigger)</f>
        <v>0</v>
      </c>
      <c r="AC16" s="77"/>
    </row>
    <row r="17" spans="1:29" ht="11.25" customHeight="1" x14ac:dyDescent="0.2">
      <c r="A17" s="76"/>
      <c r="B17" s="182" t="str">
        <f t="shared" si="3"/>
        <v>9Y</v>
      </c>
      <c r="C17" s="227" t="str">
        <f t="shared" si="4"/>
        <v>12L</v>
      </c>
      <c r="D17" s="228" t="str">
        <f t="shared" si="5"/>
        <v>3L</v>
      </c>
      <c r="E17" s="229" t="str">
        <f t="shared" si="0"/>
        <v>USD12L3L9Y_Quote</v>
      </c>
      <c r="F17" s="229" t="str">
        <f>_xll.qlSimpleQuote(E17,,RateTickValue,Permanent,Trigger,ObjectOverwrite)</f>
        <v>USD12L3L9Y_Quote#0000</v>
      </c>
      <c r="G17" s="277" t="str">
        <f>_xll.ohRangeRetrieveError(F17)</f>
        <v/>
      </c>
      <c r="H17" s="170"/>
      <c r="J17" s="284"/>
      <c r="K17" s="182" t="s">
        <v>77</v>
      </c>
      <c r="L17" s="182" t="s">
        <v>98</v>
      </c>
      <c r="M17" s="182" t="s">
        <v>93</v>
      </c>
      <c r="N17" s="183" t="str">
        <f t="shared" si="1"/>
        <v>USD3L12L9Y</v>
      </c>
      <c r="O17" s="82" t="str">
        <v>USD3L12L9Y=SMKR</v>
      </c>
      <c r="P17" s="275">
        <v>14.75</v>
      </c>
      <c r="Q17" s="275">
        <v>24.75</v>
      </c>
      <c r="R17" s="289">
        <v>0</v>
      </c>
      <c r="S17" s="288">
        <v>0</v>
      </c>
      <c r="T17" s="275">
        <f>_xll.qlMidEquivalent(P17,Q17)</f>
        <v>19.75</v>
      </c>
      <c r="U17" s="286">
        <v>9</v>
      </c>
      <c r="V17" s="85" t="b">
        <f t="shared" si="2"/>
        <v>1</v>
      </c>
      <c r="W17" s="275">
        <v>19.75</v>
      </c>
      <c r="X17" s="194"/>
      <c r="Y17" s="281">
        <v>19.75</v>
      </c>
      <c r="Z17" s="194"/>
      <c r="AA17" s="275">
        <v>19.75</v>
      </c>
      <c r="AB17" s="187">
        <f>_xll.qlSimpleQuoteSetValue(F17,AA17/10000,Trigger)</f>
        <v>0</v>
      </c>
      <c r="AC17" s="77"/>
    </row>
    <row r="18" spans="1:29" ht="11.25" customHeight="1" x14ac:dyDescent="0.2">
      <c r="A18" s="76"/>
      <c r="B18" s="182" t="str">
        <f t="shared" si="3"/>
        <v>10Y</v>
      </c>
      <c r="C18" s="227" t="str">
        <f t="shared" si="4"/>
        <v>12L</v>
      </c>
      <c r="D18" s="228" t="str">
        <f t="shared" si="5"/>
        <v>3L</v>
      </c>
      <c r="E18" s="229" t="str">
        <f t="shared" si="0"/>
        <v>USD12L3L10Y_Quote</v>
      </c>
      <c r="F18" s="229" t="str">
        <f>_xll.qlSimpleQuote(E18,,RateTickValue,Permanent,Trigger,ObjectOverwrite)</f>
        <v>USD12L3L10Y_Quote#0000</v>
      </c>
      <c r="G18" s="277" t="str">
        <f>_xll.ohRangeRetrieveError(F18)</f>
        <v/>
      </c>
      <c r="H18" s="170"/>
      <c r="J18" s="284"/>
      <c r="K18" s="182" t="s">
        <v>76</v>
      </c>
      <c r="L18" s="182" t="s">
        <v>98</v>
      </c>
      <c r="M18" s="182" t="s">
        <v>93</v>
      </c>
      <c r="N18" s="183" t="str">
        <f t="shared" si="1"/>
        <v>USD3L12L10Y</v>
      </c>
      <c r="O18" s="82" t="str">
        <v>USD3L12L10Y=SMKR</v>
      </c>
      <c r="P18" s="275">
        <v>15</v>
      </c>
      <c r="Q18" s="275">
        <v>25</v>
      </c>
      <c r="R18" s="289">
        <v>0</v>
      </c>
      <c r="S18" s="288">
        <v>0</v>
      </c>
      <c r="T18" s="275">
        <f>_xll.qlMidEquivalent(P18,Q18)</f>
        <v>20</v>
      </c>
      <c r="U18" s="286">
        <v>10</v>
      </c>
      <c r="V18" s="85" t="b">
        <f t="shared" si="2"/>
        <v>1</v>
      </c>
      <c r="W18" s="275">
        <v>20</v>
      </c>
      <c r="X18" s="194"/>
      <c r="Y18" s="281">
        <v>20</v>
      </c>
      <c r="Z18" s="194"/>
      <c r="AA18" s="275">
        <v>20</v>
      </c>
      <c r="AB18" s="187">
        <f>_xll.qlSimpleQuoteSetValue(F18,AA18/10000,Trigger)</f>
        <v>0</v>
      </c>
      <c r="AC18" s="77"/>
    </row>
    <row r="19" spans="1:29" ht="11.25" customHeight="1" x14ac:dyDescent="0.2">
      <c r="A19" s="76"/>
      <c r="B19" s="182" t="str">
        <f t="shared" si="3"/>
        <v>11Y</v>
      </c>
      <c r="C19" s="227" t="str">
        <f t="shared" si="4"/>
        <v>12L</v>
      </c>
      <c r="D19" s="228" t="str">
        <f t="shared" si="5"/>
        <v>3L</v>
      </c>
      <c r="E19" s="229" t="str">
        <f t="shared" si="0"/>
        <v>USD12L3L11Y_Quote</v>
      </c>
      <c r="F19" s="229" t="str">
        <f>_xll.qlSimpleQuote(E19,,RateTickValue,Permanent,Trigger,ObjectOverwrite)</f>
        <v>USD12L3L11Y_Quote#0000</v>
      </c>
      <c r="G19" s="277" t="str">
        <f>_xll.ohRangeRetrieveError(F19)</f>
        <v/>
      </c>
      <c r="H19" s="170"/>
      <c r="J19" s="284"/>
      <c r="K19" s="182" t="s">
        <v>75</v>
      </c>
      <c r="L19" s="182" t="s">
        <v>98</v>
      </c>
      <c r="M19" s="182" t="s">
        <v>93</v>
      </c>
      <c r="N19" s="183" t="str">
        <f t="shared" si="1"/>
        <v>USD3L12L11Y</v>
      </c>
      <c r="O19" s="82" t="str">
        <v>USD3L12L11Y=SMKR</v>
      </c>
      <c r="P19" s="275">
        <v>15.125</v>
      </c>
      <c r="Q19" s="275">
        <v>25.125</v>
      </c>
      <c r="R19" s="289">
        <v>0</v>
      </c>
      <c r="S19" s="288">
        <v>0</v>
      </c>
      <c r="T19" s="275">
        <f>_xll.qlMidEquivalent(P19,Q19)</f>
        <v>20.125</v>
      </c>
      <c r="U19" s="286">
        <v>11</v>
      </c>
      <c r="V19" s="85" t="b">
        <f t="shared" si="2"/>
        <v>1</v>
      </c>
      <c r="W19" s="275">
        <v>20.125</v>
      </c>
      <c r="X19" s="194"/>
      <c r="Y19" s="281">
        <v>20.125</v>
      </c>
      <c r="Z19" s="194"/>
      <c r="AA19" s="275">
        <v>20.125</v>
      </c>
      <c r="AB19" s="187">
        <f>_xll.qlSimpleQuoteSetValue(F19,AA19/10000,Trigger)</f>
        <v>0</v>
      </c>
      <c r="AC19" s="77"/>
    </row>
    <row r="20" spans="1:29" ht="11.25" customHeight="1" x14ac:dyDescent="0.2">
      <c r="A20" s="76"/>
      <c r="B20" s="182" t="str">
        <f t="shared" si="3"/>
        <v>12Y</v>
      </c>
      <c r="C20" s="227" t="str">
        <f t="shared" si="4"/>
        <v>12L</v>
      </c>
      <c r="D20" s="228" t="str">
        <f t="shared" si="5"/>
        <v>3L</v>
      </c>
      <c r="E20" s="229" t="str">
        <f t="shared" si="0"/>
        <v>USD12L3L12Y_Quote</v>
      </c>
      <c r="F20" s="229" t="str">
        <f>_xll.qlSimpleQuote(E20,,RateTickValue,Permanent,Trigger,ObjectOverwrite)</f>
        <v>USD12L3L12Y_Quote#0000</v>
      </c>
      <c r="G20" s="277" t="str">
        <f>_xll.ohRangeRetrieveError(F20)</f>
        <v/>
      </c>
      <c r="H20" s="170"/>
      <c r="J20" s="284"/>
      <c r="K20" s="182" t="s">
        <v>74</v>
      </c>
      <c r="L20" s="182" t="s">
        <v>98</v>
      </c>
      <c r="M20" s="182" t="s">
        <v>93</v>
      </c>
      <c r="N20" s="183" t="str">
        <f t="shared" si="1"/>
        <v>USD3L12L12Y</v>
      </c>
      <c r="O20" s="82" t="str">
        <v>USD3L12L12Y=SMKR</v>
      </c>
      <c r="P20" s="275">
        <v>15.375</v>
      </c>
      <c r="Q20" s="275">
        <v>25.375</v>
      </c>
      <c r="R20" s="289">
        <v>0</v>
      </c>
      <c r="S20" s="288">
        <v>0</v>
      </c>
      <c r="T20" s="275">
        <f>_xll.qlMidEquivalent(P20,Q20)</f>
        <v>20.375</v>
      </c>
      <c r="U20" s="286">
        <v>12</v>
      </c>
      <c r="V20" s="85" t="b">
        <f t="shared" si="2"/>
        <v>1</v>
      </c>
      <c r="W20" s="275">
        <v>20.375</v>
      </c>
      <c r="X20" s="194"/>
      <c r="Y20" s="281">
        <v>20.375</v>
      </c>
      <c r="Z20" s="194"/>
      <c r="AA20" s="275">
        <v>20.375</v>
      </c>
      <c r="AB20" s="187">
        <f>_xll.qlSimpleQuoteSetValue(F20,AA20/10000,Trigger)</f>
        <v>0</v>
      </c>
      <c r="AC20" s="77"/>
    </row>
    <row r="21" spans="1:29" ht="11.25" customHeight="1" x14ac:dyDescent="0.2">
      <c r="A21" s="76"/>
      <c r="B21" s="182" t="str">
        <f t="shared" si="3"/>
        <v>13Y</v>
      </c>
      <c r="C21" s="227" t="str">
        <f t="shared" si="4"/>
        <v>12L</v>
      </c>
      <c r="D21" s="228" t="str">
        <f t="shared" si="5"/>
        <v>3L</v>
      </c>
      <c r="E21" s="229" t="str">
        <f t="shared" si="0"/>
        <v>USD12L3L13Y_Quote</v>
      </c>
      <c r="F21" s="229" t="str">
        <f>_xll.qlSimpleQuote(E21,,RateTickValue,Permanent,Trigger,ObjectOverwrite)</f>
        <v>USD12L3L13Y_Quote#0000</v>
      </c>
      <c r="G21" s="277" t="str">
        <f>_xll.ohRangeRetrieveError(F21)</f>
        <v/>
      </c>
      <c r="H21" s="170"/>
      <c r="J21" s="284"/>
      <c r="K21" s="182" t="s">
        <v>73</v>
      </c>
      <c r="L21" s="182" t="s">
        <v>98</v>
      </c>
      <c r="M21" s="182" t="s">
        <v>93</v>
      </c>
      <c r="N21" s="183" t="str">
        <f t="shared" si="1"/>
        <v>USD3L12L13Y</v>
      </c>
      <c r="O21" s="82" t="str">
        <v>USD3L12L13Y=SMKR</v>
      </c>
      <c r="P21" s="275" t="s">
        <v>281</v>
      </c>
      <c r="Q21" s="275" t="s">
        <v>281</v>
      </c>
      <c r="R21" s="289" t="s">
        <v>281</v>
      </c>
      <c r="S21" s="288" t="s">
        <v>281</v>
      </c>
      <c r="T21" s="275" t="e">
        <f>_xll.qlMidEquivalent(P21,Q21)</f>
        <v>#NUM!</v>
      </c>
      <c r="U21" s="286">
        <v>13</v>
      </c>
      <c r="V21" s="85" t="b">
        <f t="shared" si="2"/>
        <v>0</v>
      </c>
      <c r="W21" s="275">
        <v>20.839073572628806</v>
      </c>
      <c r="X21" s="194"/>
      <c r="Y21" s="281">
        <v>20.839073572628806</v>
      </c>
      <c r="Z21" s="194"/>
      <c r="AA21" s="275">
        <v>20.839073572628806</v>
      </c>
      <c r="AB21" s="187">
        <f>_xll.qlSimpleQuoteSetValue(F21,AA21/10000,Trigger)</f>
        <v>0</v>
      </c>
      <c r="AC21" s="77"/>
    </row>
    <row r="22" spans="1:29" ht="11.25" customHeight="1" x14ac:dyDescent="0.2">
      <c r="A22" s="76"/>
      <c r="B22" s="182" t="str">
        <f t="shared" si="3"/>
        <v>14Y</v>
      </c>
      <c r="C22" s="227" t="str">
        <f t="shared" si="4"/>
        <v>12L</v>
      </c>
      <c r="D22" s="228" t="str">
        <f t="shared" si="5"/>
        <v>3L</v>
      </c>
      <c r="E22" s="229" t="str">
        <f t="shared" si="0"/>
        <v>USD12L3L14Y_Quote</v>
      </c>
      <c r="F22" s="229" t="str">
        <f>_xll.qlSimpleQuote(E22,,RateTickValue,Permanent,Trigger,ObjectOverwrite)</f>
        <v>USD12L3L14Y_Quote#0000</v>
      </c>
      <c r="G22" s="277" t="str">
        <f>_xll.ohRangeRetrieveError(F22)</f>
        <v/>
      </c>
      <c r="H22" s="170"/>
      <c r="J22" s="284"/>
      <c r="K22" s="182" t="s">
        <v>72</v>
      </c>
      <c r="L22" s="182" t="s">
        <v>98</v>
      </c>
      <c r="M22" s="182" t="s">
        <v>93</v>
      </c>
      <c r="N22" s="183" t="str">
        <f t="shared" si="1"/>
        <v>USD3L12L14Y</v>
      </c>
      <c r="O22" s="82" t="str">
        <v>USD3L12L14Y=SMKR</v>
      </c>
      <c r="P22" s="275" t="s">
        <v>281</v>
      </c>
      <c r="Q22" s="275" t="s">
        <v>281</v>
      </c>
      <c r="R22" s="289" t="s">
        <v>281</v>
      </c>
      <c r="S22" s="288" t="s">
        <v>281</v>
      </c>
      <c r="T22" s="275" t="e">
        <f>_xll.qlMidEquivalent(P22,Q22)</f>
        <v>#NUM!</v>
      </c>
      <c r="U22" s="286">
        <v>14</v>
      </c>
      <c r="V22" s="85" t="b">
        <f t="shared" si="2"/>
        <v>0</v>
      </c>
      <c r="W22" s="275">
        <v>21.421514337034637</v>
      </c>
      <c r="X22" s="194"/>
      <c r="Y22" s="281">
        <v>21.421514337034637</v>
      </c>
      <c r="Z22" s="194"/>
      <c r="AA22" s="275">
        <v>21.421514337034637</v>
      </c>
      <c r="AB22" s="187">
        <f>_xll.qlSimpleQuoteSetValue(F22,AA22/10000,Trigger)</f>
        <v>0</v>
      </c>
      <c r="AC22" s="77"/>
    </row>
    <row r="23" spans="1:29" ht="11.25" customHeight="1" x14ac:dyDescent="0.2">
      <c r="A23" s="76"/>
      <c r="B23" s="182" t="str">
        <f t="shared" si="3"/>
        <v>15Y</v>
      </c>
      <c r="C23" s="227" t="str">
        <f t="shared" si="4"/>
        <v>12L</v>
      </c>
      <c r="D23" s="228" t="str">
        <f t="shared" si="5"/>
        <v>3L</v>
      </c>
      <c r="E23" s="229" t="str">
        <f t="shared" si="0"/>
        <v>USD12L3L15Y_Quote</v>
      </c>
      <c r="F23" s="229" t="str">
        <f>_xll.qlSimpleQuote(E23,,RateTickValue,Permanent,Trigger,ObjectOverwrite)</f>
        <v>USD12L3L15Y_Quote#0000</v>
      </c>
      <c r="G23" s="277" t="str">
        <f>_xll.ohRangeRetrieveError(F23)</f>
        <v/>
      </c>
      <c r="H23" s="170"/>
      <c r="J23" s="284"/>
      <c r="K23" s="182" t="s">
        <v>71</v>
      </c>
      <c r="L23" s="182" t="s">
        <v>98</v>
      </c>
      <c r="M23" s="182" t="s">
        <v>93</v>
      </c>
      <c r="N23" s="183" t="str">
        <f t="shared" si="1"/>
        <v>USD3L12L15Y</v>
      </c>
      <c r="O23" s="82" t="str">
        <v>USD3L12L15Y=SMKR</v>
      </c>
      <c r="P23" s="275">
        <v>17</v>
      </c>
      <c r="Q23" s="275">
        <v>27</v>
      </c>
      <c r="R23" s="289">
        <v>0</v>
      </c>
      <c r="S23" s="288">
        <v>0</v>
      </c>
      <c r="T23" s="275">
        <f>_xll.qlMidEquivalent(P23,Q23)</f>
        <v>22</v>
      </c>
      <c r="U23" s="286">
        <v>15</v>
      </c>
      <c r="V23" s="85" t="b">
        <f t="shared" si="2"/>
        <v>1</v>
      </c>
      <c r="W23" s="275">
        <v>22</v>
      </c>
      <c r="X23" s="194"/>
      <c r="Y23" s="281">
        <v>22</v>
      </c>
      <c r="Z23" s="194"/>
      <c r="AA23" s="275">
        <v>22</v>
      </c>
      <c r="AB23" s="187">
        <f>_xll.qlSimpleQuoteSetValue(F23,AA23/10000,Trigger)</f>
        <v>0</v>
      </c>
      <c r="AC23" s="77"/>
    </row>
    <row r="24" spans="1:29" ht="11.25" customHeight="1" x14ac:dyDescent="0.2">
      <c r="A24" s="76"/>
      <c r="B24" s="182" t="str">
        <f t="shared" si="3"/>
        <v>16Y</v>
      </c>
      <c r="C24" s="227" t="str">
        <f t="shared" si="4"/>
        <v>12L</v>
      </c>
      <c r="D24" s="228" t="str">
        <f t="shared" si="5"/>
        <v>3L</v>
      </c>
      <c r="E24" s="229" t="str">
        <f t="shared" si="0"/>
        <v>USD12L3L16Y_Quote</v>
      </c>
      <c r="F24" s="229" t="str">
        <f>_xll.qlSimpleQuote(E24,,RateTickValue,Permanent,Trigger,ObjectOverwrite)</f>
        <v>USD12L3L16Y_Quote#0000</v>
      </c>
      <c r="G24" s="277" t="str">
        <f>_xll.ohRangeRetrieveError(F24)</f>
        <v/>
      </c>
      <c r="H24" s="170"/>
      <c r="J24" s="284"/>
      <c r="K24" s="182" t="s">
        <v>70</v>
      </c>
      <c r="L24" s="182" t="s">
        <v>98</v>
      </c>
      <c r="M24" s="182" t="s">
        <v>93</v>
      </c>
      <c r="N24" s="183" t="str">
        <f t="shared" si="1"/>
        <v>USD3L12L16Y</v>
      </c>
      <c r="O24" s="82" t="str">
        <v>USD3L12L16Y=SMKR</v>
      </c>
      <c r="P24" s="275" t="s">
        <v>281</v>
      </c>
      <c r="Q24" s="275" t="s">
        <v>281</v>
      </c>
      <c r="R24" s="289" t="s">
        <v>281</v>
      </c>
      <c r="S24" s="288" t="s">
        <v>281</v>
      </c>
      <c r="T24" s="275" t="e">
        <f>_xll.qlMidEquivalent(P24,Q24)</f>
        <v>#NUM!</v>
      </c>
      <c r="U24" s="286">
        <v>16</v>
      </c>
      <c r="V24" s="85" t="b">
        <f t="shared" si="2"/>
        <v>0</v>
      </c>
      <c r="W24" s="275">
        <v>22.485869769283813</v>
      </c>
      <c r="X24" s="194"/>
      <c r="Y24" s="281">
        <v>22.485869769283813</v>
      </c>
      <c r="Z24" s="194"/>
      <c r="AA24" s="275">
        <v>22.485869769283813</v>
      </c>
      <c r="AB24" s="187">
        <f>_xll.qlSimpleQuoteSetValue(F24,AA24/10000,Trigger)</f>
        <v>0</v>
      </c>
      <c r="AC24" s="77"/>
    </row>
    <row r="25" spans="1:29" ht="11.25" customHeight="1" x14ac:dyDescent="0.2">
      <c r="A25" s="76"/>
      <c r="B25" s="182" t="str">
        <f t="shared" si="3"/>
        <v>17Y</v>
      </c>
      <c r="C25" s="227" t="str">
        <f t="shared" si="4"/>
        <v>12L</v>
      </c>
      <c r="D25" s="228" t="str">
        <f t="shared" si="5"/>
        <v>3L</v>
      </c>
      <c r="E25" s="229" t="str">
        <f t="shared" si="0"/>
        <v>USD12L3L17Y_Quote</v>
      </c>
      <c r="F25" s="229" t="str">
        <f>_xll.qlSimpleQuote(E25,,RateTickValue,Permanent,Trigger,ObjectOverwrite)</f>
        <v>USD12L3L17Y_Quote#0000</v>
      </c>
      <c r="G25" s="277" t="str">
        <f>_xll.ohRangeRetrieveError(F25)</f>
        <v/>
      </c>
      <c r="H25" s="170"/>
      <c r="J25" s="284"/>
      <c r="K25" s="182" t="s">
        <v>69</v>
      </c>
      <c r="L25" s="182" t="s">
        <v>98</v>
      </c>
      <c r="M25" s="182" t="s">
        <v>93</v>
      </c>
      <c r="N25" s="183" t="str">
        <f t="shared" si="1"/>
        <v>USD3L12L17Y</v>
      </c>
      <c r="O25" s="82" t="str">
        <v>USD3L12L17Y=SMKR</v>
      </c>
      <c r="P25" s="275" t="s">
        <v>281</v>
      </c>
      <c r="Q25" s="275" t="s">
        <v>281</v>
      </c>
      <c r="R25" s="289" t="s">
        <v>281</v>
      </c>
      <c r="S25" s="288" t="s">
        <v>281</v>
      </c>
      <c r="T25" s="275" t="e">
        <f>_xll.qlMidEquivalent(P25,Q25)</f>
        <v>#NUM!</v>
      </c>
      <c r="U25" s="286">
        <v>17</v>
      </c>
      <c r="V25" s="85" t="b">
        <f t="shared" si="2"/>
        <v>0</v>
      </c>
      <c r="W25" s="275">
        <v>22.869728490444292</v>
      </c>
      <c r="X25" s="194"/>
      <c r="Y25" s="281">
        <v>22.869728490444292</v>
      </c>
      <c r="Z25" s="194"/>
      <c r="AA25" s="275">
        <v>22.869728490444292</v>
      </c>
      <c r="AB25" s="187">
        <f>_xll.qlSimpleQuoteSetValue(F25,AA25/10000,Trigger)</f>
        <v>0</v>
      </c>
      <c r="AC25" s="77"/>
    </row>
    <row r="26" spans="1:29" ht="11.25" customHeight="1" x14ac:dyDescent="0.2">
      <c r="A26" s="76"/>
      <c r="B26" s="182" t="str">
        <f t="shared" si="3"/>
        <v>18Y</v>
      </c>
      <c r="C26" s="227" t="str">
        <f t="shared" si="4"/>
        <v>12L</v>
      </c>
      <c r="D26" s="228" t="str">
        <f t="shared" si="5"/>
        <v>3L</v>
      </c>
      <c r="E26" s="229" t="str">
        <f t="shared" si="0"/>
        <v>USD12L3L18Y_Quote</v>
      </c>
      <c r="F26" s="229" t="str">
        <f>_xll.qlSimpleQuote(E26,,RateTickValue,Permanent,Trigger,ObjectOverwrite)</f>
        <v>USD12L3L18Y_Quote#0000</v>
      </c>
      <c r="G26" s="277" t="str">
        <f>_xll.ohRangeRetrieveError(F26)</f>
        <v/>
      </c>
      <c r="H26" s="170"/>
      <c r="J26" s="284"/>
      <c r="K26" s="182" t="s">
        <v>68</v>
      </c>
      <c r="L26" s="182" t="s">
        <v>98</v>
      </c>
      <c r="M26" s="182" t="s">
        <v>93</v>
      </c>
      <c r="N26" s="183" t="str">
        <f t="shared" si="1"/>
        <v>USD3L12L18Y</v>
      </c>
      <c r="O26" s="82" t="str">
        <v>USD3L12L18Y=SMKR</v>
      </c>
      <c r="P26" s="275" t="s">
        <v>281</v>
      </c>
      <c r="Q26" s="275" t="s">
        <v>281</v>
      </c>
      <c r="R26" s="289" t="s">
        <v>281</v>
      </c>
      <c r="S26" s="288" t="s">
        <v>281</v>
      </c>
      <c r="T26" s="275" t="e">
        <f>_xll.qlMidEquivalent(P26,Q26)</f>
        <v>#NUM!</v>
      </c>
      <c r="U26" s="286">
        <v>18</v>
      </c>
      <c r="V26" s="85" t="b">
        <f t="shared" si="2"/>
        <v>0</v>
      </c>
      <c r="W26" s="275">
        <v>23.148152326962862</v>
      </c>
      <c r="X26" s="194"/>
      <c r="Y26" s="281">
        <v>23.148152326962862</v>
      </c>
      <c r="Z26" s="194"/>
      <c r="AA26" s="275">
        <v>23.148152326962862</v>
      </c>
      <c r="AB26" s="187">
        <f>_xll.qlSimpleQuoteSetValue(F26,AA26/10000,Trigger)</f>
        <v>0</v>
      </c>
      <c r="AC26" s="77"/>
    </row>
    <row r="27" spans="1:29" ht="11.25" customHeight="1" x14ac:dyDescent="0.2">
      <c r="A27" s="76"/>
      <c r="B27" s="182" t="str">
        <f t="shared" si="3"/>
        <v>19Y</v>
      </c>
      <c r="C27" s="227" t="str">
        <f t="shared" si="4"/>
        <v>12L</v>
      </c>
      <c r="D27" s="228" t="str">
        <f t="shared" si="5"/>
        <v>3L</v>
      </c>
      <c r="E27" s="229" t="str">
        <f t="shared" si="0"/>
        <v>USD12L3L19Y_Quote</v>
      </c>
      <c r="F27" s="229" t="str">
        <f>_xll.qlSimpleQuote(E27,,RateTickValue,Permanent,Trigger,ObjectOverwrite)</f>
        <v>USD12L3L19Y_Quote#0000</v>
      </c>
      <c r="G27" s="277" t="str">
        <f>_xll.ohRangeRetrieveError(F27)</f>
        <v/>
      </c>
      <c r="H27" s="170"/>
      <c r="J27" s="284"/>
      <c r="K27" s="182" t="s">
        <v>67</v>
      </c>
      <c r="L27" s="182" t="s">
        <v>98</v>
      </c>
      <c r="M27" s="182" t="s">
        <v>93</v>
      </c>
      <c r="N27" s="183" t="str">
        <f t="shared" si="1"/>
        <v>USD3L12L19Y</v>
      </c>
      <c r="O27" s="82" t="str">
        <v>USD3L12L19Y=SMKR</v>
      </c>
      <c r="P27" s="275" t="s">
        <v>281</v>
      </c>
      <c r="Q27" s="275" t="s">
        <v>281</v>
      </c>
      <c r="R27" s="289" t="s">
        <v>281</v>
      </c>
      <c r="S27" s="288" t="s">
        <v>281</v>
      </c>
      <c r="T27" s="275" t="e">
        <f>_xll.qlMidEquivalent(P27,Q27)</f>
        <v>#NUM!</v>
      </c>
      <c r="U27" s="286">
        <v>19</v>
      </c>
      <c r="V27" s="85" t="b">
        <f t="shared" si="2"/>
        <v>0</v>
      </c>
      <c r="W27" s="275">
        <v>23.317717442320955</v>
      </c>
      <c r="X27" s="194"/>
      <c r="Y27" s="281">
        <v>23.317717442320955</v>
      </c>
      <c r="Z27" s="194"/>
      <c r="AA27" s="275">
        <v>23.317717442320955</v>
      </c>
      <c r="AB27" s="187">
        <f>_xll.qlSimpleQuoteSetValue(F27,AA27/10000,Trigger)</f>
        <v>0</v>
      </c>
      <c r="AC27" s="77"/>
    </row>
    <row r="28" spans="1:29" ht="11.25" customHeight="1" x14ac:dyDescent="0.2">
      <c r="A28" s="76"/>
      <c r="B28" s="182" t="str">
        <f t="shared" si="3"/>
        <v>20Y</v>
      </c>
      <c r="C28" s="227" t="str">
        <f t="shared" si="4"/>
        <v>12L</v>
      </c>
      <c r="D28" s="228" t="str">
        <f t="shared" si="5"/>
        <v>3L</v>
      </c>
      <c r="E28" s="229" t="str">
        <f t="shared" si="0"/>
        <v>USD12L3L20Y_Quote</v>
      </c>
      <c r="F28" s="229" t="str">
        <f>_xll.qlSimpleQuote(E28,,RateTickValue,Permanent,Trigger,ObjectOverwrite)</f>
        <v>USD12L3L20Y_Quote#0000</v>
      </c>
      <c r="G28" s="277" t="str">
        <f>_xll.ohRangeRetrieveError(F28)</f>
        <v/>
      </c>
      <c r="H28" s="170"/>
      <c r="J28" s="284"/>
      <c r="K28" s="182" t="s">
        <v>66</v>
      </c>
      <c r="L28" s="182" t="s">
        <v>98</v>
      </c>
      <c r="M28" s="182" t="s">
        <v>93</v>
      </c>
      <c r="N28" s="183" t="str">
        <f t="shared" si="1"/>
        <v>USD3L12L20Y</v>
      </c>
      <c r="O28" s="82" t="str">
        <v>USD3L12L20Y=SMKR</v>
      </c>
      <c r="P28" s="275">
        <v>18.375</v>
      </c>
      <c r="Q28" s="275">
        <v>28.375</v>
      </c>
      <c r="R28" s="289">
        <v>0</v>
      </c>
      <c r="S28" s="288">
        <v>0</v>
      </c>
      <c r="T28" s="275">
        <f>_xll.qlMidEquivalent(P28,Q28)</f>
        <v>23.375</v>
      </c>
      <c r="U28" s="286">
        <v>20</v>
      </c>
      <c r="V28" s="85" t="b">
        <f t="shared" si="2"/>
        <v>1</v>
      </c>
      <c r="W28" s="275">
        <v>23.375</v>
      </c>
      <c r="X28" s="194"/>
      <c r="Y28" s="281">
        <v>23.375</v>
      </c>
      <c r="Z28" s="194"/>
      <c r="AA28" s="275">
        <v>23.375</v>
      </c>
      <c r="AB28" s="187">
        <f>_xll.qlSimpleQuoteSetValue(F28,AA28/10000,Trigger)</f>
        <v>0</v>
      </c>
      <c r="AC28" s="77"/>
    </row>
    <row r="29" spans="1:29" ht="11.25" customHeight="1" x14ac:dyDescent="0.2">
      <c r="A29" s="76"/>
      <c r="B29" s="182" t="str">
        <f t="shared" si="3"/>
        <v>21Y</v>
      </c>
      <c r="C29" s="227" t="str">
        <f t="shared" si="4"/>
        <v>12L</v>
      </c>
      <c r="D29" s="228" t="str">
        <f t="shared" si="5"/>
        <v>3L</v>
      </c>
      <c r="E29" s="229" t="str">
        <f t="shared" si="0"/>
        <v>USD12L3L21Y_Quote</v>
      </c>
      <c r="F29" s="229" t="str">
        <f>_xll.qlSimpleQuote(E29,,RateTickValue,Permanent,Trigger,ObjectOverwrite)</f>
        <v>USD12L3L21Y_Quote#0000</v>
      </c>
      <c r="G29" s="277" t="str">
        <f>_xll.ohRangeRetrieveError(F29)</f>
        <v/>
      </c>
      <c r="H29" s="170"/>
      <c r="J29" s="284"/>
      <c r="K29" s="182" t="s">
        <v>65</v>
      </c>
      <c r="L29" s="182" t="s">
        <v>98</v>
      </c>
      <c r="M29" s="182" t="s">
        <v>93</v>
      </c>
      <c r="N29" s="183" t="str">
        <f t="shared" si="1"/>
        <v>USD3L12L21Y</v>
      </c>
      <c r="O29" s="82" t="str">
        <v>USD3L12L21Y=SMKR</v>
      </c>
      <c r="P29" s="275" t="s">
        <v>281</v>
      </c>
      <c r="Q29" s="275" t="s">
        <v>281</v>
      </c>
      <c r="R29" s="289" t="s">
        <v>281</v>
      </c>
      <c r="S29" s="288" t="s">
        <v>281</v>
      </c>
      <c r="T29" s="275" t="e">
        <f>_xll.qlMidEquivalent(P29,Q29)</f>
        <v>#NUM!</v>
      </c>
      <c r="U29" s="286">
        <v>21</v>
      </c>
      <c r="V29" s="85" t="b">
        <f t="shared" si="2"/>
        <v>0</v>
      </c>
      <c r="W29" s="275">
        <v>23.375</v>
      </c>
      <c r="X29" s="194"/>
      <c r="Y29" s="281">
        <v>23.375</v>
      </c>
      <c r="Z29" s="194"/>
      <c r="AA29" s="275">
        <v>23.375</v>
      </c>
      <c r="AB29" s="187">
        <f>_xll.qlSimpleQuoteSetValue(F29,AA29/10000,Trigger)</f>
        <v>0</v>
      </c>
      <c r="AC29" s="77"/>
    </row>
    <row r="30" spans="1:29" ht="11.25" customHeight="1" x14ac:dyDescent="0.2">
      <c r="A30" s="76"/>
      <c r="B30" s="182" t="str">
        <f t="shared" si="3"/>
        <v>22Y</v>
      </c>
      <c r="C30" s="227" t="str">
        <f t="shared" si="4"/>
        <v>12L</v>
      </c>
      <c r="D30" s="228" t="str">
        <f t="shared" si="5"/>
        <v>3L</v>
      </c>
      <c r="E30" s="229" t="str">
        <f t="shared" si="0"/>
        <v>USD12L3L22Y_Quote</v>
      </c>
      <c r="F30" s="229" t="str">
        <f>_xll.qlSimpleQuote(E30,,RateTickValue,Permanent,Trigger,ObjectOverwrite)</f>
        <v>USD12L3L22Y_Quote#0000</v>
      </c>
      <c r="G30" s="277" t="str">
        <f>_xll.ohRangeRetrieveError(F30)</f>
        <v/>
      </c>
      <c r="H30" s="170"/>
      <c r="J30" s="284"/>
      <c r="K30" s="182" t="s">
        <v>64</v>
      </c>
      <c r="L30" s="182" t="s">
        <v>98</v>
      </c>
      <c r="M30" s="182" t="s">
        <v>93</v>
      </c>
      <c r="N30" s="183" t="str">
        <f t="shared" si="1"/>
        <v>USD3L12L22Y</v>
      </c>
      <c r="O30" s="82" t="str">
        <v>USD3L12L22Y=SMKR</v>
      </c>
      <c r="P30" s="275" t="s">
        <v>281</v>
      </c>
      <c r="Q30" s="275" t="s">
        <v>281</v>
      </c>
      <c r="R30" s="289" t="s">
        <v>281</v>
      </c>
      <c r="S30" s="288" t="s">
        <v>281</v>
      </c>
      <c r="T30" s="275" t="e">
        <f>_xll.qlMidEquivalent(P30,Q30)</f>
        <v>#NUM!</v>
      </c>
      <c r="U30" s="286">
        <v>22</v>
      </c>
      <c r="V30" s="85" t="b">
        <f t="shared" si="2"/>
        <v>0</v>
      </c>
      <c r="W30" s="275">
        <v>23.375</v>
      </c>
      <c r="X30" s="194"/>
      <c r="Y30" s="281">
        <v>23.375</v>
      </c>
      <c r="Z30" s="194"/>
      <c r="AA30" s="275">
        <v>23.375</v>
      </c>
      <c r="AB30" s="187">
        <f>_xll.qlSimpleQuoteSetValue(F30,AA30/10000,Trigger)</f>
        <v>0</v>
      </c>
      <c r="AC30" s="77"/>
    </row>
    <row r="31" spans="1:29" ht="11.25" customHeight="1" x14ac:dyDescent="0.2">
      <c r="A31" s="76"/>
      <c r="B31" s="182" t="str">
        <f t="shared" si="3"/>
        <v>23Y</v>
      </c>
      <c r="C31" s="227" t="str">
        <f t="shared" si="4"/>
        <v>12L</v>
      </c>
      <c r="D31" s="228" t="str">
        <f t="shared" si="5"/>
        <v>3L</v>
      </c>
      <c r="E31" s="229" t="str">
        <f t="shared" si="0"/>
        <v>USD12L3L23Y_Quote</v>
      </c>
      <c r="F31" s="229" t="str">
        <f>_xll.qlSimpleQuote(E31,,RateTickValue,Permanent,Trigger,ObjectOverwrite)</f>
        <v>USD12L3L23Y_Quote#0000</v>
      </c>
      <c r="G31" s="277" t="str">
        <f>_xll.ohRangeRetrieveError(F31)</f>
        <v/>
      </c>
      <c r="H31" s="170"/>
      <c r="J31" s="284"/>
      <c r="K31" s="182" t="s">
        <v>63</v>
      </c>
      <c r="L31" s="182" t="s">
        <v>98</v>
      </c>
      <c r="M31" s="182" t="s">
        <v>93</v>
      </c>
      <c r="N31" s="183" t="str">
        <f t="shared" si="1"/>
        <v>USD3L12L23Y</v>
      </c>
      <c r="O31" s="82" t="str">
        <v>USD3L12L23Y=SMKR</v>
      </c>
      <c r="P31" s="275" t="s">
        <v>281</v>
      </c>
      <c r="Q31" s="275" t="s">
        <v>281</v>
      </c>
      <c r="R31" s="289" t="s">
        <v>281</v>
      </c>
      <c r="S31" s="288" t="s">
        <v>281</v>
      </c>
      <c r="T31" s="275" t="e">
        <f>_xll.qlMidEquivalent(P31,Q31)</f>
        <v>#NUM!</v>
      </c>
      <c r="U31" s="286">
        <v>23</v>
      </c>
      <c r="V31" s="85" t="b">
        <f t="shared" si="2"/>
        <v>0</v>
      </c>
      <c r="W31" s="275">
        <v>23.375</v>
      </c>
      <c r="X31" s="194"/>
      <c r="Y31" s="281">
        <v>23.375</v>
      </c>
      <c r="Z31" s="194"/>
      <c r="AA31" s="275">
        <v>23.375</v>
      </c>
      <c r="AB31" s="187">
        <f>_xll.qlSimpleQuoteSetValue(F31,AA31/10000,Trigger)</f>
        <v>0</v>
      </c>
      <c r="AC31" s="77"/>
    </row>
    <row r="32" spans="1:29" ht="11.25" customHeight="1" x14ac:dyDescent="0.2">
      <c r="A32" s="76"/>
      <c r="B32" s="182" t="str">
        <f t="shared" si="3"/>
        <v>24Y</v>
      </c>
      <c r="C32" s="227" t="str">
        <f t="shared" si="4"/>
        <v>12L</v>
      </c>
      <c r="D32" s="228" t="str">
        <f t="shared" si="5"/>
        <v>3L</v>
      </c>
      <c r="E32" s="229" t="str">
        <f t="shared" si="0"/>
        <v>USD12L3L24Y_Quote</v>
      </c>
      <c r="F32" s="229" t="str">
        <f>_xll.qlSimpleQuote(E32,,RateTickValue,Permanent,Trigger,ObjectOverwrite)</f>
        <v>USD12L3L24Y_Quote#0000</v>
      </c>
      <c r="G32" s="277" t="str">
        <f>_xll.ohRangeRetrieveError(F32)</f>
        <v/>
      </c>
      <c r="H32" s="170"/>
      <c r="J32" s="284"/>
      <c r="K32" s="182" t="s">
        <v>62</v>
      </c>
      <c r="L32" s="182" t="s">
        <v>98</v>
      </c>
      <c r="M32" s="182" t="s">
        <v>93</v>
      </c>
      <c r="N32" s="183" t="str">
        <f t="shared" si="1"/>
        <v>USD3L12L24Y</v>
      </c>
      <c r="O32" s="82" t="str">
        <v>USD3L12L24Y=SMKR</v>
      </c>
      <c r="P32" s="275" t="s">
        <v>281</v>
      </c>
      <c r="Q32" s="275" t="s">
        <v>281</v>
      </c>
      <c r="R32" s="289" t="s">
        <v>281</v>
      </c>
      <c r="S32" s="288" t="s">
        <v>281</v>
      </c>
      <c r="T32" s="275" t="e">
        <f>_xll.qlMidEquivalent(P32,Q32)</f>
        <v>#NUM!</v>
      </c>
      <c r="U32" s="286">
        <v>24</v>
      </c>
      <c r="V32" s="85" t="b">
        <f t="shared" si="2"/>
        <v>0</v>
      </c>
      <c r="W32" s="275">
        <v>23.375</v>
      </c>
      <c r="X32" s="194"/>
      <c r="Y32" s="281">
        <v>23.375</v>
      </c>
      <c r="Z32" s="194"/>
      <c r="AA32" s="275">
        <v>23.375</v>
      </c>
      <c r="AB32" s="187">
        <f>_xll.qlSimpleQuoteSetValue(F32,AA32/10000,Trigger)</f>
        <v>0</v>
      </c>
      <c r="AC32" s="77"/>
    </row>
    <row r="33" spans="1:29" ht="11.25" customHeight="1" x14ac:dyDescent="0.2">
      <c r="A33" s="76"/>
      <c r="B33" s="182" t="str">
        <f t="shared" si="3"/>
        <v>25Y</v>
      </c>
      <c r="C33" s="227" t="str">
        <f t="shared" si="4"/>
        <v>12L</v>
      </c>
      <c r="D33" s="228" t="str">
        <f t="shared" si="5"/>
        <v>3L</v>
      </c>
      <c r="E33" s="229" t="str">
        <f t="shared" si="0"/>
        <v>USD12L3L25Y_Quote</v>
      </c>
      <c r="F33" s="229" t="str">
        <f>_xll.qlSimpleQuote(E33,,RateTickValue,Permanent,Trigger,ObjectOverwrite)</f>
        <v>USD12L3L25Y_Quote#0000</v>
      </c>
      <c r="G33" s="277" t="str">
        <f>_xll.ohRangeRetrieveError(F33)</f>
        <v/>
      </c>
      <c r="H33" s="170"/>
      <c r="J33" s="284"/>
      <c r="K33" s="182" t="s">
        <v>61</v>
      </c>
      <c r="L33" s="182" t="s">
        <v>98</v>
      </c>
      <c r="M33" s="182" t="s">
        <v>93</v>
      </c>
      <c r="N33" s="183" t="str">
        <f t="shared" si="1"/>
        <v>USD3L12L25Y</v>
      </c>
      <c r="O33" s="82" t="str">
        <v>USD3L12L25Y=SMKR</v>
      </c>
      <c r="P33" s="275">
        <v>18.375</v>
      </c>
      <c r="Q33" s="275">
        <v>28.375</v>
      </c>
      <c r="R33" s="289">
        <v>0</v>
      </c>
      <c r="S33" s="288">
        <v>0</v>
      </c>
      <c r="T33" s="275">
        <f>_xll.qlMidEquivalent(P33,Q33)</f>
        <v>23.375</v>
      </c>
      <c r="U33" s="286">
        <v>25</v>
      </c>
      <c r="V33" s="85" t="b">
        <f t="shared" si="2"/>
        <v>1</v>
      </c>
      <c r="W33" s="275">
        <v>23.375</v>
      </c>
      <c r="X33" s="194"/>
      <c r="Y33" s="281">
        <v>23.375</v>
      </c>
      <c r="Z33" s="194"/>
      <c r="AA33" s="275">
        <v>23.375</v>
      </c>
      <c r="AB33" s="187">
        <f>_xll.qlSimpleQuoteSetValue(F33,AA33/10000,Trigger)</f>
        <v>0</v>
      </c>
      <c r="AC33" s="77"/>
    </row>
    <row r="34" spans="1:29" ht="11.25" customHeight="1" x14ac:dyDescent="0.2">
      <c r="A34" s="76"/>
      <c r="B34" s="182" t="str">
        <f t="shared" si="3"/>
        <v>26Y</v>
      </c>
      <c r="C34" s="227" t="str">
        <f t="shared" si="4"/>
        <v>12L</v>
      </c>
      <c r="D34" s="228" t="str">
        <f t="shared" si="5"/>
        <v>3L</v>
      </c>
      <c r="E34" s="229" t="str">
        <f t="shared" si="0"/>
        <v>USD12L3L26Y_Quote</v>
      </c>
      <c r="F34" s="229" t="str">
        <f>_xll.qlSimpleQuote(E34,,RateTickValue,Permanent,Trigger,ObjectOverwrite)</f>
        <v>USD12L3L26Y_Quote#0000</v>
      </c>
      <c r="G34" s="277" t="str">
        <f>_xll.ohRangeRetrieveError(F34)</f>
        <v/>
      </c>
      <c r="H34" s="170"/>
      <c r="J34" s="284"/>
      <c r="K34" s="182" t="s">
        <v>60</v>
      </c>
      <c r="L34" s="182" t="s">
        <v>98</v>
      </c>
      <c r="M34" s="182" t="s">
        <v>93</v>
      </c>
      <c r="N34" s="183" t="str">
        <f t="shared" si="1"/>
        <v>USD3L12L26Y</v>
      </c>
      <c r="O34" s="82" t="str">
        <v>USD3L12L26Y=SMKR</v>
      </c>
      <c r="P34" s="275" t="s">
        <v>281</v>
      </c>
      <c r="Q34" s="275" t="s">
        <v>281</v>
      </c>
      <c r="R34" s="289" t="s">
        <v>281</v>
      </c>
      <c r="S34" s="288" t="s">
        <v>281</v>
      </c>
      <c r="T34" s="275" t="e">
        <f>_xll.qlMidEquivalent(P34,Q34)</f>
        <v>#NUM!</v>
      </c>
      <c r="U34" s="286">
        <v>26</v>
      </c>
      <c r="V34" s="85" t="b">
        <f t="shared" si="2"/>
        <v>0</v>
      </c>
      <c r="W34" s="275">
        <v>23.396989132396961</v>
      </c>
      <c r="X34" s="194"/>
      <c r="Y34" s="281">
        <v>23.396989132396961</v>
      </c>
      <c r="Z34" s="194"/>
      <c r="AA34" s="275">
        <v>23.396989132396961</v>
      </c>
      <c r="AB34" s="187">
        <f>_xll.qlSimpleQuoteSetValue(F34,AA34/10000,Trigger)</f>
        <v>0</v>
      </c>
      <c r="AC34" s="77"/>
    </row>
    <row r="35" spans="1:29" ht="11.25" customHeight="1" x14ac:dyDescent="0.2">
      <c r="A35" s="76"/>
      <c r="B35" s="182" t="str">
        <f t="shared" si="3"/>
        <v>27Y</v>
      </c>
      <c r="C35" s="227" t="str">
        <f t="shared" si="4"/>
        <v>12L</v>
      </c>
      <c r="D35" s="228" t="str">
        <f t="shared" si="5"/>
        <v>3L</v>
      </c>
      <c r="E35" s="229" t="str">
        <f t="shared" si="0"/>
        <v>USD12L3L27Y_Quote</v>
      </c>
      <c r="F35" s="229" t="str">
        <f>_xll.qlSimpleQuote(E35,,RateTickValue,Permanent,Trigger,ObjectOverwrite)</f>
        <v>USD12L3L27Y_Quote#0000</v>
      </c>
      <c r="G35" s="277" t="str">
        <f>_xll.ohRangeRetrieveError(F35)</f>
        <v/>
      </c>
      <c r="H35" s="170"/>
      <c r="J35" s="284"/>
      <c r="K35" s="182" t="s">
        <v>59</v>
      </c>
      <c r="L35" s="182" t="s">
        <v>98</v>
      </c>
      <c r="M35" s="182" t="s">
        <v>93</v>
      </c>
      <c r="N35" s="183" t="str">
        <f t="shared" si="1"/>
        <v>USD3L12L27Y</v>
      </c>
      <c r="O35" s="82" t="str">
        <v>USD3L12L27Y=SMKR</v>
      </c>
      <c r="P35" s="275" t="s">
        <v>281</v>
      </c>
      <c r="Q35" s="275" t="s">
        <v>281</v>
      </c>
      <c r="R35" s="289" t="s">
        <v>281</v>
      </c>
      <c r="S35" s="288" t="s">
        <v>281</v>
      </c>
      <c r="T35" s="275" t="e">
        <f>_xll.qlMidEquivalent(P35,Q35)</f>
        <v>#NUM!</v>
      </c>
      <c r="U35" s="286">
        <v>27</v>
      </c>
      <c r="V35" s="85" t="b">
        <f t="shared" si="2"/>
        <v>0</v>
      </c>
      <c r="W35" s="275">
        <v>23.455967397190879</v>
      </c>
      <c r="X35" s="194"/>
      <c r="Y35" s="281">
        <v>23.455967397190879</v>
      </c>
      <c r="Z35" s="194"/>
      <c r="AA35" s="275">
        <v>23.455967397190879</v>
      </c>
      <c r="AB35" s="187">
        <f>_xll.qlSimpleQuoteSetValue(F35,AA35/10000,Trigger)</f>
        <v>0</v>
      </c>
      <c r="AC35" s="77"/>
    </row>
    <row r="36" spans="1:29" ht="11.25" customHeight="1" x14ac:dyDescent="0.2">
      <c r="A36" s="76"/>
      <c r="B36" s="182" t="str">
        <f t="shared" si="3"/>
        <v>28Y</v>
      </c>
      <c r="C36" s="227" t="str">
        <f t="shared" si="4"/>
        <v>12L</v>
      </c>
      <c r="D36" s="228" t="str">
        <f t="shared" si="5"/>
        <v>3L</v>
      </c>
      <c r="E36" s="229" t="str">
        <f t="shared" si="0"/>
        <v>USD12L3L28Y_Quote</v>
      </c>
      <c r="F36" s="229" t="str">
        <f>_xll.qlSimpleQuote(E36,,RateTickValue,Permanent,Trigger,ObjectOverwrite)</f>
        <v>USD12L3L28Y_Quote#0000</v>
      </c>
      <c r="G36" s="277" t="str">
        <f>_xll.ohRangeRetrieveError(F36)</f>
        <v/>
      </c>
      <c r="H36" s="170"/>
      <c r="J36" s="284"/>
      <c r="K36" s="182" t="s">
        <v>58</v>
      </c>
      <c r="L36" s="182" t="s">
        <v>98</v>
      </c>
      <c r="M36" s="182" t="s">
        <v>93</v>
      </c>
      <c r="N36" s="183" t="str">
        <f t="shared" si="1"/>
        <v>USD3L12L28Y</v>
      </c>
      <c r="O36" s="82" t="str">
        <v>USD3L12L28Y=SMKR</v>
      </c>
      <c r="P36" s="275" t="s">
        <v>281</v>
      </c>
      <c r="Q36" s="275" t="s">
        <v>281</v>
      </c>
      <c r="R36" s="289" t="s">
        <v>281</v>
      </c>
      <c r="S36" s="288" t="s">
        <v>281</v>
      </c>
      <c r="T36" s="275" t="e">
        <f>_xll.qlMidEquivalent(P36,Q36)</f>
        <v>#NUM!</v>
      </c>
      <c r="U36" s="286">
        <v>28</v>
      </c>
      <c r="V36" s="85" t="b">
        <f t="shared" si="2"/>
        <v>0</v>
      </c>
      <c r="W36" s="275">
        <v>23.541451095786318</v>
      </c>
      <c r="X36" s="194"/>
      <c r="Y36" s="281">
        <v>23.541451095786318</v>
      </c>
      <c r="Z36" s="194"/>
      <c r="AA36" s="275">
        <v>23.541451095786318</v>
      </c>
      <c r="AB36" s="187">
        <f>_xll.qlSimpleQuoteSetValue(F36,AA36/10000,Trigger)</f>
        <v>0</v>
      </c>
      <c r="AC36" s="77"/>
    </row>
    <row r="37" spans="1:29" ht="11.25" customHeight="1" x14ac:dyDescent="0.2">
      <c r="A37" s="76"/>
      <c r="B37" s="182" t="str">
        <f t="shared" si="3"/>
        <v>29Y</v>
      </c>
      <c r="C37" s="227" t="str">
        <f t="shared" si="4"/>
        <v>12L</v>
      </c>
      <c r="D37" s="228" t="str">
        <f t="shared" si="5"/>
        <v>3L</v>
      </c>
      <c r="E37" s="229" t="str">
        <f t="shared" si="0"/>
        <v>USD12L3L29Y_Quote</v>
      </c>
      <c r="F37" s="229" t="str">
        <f>_xll.qlSimpleQuote(E37,,RateTickValue,Permanent,Trigger,ObjectOverwrite)</f>
        <v>USD12L3L29Y_Quote#0000</v>
      </c>
      <c r="G37" s="277" t="str">
        <f>_xll.ohRangeRetrieveError(F37)</f>
        <v/>
      </c>
      <c r="H37" s="170"/>
      <c r="J37" s="284"/>
      <c r="K37" s="182" t="s">
        <v>57</v>
      </c>
      <c r="L37" s="182" t="s">
        <v>98</v>
      </c>
      <c r="M37" s="182" t="s">
        <v>93</v>
      </c>
      <c r="N37" s="183" t="str">
        <f t="shared" si="1"/>
        <v>USD3L12L29Y</v>
      </c>
      <c r="O37" s="82" t="str">
        <v>USD3L12L29Y=SMKR</v>
      </c>
      <c r="P37" s="275" t="s">
        <v>281</v>
      </c>
      <c r="Q37" s="275" t="s">
        <v>281</v>
      </c>
      <c r="R37" s="289" t="s">
        <v>281</v>
      </c>
      <c r="S37" s="288" t="s">
        <v>281</v>
      </c>
      <c r="T37" s="275" t="e">
        <f>_xll.qlMidEquivalent(P37,Q37)</f>
        <v>#NUM!</v>
      </c>
      <c r="U37" s="286">
        <v>29</v>
      </c>
      <c r="V37" s="85" t="b">
        <f t="shared" si="2"/>
        <v>0</v>
      </c>
      <c r="W37" s="275">
        <v>23.642956529587838</v>
      </c>
      <c r="X37" s="194"/>
      <c r="Y37" s="281">
        <v>23.642956529587838</v>
      </c>
      <c r="Z37" s="194"/>
      <c r="AA37" s="275">
        <v>23.642956529587838</v>
      </c>
      <c r="AB37" s="187">
        <f>_xll.qlSimpleQuoteSetValue(F37,AA37/10000,Trigger)</f>
        <v>0</v>
      </c>
      <c r="AC37" s="77"/>
    </row>
    <row r="38" spans="1:29" ht="11.25" customHeight="1" x14ac:dyDescent="0.2">
      <c r="A38" s="76"/>
      <c r="B38" s="182" t="str">
        <f t="shared" si="3"/>
        <v>30Y</v>
      </c>
      <c r="C38" s="227" t="str">
        <f t="shared" si="4"/>
        <v>12L</v>
      </c>
      <c r="D38" s="228" t="str">
        <f t="shared" si="5"/>
        <v>3L</v>
      </c>
      <c r="E38" s="229" t="str">
        <f t="shared" si="0"/>
        <v>USD12L3L30Y_Quote</v>
      </c>
      <c r="F38" s="229" t="str">
        <f>_xll.qlSimpleQuote(E38,,RateTickValue,Permanent,Trigger,ObjectOverwrite)</f>
        <v>USD12L3L30Y_Quote#0000</v>
      </c>
      <c r="G38" s="277" t="str">
        <f>_xll.ohRangeRetrieveError(F38)</f>
        <v/>
      </c>
      <c r="H38" s="170"/>
      <c r="J38" s="284"/>
      <c r="K38" s="182" t="s">
        <v>56</v>
      </c>
      <c r="L38" s="182" t="s">
        <v>98</v>
      </c>
      <c r="M38" s="182" t="s">
        <v>93</v>
      </c>
      <c r="N38" s="183" t="str">
        <f t="shared" si="1"/>
        <v>USD3L12L30Y</v>
      </c>
      <c r="O38" s="82" t="str">
        <v>USD3L12L30Y=SMKR</v>
      </c>
      <c r="P38" s="275">
        <v>18.75</v>
      </c>
      <c r="Q38" s="275">
        <v>28.75</v>
      </c>
      <c r="R38" s="289">
        <v>0</v>
      </c>
      <c r="S38" s="288">
        <v>0</v>
      </c>
      <c r="T38" s="275">
        <f>_xll.qlMidEquivalent(P38,Q38)</f>
        <v>23.75</v>
      </c>
      <c r="U38" s="286">
        <v>30</v>
      </c>
      <c r="V38" s="85" t="b">
        <f t="shared" si="2"/>
        <v>1</v>
      </c>
      <c r="W38" s="275">
        <v>23.75</v>
      </c>
      <c r="X38" s="194"/>
      <c r="Y38" s="281">
        <v>23.75</v>
      </c>
      <c r="Z38" s="194"/>
      <c r="AA38" s="275">
        <v>23.75</v>
      </c>
      <c r="AB38" s="187">
        <f>_xll.qlSimpleQuoteSetValue(F38,AA38/10000,Trigger)</f>
        <v>0</v>
      </c>
      <c r="AC38" s="77"/>
    </row>
    <row r="39" spans="1:29" ht="11.25" customHeight="1" x14ac:dyDescent="0.2">
      <c r="A39" s="76"/>
      <c r="B39" s="182" t="str">
        <f t="shared" si="3"/>
        <v>35Y</v>
      </c>
      <c r="C39" s="227" t="str">
        <f t="shared" si="4"/>
        <v>12L</v>
      </c>
      <c r="D39" s="228" t="str">
        <f t="shared" si="5"/>
        <v>3L</v>
      </c>
      <c r="E39" s="229" t="str">
        <f t="shared" si="0"/>
        <v>USD12L3L35Y_Quote</v>
      </c>
      <c r="F39" s="229" t="str">
        <f>_xll.qlSimpleQuote(E39,,RateTickValue,Permanent,Trigger,ObjectOverwrite)</f>
        <v>USD12L3L35Y_Quote#0000</v>
      </c>
      <c r="G39" s="277" t="str">
        <f>_xll.ohRangeRetrieveError(F39)</f>
        <v/>
      </c>
      <c r="H39" s="170"/>
      <c r="J39" s="284"/>
      <c r="K39" s="182" t="s">
        <v>51</v>
      </c>
      <c r="L39" s="182" t="s">
        <v>98</v>
      </c>
      <c r="M39" s="182" t="s">
        <v>93</v>
      </c>
      <c r="N39" s="183" t="str">
        <f t="shared" si="1"/>
        <v>USD3L12L35Y</v>
      </c>
      <c r="O39" s="82" t="str">
        <v>USD3L12L35Y=SMKR</v>
      </c>
      <c r="P39" s="275" t="s">
        <v>281</v>
      </c>
      <c r="Q39" s="275" t="s">
        <v>281</v>
      </c>
      <c r="R39" s="289" t="s">
        <v>281</v>
      </c>
      <c r="S39" s="288" t="s">
        <v>281</v>
      </c>
      <c r="T39" s="275" t="e">
        <f>_xll.qlMidEquivalent(P39,Q39)</f>
        <v>#NUM!</v>
      </c>
      <c r="U39" s="286">
        <v>35</v>
      </c>
      <c r="V39" s="85" t="b">
        <f t="shared" si="2"/>
        <v>0</v>
      </c>
      <c r="W39" s="294">
        <f>W38</f>
        <v>23.75</v>
      </c>
      <c r="X39" s="194"/>
      <c r="Y39" s="294">
        <v>23.75</v>
      </c>
      <c r="Z39" s="194"/>
      <c r="AA39" s="294">
        <v>23.75</v>
      </c>
      <c r="AB39" s="187">
        <f>_xll.qlSimpleQuoteSetValue(F39,AA39/10000,Trigger)</f>
        <v>0</v>
      </c>
      <c r="AC39" s="77"/>
    </row>
    <row r="40" spans="1:29" ht="11.25" customHeight="1" x14ac:dyDescent="0.2">
      <c r="A40" s="76"/>
      <c r="B40" s="182" t="str">
        <f t="shared" si="3"/>
        <v>40Y</v>
      </c>
      <c r="C40" s="227" t="str">
        <f t="shared" si="4"/>
        <v>12L</v>
      </c>
      <c r="D40" s="228" t="str">
        <f t="shared" si="5"/>
        <v>3L</v>
      </c>
      <c r="E40" s="229" t="str">
        <f t="shared" si="0"/>
        <v>USD12L3L40Y_Quote</v>
      </c>
      <c r="F40" s="229" t="str">
        <f>_xll.qlSimpleQuote(E40,,RateTickValue,Permanent,Trigger,ObjectOverwrite)</f>
        <v>USD12L3L40Y_Quote#0000</v>
      </c>
      <c r="G40" s="277" t="str">
        <f>_xll.ohRangeRetrieveError(F40)</f>
        <v/>
      </c>
      <c r="H40" s="170"/>
      <c r="J40" s="284"/>
      <c r="K40" s="182" t="s">
        <v>46</v>
      </c>
      <c r="L40" s="182" t="s">
        <v>98</v>
      </c>
      <c r="M40" s="182" t="s">
        <v>93</v>
      </c>
      <c r="N40" s="183" t="str">
        <f t="shared" si="1"/>
        <v>USD3L12L40Y</v>
      </c>
      <c r="O40" s="82" t="str">
        <v>USD3L12L40Y=SMKR</v>
      </c>
      <c r="P40" s="275" t="s">
        <v>281</v>
      </c>
      <c r="Q40" s="275" t="s">
        <v>281</v>
      </c>
      <c r="R40" s="289" t="s">
        <v>281</v>
      </c>
      <c r="S40" s="288" t="s">
        <v>281</v>
      </c>
      <c r="T40" s="275" t="e">
        <f>_xll.qlMidEquivalent(P40,Q40)</f>
        <v>#NUM!</v>
      </c>
      <c r="U40" s="286">
        <v>40</v>
      </c>
      <c r="V40" s="85" t="b">
        <f t="shared" si="2"/>
        <v>0</v>
      </c>
      <c r="W40" s="294">
        <f t="shared" ref="W40:W42" si="6">W39</f>
        <v>23.75</v>
      </c>
      <c r="X40" s="194"/>
      <c r="Y40" s="294">
        <v>23.75</v>
      </c>
      <c r="Z40" s="194"/>
      <c r="AA40" s="294">
        <v>23.75</v>
      </c>
      <c r="AB40" s="187">
        <f>_xll.qlSimpleQuoteSetValue(F40,AA40/10000,Trigger)</f>
        <v>0</v>
      </c>
      <c r="AC40" s="77"/>
    </row>
    <row r="41" spans="1:29" ht="11.25" customHeight="1" x14ac:dyDescent="0.2">
      <c r="A41" s="76"/>
      <c r="B41" s="182" t="str">
        <f t="shared" si="3"/>
        <v>50Y</v>
      </c>
      <c r="C41" s="227" t="str">
        <f t="shared" si="4"/>
        <v>12L</v>
      </c>
      <c r="D41" s="228" t="str">
        <f t="shared" si="5"/>
        <v>3L</v>
      </c>
      <c r="E41" s="229" t="str">
        <f t="shared" si="0"/>
        <v>USD12L3L50Y_Quote</v>
      </c>
      <c r="F41" s="229" t="str">
        <f>_xll.qlSimpleQuote(E41,,RateTickValue,Permanent,Trigger,ObjectOverwrite)</f>
        <v>USD12L3L50Y_Quote#0000</v>
      </c>
      <c r="G41" s="277" t="str">
        <f>_xll.ohRangeRetrieveError(F41)</f>
        <v/>
      </c>
      <c r="H41" s="170"/>
      <c r="J41" s="284"/>
      <c r="K41" s="182" t="s">
        <v>36</v>
      </c>
      <c r="L41" s="182" t="s">
        <v>98</v>
      </c>
      <c r="M41" s="182" t="s">
        <v>93</v>
      </c>
      <c r="N41" s="183" t="str">
        <f t="shared" si="1"/>
        <v>USD3L12L50Y</v>
      </c>
      <c r="O41" s="82" t="str">
        <v>USD3L12L50Y=SMKR</v>
      </c>
      <c r="P41" s="275" t="s">
        <v>281</v>
      </c>
      <c r="Q41" s="275" t="s">
        <v>281</v>
      </c>
      <c r="R41" s="289" t="s">
        <v>281</v>
      </c>
      <c r="S41" s="288" t="s">
        <v>281</v>
      </c>
      <c r="T41" s="275" t="e">
        <f>_xll.qlMidEquivalent(P41,Q41)</f>
        <v>#NUM!</v>
      </c>
      <c r="U41" s="286">
        <v>50</v>
      </c>
      <c r="V41" s="85" t="b">
        <f t="shared" si="2"/>
        <v>0</v>
      </c>
      <c r="W41" s="294">
        <f t="shared" si="6"/>
        <v>23.75</v>
      </c>
      <c r="X41" s="194"/>
      <c r="Y41" s="294">
        <v>23.75</v>
      </c>
      <c r="Z41" s="194"/>
      <c r="AA41" s="294">
        <v>23.75</v>
      </c>
      <c r="AB41" s="187">
        <f>_xll.qlSimpleQuoteSetValue(F41,AA41/10000,Trigger)</f>
        <v>0</v>
      </c>
      <c r="AC41" s="77"/>
    </row>
    <row r="42" spans="1:29" ht="11.25" customHeight="1" x14ac:dyDescent="0.2">
      <c r="A42" s="76"/>
      <c r="B42" s="184" t="str">
        <f t="shared" si="3"/>
        <v>60Y</v>
      </c>
      <c r="C42" s="232" t="str">
        <f t="shared" si="4"/>
        <v>12L</v>
      </c>
      <c r="D42" s="233" t="str">
        <f t="shared" si="5"/>
        <v>3L</v>
      </c>
      <c r="E42" s="234" t="str">
        <f t="shared" si="0"/>
        <v>USD12L3L60Y_Quote</v>
      </c>
      <c r="F42" s="234" t="str">
        <f>_xll.qlSimpleQuote(E42,,RateTickValue,Permanent,Trigger,ObjectOverwrite)</f>
        <v>USD12L3L60Y_Quote#0000</v>
      </c>
      <c r="G42" s="279" t="str">
        <f>_xll.ohRangeRetrieveError(F42)</f>
        <v/>
      </c>
      <c r="H42" s="170"/>
      <c r="J42" s="284"/>
      <c r="K42" s="184" t="s">
        <v>26</v>
      </c>
      <c r="L42" s="184" t="s">
        <v>98</v>
      </c>
      <c r="M42" s="184" t="s">
        <v>93</v>
      </c>
      <c r="N42" s="185" t="str">
        <f t="shared" si="1"/>
        <v>USD3L12L60Y</v>
      </c>
      <c r="O42" s="83" t="str">
        <v>USD3L12L60Y=SMKR</v>
      </c>
      <c r="P42" s="280" t="s">
        <v>281</v>
      </c>
      <c r="Q42" s="280" t="s">
        <v>281</v>
      </c>
      <c r="R42" s="290" t="s">
        <v>281</v>
      </c>
      <c r="S42" s="280" t="s">
        <v>281</v>
      </c>
      <c r="T42" s="280" t="e">
        <f>_xll.qlMidEquivalent(P42,Q42)</f>
        <v>#NUM!</v>
      </c>
      <c r="U42" s="287">
        <v>60</v>
      </c>
      <c r="V42" s="86" t="b">
        <f t="shared" si="2"/>
        <v>0</v>
      </c>
      <c r="W42" s="295">
        <f t="shared" si="6"/>
        <v>23.75</v>
      </c>
      <c r="X42" s="194"/>
      <c r="Y42" s="295">
        <v>23.75</v>
      </c>
      <c r="Z42" s="194"/>
      <c r="AA42" s="295">
        <v>23.75</v>
      </c>
      <c r="AB42" s="188">
        <f>_xll.qlSimpleQuoteSetValue(F42,AA42/10000,Trigger)</f>
        <v>0</v>
      </c>
      <c r="AC42" s="77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38"/>
    </row>
  </sheetData>
  <conditionalFormatting sqref="AB5:AB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1"/>
  <sheetViews>
    <sheetView workbookViewId="0">
      <selection activeCell="F6" sqref="F6"/>
    </sheetView>
  </sheetViews>
  <sheetFormatPr defaultRowHeight="11.25" x14ac:dyDescent="0.2"/>
  <cols>
    <col min="1" max="2" width="2.7109375" style="297" customWidth="1"/>
    <col min="3" max="3" width="4" style="297" bestFit="1" customWidth="1"/>
    <col min="4" max="4" width="10" style="297" bestFit="1" customWidth="1"/>
    <col min="5" max="5" width="30.28515625" style="297" bestFit="1" customWidth="1"/>
    <col min="6" max="6" width="33.85546875" style="297" bestFit="1" customWidth="1"/>
    <col min="7" max="7" width="20.7109375" style="297" customWidth="1"/>
    <col min="8" max="8" width="2.7109375" style="297" customWidth="1"/>
    <col min="9" max="9" width="22.7109375" style="297" customWidth="1"/>
    <col min="10" max="16384" width="9.140625" style="297"/>
  </cols>
  <sheetData>
    <row r="1" spans="2:8" s="296" customFormat="1" ht="12" thickBot="1" x14ac:dyDescent="0.25"/>
    <row r="2" spans="2:8" s="296" customFormat="1" x14ac:dyDescent="0.2">
      <c r="B2" s="23"/>
      <c r="C2" s="4"/>
      <c r="D2" s="4"/>
      <c r="E2" s="24"/>
      <c r="F2" s="4"/>
      <c r="G2" s="4"/>
      <c r="H2" s="5"/>
    </row>
    <row r="3" spans="2:8" s="296" customFormat="1" x14ac:dyDescent="0.2">
      <c r="B3" s="25"/>
      <c r="C3" s="8"/>
      <c r="D3" s="8"/>
      <c r="E3" s="298" t="s">
        <v>25</v>
      </c>
      <c r="F3" s="308" t="s">
        <v>87</v>
      </c>
      <c r="G3" s="8"/>
      <c r="H3" s="9"/>
    </row>
    <row r="4" spans="2:8" s="296" customFormat="1" x14ac:dyDescent="0.2">
      <c r="B4" s="25"/>
      <c r="C4" s="8"/>
      <c r="D4" s="8"/>
      <c r="E4" s="298" t="s">
        <v>86</v>
      </c>
      <c r="F4" s="308" t="s">
        <v>89</v>
      </c>
      <c r="G4" s="8"/>
      <c r="H4" s="9"/>
    </row>
    <row r="5" spans="2:8" s="296" customFormat="1" x14ac:dyDescent="0.2">
      <c r="B5" s="25"/>
      <c r="C5" s="8"/>
      <c r="D5" s="8"/>
      <c r="E5" s="298" t="s">
        <v>88</v>
      </c>
      <c r="F5" s="319" t="str">
        <f>PROPER(Currency)&amp;FamilyName&amp;"3M"</f>
        <v>UsdLibor3M</v>
      </c>
      <c r="G5" s="8"/>
      <c r="H5" s="9"/>
    </row>
    <row r="6" spans="2:8" s="296" customFormat="1" x14ac:dyDescent="0.2">
      <c r="B6" s="25"/>
      <c r="C6" s="8"/>
      <c r="D6" s="8"/>
      <c r="E6" s="298" t="s">
        <v>205</v>
      </c>
      <c r="F6" s="319" t="str">
        <f>IF(HolidayCheck,LocalCalendar,Calendar)</f>
        <v>UnitedKingdom::Exchange</v>
      </c>
      <c r="G6" s="8"/>
      <c r="H6" s="9"/>
    </row>
    <row r="7" spans="2:8" s="296" customFormat="1" x14ac:dyDescent="0.2">
      <c r="B7" s="25"/>
      <c r="C7" s="8"/>
      <c r="D7" s="8"/>
      <c r="E7" s="8"/>
      <c r="F7" s="8"/>
      <c r="G7" s="8"/>
      <c r="H7" s="9"/>
    </row>
    <row r="8" spans="2:8" s="296" customFormat="1" ht="12" x14ac:dyDescent="0.25">
      <c r="B8" s="25"/>
      <c r="C8" s="8"/>
      <c r="D8" s="309" t="s">
        <v>85</v>
      </c>
      <c r="E8" s="310" t="str">
        <f>PROPER(Currency)&amp;FamilyName2&amp;FixingType&amp;".xml"</f>
        <v>UsdLiborSwapForBasisCalc.xml</v>
      </c>
      <c r="F8" s="311" t="str">
        <f>IF(Serialize,_xll.ohObjectSave(F9:F68,SerializationPath&amp;FileName,FileOverwrite,,Serialize),"---")</f>
        <v>---</v>
      </c>
      <c r="G8" s="312" t="s">
        <v>266</v>
      </c>
      <c r="H8" s="9"/>
    </row>
    <row r="9" spans="2:8" s="296" customFormat="1" x14ac:dyDescent="0.2">
      <c r="B9" s="25"/>
      <c r="C9" s="299" t="s">
        <v>8</v>
      </c>
      <c r="D9" s="313" t="s">
        <v>17</v>
      </c>
      <c r="E9" s="314" t="str">
        <f t="shared" ref="E9:E40" si="0">PROPER(Currency)&amp;FamilyName2&amp;FixingType&amp;$C9</f>
        <v>UsdLiborSwapForBasisCalc1Y</v>
      </c>
      <c r="F9" s="302" t="str">
        <f>_xll.qlSwapIndex($E9,FixingType,C9,2,Currency,$F$6,"1Y","f",MoneyMarketDayCounter,Libor!$E$10,Discounting,Permanent,Trigger,ObjectOverwrite)</f>
        <v>UsdLiborSwapForBasisCalc1Y#0000</v>
      </c>
      <c r="G9" s="305" t="str">
        <f>_xll.ohRangeRetrieveError(F9)</f>
        <v/>
      </c>
      <c r="H9" s="26"/>
    </row>
    <row r="10" spans="2:8" s="296" customFormat="1" x14ac:dyDescent="0.2">
      <c r="B10" s="25"/>
      <c r="C10" s="300" t="s">
        <v>84</v>
      </c>
      <c r="D10" s="315" t="s">
        <v>17</v>
      </c>
      <c r="E10" s="316" t="str">
        <f t="shared" si="0"/>
        <v>UsdLiborSwapForBasisCalc2Y</v>
      </c>
      <c r="F10" s="303" t="str">
        <f>_xll.qlSwapIndex($E10,FixingType,C10,2,Currency,$F$6,"1Y","f",MoneyMarketDayCounter,Libor!$E$10,Discounting,Permanent,Trigger,ObjectOverwrite)</f>
        <v>UsdLiborSwapForBasisCalc2Y#0000</v>
      </c>
      <c r="G10" s="306" t="str">
        <f>_xll.ohRangeRetrieveError(F10)</f>
        <v/>
      </c>
      <c r="H10" s="26"/>
    </row>
    <row r="11" spans="2:8" s="296" customFormat="1" x14ac:dyDescent="0.2">
      <c r="B11" s="25"/>
      <c r="C11" s="300" t="s">
        <v>83</v>
      </c>
      <c r="D11" s="315" t="s">
        <v>17</v>
      </c>
      <c r="E11" s="316" t="str">
        <f t="shared" si="0"/>
        <v>UsdLiborSwapForBasisCalc3Y</v>
      </c>
      <c r="F11" s="303" t="str">
        <f>_xll.qlSwapIndex($E11,FixingType,C11,2,Currency,$F$6,"1Y","f",MoneyMarketDayCounter,Libor!$E$10,Discounting,Permanent,Trigger,ObjectOverwrite)</f>
        <v>UsdLiborSwapForBasisCalc3Y#0000</v>
      </c>
      <c r="G11" s="306" t="str">
        <f>_xll.ohRangeRetrieveError(F11)</f>
        <v/>
      </c>
      <c r="H11" s="26"/>
    </row>
    <row r="12" spans="2:8" s="296" customFormat="1" x14ac:dyDescent="0.2">
      <c r="B12" s="25"/>
      <c r="C12" s="300" t="s">
        <v>82</v>
      </c>
      <c r="D12" s="315" t="s">
        <v>17</v>
      </c>
      <c r="E12" s="316" t="str">
        <f t="shared" si="0"/>
        <v>UsdLiborSwapForBasisCalc4Y</v>
      </c>
      <c r="F12" s="303" t="str">
        <f>_xll.qlSwapIndex($E12,FixingType,C12,2,Currency,$F$6,"1Y","f",MoneyMarketDayCounter,Libor!$E$10,Discounting,Permanent,Trigger,ObjectOverwrite)</f>
        <v>UsdLiborSwapForBasisCalc4Y#0000</v>
      </c>
      <c r="G12" s="306" t="str">
        <f>_xll.ohRangeRetrieveError(F12)</f>
        <v/>
      </c>
      <c r="H12" s="26"/>
    </row>
    <row r="13" spans="2:8" s="296" customFormat="1" x14ac:dyDescent="0.2">
      <c r="B13" s="25"/>
      <c r="C13" s="300" t="s">
        <v>81</v>
      </c>
      <c r="D13" s="315" t="s">
        <v>17</v>
      </c>
      <c r="E13" s="316" t="str">
        <f t="shared" si="0"/>
        <v>UsdLiborSwapForBasisCalc5Y</v>
      </c>
      <c r="F13" s="303" t="str">
        <f>_xll.qlSwapIndex($E13,FixingType,C13,2,Currency,$F$6,"1Y","f",MoneyMarketDayCounter,Libor!$E$10,Discounting,Permanent,Trigger,ObjectOverwrite)</f>
        <v>UsdLiborSwapForBasisCalc5Y#0000</v>
      </c>
      <c r="G13" s="306" t="str">
        <f>_xll.ohRangeRetrieveError(F13)</f>
        <v/>
      </c>
      <c r="H13" s="26"/>
    </row>
    <row r="14" spans="2:8" s="296" customFormat="1" x14ac:dyDescent="0.2">
      <c r="B14" s="25"/>
      <c r="C14" s="300" t="s">
        <v>80</v>
      </c>
      <c r="D14" s="315" t="s">
        <v>17</v>
      </c>
      <c r="E14" s="316" t="str">
        <f t="shared" si="0"/>
        <v>UsdLiborSwapForBasisCalc6Y</v>
      </c>
      <c r="F14" s="303" t="str">
        <f>_xll.qlSwapIndex($E14,FixingType,C14,2,Currency,$F$6,"1Y","f",MoneyMarketDayCounter,Libor!$E$10,Discounting,Permanent,Trigger,ObjectOverwrite)</f>
        <v>UsdLiborSwapForBasisCalc6Y#0000</v>
      </c>
      <c r="G14" s="306" t="str">
        <f>_xll.ohRangeRetrieveError(F14)</f>
        <v/>
      </c>
      <c r="H14" s="26"/>
    </row>
    <row r="15" spans="2:8" s="296" customFormat="1" x14ac:dyDescent="0.2">
      <c r="B15" s="25"/>
      <c r="C15" s="300" t="s">
        <v>79</v>
      </c>
      <c r="D15" s="315" t="s">
        <v>17</v>
      </c>
      <c r="E15" s="316" t="str">
        <f t="shared" si="0"/>
        <v>UsdLiborSwapForBasisCalc7Y</v>
      </c>
      <c r="F15" s="303" t="str">
        <f>_xll.qlSwapIndex($E15,FixingType,C15,2,Currency,$F$6,"1Y","f",MoneyMarketDayCounter,Libor!$E$10,Discounting,Permanent,Trigger,ObjectOverwrite)</f>
        <v>UsdLiborSwapForBasisCalc7Y#0000</v>
      </c>
      <c r="G15" s="306" t="str">
        <f>_xll.ohRangeRetrieveError(F15)</f>
        <v/>
      </c>
      <c r="H15" s="26"/>
    </row>
    <row r="16" spans="2:8" s="296" customFormat="1" x14ac:dyDescent="0.2">
      <c r="B16" s="25"/>
      <c r="C16" s="300" t="s">
        <v>78</v>
      </c>
      <c r="D16" s="315" t="s">
        <v>17</v>
      </c>
      <c r="E16" s="316" t="str">
        <f t="shared" si="0"/>
        <v>UsdLiborSwapForBasisCalc8Y</v>
      </c>
      <c r="F16" s="303" t="str">
        <f>_xll.qlSwapIndex($E16,FixingType,C16,2,Currency,$F$6,"1Y","f",MoneyMarketDayCounter,Libor!$E$10,Discounting,Permanent,Trigger,ObjectOverwrite)</f>
        <v>UsdLiborSwapForBasisCalc8Y#0000</v>
      </c>
      <c r="G16" s="306" t="str">
        <f>_xll.ohRangeRetrieveError(F16)</f>
        <v/>
      </c>
      <c r="H16" s="26"/>
    </row>
    <row r="17" spans="2:8" s="296" customFormat="1" x14ac:dyDescent="0.2">
      <c r="B17" s="25"/>
      <c r="C17" s="300" t="s">
        <v>77</v>
      </c>
      <c r="D17" s="315" t="s">
        <v>17</v>
      </c>
      <c r="E17" s="316" t="str">
        <f t="shared" si="0"/>
        <v>UsdLiborSwapForBasisCalc9Y</v>
      </c>
      <c r="F17" s="303" t="str">
        <f>_xll.qlSwapIndex($E17,FixingType,C17,2,Currency,$F$6,"1Y","f",MoneyMarketDayCounter,Libor!$E$10,Discounting,Permanent,Trigger,ObjectOverwrite)</f>
        <v>UsdLiborSwapForBasisCalc9Y#0000</v>
      </c>
      <c r="G17" s="306" t="str">
        <f>_xll.ohRangeRetrieveError(F17)</f>
        <v/>
      </c>
      <c r="H17" s="26"/>
    </row>
    <row r="18" spans="2:8" s="296" customFormat="1" x14ac:dyDescent="0.2">
      <c r="B18" s="25"/>
      <c r="C18" s="300" t="s">
        <v>76</v>
      </c>
      <c r="D18" s="315" t="s">
        <v>17</v>
      </c>
      <c r="E18" s="316" t="str">
        <f t="shared" si="0"/>
        <v>UsdLiborSwapForBasisCalc10Y</v>
      </c>
      <c r="F18" s="303" t="str">
        <f>_xll.qlSwapIndex($E18,FixingType,C18,2,Currency,$F$6,"1Y","f",MoneyMarketDayCounter,Libor!$E$10,Discounting,Permanent,Trigger,ObjectOverwrite)</f>
        <v>UsdLiborSwapForBasisCalc10Y#0000</v>
      </c>
      <c r="G18" s="306" t="str">
        <f>_xll.ohRangeRetrieveError(F18)</f>
        <v/>
      </c>
      <c r="H18" s="26"/>
    </row>
    <row r="19" spans="2:8" s="296" customFormat="1" x14ac:dyDescent="0.2">
      <c r="B19" s="25"/>
      <c r="C19" s="300" t="s">
        <v>75</v>
      </c>
      <c r="D19" s="315" t="s">
        <v>17</v>
      </c>
      <c r="E19" s="316" t="str">
        <f t="shared" si="0"/>
        <v>UsdLiborSwapForBasisCalc11Y</v>
      </c>
      <c r="F19" s="303" t="str">
        <f>_xll.qlSwapIndex($E19,FixingType,C19,2,Currency,$F$6,"1Y","f",MoneyMarketDayCounter,Libor!$E$10,Discounting,Permanent,Trigger,ObjectOverwrite)</f>
        <v>UsdLiborSwapForBasisCalc11Y#0000</v>
      </c>
      <c r="G19" s="306" t="str">
        <f>_xll.ohRangeRetrieveError(F19)</f>
        <v/>
      </c>
      <c r="H19" s="26"/>
    </row>
    <row r="20" spans="2:8" s="296" customFormat="1" x14ac:dyDescent="0.2">
      <c r="B20" s="25"/>
      <c r="C20" s="300" t="s">
        <v>74</v>
      </c>
      <c r="D20" s="315" t="s">
        <v>17</v>
      </c>
      <c r="E20" s="316" t="str">
        <f t="shared" si="0"/>
        <v>UsdLiborSwapForBasisCalc12Y</v>
      </c>
      <c r="F20" s="303" t="str">
        <f>_xll.qlSwapIndex($E20,FixingType,C20,2,Currency,$F$6,"1Y","f",MoneyMarketDayCounter,Libor!$E$10,Discounting,Permanent,Trigger,ObjectOverwrite)</f>
        <v>UsdLiborSwapForBasisCalc12Y#0000</v>
      </c>
      <c r="G20" s="306" t="str">
        <f>_xll.ohRangeRetrieveError(F20)</f>
        <v/>
      </c>
      <c r="H20" s="26"/>
    </row>
    <row r="21" spans="2:8" s="296" customFormat="1" x14ac:dyDescent="0.2">
      <c r="B21" s="25"/>
      <c r="C21" s="300" t="s">
        <v>73</v>
      </c>
      <c r="D21" s="315" t="s">
        <v>17</v>
      </c>
      <c r="E21" s="316" t="str">
        <f t="shared" si="0"/>
        <v>UsdLiborSwapForBasisCalc13Y</v>
      </c>
      <c r="F21" s="303" t="str">
        <f>_xll.qlSwapIndex($E21,FixingType,C21,2,Currency,$F$6,"1Y","f",MoneyMarketDayCounter,Libor!$E$10,Discounting,Permanent,Trigger,ObjectOverwrite)</f>
        <v>UsdLiborSwapForBasisCalc13Y#0000</v>
      </c>
      <c r="G21" s="306" t="str">
        <f>_xll.ohRangeRetrieveError(F21)</f>
        <v/>
      </c>
      <c r="H21" s="26"/>
    </row>
    <row r="22" spans="2:8" s="296" customFormat="1" x14ac:dyDescent="0.2">
      <c r="B22" s="25"/>
      <c r="C22" s="300" t="s">
        <v>72</v>
      </c>
      <c r="D22" s="315" t="s">
        <v>17</v>
      </c>
      <c r="E22" s="316" t="str">
        <f t="shared" si="0"/>
        <v>UsdLiborSwapForBasisCalc14Y</v>
      </c>
      <c r="F22" s="303" t="str">
        <f>_xll.qlSwapIndex($E22,FixingType,C22,2,Currency,$F$6,"1Y","f",MoneyMarketDayCounter,Libor!$E$10,Discounting,Permanent,Trigger,ObjectOverwrite)</f>
        <v>UsdLiborSwapForBasisCalc14Y#0000</v>
      </c>
      <c r="G22" s="306" t="str">
        <f>_xll.ohRangeRetrieveError(F22)</f>
        <v/>
      </c>
      <c r="H22" s="26"/>
    </row>
    <row r="23" spans="2:8" s="296" customFormat="1" x14ac:dyDescent="0.2">
      <c r="B23" s="25"/>
      <c r="C23" s="300" t="s">
        <v>71</v>
      </c>
      <c r="D23" s="315" t="s">
        <v>17</v>
      </c>
      <c r="E23" s="316" t="str">
        <f t="shared" si="0"/>
        <v>UsdLiborSwapForBasisCalc15Y</v>
      </c>
      <c r="F23" s="303" t="str">
        <f>_xll.qlSwapIndex($E23,FixingType,C23,2,Currency,$F$6,"1Y","f",MoneyMarketDayCounter,Libor!$E$10,Discounting,Permanent,Trigger,ObjectOverwrite)</f>
        <v>UsdLiborSwapForBasisCalc15Y#0000</v>
      </c>
      <c r="G23" s="306" t="str">
        <f>_xll.ohRangeRetrieveError(F23)</f>
        <v/>
      </c>
      <c r="H23" s="26"/>
    </row>
    <row r="24" spans="2:8" s="296" customFormat="1" x14ac:dyDescent="0.2">
      <c r="B24" s="25"/>
      <c r="C24" s="300" t="s">
        <v>70</v>
      </c>
      <c r="D24" s="315" t="s">
        <v>17</v>
      </c>
      <c r="E24" s="316" t="str">
        <f t="shared" si="0"/>
        <v>UsdLiborSwapForBasisCalc16Y</v>
      </c>
      <c r="F24" s="303" t="str">
        <f>_xll.qlSwapIndex($E24,FixingType,C24,2,Currency,$F$6,"1Y","f",MoneyMarketDayCounter,Libor!$E$10,Discounting,Permanent,Trigger,ObjectOverwrite)</f>
        <v>UsdLiborSwapForBasisCalc16Y#0000</v>
      </c>
      <c r="G24" s="306" t="str">
        <f>_xll.ohRangeRetrieveError(F24)</f>
        <v/>
      </c>
      <c r="H24" s="26"/>
    </row>
    <row r="25" spans="2:8" s="296" customFormat="1" x14ac:dyDescent="0.2">
      <c r="B25" s="25"/>
      <c r="C25" s="300" t="s">
        <v>69</v>
      </c>
      <c r="D25" s="315" t="s">
        <v>17</v>
      </c>
      <c r="E25" s="316" t="str">
        <f t="shared" si="0"/>
        <v>UsdLiborSwapForBasisCalc17Y</v>
      </c>
      <c r="F25" s="303" t="str">
        <f>_xll.qlSwapIndex($E25,FixingType,C25,2,Currency,$F$6,"1Y","f",MoneyMarketDayCounter,Libor!$E$10,Discounting,Permanent,Trigger,ObjectOverwrite)</f>
        <v>UsdLiborSwapForBasisCalc17Y#0000</v>
      </c>
      <c r="G25" s="306" t="str">
        <f>_xll.ohRangeRetrieveError(F25)</f>
        <v/>
      </c>
      <c r="H25" s="26"/>
    </row>
    <row r="26" spans="2:8" s="296" customFormat="1" x14ac:dyDescent="0.2">
      <c r="B26" s="25"/>
      <c r="C26" s="300" t="s">
        <v>68</v>
      </c>
      <c r="D26" s="315" t="s">
        <v>17</v>
      </c>
      <c r="E26" s="316" t="str">
        <f t="shared" si="0"/>
        <v>UsdLiborSwapForBasisCalc18Y</v>
      </c>
      <c r="F26" s="303" t="str">
        <f>_xll.qlSwapIndex($E26,FixingType,C26,2,Currency,$F$6,"1Y","f",MoneyMarketDayCounter,Libor!$E$10,Discounting,Permanent,Trigger,ObjectOverwrite)</f>
        <v>UsdLiborSwapForBasisCalc18Y#0000</v>
      </c>
      <c r="G26" s="306" t="str">
        <f>_xll.ohRangeRetrieveError(F26)</f>
        <v/>
      </c>
      <c r="H26" s="26"/>
    </row>
    <row r="27" spans="2:8" s="296" customFormat="1" x14ac:dyDescent="0.2">
      <c r="B27" s="25"/>
      <c r="C27" s="300" t="s">
        <v>67</v>
      </c>
      <c r="D27" s="315" t="s">
        <v>17</v>
      </c>
      <c r="E27" s="316" t="str">
        <f t="shared" si="0"/>
        <v>UsdLiborSwapForBasisCalc19Y</v>
      </c>
      <c r="F27" s="303" t="str">
        <f>_xll.qlSwapIndex($E27,FixingType,C27,2,Currency,$F$6,"1Y","f",MoneyMarketDayCounter,Libor!$E$10,Discounting,Permanent,Trigger,ObjectOverwrite)</f>
        <v>UsdLiborSwapForBasisCalc19Y#0000</v>
      </c>
      <c r="G27" s="306" t="str">
        <f>_xll.ohRangeRetrieveError(F27)</f>
        <v/>
      </c>
      <c r="H27" s="26"/>
    </row>
    <row r="28" spans="2:8" s="296" customFormat="1" x14ac:dyDescent="0.2">
      <c r="B28" s="25"/>
      <c r="C28" s="300" t="s">
        <v>66</v>
      </c>
      <c r="D28" s="315" t="s">
        <v>17</v>
      </c>
      <c r="E28" s="316" t="str">
        <f t="shared" si="0"/>
        <v>UsdLiborSwapForBasisCalc20Y</v>
      </c>
      <c r="F28" s="303" t="str">
        <f>_xll.qlSwapIndex($E28,FixingType,C28,2,Currency,$F$6,"1Y","f",MoneyMarketDayCounter,Libor!$E$10,Discounting,Permanent,Trigger,ObjectOverwrite)</f>
        <v>UsdLiborSwapForBasisCalc20Y#0000</v>
      </c>
      <c r="G28" s="306" t="str">
        <f>_xll.ohRangeRetrieveError(F28)</f>
        <v/>
      </c>
      <c r="H28" s="26"/>
    </row>
    <row r="29" spans="2:8" s="296" customFormat="1" x14ac:dyDescent="0.2">
      <c r="B29" s="25"/>
      <c r="C29" s="300" t="s">
        <v>65</v>
      </c>
      <c r="D29" s="315" t="s">
        <v>17</v>
      </c>
      <c r="E29" s="316" t="str">
        <f t="shared" si="0"/>
        <v>UsdLiborSwapForBasisCalc21Y</v>
      </c>
      <c r="F29" s="303" t="str">
        <f>_xll.qlSwapIndex($E29,FixingType,C29,2,Currency,$F$6,"1Y","f",MoneyMarketDayCounter,Libor!$E$10,Discounting,Permanent,Trigger,ObjectOverwrite)</f>
        <v>UsdLiborSwapForBasisCalc21Y#0000</v>
      </c>
      <c r="G29" s="306" t="str">
        <f>_xll.ohRangeRetrieveError(F29)</f>
        <v/>
      </c>
      <c r="H29" s="26"/>
    </row>
    <row r="30" spans="2:8" s="296" customFormat="1" x14ac:dyDescent="0.2">
      <c r="B30" s="25"/>
      <c r="C30" s="300" t="s">
        <v>64</v>
      </c>
      <c r="D30" s="315" t="s">
        <v>17</v>
      </c>
      <c r="E30" s="316" t="str">
        <f t="shared" si="0"/>
        <v>UsdLiborSwapForBasisCalc22Y</v>
      </c>
      <c r="F30" s="303" t="str">
        <f>_xll.qlSwapIndex($E30,FixingType,C30,2,Currency,$F$6,"1Y","f",MoneyMarketDayCounter,Libor!$E$10,Discounting,Permanent,Trigger,ObjectOverwrite)</f>
        <v>UsdLiborSwapForBasisCalc22Y#0000</v>
      </c>
      <c r="G30" s="306" t="str">
        <f>_xll.ohRangeRetrieveError(F30)</f>
        <v/>
      </c>
      <c r="H30" s="26"/>
    </row>
    <row r="31" spans="2:8" s="296" customFormat="1" x14ac:dyDescent="0.2">
      <c r="B31" s="25"/>
      <c r="C31" s="300" t="s">
        <v>63</v>
      </c>
      <c r="D31" s="315" t="s">
        <v>17</v>
      </c>
      <c r="E31" s="316" t="str">
        <f t="shared" si="0"/>
        <v>UsdLiborSwapForBasisCalc23Y</v>
      </c>
      <c r="F31" s="303" t="str">
        <f>_xll.qlSwapIndex($E31,FixingType,C31,2,Currency,$F$6,"1Y","f",MoneyMarketDayCounter,Libor!$E$10,Discounting,Permanent,Trigger,ObjectOverwrite)</f>
        <v>UsdLiborSwapForBasisCalc23Y#0000</v>
      </c>
      <c r="G31" s="306" t="str">
        <f>_xll.ohRangeRetrieveError(F31)</f>
        <v/>
      </c>
      <c r="H31" s="26"/>
    </row>
    <row r="32" spans="2:8" s="296" customFormat="1" x14ac:dyDescent="0.2">
      <c r="B32" s="25"/>
      <c r="C32" s="300" t="s">
        <v>62</v>
      </c>
      <c r="D32" s="315" t="s">
        <v>17</v>
      </c>
      <c r="E32" s="316" t="str">
        <f t="shared" si="0"/>
        <v>UsdLiborSwapForBasisCalc24Y</v>
      </c>
      <c r="F32" s="303" t="str">
        <f>_xll.qlSwapIndex($E32,FixingType,C32,2,Currency,$F$6,"1Y","f",MoneyMarketDayCounter,Libor!$E$10,Discounting,Permanent,Trigger,ObjectOverwrite)</f>
        <v>UsdLiborSwapForBasisCalc24Y#0000</v>
      </c>
      <c r="G32" s="306" t="str">
        <f>_xll.ohRangeRetrieveError(F32)</f>
        <v/>
      </c>
      <c r="H32" s="26"/>
    </row>
    <row r="33" spans="2:8" s="296" customFormat="1" x14ac:dyDescent="0.2">
      <c r="B33" s="25"/>
      <c r="C33" s="300" t="s">
        <v>61</v>
      </c>
      <c r="D33" s="315" t="s">
        <v>17</v>
      </c>
      <c r="E33" s="316" t="str">
        <f t="shared" si="0"/>
        <v>UsdLiborSwapForBasisCalc25Y</v>
      </c>
      <c r="F33" s="303" t="str">
        <f>_xll.qlSwapIndex($E33,FixingType,C33,2,Currency,$F$6,"1Y","f",MoneyMarketDayCounter,Libor!$E$10,Discounting,Permanent,Trigger,ObjectOverwrite)</f>
        <v>UsdLiborSwapForBasisCalc25Y#0000</v>
      </c>
      <c r="G33" s="306" t="str">
        <f>_xll.ohRangeRetrieveError(F33)</f>
        <v/>
      </c>
      <c r="H33" s="26"/>
    </row>
    <row r="34" spans="2:8" s="296" customFormat="1" x14ac:dyDescent="0.2">
      <c r="B34" s="25"/>
      <c r="C34" s="300" t="s">
        <v>60</v>
      </c>
      <c r="D34" s="315" t="s">
        <v>17</v>
      </c>
      <c r="E34" s="316" t="str">
        <f t="shared" si="0"/>
        <v>UsdLiborSwapForBasisCalc26Y</v>
      </c>
      <c r="F34" s="303" t="str">
        <f>_xll.qlSwapIndex($E34,FixingType,C34,2,Currency,$F$6,"1Y","f",MoneyMarketDayCounter,Libor!$E$10,Discounting,Permanent,Trigger,ObjectOverwrite)</f>
        <v>UsdLiborSwapForBasisCalc26Y#0000</v>
      </c>
      <c r="G34" s="306" t="str">
        <f>_xll.ohRangeRetrieveError(F34)</f>
        <v/>
      </c>
      <c r="H34" s="26"/>
    </row>
    <row r="35" spans="2:8" s="296" customFormat="1" x14ac:dyDescent="0.2">
      <c r="B35" s="25"/>
      <c r="C35" s="300" t="s">
        <v>59</v>
      </c>
      <c r="D35" s="315" t="s">
        <v>17</v>
      </c>
      <c r="E35" s="316" t="str">
        <f t="shared" si="0"/>
        <v>UsdLiborSwapForBasisCalc27Y</v>
      </c>
      <c r="F35" s="303" t="str">
        <f>_xll.qlSwapIndex($E35,FixingType,C35,2,Currency,$F$6,"1Y","f",MoneyMarketDayCounter,Libor!$E$10,Discounting,Permanent,Trigger,ObjectOverwrite)</f>
        <v>UsdLiborSwapForBasisCalc27Y#0000</v>
      </c>
      <c r="G35" s="306" t="str">
        <f>_xll.ohRangeRetrieveError(F35)</f>
        <v/>
      </c>
      <c r="H35" s="26"/>
    </row>
    <row r="36" spans="2:8" s="296" customFormat="1" x14ac:dyDescent="0.2">
      <c r="B36" s="25"/>
      <c r="C36" s="300" t="s">
        <v>58</v>
      </c>
      <c r="D36" s="315" t="s">
        <v>17</v>
      </c>
      <c r="E36" s="316" t="str">
        <f t="shared" si="0"/>
        <v>UsdLiborSwapForBasisCalc28Y</v>
      </c>
      <c r="F36" s="303" t="str">
        <f>_xll.qlSwapIndex($E36,FixingType,C36,2,Currency,$F$6,"1Y","f",MoneyMarketDayCounter,Libor!$E$10,Discounting,Permanent,Trigger,ObjectOverwrite)</f>
        <v>UsdLiborSwapForBasisCalc28Y#0000</v>
      </c>
      <c r="G36" s="306" t="str">
        <f>_xll.ohRangeRetrieveError(F36)</f>
        <v/>
      </c>
      <c r="H36" s="26"/>
    </row>
    <row r="37" spans="2:8" s="296" customFormat="1" x14ac:dyDescent="0.2">
      <c r="B37" s="25"/>
      <c r="C37" s="300" t="s">
        <v>57</v>
      </c>
      <c r="D37" s="315" t="s">
        <v>17</v>
      </c>
      <c r="E37" s="316" t="str">
        <f t="shared" si="0"/>
        <v>UsdLiborSwapForBasisCalc29Y</v>
      </c>
      <c r="F37" s="303" t="str">
        <f>_xll.qlSwapIndex($E37,FixingType,C37,2,Currency,$F$6,"1Y","f",MoneyMarketDayCounter,Libor!$E$10,Discounting,Permanent,Trigger,ObjectOverwrite)</f>
        <v>UsdLiborSwapForBasisCalc29Y#0000</v>
      </c>
      <c r="G37" s="306" t="str">
        <f>_xll.ohRangeRetrieveError(F37)</f>
        <v/>
      </c>
      <c r="H37" s="26"/>
    </row>
    <row r="38" spans="2:8" s="296" customFormat="1" x14ac:dyDescent="0.2">
      <c r="B38" s="25"/>
      <c r="C38" s="300" t="s">
        <v>56</v>
      </c>
      <c r="D38" s="315" t="s">
        <v>17</v>
      </c>
      <c r="E38" s="316" t="str">
        <f t="shared" si="0"/>
        <v>UsdLiborSwapForBasisCalc30Y</v>
      </c>
      <c r="F38" s="303" t="str">
        <f>_xll.qlSwapIndex($E38,FixingType,C38,2,Currency,$F$6,"1Y","f",MoneyMarketDayCounter,Libor!$E$10,Discounting,Permanent,Trigger,ObjectOverwrite)</f>
        <v>UsdLiborSwapForBasisCalc30Y#0000</v>
      </c>
      <c r="G38" s="306" t="str">
        <f>_xll.ohRangeRetrieveError(F38)</f>
        <v/>
      </c>
      <c r="H38" s="26"/>
    </row>
    <row r="39" spans="2:8" s="296" customFormat="1" x14ac:dyDescent="0.2">
      <c r="B39" s="25"/>
      <c r="C39" s="300" t="s">
        <v>55</v>
      </c>
      <c r="D39" s="315" t="s">
        <v>17</v>
      </c>
      <c r="E39" s="316" t="str">
        <f t="shared" si="0"/>
        <v>UsdLiborSwapForBasisCalc31Y</v>
      </c>
      <c r="F39" s="303" t="str">
        <f>_xll.qlSwapIndex($E39,FixingType,C39,2,Currency,$F$6,"1Y","f",MoneyMarketDayCounter,Libor!$E$10,Discounting,Permanent,Trigger,ObjectOverwrite)</f>
        <v>UsdLiborSwapForBasisCalc31Y#0000</v>
      </c>
      <c r="G39" s="306" t="str">
        <f>_xll.ohRangeRetrieveError(F39)</f>
        <v/>
      </c>
      <c r="H39" s="26"/>
    </row>
    <row r="40" spans="2:8" s="296" customFormat="1" x14ac:dyDescent="0.2">
      <c r="B40" s="25"/>
      <c r="C40" s="300" t="s">
        <v>54</v>
      </c>
      <c r="D40" s="315" t="s">
        <v>17</v>
      </c>
      <c r="E40" s="316" t="str">
        <f t="shared" si="0"/>
        <v>UsdLiborSwapForBasisCalc32Y</v>
      </c>
      <c r="F40" s="303" t="str">
        <f>_xll.qlSwapIndex($E40,FixingType,C40,2,Currency,$F$6,"1Y","f",MoneyMarketDayCounter,Libor!$E$10,Discounting,Permanent,Trigger,ObjectOverwrite)</f>
        <v>UsdLiborSwapForBasisCalc32Y#0000</v>
      </c>
      <c r="G40" s="306" t="str">
        <f>_xll.ohRangeRetrieveError(F40)</f>
        <v/>
      </c>
      <c r="H40" s="26"/>
    </row>
    <row r="41" spans="2:8" s="296" customFormat="1" x14ac:dyDescent="0.2">
      <c r="B41" s="25"/>
      <c r="C41" s="300" t="s">
        <v>53</v>
      </c>
      <c r="D41" s="315" t="s">
        <v>17</v>
      </c>
      <c r="E41" s="316" t="str">
        <f t="shared" ref="E41:E68" si="1">PROPER(Currency)&amp;FamilyName2&amp;FixingType&amp;$C41</f>
        <v>UsdLiborSwapForBasisCalc33Y</v>
      </c>
      <c r="F41" s="303" t="str">
        <f>_xll.qlSwapIndex($E41,FixingType,C41,2,Currency,$F$6,"1Y","f",MoneyMarketDayCounter,Libor!$E$10,Discounting,Permanent,Trigger,ObjectOverwrite)</f>
        <v>UsdLiborSwapForBasisCalc33Y#0000</v>
      </c>
      <c r="G41" s="306" t="str">
        <f>_xll.ohRangeRetrieveError(F41)</f>
        <v/>
      </c>
      <c r="H41" s="26"/>
    </row>
    <row r="42" spans="2:8" s="296" customFormat="1" x14ac:dyDescent="0.2">
      <c r="B42" s="25"/>
      <c r="C42" s="300" t="s">
        <v>52</v>
      </c>
      <c r="D42" s="315" t="s">
        <v>17</v>
      </c>
      <c r="E42" s="316" t="str">
        <f t="shared" si="1"/>
        <v>UsdLiborSwapForBasisCalc34Y</v>
      </c>
      <c r="F42" s="303" t="str">
        <f>_xll.qlSwapIndex($E42,FixingType,C42,2,Currency,$F$6,"1Y","f",MoneyMarketDayCounter,Libor!$E$10,Discounting,Permanent,Trigger,ObjectOverwrite)</f>
        <v>UsdLiborSwapForBasisCalc34Y#0000</v>
      </c>
      <c r="G42" s="306" t="str">
        <f>_xll.ohRangeRetrieveError(F42)</f>
        <v/>
      </c>
      <c r="H42" s="26"/>
    </row>
    <row r="43" spans="2:8" s="296" customFormat="1" x14ac:dyDescent="0.2">
      <c r="B43" s="25"/>
      <c r="C43" s="300" t="s">
        <v>51</v>
      </c>
      <c r="D43" s="315" t="s">
        <v>17</v>
      </c>
      <c r="E43" s="316" t="str">
        <f t="shared" si="1"/>
        <v>UsdLiborSwapForBasisCalc35Y</v>
      </c>
      <c r="F43" s="303" t="str">
        <f>_xll.qlSwapIndex($E43,FixingType,C43,2,Currency,$F$6,"1Y","f",MoneyMarketDayCounter,Libor!$E$10,Discounting,Permanent,Trigger,ObjectOverwrite)</f>
        <v>UsdLiborSwapForBasisCalc35Y#0000</v>
      </c>
      <c r="G43" s="306" t="str">
        <f>_xll.ohRangeRetrieveError(F43)</f>
        <v/>
      </c>
      <c r="H43" s="26"/>
    </row>
    <row r="44" spans="2:8" s="296" customFormat="1" x14ac:dyDescent="0.2">
      <c r="B44" s="25"/>
      <c r="C44" s="300" t="s">
        <v>50</v>
      </c>
      <c r="D44" s="315" t="s">
        <v>17</v>
      </c>
      <c r="E44" s="316" t="str">
        <f t="shared" si="1"/>
        <v>UsdLiborSwapForBasisCalc36Y</v>
      </c>
      <c r="F44" s="303" t="str">
        <f>_xll.qlSwapIndex($E44,FixingType,C44,2,Currency,$F$6,"1Y","f",MoneyMarketDayCounter,Libor!$E$10,Discounting,Permanent,Trigger,ObjectOverwrite)</f>
        <v>UsdLiborSwapForBasisCalc36Y#0000</v>
      </c>
      <c r="G44" s="306" t="str">
        <f>_xll.ohRangeRetrieveError(F44)</f>
        <v/>
      </c>
      <c r="H44" s="26"/>
    </row>
    <row r="45" spans="2:8" s="296" customFormat="1" x14ac:dyDescent="0.2">
      <c r="B45" s="25"/>
      <c r="C45" s="300" t="s">
        <v>49</v>
      </c>
      <c r="D45" s="315" t="s">
        <v>17</v>
      </c>
      <c r="E45" s="316" t="str">
        <f t="shared" si="1"/>
        <v>UsdLiborSwapForBasisCalc37Y</v>
      </c>
      <c r="F45" s="303" t="str">
        <f>_xll.qlSwapIndex($E45,FixingType,C45,2,Currency,$F$6,"1Y","f",MoneyMarketDayCounter,Libor!$E$10,Discounting,Permanent,Trigger,ObjectOverwrite)</f>
        <v>UsdLiborSwapForBasisCalc37Y#0000</v>
      </c>
      <c r="G45" s="306" t="str">
        <f>_xll.ohRangeRetrieveError(F45)</f>
        <v/>
      </c>
      <c r="H45" s="26"/>
    </row>
    <row r="46" spans="2:8" s="296" customFormat="1" x14ac:dyDescent="0.2">
      <c r="B46" s="25"/>
      <c r="C46" s="300" t="s">
        <v>48</v>
      </c>
      <c r="D46" s="315" t="s">
        <v>17</v>
      </c>
      <c r="E46" s="316" t="str">
        <f t="shared" si="1"/>
        <v>UsdLiborSwapForBasisCalc38Y</v>
      </c>
      <c r="F46" s="303" t="str">
        <f>_xll.qlSwapIndex($E46,FixingType,C46,2,Currency,$F$6,"1Y","f",MoneyMarketDayCounter,Libor!$E$10,Discounting,Permanent,Trigger,ObjectOverwrite)</f>
        <v>UsdLiborSwapForBasisCalc38Y#0000</v>
      </c>
      <c r="G46" s="306" t="str">
        <f>_xll.ohRangeRetrieveError(F46)</f>
        <v/>
      </c>
      <c r="H46" s="26"/>
    </row>
    <row r="47" spans="2:8" s="296" customFormat="1" x14ac:dyDescent="0.2">
      <c r="B47" s="25"/>
      <c r="C47" s="300" t="s">
        <v>47</v>
      </c>
      <c r="D47" s="315" t="s">
        <v>17</v>
      </c>
      <c r="E47" s="316" t="str">
        <f t="shared" si="1"/>
        <v>UsdLiborSwapForBasisCalc39Y</v>
      </c>
      <c r="F47" s="303" t="str">
        <f>_xll.qlSwapIndex($E47,FixingType,C47,2,Currency,$F$6,"1Y","f",MoneyMarketDayCounter,Libor!$E$10,Discounting,Permanent,Trigger,ObjectOverwrite)</f>
        <v>UsdLiborSwapForBasisCalc39Y#0000</v>
      </c>
      <c r="G47" s="306" t="str">
        <f>_xll.ohRangeRetrieveError(F47)</f>
        <v/>
      </c>
      <c r="H47" s="26"/>
    </row>
    <row r="48" spans="2:8" s="296" customFormat="1" x14ac:dyDescent="0.2">
      <c r="B48" s="25"/>
      <c r="C48" s="300" t="s">
        <v>46</v>
      </c>
      <c r="D48" s="315" t="s">
        <v>17</v>
      </c>
      <c r="E48" s="316" t="str">
        <f t="shared" si="1"/>
        <v>UsdLiborSwapForBasisCalc40Y</v>
      </c>
      <c r="F48" s="303" t="str">
        <f>_xll.qlSwapIndex($E48,FixingType,C48,2,Currency,$F$6,"1Y","f",MoneyMarketDayCounter,Libor!$E$10,Discounting,Permanent,Trigger,ObjectOverwrite)</f>
        <v>UsdLiborSwapForBasisCalc40Y#0000</v>
      </c>
      <c r="G48" s="306" t="str">
        <f>_xll.ohRangeRetrieveError(F48)</f>
        <v/>
      </c>
      <c r="H48" s="26"/>
    </row>
    <row r="49" spans="2:8" s="296" customFormat="1" x14ac:dyDescent="0.2">
      <c r="B49" s="25"/>
      <c r="C49" s="300" t="s">
        <v>45</v>
      </c>
      <c r="D49" s="315" t="s">
        <v>17</v>
      </c>
      <c r="E49" s="316" t="str">
        <f t="shared" si="1"/>
        <v>UsdLiborSwapForBasisCalc41Y</v>
      </c>
      <c r="F49" s="303" t="str">
        <f>_xll.qlSwapIndex($E49,FixingType,C49,2,Currency,$F$6,"1Y","f",MoneyMarketDayCounter,Libor!$E$10,Discounting,Permanent,Trigger,ObjectOverwrite)</f>
        <v>UsdLiborSwapForBasisCalc41Y#0000</v>
      </c>
      <c r="G49" s="306" t="str">
        <f>_xll.ohRangeRetrieveError(F49)</f>
        <v/>
      </c>
      <c r="H49" s="26"/>
    </row>
    <row r="50" spans="2:8" s="296" customFormat="1" x14ac:dyDescent="0.2">
      <c r="B50" s="25"/>
      <c r="C50" s="300" t="s">
        <v>44</v>
      </c>
      <c r="D50" s="315" t="s">
        <v>17</v>
      </c>
      <c r="E50" s="316" t="str">
        <f t="shared" si="1"/>
        <v>UsdLiborSwapForBasisCalc42Y</v>
      </c>
      <c r="F50" s="303" t="str">
        <f>_xll.qlSwapIndex($E50,FixingType,C50,2,Currency,$F$6,"1Y","f",MoneyMarketDayCounter,Libor!$E$10,Discounting,Permanent,Trigger,ObjectOverwrite)</f>
        <v>UsdLiborSwapForBasisCalc42Y#0000</v>
      </c>
      <c r="G50" s="306" t="str">
        <f>_xll.ohRangeRetrieveError(F50)</f>
        <v/>
      </c>
      <c r="H50" s="26"/>
    </row>
    <row r="51" spans="2:8" s="296" customFormat="1" x14ac:dyDescent="0.2">
      <c r="B51" s="25"/>
      <c r="C51" s="300" t="s">
        <v>43</v>
      </c>
      <c r="D51" s="315" t="s">
        <v>17</v>
      </c>
      <c r="E51" s="316" t="str">
        <f t="shared" si="1"/>
        <v>UsdLiborSwapForBasisCalc43Y</v>
      </c>
      <c r="F51" s="303" t="str">
        <f>_xll.qlSwapIndex($E51,FixingType,C51,2,Currency,$F$6,"1Y","f",MoneyMarketDayCounter,Libor!$E$10,Discounting,Permanent,Trigger,ObjectOverwrite)</f>
        <v>UsdLiborSwapForBasisCalc43Y#0000</v>
      </c>
      <c r="G51" s="306" t="str">
        <f>_xll.ohRangeRetrieveError(F51)</f>
        <v/>
      </c>
      <c r="H51" s="26"/>
    </row>
    <row r="52" spans="2:8" s="296" customFormat="1" x14ac:dyDescent="0.2">
      <c r="B52" s="25"/>
      <c r="C52" s="300" t="s">
        <v>42</v>
      </c>
      <c r="D52" s="315" t="s">
        <v>17</v>
      </c>
      <c r="E52" s="316" t="str">
        <f t="shared" si="1"/>
        <v>UsdLiborSwapForBasisCalc44Y</v>
      </c>
      <c r="F52" s="303" t="str">
        <f>_xll.qlSwapIndex($E52,FixingType,C52,2,Currency,$F$6,"1Y","f",MoneyMarketDayCounter,Libor!$E$10,Discounting,Permanent,Trigger,ObjectOverwrite)</f>
        <v>UsdLiborSwapForBasisCalc44Y#0000</v>
      </c>
      <c r="G52" s="306" t="str">
        <f>_xll.ohRangeRetrieveError(F52)</f>
        <v/>
      </c>
      <c r="H52" s="26"/>
    </row>
    <row r="53" spans="2:8" s="296" customFormat="1" x14ac:dyDescent="0.2">
      <c r="B53" s="25"/>
      <c r="C53" s="300" t="s">
        <v>41</v>
      </c>
      <c r="D53" s="315" t="s">
        <v>17</v>
      </c>
      <c r="E53" s="316" t="str">
        <f t="shared" si="1"/>
        <v>UsdLiborSwapForBasisCalc45Y</v>
      </c>
      <c r="F53" s="303" t="str">
        <f>_xll.qlSwapIndex($E53,FixingType,C53,2,Currency,$F$6,"1Y","f",MoneyMarketDayCounter,Libor!$E$10,Discounting,Permanent,Trigger,ObjectOverwrite)</f>
        <v>UsdLiborSwapForBasisCalc45Y#0000</v>
      </c>
      <c r="G53" s="306" t="str">
        <f>_xll.ohRangeRetrieveError(F53)</f>
        <v/>
      </c>
      <c r="H53" s="26"/>
    </row>
    <row r="54" spans="2:8" s="296" customFormat="1" x14ac:dyDescent="0.2">
      <c r="B54" s="25"/>
      <c r="C54" s="300" t="s">
        <v>40</v>
      </c>
      <c r="D54" s="315" t="s">
        <v>17</v>
      </c>
      <c r="E54" s="316" t="str">
        <f t="shared" si="1"/>
        <v>UsdLiborSwapForBasisCalc46Y</v>
      </c>
      <c r="F54" s="303" t="str">
        <f>_xll.qlSwapIndex($E54,FixingType,C54,2,Currency,$F$6,"1Y","f",MoneyMarketDayCounter,Libor!$E$10,Discounting,Permanent,Trigger,ObjectOverwrite)</f>
        <v>UsdLiborSwapForBasisCalc46Y#0000</v>
      </c>
      <c r="G54" s="306" t="str">
        <f>_xll.ohRangeRetrieveError(F54)</f>
        <v/>
      </c>
      <c r="H54" s="26"/>
    </row>
    <row r="55" spans="2:8" s="296" customFormat="1" x14ac:dyDescent="0.2">
      <c r="B55" s="25"/>
      <c r="C55" s="300" t="s">
        <v>39</v>
      </c>
      <c r="D55" s="315" t="s">
        <v>17</v>
      </c>
      <c r="E55" s="316" t="str">
        <f t="shared" si="1"/>
        <v>UsdLiborSwapForBasisCalc47Y</v>
      </c>
      <c r="F55" s="303" t="str">
        <f>_xll.qlSwapIndex($E55,FixingType,C55,2,Currency,$F$6,"1Y","f",MoneyMarketDayCounter,Libor!$E$10,Discounting,Permanent,Trigger,ObjectOverwrite)</f>
        <v>UsdLiborSwapForBasisCalc47Y#0000</v>
      </c>
      <c r="G55" s="306" t="str">
        <f>_xll.ohRangeRetrieveError(F55)</f>
        <v/>
      </c>
      <c r="H55" s="26"/>
    </row>
    <row r="56" spans="2:8" s="296" customFormat="1" x14ac:dyDescent="0.2">
      <c r="B56" s="25"/>
      <c r="C56" s="300" t="s">
        <v>38</v>
      </c>
      <c r="D56" s="315" t="s">
        <v>17</v>
      </c>
      <c r="E56" s="316" t="str">
        <f t="shared" si="1"/>
        <v>UsdLiborSwapForBasisCalc48Y</v>
      </c>
      <c r="F56" s="303" t="str">
        <f>_xll.qlSwapIndex($E56,FixingType,C56,2,Currency,$F$6,"1Y","f",MoneyMarketDayCounter,Libor!$E$10,Discounting,Permanent,Trigger,ObjectOverwrite)</f>
        <v>UsdLiborSwapForBasisCalc48Y#0000</v>
      </c>
      <c r="G56" s="306" t="str">
        <f>_xll.ohRangeRetrieveError(F56)</f>
        <v/>
      </c>
      <c r="H56" s="26"/>
    </row>
    <row r="57" spans="2:8" s="296" customFormat="1" x14ac:dyDescent="0.2">
      <c r="B57" s="25"/>
      <c r="C57" s="300" t="s">
        <v>37</v>
      </c>
      <c r="D57" s="315" t="s">
        <v>17</v>
      </c>
      <c r="E57" s="316" t="str">
        <f t="shared" si="1"/>
        <v>UsdLiborSwapForBasisCalc49Y</v>
      </c>
      <c r="F57" s="303" t="str">
        <f>_xll.qlSwapIndex($E57,FixingType,C57,2,Currency,$F$6,"1Y","f",MoneyMarketDayCounter,Libor!$E$10,Discounting,Permanent,Trigger,ObjectOverwrite)</f>
        <v>UsdLiborSwapForBasisCalc49Y#0000</v>
      </c>
      <c r="G57" s="306" t="str">
        <f>_xll.ohRangeRetrieveError(F57)</f>
        <v/>
      </c>
      <c r="H57" s="26"/>
    </row>
    <row r="58" spans="2:8" s="296" customFormat="1" x14ac:dyDescent="0.2">
      <c r="B58" s="25"/>
      <c r="C58" s="300" t="s">
        <v>36</v>
      </c>
      <c r="D58" s="315" t="s">
        <v>17</v>
      </c>
      <c r="E58" s="316" t="str">
        <f t="shared" si="1"/>
        <v>UsdLiborSwapForBasisCalc50Y</v>
      </c>
      <c r="F58" s="303" t="str">
        <f>_xll.qlSwapIndex($E58,FixingType,C58,2,Currency,$F$6,"1Y","f",MoneyMarketDayCounter,Libor!$E$10,Discounting,Permanent,Trigger,ObjectOverwrite)</f>
        <v>UsdLiborSwapForBasisCalc50Y#0000</v>
      </c>
      <c r="G58" s="306" t="str">
        <f>_xll.ohRangeRetrieveError(F58)</f>
        <v/>
      </c>
      <c r="H58" s="26"/>
    </row>
    <row r="59" spans="2:8" s="296" customFormat="1" x14ac:dyDescent="0.2">
      <c r="B59" s="25"/>
      <c r="C59" s="300" t="s">
        <v>35</v>
      </c>
      <c r="D59" s="315" t="s">
        <v>17</v>
      </c>
      <c r="E59" s="316" t="str">
        <f t="shared" si="1"/>
        <v>UsdLiborSwapForBasisCalc51Y</v>
      </c>
      <c r="F59" s="303" t="str">
        <f>_xll.qlSwapIndex($E59,FixingType,C59,2,Currency,$F$6,"1Y","f",MoneyMarketDayCounter,Libor!$E$10,Discounting,Permanent,Trigger,ObjectOverwrite)</f>
        <v>UsdLiborSwapForBasisCalc51Y#0000</v>
      </c>
      <c r="G59" s="306" t="str">
        <f>_xll.ohRangeRetrieveError(F59)</f>
        <v/>
      </c>
      <c r="H59" s="26"/>
    </row>
    <row r="60" spans="2:8" s="296" customFormat="1" x14ac:dyDescent="0.2">
      <c r="B60" s="25"/>
      <c r="C60" s="300" t="s">
        <v>34</v>
      </c>
      <c r="D60" s="315" t="s">
        <v>17</v>
      </c>
      <c r="E60" s="316" t="str">
        <f t="shared" si="1"/>
        <v>UsdLiborSwapForBasisCalc52Y</v>
      </c>
      <c r="F60" s="303" t="str">
        <f>_xll.qlSwapIndex($E60,FixingType,C60,2,Currency,$F$6,"1Y","f",MoneyMarketDayCounter,Libor!$E$10,Discounting,Permanent,Trigger,ObjectOverwrite)</f>
        <v>UsdLiborSwapForBasisCalc52Y#0000</v>
      </c>
      <c r="G60" s="306" t="str">
        <f>_xll.ohRangeRetrieveError(F60)</f>
        <v/>
      </c>
      <c r="H60" s="26"/>
    </row>
    <row r="61" spans="2:8" s="296" customFormat="1" x14ac:dyDescent="0.2">
      <c r="B61" s="25"/>
      <c r="C61" s="300" t="s">
        <v>33</v>
      </c>
      <c r="D61" s="315" t="s">
        <v>17</v>
      </c>
      <c r="E61" s="316" t="str">
        <f t="shared" si="1"/>
        <v>UsdLiborSwapForBasisCalc53Y</v>
      </c>
      <c r="F61" s="303" t="str">
        <f>_xll.qlSwapIndex($E61,FixingType,C61,2,Currency,$F$6,"1Y","f",MoneyMarketDayCounter,Libor!$E$10,Discounting,Permanent,Trigger,ObjectOverwrite)</f>
        <v>UsdLiborSwapForBasisCalc53Y#0000</v>
      </c>
      <c r="G61" s="306" t="str">
        <f>_xll.ohRangeRetrieveError(F61)</f>
        <v/>
      </c>
      <c r="H61" s="26"/>
    </row>
    <row r="62" spans="2:8" s="296" customFormat="1" x14ac:dyDescent="0.2">
      <c r="B62" s="25"/>
      <c r="C62" s="300" t="s">
        <v>32</v>
      </c>
      <c r="D62" s="315" t="s">
        <v>17</v>
      </c>
      <c r="E62" s="316" t="str">
        <f t="shared" si="1"/>
        <v>UsdLiborSwapForBasisCalc54Y</v>
      </c>
      <c r="F62" s="303" t="str">
        <f>_xll.qlSwapIndex($E62,FixingType,C62,2,Currency,$F$6,"1Y","f",MoneyMarketDayCounter,Libor!$E$10,Discounting,Permanent,Trigger,ObjectOverwrite)</f>
        <v>UsdLiborSwapForBasisCalc54Y#0000</v>
      </c>
      <c r="G62" s="306" t="str">
        <f>_xll.ohRangeRetrieveError(F62)</f>
        <v/>
      </c>
      <c r="H62" s="26"/>
    </row>
    <row r="63" spans="2:8" s="296" customFormat="1" x14ac:dyDescent="0.2">
      <c r="B63" s="25"/>
      <c r="C63" s="300" t="s">
        <v>31</v>
      </c>
      <c r="D63" s="315" t="s">
        <v>17</v>
      </c>
      <c r="E63" s="316" t="str">
        <f t="shared" si="1"/>
        <v>UsdLiborSwapForBasisCalc55Y</v>
      </c>
      <c r="F63" s="303" t="str">
        <f>_xll.qlSwapIndex($E63,FixingType,C63,2,Currency,$F$6,"1Y","f",MoneyMarketDayCounter,Libor!$E$10,Discounting,Permanent,Trigger,ObjectOverwrite)</f>
        <v>UsdLiborSwapForBasisCalc55Y#0000</v>
      </c>
      <c r="G63" s="306" t="str">
        <f>_xll.ohRangeRetrieveError(F63)</f>
        <v/>
      </c>
      <c r="H63" s="26"/>
    </row>
    <row r="64" spans="2:8" s="296" customFormat="1" x14ac:dyDescent="0.2">
      <c r="B64" s="25"/>
      <c r="C64" s="300" t="s">
        <v>30</v>
      </c>
      <c r="D64" s="315" t="s">
        <v>17</v>
      </c>
      <c r="E64" s="316" t="str">
        <f t="shared" si="1"/>
        <v>UsdLiborSwapForBasisCalc56Y</v>
      </c>
      <c r="F64" s="303" t="str">
        <f>_xll.qlSwapIndex($E64,FixingType,C64,2,Currency,$F$6,"1Y","f",MoneyMarketDayCounter,Libor!$E$10,Discounting,Permanent,Trigger,ObjectOverwrite)</f>
        <v>UsdLiborSwapForBasisCalc56Y#0000</v>
      </c>
      <c r="G64" s="306" t="str">
        <f>_xll.ohRangeRetrieveError(F64)</f>
        <v/>
      </c>
      <c r="H64" s="26"/>
    </row>
    <row r="65" spans="2:8" s="296" customFormat="1" x14ac:dyDescent="0.2">
      <c r="B65" s="25"/>
      <c r="C65" s="300" t="s">
        <v>29</v>
      </c>
      <c r="D65" s="315" t="s">
        <v>17</v>
      </c>
      <c r="E65" s="316" t="str">
        <f t="shared" si="1"/>
        <v>UsdLiborSwapForBasisCalc57Y</v>
      </c>
      <c r="F65" s="303" t="str">
        <f>_xll.qlSwapIndex($E65,FixingType,C65,2,Currency,$F$6,"1Y","f",MoneyMarketDayCounter,Libor!$E$10,Discounting,Permanent,Trigger,ObjectOverwrite)</f>
        <v>UsdLiborSwapForBasisCalc57Y#0000</v>
      </c>
      <c r="G65" s="306" t="str">
        <f>_xll.ohRangeRetrieveError(F65)</f>
        <v/>
      </c>
      <c r="H65" s="26"/>
    </row>
    <row r="66" spans="2:8" s="296" customFormat="1" x14ac:dyDescent="0.2">
      <c r="B66" s="25"/>
      <c r="C66" s="300" t="s">
        <v>28</v>
      </c>
      <c r="D66" s="315" t="s">
        <v>17</v>
      </c>
      <c r="E66" s="316" t="str">
        <f t="shared" si="1"/>
        <v>UsdLiborSwapForBasisCalc58Y</v>
      </c>
      <c r="F66" s="303" t="str">
        <f>_xll.qlSwapIndex($E66,FixingType,C66,2,Currency,$F$6,"1Y","f",MoneyMarketDayCounter,Libor!$E$10,Discounting,Permanent,Trigger,ObjectOverwrite)</f>
        <v>UsdLiborSwapForBasisCalc58Y#0000</v>
      </c>
      <c r="G66" s="306" t="str">
        <f>_xll.ohRangeRetrieveError(F66)</f>
        <v/>
      </c>
      <c r="H66" s="26"/>
    </row>
    <row r="67" spans="2:8" s="296" customFormat="1" x14ac:dyDescent="0.2">
      <c r="B67" s="25"/>
      <c r="C67" s="300" t="s">
        <v>27</v>
      </c>
      <c r="D67" s="315" t="s">
        <v>17</v>
      </c>
      <c r="E67" s="316" t="str">
        <f t="shared" si="1"/>
        <v>UsdLiborSwapForBasisCalc59Y</v>
      </c>
      <c r="F67" s="303" t="str">
        <f>_xll.qlSwapIndex($E67,FixingType,C67,2,Currency,$F$6,"1Y","f",MoneyMarketDayCounter,Libor!$E$10,Discounting,Permanent,Trigger,ObjectOverwrite)</f>
        <v>UsdLiborSwapForBasisCalc59Y#0000</v>
      </c>
      <c r="G67" s="306" t="str">
        <f>_xll.ohRangeRetrieveError(F67)</f>
        <v/>
      </c>
      <c r="H67" s="26"/>
    </row>
    <row r="68" spans="2:8" s="296" customFormat="1" x14ac:dyDescent="0.2">
      <c r="B68" s="25"/>
      <c r="C68" s="301" t="s">
        <v>26</v>
      </c>
      <c r="D68" s="317" t="s">
        <v>17</v>
      </c>
      <c r="E68" s="318" t="str">
        <f t="shared" si="1"/>
        <v>UsdLiborSwapForBasisCalc60Y</v>
      </c>
      <c r="F68" s="304" t="str">
        <f>_xll.qlSwapIndex($E68,FixingType,C68,2,Currency,$F$6,"1Y","f",MoneyMarketDayCounter,Libor!$E$10,Discounting,Permanent,Trigger,ObjectOverwrite)</f>
        <v>UsdLiborSwapForBasisCalc60Y#0000</v>
      </c>
      <c r="G68" s="307" t="str">
        <f>_xll.ohRangeRetrieveError(F68)</f>
        <v/>
      </c>
      <c r="H68" s="26"/>
    </row>
    <row r="69" spans="2:8" s="296" customFormat="1" ht="12" thickBot="1" x14ac:dyDescent="0.25">
      <c r="B69" s="27"/>
      <c r="C69" s="28"/>
      <c r="D69" s="28"/>
      <c r="E69" s="28"/>
      <c r="F69" s="28"/>
      <c r="G69" s="28"/>
      <c r="H69" s="29"/>
    </row>
    <row r="70" spans="2:8" s="296" customFormat="1" x14ac:dyDescent="0.2"/>
    <row r="71" spans="2:8" s="296" customFormat="1" x14ac:dyDescent="0.2">
      <c r="B71" s="297"/>
      <c r="C71" s="297"/>
      <c r="D71" s="297"/>
      <c r="E71" s="297"/>
      <c r="F71" s="297"/>
      <c r="G71" s="297"/>
      <c r="H71" s="297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U2" sqref="U2"/>
    </sheetView>
  </sheetViews>
  <sheetFormatPr defaultRowHeight="11.25" outlineLevelCol="1" x14ac:dyDescent="0.2"/>
  <cols>
    <col min="1" max="1" width="2.7109375" style="198" hidden="1" customWidth="1" outlineLevel="1"/>
    <col min="2" max="2" width="26.5703125" style="198" hidden="1" customWidth="1" outlineLevel="1"/>
    <col min="3" max="3" width="31.7109375" style="198" hidden="1" customWidth="1" outlineLevel="1"/>
    <col min="4" max="4" width="20.7109375" style="198" hidden="1" customWidth="1" outlineLevel="1"/>
    <col min="5" max="5" width="2.7109375" style="198" hidden="1" customWidth="1" outlineLevel="1"/>
    <col min="6" max="6" width="2.7109375" style="198" customWidth="1" collapsed="1"/>
    <col min="7" max="10" width="2.7109375" style="198" customWidth="1"/>
    <col min="11" max="11" width="11.7109375" style="198" customWidth="1"/>
    <col min="12" max="12" width="15.140625" style="198" bestFit="1" customWidth="1"/>
    <col min="13" max="13" width="10.7109375" style="198" customWidth="1"/>
    <col min="14" max="14" width="2.7109375" style="198" customWidth="1"/>
    <col min="15" max="15" width="15.140625" style="198" bestFit="1" customWidth="1"/>
    <col min="16" max="16" width="10.7109375" style="198" customWidth="1"/>
    <col min="17" max="17" width="2.7109375" style="198" customWidth="1"/>
    <col min="18" max="18" width="10.7109375" style="198" customWidth="1"/>
    <col min="19" max="19" width="2.7109375" style="198" customWidth="1"/>
    <col min="20" max="21" width="10.7109375" style="198" customWidth="1"/>
    <col min="22" max="23" width="2.7109375" style="198" customWidth="1"/>
    <col min="24" max="16384" width="9.140625" style="198"/>
  </cols>
  <sheetData>
    <row r="1" spans="1:22" x14ac:dyDescent="0.2">
      <c r="A1" s="142"/>
      <c r="B1" s="133"/>
      <c r="C1" s="133"/>
      <c r="D1" s="133"/>
      <c r="E1" s="134"/>
      <c r="G1" s="369" t="s">
        <v>275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168"/>
    </row>
    <row r="2" spans="1:22" x14ac:dyDescent="0.2">
      <c r="A2" s="135"/>
      <c r="B2" s="136"/>
      <c r="C2" s="136"/>
      <c r="D2" s="74"/>
      <c r="E2" s="137"/>
      <c r="G2" s="169"/>
      <c r="H2" s="7"/>
      <c r="I2" s="7"/>
      <c r="J2" s="7"/>
      <c r="K2" s="7"/>
      <c r="L2" s="241" t="s">
        <v>242</v>
      </c>
      <c r="M2" s="7"/>
      <c r="N2" s="7"/>
      <c r="O2" s="7"/>
      <c r="P2" s="7"/>
      <c r="Q2" s="7"/>
      <c r="R2" s="7"/>
      <c r="S2" s="7"/>
      <c r="T2" s="7"/>
      <c r="U2" s="109">
        <f>_xll.ohTrigger(U5:U9)</f>
        <v>71</v>
      </c>
      <c r="V2" s="170"/>
    </row>
    <row r="3" spans="1:22" x14ac:dyDescent="0.2">
      <c r="A3" s="169"/>
      <c r="B3" s="7"/>
      <c r="C3" s="7"/>
      <c r="D3" s="7"/>
      <c r="E3" s="170"/>
      <c r="G3" s="169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70"/>
    </row>
    <row r="4" spans="1:22" ht="23.25" thickBot="1" x14ac:dyDescent="0.25">
      <c r="A4" s="169"/>
      <c r="B4" s="323" t="s">
        <v>248</v>
      </c>
      <c r="C4" s="359" t="s">
        <v>249</v>
      </c>
      <c r="D4" s="368" t="s">
        <v>266</v>
      </c>
      <c r="E4" s="170"/>
      <c r="G4" s="169"/>
      <c r="H4" s="175"/>
      <c r="I4" s="241"/>
      <c r="J4" s="103"/>
      <c r="K4" s="103" t="s">
        <v>276</v>
      </c>
      <c r="L4" s="360" t="str">
        <f>_xll.RData(L5,M4,"RTFEED:IDN",ReutersRtMode,,M5)</f>
        <v>Paused at 10:47:50</v>
      </c>
      <c r="M4" s="361" t="s">
        <v>148</v>
      </c>
      <c r="N4" s="362"/>
      <c r="O4" s="414" t="s">
        <v>171</v>
      </c>
      <c r="P4" s="415"/>
      <c r="Q4" s="362"/>
      <c r="R4" s="87" t="s">
        <v>162</v>
      </c>
      <c r="S4" s="363"/>
      <c r="T4" s="87" t="s">
        <v>161</v>
      </c>
      <c r="U4" s="87" t="s">
        <v>160</v>
      </c>
      <c r="V4" s="170"/>
    </row>
    <row r="5" spans="1:22" x14ac:dyDescent="0.2">
      <c r="A5" s="169"/>
      <c r="B5" s="293" t="str">
        <f>Currency&amp;"HW_Volatility"&amp;QuoteSuffix</f>
        <v>USDHW_Volatility_Quote</v>
      </c>
      <c r="C5" s="293" t="str">
        <f>_xll.qlSimpleQuote(B5,,,Permanent,Trigger,ObjectOverwrite)</f>
        <v>USDHW_Volatility_Quote#0000</v>
      </c>
      <c r="D5" s="364" t="str">
        <f>_xll.ohRangeRetrieveError(C5)</f>
        <v/>
      </c>
      <c r="E5" s="170"/>
      <c r="G5" s="169"/>
      <c r="H5" s="370" t="s">
        <v>84</v>
      </c>
      <c r="I5" s="249" t="s">
        <v>168</v>
      </c>
      <c r="J5" s="180" t="s">
        <v>93</v>
      </c>
      <c r="K5" s="180" t="str">
        <f>I5&amp;H5&amp;J5&amp;"ATM"</f>
        <v>US2Y3LATM</v>
      </c>
      <c r="L5" s="85" t="str">
        <f>K5&amp;"="&amp;VLOOKUP($L$2,ContributorTable,2,FALSE)</f>
        <v>US2Y3LATM=ICAP</v>
      </c>
      <c r="M5" s="275">
        <v>63.57</v>
      </c>
      <c r="N5" s="362"/>
      <c r="O5" s="181" t="s">
        <v>170</v>
      </c>
      <c r="P5" s="365">
        <f>M5/100*IF(ISNUMBER(Swap3M4Y),Swap3M4Y/100,Swap6M4Y/100)</f>
        <v>9.2557920000000005E-3</v>
      </c>
      <c r="Q5" s="362"/>
      <c r="R5" s="365">
        <v>9.2685059999999993E-3</v>
      </c>
      <c r="S5" s="363"/>
      <c r="T5" s="365">
        <f t="array" ref="T5:T6">QuoteLive</f>
        <v>9.2557920000000005E-3</v>
      </c>
      <c r="U5" s="365">
        <f>_xll.qlSimpleQuoteSetValue(C5,T5,Trigger)</f>
        <v>0</v>
      </c>
      <c r="V5" s="170"/>
    </row>
    <row r="6" spans="1:22" x14ac:dyDescent="0.2">
      <c r="A6" s="169"/>
      <c r="B6" s="293" t="str">
        <f>Currency&amp;"HW_MeanReversion"&amp;QuoteSuffix</f>
        <v>USDHW_MeanReversion_Quote</v>
      </c>
      <c r="C6" s="293" t="str">
        <f>_xll.qlSimpleQuote(B6,,,Permanent,Trigger,ObjectOverwrite)</f>
        <v>USDHW_MeanReversion_Quote#0000</v>
      </c>
      <c r="D6" s="364" t="str">
        <f>_xll.ohRangeRetrieveError(C6)</f>
        <v/>
      </c>
      <c r="E6" s="170"/>
      <c r="G6" s="169"/>
      <c r="H6" s="371"/>
      <c r="I6" s="371"/>
      <c r="J6" s="371"/>
      <c r="K6" s="371"/>
      <c r="L6" s="372"/>
      <c r="M6" s="373"/>
      <c r="N6" s="362"/>
      <c r="O6" s="366" t="s">
        <v>169</v>
      </c>
      <c r="P6" s="367">
        <v>0.03</v>
      </c>
      <c r="Q6" s="362"/>
      <c r="R6" s="367">
        <v>0.03</v>
      </c>
      <c r="S6" s="363"/>
      <c r="T6" s="367">
        <v>0.03</v>
      </c>
      <c r="U6" s="367">
        <f>_xll.qlSimpleQuoteSetValue(C6,T6,Trigger)</f>
        <v>0</v>
      </c>
      <c r="V6" s="170"/>
    </row>
    <row r="7" spans="1:22" x14ac:dyDescent="0.2">
      <c r="A7" s="171"/>
      <c r="B7" s="172"/>
      <c r="C7" s="172"/>
      <c r="D7" s="172"/>
      <c r="E7" s="174"/>
      <c r="G7" s="171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4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87</vt:i4>
      </vt:variant>
    </vt:vector>
  </HeadingPairs>
  <TitlesOfParts>
    <vt:vector size="101" baseType="lpstr">
      <vt:lpstr>General Settings</vt:lpstr>
      <vt:lpstr>Libor</vt:lpstr>
      <vt:lpstr>Deposits</vt:lpstr>
      <vt:lpstr>FRA</vt:lpstr>
      <vt:lpstr>OIS</vt:lpstr>
      <vt:lpstr>Futures3M</vt:lpstr>
      <vt:lpstr>Swap1M</vt:lpstr>
      <vt:lpstr>Swap3M</vt:lpstr>
      <vt:lpstr>SwapIMM</vt:lpstr>
      <vt:lpstr>BasisSwap1MxM</vt:lpstr>
      <vt:lpstr>BasisSwap3M6M</vt:lpstr>
      <vt:lpstr>BasisSwapxM12M</vt:lpstr>
      <vt:lpstr>LiborSwapForBasisCalc</vt:lpstr>
      <vt:lpstr>FuturesHWConvAdj</vt:lpstr>
      <vt:lpstr>Area</vt:lpstr>
      <vt:lpstr>AreaIndex</vt:lpstr>
      <vt:lpstr>AreaTable</vt:lpstr>
      <vt:lpstr>Calendar</vt:lpstr>
      <vt:lpstr>BasisSwap1MxM!Contributor</vt:lpstr>
      <vt:lpstr>BasisSwap3M6M!Contributor</vt:lpstr>
      <vt:lpstr>BasisSwapxM12M!Contributor</vt:lpstr>
      <vt:lpstr>FRA!Contributor</vt:lpstr>
      <vt:lpstr>OIS!Contributor</vt:lpstr>
      <vt:lpstr>Swap3M!Contributor</vt:lpstr>
      <vt:lpstr>Contributors</vt:lpstr>
      <vt:lpstr>ContributorTable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BasisSwap1MxM!Instruments</vt:lpstr>
      <vt:lpstr>BasisSwapxM12M!Instruments</vt:lpstr>
      <vt:lpstr>FRA!Instruments</vt:lpstr>
      <vt:lpstr>OIS!Instruments</vt:lpstr>
      <vt:lpstr>Swap1M!Instruments</vt:lpstr>
      <vt:lpstr>Swap3M!Instruments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FRA!Quote</vt:lpstr>
      <vt:lpstr>Futures3M!Quote</vt:lpstr>
      <vt:lpstr>FuturesHWConvAdj!Quote</vt:lpstr>
      <vt:lpstr>OIS!Quote</vt:lpstr>
      <vt:lpstr>Swap1M!Quote</vt:lpstr>
      <vt:lpstr>Swap3M!Quote</vt:lpstr>
      <vt:lpstr>BasisSwap1MxM!QuoteLive</vt:lpstr>
      <vt:lpstr>BasisSwap3M6M!QuoteLive</vt:lpstr>
      <vt:lpstr>BasisSwapxM12M!QuoteLive</vt:lpstr>
      <vt:lpstr>Deposits!QuoteLive</vt:lpstr>
      <vt:lpstr>FRA!QuoteLive</vt:lpstr>
      <vt:lpstr>Futures3M!QuoteLive</vt:lpstr>
      <vt:lpstr>FuturesHWConvAdj!QuoteLive</vt:lpstr>
      <vt:lpstr>OIS!QuoteLive</vt:lpstr>
      <vt:lpstr>Swap1M!QuoteLive</vt:lpstr>
      <vt:lpstr>Swap3M!QuoteLive</vt:lpstr>
      <vt:lpstr>SwapIMM!QuoteLive</vt:lpstr>
      <vt:lpstr>BasisSwap1MxM!QuoteStatic</vt:lpstr>
      <vt:lpstr>BasisSwap3M6M!QuoteStatic</vt:lpstr>
      <vt:lpstr>BasisSwapxM12M!QuoteStatic</vt:lpstr>
      <vt:lpstr>Deposits!QuoteStatic</vt:lpstr>
      <vt:lpstr>FRA!QuoteStatic</vt:lpstr>
      <vt:lpstr>Futures3M!QuoteStatic</vt:lpstr>
      <vt:lpstr>FuturesHWConvAdj!QuoteStatic</vt:lpstr>
      <vt:lpstr>OIS!QuoteStatic</vt:lpstr>
      <vt:lpstr>Swap1M!QuoteStatic</vt:lpstr>
      <vt:lpstr>Swap3M!QuoteStatic</vt:lpstr>
      <vt:lpstr>SwapIMM!QuoteStatic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2013-12-12T21:53:52Z</dcterms:created>
  <dcterms:modified xsi:type="dcterms:W3CDTF">2015-05-14T09:32:44Z</dcterms:modified>
</cp:coreProperties>
</file>