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8765" yWindow="-15" windowWidth="18825" windowHeight="11460"/>
  </bookViews>
  <sheets>
    <sheet name="General Settings" sheetId="3" r:id="rId1"/>
    <sheet name="HKD_YCRH_Swaps_1M" sheetId="6" r:id="rId2"/>
    <sheet name="RateHelpers" sheetId="2" r:id="rId3"/>
    <sheet name="Selected" sheetId="4" r:id="rId4"/>
  </sheets>
  <definedNames>
    <definedName name="Accuracy">'General Settings'!$D$23</definedName>
    <definedName name="BondBasisDayCounter">'General Settings'!$J$16</definedName>
    <definedName name="Calendar" localSheetId="1">'General Settings'!$J$18</definedName>
    <definedName name="Calendar">'General Settings'!$D$18</definedName>
    <definedName name="Currency" localSheetId="1">'General Settings'!$J$14</definedName>
    <definedName name="Currency">'General Settings'!$D$4</definedName>
    <definedName name="DayCounter">'General Settings'!$D$19</definedName>
    <definedName name="DepoInclusionCriteria">Selected!$B$5</definedName>
    <definedName name="Discounting">'General Settings'!$J$20</definedName>
    <definedName name="Discounting2">'General Settings'!$J$21</definedName>
    <definedName name="DiscountingCurve" localSheetId="1">HKD_YCRH_Swaps_1M!$L$2</definedName>
    <definedName name="FamilyName">'General Settings'!$J$15</definedName>
    <definedName name="FileOverwrite">'General Settings'!$J$9</definedName>
    <definedName name="FrontFuturesRollingDays">Selected!$B$4</definedName>
    <definedName name="GENERAL_SETTINGS">'General Settings'!$H$12</definedName>
    <definedName name="IborType">'General Settings'!$D$7</definedName>
    <definedName name="IndexTenor">'General Settings'!$D$6</definedName>
    <definedName name="InterpolatorID">'General Settings'!$D$25</definedName>
    <definedName name="MinDistance">RateHelpers!$F$2:$F$12</definedName>
    <definedName name="MoneyMarketDayCounter">'General Settings'!$J$17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 localSheetId="1">'General Settings'!$J$6</definedName>
    <definedName name="ObjectOverwrite">'General Settings'!$D$12</definedName>
    <definedName name="Permanent" localSheetId="1">'General Settings'!$J$5</definedName>
    <definedName name="Permanent">'General Settings'!$D$10</definedName>
    <definedName name="QuoteSuffix">'General Settings'!$J$19</definedName>
    <definedName name="RateHelperPrefix">'General Settings'!$D$9</definedName>
    <definedName name="RateHelpers">RateHelpers!$A$2:$A$12</definedName>
    <definedName name="RateHelpersIncluded">RateHelpers!$D$2:$D$12</definedName>
    <definedName name="RateHelpersPriority">RateHelpers!$E$2:$E$12</definedName>
    <definedName name="RateHelpersSelected">Selected!$A$7</definedName>
    <definedName name="SerializationPath">'General Settings'!$J$8</definedName>
    <definedName name="Serialize">'General Settings'!$J$7</definedName>
    <definedName name="SwapFixedFreq">'General Settings'!$D$8</definedName>
    <definedName name="TraitsID">'General Settings'!$D$24</definedName>
    <definedName name="Trigger" localSheetId="1">'General Settings'!$J$4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J8" i="3" l="1"/>
  <c r="J20" i="3"/>
  <c r="J21" i="3"/>
  <c r="K2" i="6" l="1"/>
  <c r="K3" i="6" s="1"/>
  <c r="L2" i="6"/>
  <c r="H6" i="6"/>
  <c r="J6" i="6"/>
  <c r="H7" i="6"/>
  <c r="J7" i="6"/>
  <c r="K7" i="6"/>
  <c r="A3" i="2" s="1"/>
  <c r="H8" i="6"/>
  <c r="J8" i="6"/>
  <c r="H9" i="6"/>
  <c r="J9" i="6"/>
  <c r="H10" i="6"/>
  <c r="J10" i="6"/>
  <c r="K10" i="6"/>
  <c r="A6" i="2" s="1"/>
  <c r="H11" i="6"/>
  <c r="J11" i="6"/>
  <c r="H12" i="6"/>
  <c r="J12" i="6"/>
  <c r="H13" i="6"/>
  <c r="J13" i="6"/>
  <c r="K13" i="6"/>
  <c r="A9" i="2" s="1"/>
  <c r="H14" i="6"/>
  <c r="J14" i="6"/>
  <c r="K14" i="6"/>
  <c r="A10" i="2" s="1"/>
  <c r="H15" i="6"/>
  <c r="J15" i="6"/>
  <c r="H16" i="6"/>
  <c r="J16" i="6"/>
  <c r="K11" i="6" l="1"/>
  <c r="A7" i="2" s="1"/>
  <c r="K9" i="6"/>
  <c r="A5" i="2" s="1"/>
  <c r="K16" i="6"/>
  <c r="A12" i="2" s="1"/>
  <c r="K12" i="6"/>
  <c r="A8" i="2" s="1"/>
  <c r="K15" i="6"/>
  <c r="A11" i="2" s="1"/>
  <c r="K4" i="6"/>
  <c r="K6" i="6"/>
  <c r="A2" i="2" s="1"/>
  <c r="K8" i="6"/>
  <c r="A4" i="2" s="1"/>
  <c r="D6" i="3"/>
  <c r="L4" i="6"/>
  <c r="L8" i="6"/>
  <c r="B1" i="3"/>
  <c r="D21" i="3"/>
  <c r="L6" i="6"/>
  <c r="L9" i="6"/>
  <c r="L16" i="6"/>
  <c r="L12" i="6"/>
  <c r="L14" i="6"/>
  <c r="M4" i="6"/>
  <c r="L13" i="6"/>
  <c r="L7" i="6"/>
  <c r="M7" i="6" s="1"/>
  <c r="L15" i="6"/>
  <c r="L11" i="6"/>
  <c r="L10" i="6"/>
  <c r="L3" i="6"/>
  <c r="E21" i="3" l="1"/>
  <c r="D20" i="3"/>
  <c r="D9" i="3"/>
  <c r="D16" i="3"/>
  <c r="E20" i="3"/>
  <c r="M10" i="6"/>
  <c r="M14" i="6"/>
  <c r="M6" i="6"/>
  <c r="M11" i="6"/>
  <c r="M13" i="6"/>
  <c r="M16" i="6"/>
  <c r="M8" i="6"/>
  <c r="M15" i="6"/>
  <c r="M12" i="6"/>
  <c r="M9" i="6"/>
  <c r="D22" i="3"/>
  <c r="H4" i="2"/>
  <c r="E22" i="3"/>
  <c r="C4" i="2"/>
  <c r="B4" i="2"/>
  <c r="G4" i="2"/>
  <c r="M3" i="6"/>
  <c r="D4" i="2" l="1"/>
  <c r="G8" i="2"/>
  <c r="G12" i="2"/>
  <c r="C2" i="2"/>
  <c r="B7" i="2"/>
  <c r="B8" i="2"/>
  <c r="H2" i="2"/>
  <c r="C11" i="2"/>
  <c r="C7" i="2"/>
  <c r="G10" i="2"/>
  <c r="C5" i="2"/>
  <c r="H8" i="2"/>
  <c r="B9" i="2"/>
  <c r="H11" i="2"/>
  <c r="G9" i="2"/>
  <c r="B2" i="2"/>
  <c r="C8" i="2"/>
  <c r="H10" i="2"/>
  <c r="C9" i="2"/>
  <c r="H9" i="2"/>
  <c r="B10" i="2"/>
  <c r="H7" i="2"/>
  <c r="C3" i="2"/>
  <c r="G6" i="2"/>
  <c r="C6" i="2"/>
  <c r="G11" i="2"/>
  <c r="C12" i="2"/>
  <c r="B11" i="2"/>
  <c r="B3" i="2"/>
  <c r="B6" i="2"/>
  <c r="C10" i="2"/>
  <c r="G3" i="2"/>
  <c r="G2" i="2"/>
  <c r="G7" i="2"/>
  <c r="H6" i="2"/>
  <c r="H3" i="2"/>
  <c r="H12" i="2"/>
  <c r="H5" i="2"/>
  <c r="G5" i="2"/>
  <c r="B12" i="2"/>
  <c r="B5" i="2"/>
  <c r="D9" i="2" l="1"/>
  <c r="D3" i="2"/>
  <c r="D10" i="2"/>
  <c r="D8" i="2"/>
  <c r="D12" i="2"/>
  <c r="D6" i="2"/>
  <c r="D7" i="2"/>
  <c r="D5" i="2"/>
  <c r="D11" i="2"/>
  <c r="D2" i="2"/>
  <c r="D2" i="4" l="1" a="1"/>
  <c r="D9" i="4"/>
  <c r="D13" i="4"/>
  <c r="D3" i="4"/>
  <c r="D6" i="4"/>
  <c r="D7" i="4"/>
  <c r="D11" i="4"/>
  <c r="D12" i="4"/>
  <c r="D4" i="4"/>
  <c r="D8" i="4"/>
  <c r="D10" i="4"/>
  <c r="D5" i="4"/>
  <c r="D2" i="4"/>
  <c r="F3" i="4"/>
  <c r="E13" i="4"/>
  <c r="G4" i="4"/>
  <c r="H9" i="4"/>
  <c r="B6" i="4"/>
  <c r="G6" i="4"/>
  <c r="G8" i="4"/>
  <c r="G9" i="4"/>
  <c r="F12" i="4"/>
  <c r="H3" i="4"/>
  <c r="E12" i="4"/>
  <c r="F6" i="4"/>
  <c r="G11" i="4"/>
  <c r="H11" i="4"/>
  <c r="H8" i="4"/>
  <c r="G7" i="4"/>
  <c r="E4" i="4"/>
  <c r="H5" i="4"/>
  <c r="E11" i="4"/>
  <c r="E3" i="4"/>
  <c r="E8" i="4"/>
  <c r="E7" i="4"/>
  <c r="F7" i="4"/>
  <c r="F5" i="4"/>
  <c r="G13" i="4"/>
  <c r="E9" i="4"/>
  <c r="G3" i="4"/>
  <c r="F2" i="4"/>
  <c r="E10" i="4"/>
  <c r="H12" i="4"/>
  <c r="H4" i="4"/>
  <c r="E6" i="4"/>
  <c r="G10" i="4"/>
  <c r="H10" i="4"/>
  <c r="F8" i="4"/>
  <c r="F11" i="4"/>
  <c r="H6" i="4"/>
  <c r="F4" i="4"/>
  <c r="F9" i="4"/>
  <c r="H7" i="4"/>
  <c r="H2" i="4"/>
  <c r="E5" i="4"/>
  <c r="G12" i="4"/>
  <c r="F13" i="4"/>
  <c r="H13" i="4"/>
  <c r="G2" i="4"/>
  <c r="E2" i="4"/>
  <c r="G5" i="4"/>
  <c r="F10" i="4"/>
  <c r="C28" i="3"/>
  <c r="A7" i="4"/>
  <c r="B7" i="4"/>
  <c r="D14" i="3"/>
  <c r="I1" i="4" a="1"/>
  <c r="I7" i="4"/>
  <c r="I6" i="4"/>
  <c r="I4" i="4"/>
  <c r="I3" i="4"/>
  <c r="I13" i="4"/>
  <c r="I11" i="4"/>
  <c r="I10" i="4"/>
  <c r="I9" i="4"/>
  <c r="I8" i="4"/>
  <c r="I2" i="4"/>
  <c r="I1" i="4"/>
  <c r="I12" i="4"/>
  <c r="I5" i="4"/>
  <c r="C27" i="3"/>
  <c r="D15" i="3"/>
  <c r="D29" i="3"/>
  <c r="D28" i="3"/>
  <c r="D27" i="3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E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<sst xmlns="http://schemas.openxmlformats.org/spreadsheetml/2006/main" count="152" uniqueCount="100">
  <si>
    <t>Earliest Date</t>
  </si>
  <si>
    <t>Latest Date</t>
  </si>
  <si>
    <t>Include Flag</t>
  </si>
  <si>
    <t>Priority</t>
  </si>
  <si>
    <t>Calendar</t>
  </si>
  <si>
    <t>Currency</t>
  </si>
  <si>
    <t>Trigger</t>
  </si>
  <si>
    <t>General Settings</t>
  </si>
  <si>
    <t>Day Counter</t>
  </si>
  <si>
    <t>ObjectID</t>
  </si>
  <si>
    <t>NDays</t>
  </si>
  <si>
    <t>TraitsID</t>
  </si>
  <si>
    <t>InterpolatorID</t>
  </si>
  <si>
    <t>Permanent</t>
  </si>
  <si>
    <t>PiecewiseYieldCurve</t>
  </si>
  <si>
    <t>Error</t>
  </si>
  <si>
    <t>Quote Value</t>
  </si>
  <si>
    <t>FrontFuturesRollingDays</t>
  </si>
  <si>
    <t>DepoFuturesPriority</t>
  </si>
  <si>
    <t>Rate Helpers</t>
  </si>
  <si>
    <t>Rate Helpers Selected</t>
  </si>
  <si>
    <t>Rate Helpers Selection</t>
  </si>
  <si>
    <t>Accuracy</t>
  </si>
  <si>
    <t>RateHelperPrefix</t>
  </si>
  <si>
    <t>1Y</t>
  </si>
  <si>
    <t>AllDepos</t>
  </si>
  <si>
    <t>Conv. Adj. / Spread</t>
  </si>
  <si>
    <t>ObjectOverwrite</t>
  </si>
  <si>
    <t>nIMMFutures</t>
  </si>
  <si>
    <t>nSerialFutures</t>
  </si>
  <si>
    <t>depo</t>
  </si>
  <si>
    <t>fra</t>
  </si>
  <si>
    <t>long term futures</t>
  </si>
  <si>
    <t>swap</t>
  </si>
  <si>
    <t>short term futures</t>
  </si>
  <si>
    <t>IndexTenor</t>
  </si>
  <si>
    <t>Discount</t>
  </si>
  <si>
    <t>Jump Quotes</t>
  </si>
  <si>
    <t>Jump Dates</t>
  </si>
  <si>
    <t>Months</t>
  </si>
  <si>
    <t>IborType</t>
  </si>
  <si>
    <t>SwapFixedFreq</t>
  </si>
  <si>
    <t>exotic swap</t>
  </si>
  <si>
    <t>AM</t>
  </si>
  <si>
    <t>Jump Values</t>
  </si>
  <si>
    <t>Min Distance</t>
  </si>
  <si>
    <t>main ref depo</t>
  </si>
  <si>
    <t>Rate</t>
  </si>
  <si>
    <t>HKD</t>
  </si>
  <si>
    <t>1H</t>
  </si>
  <si>
    <t>HongKong::HKEx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</si>
  <si>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</si>
  <si>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</si>
  <si>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</si>
  <si>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</si>
  <si>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</si>
  <si>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</si>
  <si>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</si>
  <si>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</si>
  <si>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</si>
  <si>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</si>
  <si>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MonotonicLogCubicNaturalSpline</t>
  </si>
  <si>
    <t>HKD_YC1MRH_AM1H3M</t>
  </si>
  <si>
    <t>HKD_YC1MRH_AM1H6M</t>
  </si>
  <si>
    <t>HKD_YC1MRH_AM1H9M</t>
  </si>
  <si>
    <t>HKD_YC1MRH_AM1H1Y</t>
  </si>
  <si>
    <t>Discounting2</t>
  </si>
  <si>
    <t>Discounting</t>
  </si>
  <si>
    <t>_Quote</t>
  </si>
  <si>
    <t>QuoteSuffix</t>
  </si>
  <si>
    <t>Actual/365 (Fixed)</t>
  </si>
  <si>
    <t>MoneyMarketDayCounter</t>
  </si>
  <si>
    <t>BondBasisDayCounter</t>
  </si>
  <si>
    <t>Hibor</t>
  </si>
  <si>
    <t>FamilyName</t>
  </si>
  <si>
    <t>ADDITIONAL SETTINGS</t>
  </si>
  <si>
    <t>FileOverwrite</t>
  </si>
  <si>
    <t>SerializationPath</t>
  </si>
  <si>
    <t>Serialize</t>
  </si>
  <si>
    <t>GENERAL SETTINGS</t>
  </si>
  <si>
    <t>Modified Following</t>
  </si>
  <si>
    <t>Annual</t>
  </si>
  <si>
    <t>AM1H</t>
  </si>
  <si>
    <t>0D</t>
  </si>
  <si>
    <t>Actual/360</t>
  </si>
  <si>
    <t>Following</t>
  </si>
  <si>
    <t>UnitedKingdom::Exchange</t>
  </si>
  <si>
    <t>dc</t>
  </si>
  <si>
    <t>eom</t>
  </si>
  <si>
    <t>bdc</t>
  </si>
  <si>
    <t>calendar</t>
  </si>
  <si>
    <t>fix days</t>
  </si>
  <si>
    <t>Quote Object ID</t>
  </si>
  <si>
    <t>Spread</t>
  </si>
  <si>
    <t>Day Count Convention</t>
  </si>
  <si>
    <t>Business Day Convention</t>
  </si>
  <si>
    <t>Freq</t>
  </si>
  <si>
    <t>Length</t>
  </si>
  <si>
    <t>Fwd start</t>
  </si>
  <si>
    <t>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</si>
</sst>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65" formatCode="0.0000%"/>
    <numFmt numFmtId="166" formatCode="ddd\,\ d\-mmm\-yy"/>
    <numFmt numFmtId="167" formatCode="ddd\,\ dd\-mmm\-yyyy"/>
    <numFmt numFmtId="168" formatCode="0.000000000"/>
    <numFmt numFmtId="170" formatCode="ddd\,\ dd\-mmm\-yyyy\,\ hh:mm:ss"/>
    <numFmt numFmtId="171" formatCode="ddd\,\ d\-mmm\-yyyy\,\ hh:mm:ss"/>
    <numFmt numFmtId="172" formatCode="ddd\,\ d\-mmm\-yyyy"/>
    <numFmt numFmtId="173" formatCode="General_)"/>
    <numFmt numFmtId="174" formatCode="#,##0.0;#,##0.0"/>
    <numFmt numFmtId="175" formatCode="&quot;£&quot;#,##0;[Red]\-&quot;£&quot;#,##0"/>
    <numFmt numFmtId="176" formatCode="[$-409]d\-mmm\-yy;@"/>
  </numFmts>
  <fonts count="2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10"/>
      <name val="Arial"/>
      <family val="2"/>
    </font>
    <font>
      <sz val="8"/>
      <color indexed="81"/>
      <name val="Tahoma"/>
      <family val="2"/>
    </font>
    <font>
      <sz val="14"/>
      <name val="Arial"/>
      <family val="2"/>
    </font>
    <font>
      <b/>
      <sz val="8"/>
      <name val="Courier New"/>
      <family val="3"/>
    </font>
    <font>
      <sz val="8"/>
      <name val="Courier New"/>
      <family val="3"/>
    </font>
    <font>
      <sz val="8"/>
      <color indexed="10"/>
      <name val="Courier New"/>
      <family val="3"/>
    </font>
    <font>
      <sz val="10"/>
      <name val="MS Sans Serif"/>
      <family val="2"/>
    </font>
    <font>
      <sz val="8"/>
      <name val="Microsoft Sans Serif"/>
      <family val="2"/>
    </font>
    <font>
      <sz val="8"/>
      <name val="MS Sans Serif"/>
      <family val="2"/>
    </font>
    <font>
      <b/>
      <sz val="12"/>
      <name val="MS Sans Serif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u/>
      <sz val="8"/>
      <name val="Arial"/>
      <family val="2"/>
    </font>
    <font>
      <sz val="8"/>
      <color indexed="10"/>
      <name val="Microsoft Sans Serif"/>
      <family val="2"/>
    </font>
    <font>
      <i/>
      <sz val="8"/>
      <name val="Microsoft Sans Serif"/>
      <family val="2"/>
    </font>
    <font>
      <sz val="5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65"/>
        <bgColor indexed="64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9">
    <xf numFmtId="0" fontId="0" fillId="0" borderId="0"/>
    <xf numFmtId="0" fontId="2" fillId="0" borderId="0"/>
    <xf numFmtId="9" fontId="1" fillId="0" borderId="0" applyFont="0" applyFill="0" applyBorder="0" applyAlignment="0" applyProtection="0"/>
    <xf numFmtId="38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173" fontId="17" fillId="0" borderId="0"/>
    <xf numFmtId="174" fontId="18" fillId="9" borderId="0">
      <alignment horizontal="center" vertical="center"/>
    </xf>
    <xf numFmtId="175" fontId="16" fillId="0" borderId="0" applyFont="0" applyFill="0" applyBorder="0" applyAlignment="0" applyProtection="0"/>
    <xf numFmtId="175" fontId="16" fillId="0" borderId="0" applyFont="0" applyFill="0" applyBorder="0" applyAlignment="0" applyProtection="0"/>
  </cellStyleXfs>
  <cellXfs count="141">
    <xf numFmtId="0" fontId="0" fillId="0" borderId="0" xfId="0"/>
    <xf numFmtId="0" fontId="4" fillId="4" borderId="0" xfId="1" applyFont="1" applyFill="1"/>
    <xf numFmtId="0" fontId="4" fillId="2" borderId="8" xfId="1" applyFont="1" applyFill="1" applyBorder="1"/>
    <xf numFmtId="0" fontId="3" fillId="2" borderId="0" xfId="1" applyFont="1" applyFill="1" applyBorder="1"/>
    <xf numFmtId="0" fontId="4" fillId="2" borderId="0" xfId="1" applyFont="1" applyFill="1" applyBorder="1"/>
    <xf numFmtId="0" fontId="4" fillId="2" borderId="9" xfId="1" applyFont="1" applyFill="1" applyBorder="1"/>
    <xf numFmtId="0" fontId="4" fillId="0" borderId="0" xfId="1" applyFont="1"/>
    <xf numFmtId="0" fontId="4" fillId="5" borderId="10" xfId="1" applyFont="1" applyFill="1" applyBorder="1"/>
    <xf numFmtId="0" fontId="4" fillId="2" borderId="2" xfId="1" applyFont="1" applyFill="1" applyBorder="1" applyAlignment="1">
      <alignment horizontal="center"/>
    </xf>
    <xf numFmtId="0" fontId="4" fillId="5" borderId="13" xfId="1" applyFont="1" applyFill="1" applyBorder="1"/>
    <xf numFmtId="0" fontId="4" fillId="2" borderId="4" xfId="0" applyFont="1" applyFill="1" applyBorder="1" applyAlignment="1">
      <alignment horizontal="center"/>
    </xf>
    <xf numFmtId="0" fontId="4" fillId="5" borderId="13" xfId="0" applyFont="1" applyFill="1" applyBorder="1"/>
    <xf numFmtId="171" fontId="4" fillId="2" borderId="4" xfId="0" applyNumberFormat="1" applyFont="1" applyFill="1" applyBorder="1" applyAlignment="1">
      <alignment horizontal="center"/>
    </xf>
    <xf numFmtId="0" fontId="4" fillId="5" borderId="16" xfId="0" applyFont="1" applyFill="1" applyBorder="1"/>
    <xf numFmtId="0" fontId="4" fillId="2" borderId="6" xfId="0" applyFont="1" applyFill="1" applyBorder="1" applyAlignment="1">
      <alignment horizontal="center"/>
    </xf>
    <xf numFmtId="170" fontId="4" fillId="2" borderId="0" xfId="1" applyNumberFormat="1" applyFont="1" applyFill="1" applyBorder="1" applyAlignment="1">
      <alignment horizontal="center"/>
    </xf>
    <xf numFmtId="0" fontId="3" fillId="5" borderId="10" xfId="0" applyFont="1" applyFill="1" applyBorder="1" applyAlignment="1">
      <alignment horizontal="right"/>
    </xf>
    <xf numFmtId="166" fontId="4" fillId="6" borderId="2" xfId="0" quotePrefix="1" applyNumberFormat="1" applyFont="1" applyFill="1" applyBorder="1" applyAlignment="1">
      <alignment horizontal="center"/>
    </xf>
    <xf numFmtId="0" fontId="3" fillId="5" borderId="16" xfId="0" applyFont="1" applyFill="1" applyBorder="1" applyAlignment="1">
      <alignment horizontal="right"/>
    </xf>
    <xf numFmtId="1" fontId="6" fillId="6" borderId="6" xfId="0" applyNumberFormat="1" applyFont="1" applyFill="1" applyBorder="1" applyAlignment="1">
      <alignment horizontal="left"/>
    </xf>
    <xf numFmtId="166" fontId="4" fillId="7" borderId="2" xfId="0" applyNumberFormat="1" applyFont="1" applyFill="1" applyBorder="1" applyAlignment="1">
      <alignment horizontal="center"/>
    </xf>
    <xf numFmtId="0" fontId="3" fillId="5" borderId="13" xfId="0" applyFont="1" applyFill="1" applyBorder="1" applyAlignment="1">
      <alignment horizontal="right"/>
    </xf>
    <xf numFmtId="0" fontId="4" fillId="2" borderId="4" xfId="1" applyFont="1" applyFill="1" applyBorder="1" applyAlignment="1">
      <alignment horizontal="center"/>
    </xf>
    <xf numFmtId="11" fontId="4" fillId="7" borderId="3" xfId="0" applyNumberFormat="1" applyFont="1" applyFill="1" applyBorder="1" applyAlignment="1">
      <alignment horizontal="center"/>
    </xf>
    <xf numFmtId="172" fontId="4" fillId="7" borderId="3" xfId="0" applyNumberFormat="1" applyFont="1" applyFill="1" applyBorder="1" applyAlignment="1">
      <alignment horizontal="center"/>
    </xf>
    <xf numFmtId="172" fontId="4" fillId="2" borderId="4" xfId="1" applyNumberFormat="1" applyFont="1" applyFill="1" applyBorder="1" applyAlignment="1">
      <alignment horizontal="center"/>
    </xf>
    <xf numFmtId="165" fontId="4" fillId="7" borderId="3" xfId="0" applyNumberFormat="1" applyFont="1" applyFill="1" applyBorder="1" applyAlignment="1">
      <alignment horizontal="center"/>
    </xf>
    <xf numFmtId="165" fontId="4" fillId="2" borderId="6" xfId="1" applyNumberFormat="1" applyFont="1" applyFill="1" applyBorder="1" applyAlignment="1">
      <alignment horizontal="center"/>
    </xf>
    <xf numFmtId="11" fontId="4" fillId="7" borderId="4" xfId="0" applyNumberFormat="1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/>
    </xf>
    <xf numFmtId="0" fontId="4" fillId="7" borderId="6" xfId="0" applyFont="1" applyFill="1" applyBorder="1" applyAlignment="1">
      <alignment horizontal="center"/>
    </xf>
    <xf numFmtId="168" fontId="4" fillId="2" borderId="2" xfId="0" applyNumberFormat="1" applyFont="1" applyFill="1" applyBorder="1" applyAlignment="1">
      <alignment horizontal="center"/>
    </xf>
    <xf numFmtId="167" fontId="4" fillId="2" borderId="16" xfId="0" applyNumberFormat="1" applyFont="1" applyFill="1" applyBorder="1" applyAlignment="1">
      <alignment horizontal="right"/>
    </xf>
    <xf numFmtId="0" fontId="4" fillId="2" borderId="6" xfId="0" applyFont="1" applyFill="1" applyBorder="1" applyAlignment="1">
      <alignment horizontal="left"/>
    </xf>
    <xf numFmtId="0" fontId="4" fillId="2" borderId="14" xfId="1" applyFont="1" applyFill="1" applyBorder="1"/>
    <xf numFmtId="0" fontId="4" fillId="2" borderId="17" xfId="1" applyFont="1" applyFill="1" applyBorder="1"/>
    <xf numFmtId="0" fontId="4" fillId="2" borderId="15" xfId="1" applyFont="1" applyFill="1" applyBorder="1"/>
    <xf numFmtId="0" fontId="10" fillId="0" borderId="0" xfId="0" applyFont="1"/>
    <xf numFmtId="0" fontId="9" fillId="3" borderId="18" xfId="0" applyFont="1" applyFill="1" applyBorder="1" applyAlignment="1">
      <alignment horizontal="center" vertical="center" wrapText="1"/>
    </xf>
    <xf numFmtId="0" fontId="9" fillId="3" borderId="19" xfId="0" applyFont="1" applyFill="1" applyBorder="1" applyAlignment="1">
      <alignment horizontal="center" vertical="center" wrapText="1"/>
    </xf>
    <xf numFmtId="0" fontId="9" fillId="3" borderId="20" xfId="0" applyFont="1" applyFill="1" applyBorder="1" applyAlignment="1">
      <alignment horizontal="center" vertical="center" wrapText="1"/>
    </xf>
    <xf numFmtId="168" fontId="10" fillId="0" borderId="0" xfId="0" applyNumberFormat="1" applyFont="1"/>
    <xf numFmtId="0" fontId="9" fillId="5" borderId="21" xfId="0" applyFont="1" applyFill="1" applyBorder="1" applyAlignment="1">
      <alignment horizontal="right"/>
    </xf>
    <xf numFmtId="3" fontId="10" fillId="7" borderId="22" xfId="0" applyNumberFormat="1" applyFont="1" applyFill="1" applyBorder="1" applyAlignment="1">
      <alignment horizontal="center"/>
    </xf>
    <xf numFmtId="0" fontId="10" fillId="2" borderId="8" xfId="0" applyFont="1" applyFill="1" applyBorder="1" applyAlignment="1"/>
    <xf numFmtId="165" fontId="10" fillId="2" borderId="0" xfId="0" applyNumberFormat="1" applyFont="1" applyFill="1" applyBorder="1" applyAlignment="1"/>
    <xf numFmtId="167" fontId="10" fillId="2" borderId="0" xfId="0" applyNumberFormat="1" applyFont="1" applyFill="1" applyBorder="1" applyAlignment="1"/>
    <xf numFmtId="167" fontId="10" fillId="2" borderId="9" xfId="0" applyNumberFormat="1" applyFont="1" applyFill="1" applyBorder="1" applyAlignment="1"/>
    <xf numFmtId="0" fontId="9" fillId="5" borderId="23" xfId="0" applyFont="1" applyFill="1" applyBorder="1" applyAlignment="1">
      <alignment horizontal="right"/>
    </xf>
    <xf numFmtId="3" fontId="10" fillId="7" borderId="24" xfId="0" applyNumberFormat="1" applyFont="1" applyFill="1" applyBorder="1" applyAlignment="1">
      <alignment horizontal="center"/>
    </xf>
    <xf numFmtId="0" fontId="10" fillId="7" borderId="24" xfId="0" applyFont="1" applyFill="1" applyBorder="1" applyAlignment="1">
      <alignment horizontal="center"/>
    </xf>
    <xf numFmtId="0" fontId="11" fillId="6" borderId="24" xfId="0" applyFont="1" applyFill="1" applyBorder="1" applyAlignment="1">
      <alignment horizontal="left"/>
    </xf>
    <xf numFmtId="0" fontId="10" fillId="0" borderId="25" xfId="0" applyFont="1" applyBorder="1"/>
    <xf numFmtId="0" fontId="11" fillId="6" borderId="26" xfId="0" applyFont="1" applyFill="1" applyBorder="1" applyAlignment="1">
      <alignment horizontal="left"/>
    </xf>
    <xf numFmtId="0" fontId="10" fillId="2" borderId="14" xfId="0" applyFont="1" applyFill="1" applyBorder="1" applyAlignment="1"/>
    <xf numFmtId="165" fontId="10" fillId="2" borderId="17" xfId="0" applyNumberFormat="1" applyFont="1" applyFill="1" applyBorder="1" applyAlignment="1"/>
    <xf numFmtId="167" fontId="10" fillId="2" borderId="17" xfId="0" applyNumberFormat="1" applyFont="1" applyFill="1" applyBorder="1" applyAlignment="1"/>
    <xf numFmtId="167" fontId="10" fillId="2" borderId="15" xfId="0" applyNumberFormat="1" applyFont="1" applyFill="1" applyBorder="1" applyAlignment="1"/>
    <xf numFmtId="0" fontId="10" fillId="0" borderId="0" xfId="0" applyFont="1" applyAlignment="1">
      <alignment horizontal="left"/>
    </xf>
    <xf numFmtId="167" fontId="4" fillId="2" borderId="10" xfId="0" applyNumberFormat="1" applyFont="1" applyFill="1" applyBorder="1" applyAlignment="1">
      <alignment horizontal="right"/>
    </xf>
    <xf numFmtId="167" fontId="4" fillId="2" borderId="13" xfId="0" applyNumberFormat="1" applyFont="1" applyFill="1" applyBorder="1" applyAlignment="1">
      <alignment horizontal="right"/>
    </xf>
    <xf numFmtId="0" fontId="2" fillId="2" borderId="2" xfId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3" fontId="2" fillId="7" borderId="4" xfId="0" applyNumberFormat="1" applyFont="1" applyFill="1" applyBorder="1" applyAlignment="1">
      <alignment horizontal="center"/>
    </xf>
    <xf numFmtId="0" fontId="2" fillId="2" borderId="4" xfId="1" applyFont="1" applyFill="1" applyBorder="1" applyAlignment="1">
      <alignment horizontal="center"/>
    </xf>
    <xf numFmtId="0" fontId="9" fillId="3" borderId="7" xfId="0" applyFont="1" applyFill="1" applyBorder="1" applyAlignment="1">
      <alignment horizontal="center" vertical="center" wrapText="1"/>
    </xf>
    <xf numFmtId="165" fontId="10" fillId="2" borderId="0" xfId="2" applyNumberFormat="1" applyFont="1" applyFill="1" applyBorder="1" applyAlignment="1">
      <alignment horizontal="right"/>
    </xf>
    <xf numFmtId="0" fontId="10" fillId="2" borderId="0" xfId="0" applyFont="1" applyFill="1" applyBorder="1" applyAlignment="1">
      <alignment horizontal="center"/>
    </xf>
    <xf numFmtId="172" fontId="10" fillId="2" borderId="0" xfId="0" applyNumberFormat="1" applyFont="1" applyFill="1" applyBorder="1" applyAlignment="1">
      <alignment horizontal="right"/>
    </xf>
    <xf numFmtId="172" fontId="10" fillId="2" borderId="4" xfId="0" applyNumberFormat="1" applyFont="1" applyFill="1" applyBorder="1" applyAlignment="1">
      <alignment horizontal="right"/>
    </xf>
    <xf numFmtId="165" fontId="10" fillId="2" borderId="1" xfId="2" applyNumberFormat="1" applyFont="1" applyFill="1" applyBorder="1" applyAlignment="1">
      <alignment horizontal="right"/>
    </xf>
    <xf numFmtId="0" fontId="10" fillId="2" borderId="1" xfId="0" applyFont="1" applyFill="1" applyBorder="1" applyAlignment="1">
      <alignment horizontal="center"/>
    </xf>
    <xf numFmtId="172" fontId="10" fillId="2" borderId="1" xfId="0" applyNumberFormat="1" applyFont="1" applyFill="1" applyBorder="1" applyAlignment="1">
      <alignment horizontal="right"/>
    </xf>
    <xf numFmtId="172" fontId="10" fillId="2" borderId="6" xfId="0" applyNumberFormat="1" applyFont="1" applyFill="1" applyBorder="1" applyAlignment="1">
      <alignment horizontal="right"/>
    </xf>
    <xf numFmtId="0" fontId="0" fillId="2" borderId="15" xfId="0" applyFill="1" applyBorder="1"/>
    <xf numFmtId="0" fontId="0" fillId="2" borderId="17" xfId="0" applyFill="1" applyBorder="1"/>
    <xf numFmtId="0" fontId="0" fillId="2" borderId="14" xfId="0" applyFill="1" applyBorder="1"/>
    <xf numFmtId="0" fontId="12" fillId="2" borderId="9" xfId="0" applyFont="1" applyFill="1" applyBorder="1"/>
    <xf numFmtId="171" fontId="13" fillId="6" borderId="29" xfId="0" applyNumberFormat="1" applyFont="1" applyFill="1" applyBorder="1" applyAlignment="1" applyProtection="1">
      <alignment horizontal="center"/>
    </xf>
    <xf numFmtId="0" fontId="14" fillId="5" borderId="7" xfId="0" applyFont="1" applyFill="1" applyBorder="1"/>
    <xf numFmtId="0" fontId="12" fillId="2" borderId="8" xfId="0" applyFont="1" applyFill="1" applyBorder="1"/>
    <xf numFmtId="171" fontId="13" fillId="6" borderId="29" xfId="0" quotePrefix="1" applyNumberFormat="1" applyFont="1" applyFill="1" applyBorder="1" applyAlignment="1" applyProtection="1">
      <alignment horizontal="center"/>
    </xf>
    <xf numFmtId="0" fontId="12" fillId="2" borderId="0" xfId="0" applyFont="1" applyFill="1" applyBorder="1"/>
    <xf numFmtId="0" fontId="13" fillId="2" borderId="15" xfId="0" applyFont="1" applyFill="1" applyBorder="1"/>
    <xf numFmtId="0" fontId="13" fillId="2" borderId="17" xfId="0" applyFont="1" applyFill="1" applyBorder="1"/>
    <xf numFmtId="0" fontId="13" fillId="2" borderId="14" xfId="0" applyFont="1" applyFill="1" applyBorder="1"/>
    <xf numFmtId="15" fontId="13" fillId="2" borderId="9" xfId="0" applyNumberFormat="1" applyFont="1" applyFill="1" applyBorder="1"/>
    <xf numFmtId="0" fontId="13" fillId="5" borderId="7" xfId="0" applyNumberFormat="1" applyFont="1" applyFill="1" applyBorder="1"/>
    <xf numFmtId="0" fontId="13" fillId="2" borderId="8" xfId="0" applyFont="1" applyFill="1" applyBorder="1"/>
    <xf numFmtId="171" fontId="13" fillId="6" borderId="29" xfId="0" quotePrefix="1" applyNumberFormat="1" applyFont="1" applyFill="1" applyBorder="1" applyAlignment="1" applyProtection="1">
      <alignment horizontal="left"/>
    </xf>
    <xf numFmtId="0" fontId="13" fillId="2" borderId="9" xfId="0" applyFont="1" applyFill="1" applyBorder="1"/>
    <xf numFmtId="0" fontId="13" fillId="2" borderId="0" xfId="0" applyFont="1" applyFill="1" applyBorder="1"/>
    <xf numFmtId="0" fontId="2" fillId="0" borderId="0" xfId="0" applyFont="1"/>
    <xf numFmtId="0" fontId="2" fillId="0" borderId="0" xfId="0" applyFont="1" applyAlignment="1">
      <alignment horizontal="left"/>
    </xf>
    <xf numFmtId="0" fontId="2" fillId="2" borderId="15" xfId="0" applyFont="1" applyFill="1" applyBorder="1" applyAlignment="1">
      <alignment horizontal="left"/>
    </xf>
    <xf numFmtId="0" fontId="2" fillId="2" borderId="17" xfId="0" applyFont="1" applyFill="1" applyBorder="1" applyAlignment="1">
      <alignment horizontal="left"/>
    </xf>
    <xf numFmtId="0" fontId="2" fillId="2" borderId="17" xfId="0" applyFont="1" applyFill="1" applyBorder="1"/>
    <xf numFmtId="0" fontId="2" fillId="2" borderId="14" xfId="0" applyFont="1" applyFill="1" applyBorder="1"/>
    <xf numFmtId="0" fontId="19" fillId="2" borderId="9" xfId="0" applyFont="1" applyFill="1" applyBorder="1"/>
    <xf numFmtId="0" fontId="2" fillId="2" borderId="0" xfId="0" applyFont="1" applyFill="1" applyBorder="1" applyAlignment="1"/>
    <xf numFmtId="165" fontId="2" fillId="2" borderId="0" xfId="0" applyNumberFormat="1" applyFont="1" applyFill="1" applyBorder="1" applyAlignment="1"/>
    <xf numFmtId="0" fontId="2" fillId="2" borderId="0" xfId="0" applyFont="1" applyFill="1" applyBorder="1" applyAlignment="1">
      <alignment horizontal="center"/>
    </xf>
    <xf numFmtId="0" fontId="2" fillId="2" borderId="0" xfId="0" applyNumberFormat="1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0" fillId="6" borderId="7" xfId="0" applyNumberFormat="1" applyFont="1" applyFill="1" applyBorder="1" applyAlignment="1" applyProtection="1">
      <alignment horizontal="left" vertical="center"/>
    </xf>
    <xf numFmtId="0" fontId="2" fillId="2" borderId="7" xfId="0" applyNumberFormat="1" applyFont="1" applyFill="1" applyBorder="1" applyAlignment="1"/>
    <xf numFmtId="0" fontId="2" fillId="2" borderId="7" xfId="0" applyFont="1" applyFill="1" applyBorder="1" applyAlignment="1"/>
    <xf numFmtId="165" fontId="2" fillId="2" borderId="7" xfId="0" applyNumberFormat="1" applyFont="1" applyFill="1" applyBorder="1" applyAlignment="1"/>
    <xf numFmtId="0" fontId="2" fillId="2" borderId="1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7" xfId="0" applyNumberFormat="1" applyFont="1" applyFill="1" applyBorder="1" applyAlignment="1">
      <alignment horizontal="center"/>
    </xf>
    <xf numFmtId="0" fontId="2" fillId="2" borderId="0" xfId="0" applyFont="1" applyFill="1" applyBorder="1"/>
    <xf numFmtId="0" fontId="2" fillId="2" borderId="8" xfId="0" applyFont="1" applyFill="1" applyBorder="1"/>
    <xf numFmtId="0" fontId="13" fillId="5" borderId="27" xfId="0" applyFont="1" applyFill="1" applyBorder="1" applyAlignment="1">
      <alignment horizontal="center"/>
    </xf>
    <xf numFmtId="176" fontId="6" fillId="6" borderId="7" xfId="0" applyNumberFormat="1" applyFont="1" applyFill="1" applyBorder="1" applyAlignment="1" applyProtection="1">
      <alignment horizontal="left"/>
    </xf>
    <xf numFmtId="0" fontId="2" fillId="2" borderId="7" xfId="0" applyFont="1" applyFill="1" applyBorder="1"/>
    <xf numFmtId="0" fontId="2" fillId="0" borderId="7" xfId="0" applyFont="1" applyBorder="1" applyAlignment="1">
      <alignment horizontal="left"/>
    </xf>
    <xf numFmtId="0" fontId="21" fillId="2" borderId="27" xfId="0" applyFont="1" applyFill="1" applyBorder="1" applyAlignment="1">
      <alignment horizontal="center"/>
    </xf>
    <xf numFmtId="0" fontId="13" fillId="6" borderId="7" xfId="0" applyNumberFormat="1" applyFont="1" applyFill="1" applyBorder="1" applyAlignment="1" applyProtection="1">
      <alignment horizontal="center" vertical="center"/>
    </xf>
    <xf numFmtId="0" fontId="21" fillId="2" borderId="7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center" vertical="center" wrapText="1"/>
    </xf>
    <xf numFmtId="0" fontId="19" fillId="2" borderId="12" xfId="0" applyFont="1" applyFill="1" applyBorder="1"/>
    <xf numFmtId="0" fontId="2" fillId="2" borderId="35" xfId="0" applyFont="1" applyFill="1" applyBorder="1"/>
    <xf numFmtId="0" fontId="2" fillId="2" borderId="35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4" fillId="2" borderId="17" xfId="1" applyFont="1" applyFill="1" applyBorder="1" applyAlignment="1">
      <alignment horizontal="center"/>
    </xf>
    <xf numFmtId="0" fontId="8" fillId="8" borderId="27" xfId="1" applyFont="1" applyFill="1" applyBorder="1" applyAlignment="1">
      <alignment horizontal="center"/>
    </xf>
    <xf numFmtId="0" fontId="8" fillId="8" borderId="28" xfId="1" applyFont="1" applyFill="1" applyBorder="1" applyAlignment="1">
      <alignment horizontal="center"/>
    </xf>
    <xf numFmtId="0" fontId="8" fillId="0" borderId="29" xfId="0" applyFont="1" applyBorder="1" applyAlignment="1"/>
    <xf numFmtId="0" fontId="15" fillId="8" borderId="34" xfId="0" applyFont="1" applyFill="1" applyBorder="1" applyAlignment="1">
      <alignment horizontal="center"/>
    </xf>
    <xf numFmtId="0" fontId="15" fillId="8" borderId="33" xfId="0" applyFont="1" applyFill="1" applyBorder="1" applyAlignment="1">
      <alignment horizontal="center"/>
    </xf>
    <xf numFmtId="0" fontId="15" fillId="8" borderId="32" xfId="0" applyFont="1" applyFill="1" applyBorder="1" applyAlignment="1">
      <alignment horizontal="center"/>
    </xf>
    <xf numFmtId="0" fontId="9" fillId="3" borderId="30" xfId="0" applyFont="1" applyFill="1" applyBorder="1" applyAlignment="1">
      <alignment horizontal="center" vertical="center" wrapText="1"/>
    </xf>
    <xf numFmtId="0" fontId="9" fillId="3" borderId="31" xfId="0" applyFont="1" applyFill="1" applyBorder="1" applyAlignment="1">
      <alignment horizontal="center" vertical="center" wrapText="1"/>
    </xf>
    <xf numFmtId="0" fontId="21" fillId="2" borderId="7" xfId="0" applyFont="1" applyFill="1" applyBorder="1" applyAlignment="1">
      <alignment horizontal="center"/>
    </xf>
    <xf numFmtId="0" fontId="13" fillId="5" borderId="7" xfId="0" applyFont="1" applyFill="1" applyBorder="1" applyAlignment="1">
      <alignment horizontal="center"/>
    </xf>
    <xf numFmtId="0" fontId="10" fillId="2" borderId="3" xfId="0" applyFont="1" applyFill="1" applyBorder="1" applyAlignment="1">
      <alignment horizontal="left"/>
    </xf>
    <xf numFmtId="0" fontId="10" fillId="2" borderId="5" xfId="0" applyFont="1" applyFill="1" applyBorder="1" applyAlignment="1">
      <alignment horizontal="left"/>
    </xf>
    <xf numFmtId="0" fontId="10" fillId="0" borderId="0" xfId="0" quotePrefix="1" applyFont="1" applyAlignment="1">
      <alignment horizontal="left"/>
    </xf>
    <xf numFmtId="0" fontId="10" fillId="0" borderId="0" xfId="0" quotePrefix="1" applyFont="1"/>
    <xf numFmtId="0" fontId="22" fillId="0" borderId="0" xfId="0" applyFont="1"/>
  </cellXfs>
  <cellStyles count="9">
    <cellStyle name="Migliaia (0)_AZIONI" xfId="3"/>
    <cellStyle name="Migliaia_AZIONI" xfId="4"/>
    <cellStyle name="Normal" xfId="0" builtinId="0"/>
    <cellStyle name="Normal_SwaptionATMVols" xfId="1"/>
    <cellStyle name="Normale_AZIONI" xfId="5"/>
    <cellStyle name="Percent" xfId="2" builtinId="5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D68"/>
  <sheetViews>
    <sheetView tabSelected="1" workbookViewId="0"/>
  </sheetViews>
  <sheetFormatPr defaultColWidth="8" defaultRowHeight="11.25" x14ac:dyDescent="0.2"/>
  <cols>
    <col min="1" max="2" width="2.7109375" style="6" customWidth="1"/>
    <col min="3" max="3" width="18" style="6" bestFit="1" customWidth="1"/>
    <col min="4" max="4" width="23.85546875" style="6" bestFit="1" customWidth="1"/>
    <col min="5" max="5" width="22" style="6" bestFit="1" customWidth="1"/>
    <col min="6" max="8" width="2.7109375" style="6" customWidth="1"/>
    <col min="9" max="9" width="18.5703125" style="6" bestFit="1" customWidth="1"/>
    <col min="10" max="10" width="33.42578125" style="6" bestFit="1" customWidth="1"/>
    <col min="11" max="11" width="2.7109375" style="6" customWidth="1"/>
    <col min="12" max="16384" width="8" style="6"/>
  </cols>
  <sheetData>
    <row r="1" spans="1:30" s="1" customFormat="1" ht="12" thickBot="1" x14ac:dyDescent="0.25">
      <c r="B1" s="1" t="str">
        <f>_xll.qlxlVersion(TRUE,Trigger)</f>
        <v>QuantLibXL 1.3.0 - MS VC++ 9.0 - Multithreaded Static Runtime library - Release Configuration - Nov 12 2013 12:02:30</v>
      </c>
    </row>
    <row r="2" spans="1:30" s="1" customFormat="1" ht="18" x14ac:dyDescent="0.25">
      <c r="B2" s="126" t="s">
        <v>7</v>
      </c>
      <c r="C2" s="127"/>
      <c r="D2" s="127"/>
      <c r="E2" s="127"/>
      <c r="F2" s="128"/>
      <c r="H2" s="129" t="s">
        <v>79</v>
      </c>
      <c r="I2" s="130"/>
      <c r="J2" s="130"/>
      <c r="K2" s="131"/>
    </row>
    <row r="3" spans="1:30" x14ac:dyDescent="0.2">
      <c r="A3" s="1"/>
      <c r="B3" s="2"/>
      <c r="C3" s="3"/>
      <c r="D3" s="4"/>
      <c r="E3" s="4"/>
      <c r="F3" s="5"/>
      <c r="G3" s="1"/>
      <c r="H3" s="88"/>
      <c r="I3" s="91"/>
      <c r="J3" s="91"/>
      <c r="K3" s="90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">
      <c r="A4" s="1"/>
      <c r="B4" s="2"/>
      <c r="C4" s="7" t="s">
        <v>5</v>
      </c>
      <c r="D4" s="61" t="s">
        <v>48</v>
      </c>
      <c r="E4" s="4"/>
      <c r="F4" s="5"/>
      <c r="G4" s="1"/>
      <c r="H4" s="88"/>
      <c r="I4" s="87" t="s">
        <v>6</v>
      </c>
      <c r="J4" s="78">
        <v>41598.708865740744</v>
      </c>
      <c r="K4" s="86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">
      <c r="A5" s="1"/>
      <c r="B5" s="2"/>
      <c r="C5" s="9" t="s">
        <v>39</v>
      </c>
      <c r="D5" s="10">
        <v>1</v>
      </c>
      <c r="E5" s="4"/>
      <c r="F5" s="5"/>
      <c r="G5" s="1"/>
      <c r="H5" s="88"/>
      <c r="I5" s="87" t="s">
        <v>13</v>
      </c>
      <c r="J5" s="78" t="b">
        <v>1</v>
      </c>
      <c r="K5" s="8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">
      <c r="A6" s="1"/>
      <c r="B6" s="2"/>
      <c r="C6" s="9" t="s">
        <v>35</v>
      </c>
      <c r="D6" s="10" t="str">
        <f>_xll.qlPeriodEquivalent(D5&amp;"M")</f>
        <v>1M</v>
      </c>
      <c r="E6" s="4"/>
      <c r="F6" s="5"/>
      <c r="G6" s="1"/>
      <c r="H6" s="88"/>
      <c r="I6" s="87" t="s">
        <v>27</v>
      </c>
      <c r="J6" s="78" t="b">
        <v>0</v>
      </c>
      <c r="K6" s="8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">
      <c r="A7" s="1"/>
      <c r="B7" s="2"/>
      <c r="C7" s="9" t="s">
        <v>40</v>
      </c>
      <c r="D7" s="62" t="s">
        <v>49</v>
      </c>
      <c r="E7" s="4"/>
      <c r="F7" s="5"/>
      <c r="G7" s="1"/>
      <c r="H7" s="88"/>
      <c r="I7" s="87" t="s">
        <v>78</v>
      </c>
      <c r="J7" s="78" t="b">
        <v>1</v>
      </c>
      <c r="K7" s="8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">
      <c r="A8" s="1"/>
      <c r="B8" s="2"/>
      <c r="C8" s="9" t="s">
        <v>41</v>
      </c>
      <c r="D8" s="62" t="s">
        <v>43</v>
      </c>
      <c r="E8" s="4"/>
      <c r="F8" s="5"/>
      <c r="G8" s="1"/>
      <c r="H8" s="88"/>
      <c r="I8" s="87" t="s">
        <v>77</v>
      </c>
      <c r="J8" s="89" t="e">
        <f ca="1">SUBSTITUTE(LEFT(CELL("filename",#REF!),FIND("[",CELL("filename",#REF!),1)-1),"\XLS\","\XML\")</f>
        <v>#REF!</v>
      </c>
      <c r="K8" s="8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">
      <c r="A9" s="1"/>
      <c r="B9" s="2"/>
      <c r="C9" s="9" t="s">
        <v>23</v>
      </c>
      <c r="D9" s="10" t="str">
        <f>Currency&amp;"_YC"&amp;IndexTenor&amp;"RH"</f>
        <v>HKD_YC1MRH</v>
      </c>
      <c r="E9" s="4"/>
      <c r="F9" s="5"/>
      <c r="G9" s="1"/>
      <c r="H9" s="88"/>
      <c r="I9" s="87" t="s">
        <v>76</v>
      </c>
      <c r="J9" s="81" t="b">
        <v>1</v>
      </c>
      <c r="K9" s="8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12" thickBot="1" x14ac:dyDescent="0.25">
      <c r="A10" s="1"/>
      <c r="B10" s="2"/>
      <c r="C10" s="11" t="s">
        <v>13</v>
      </c>
      <c r="D10" s="10" t="b">
        <v>1</v>
      </c>
      <c r="E10" s="4"/>
      <c r="F10" s="5"/>
      <c r="G10" s="1"/>
      <c r="H10" s="85"/>
      <c r="I10" s="84"/>
      <c r="J10" s="84"/>
      <c r="K10" s="83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12" thickBot="1" x14ac:dyDescent="0.25">
      <c r="A11" s="1"/>
      <c r="B11" s="2"/>
      <c r="C11" s="11" t="s">
        <v>6</v>
      </c>
      <c r="D11" s="12">
        <v>41598.713495370372</v>
      </c>
      <c r="E11" s="4"/>
      <c r="F11" s="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15.75" x14ac:dyDescent="0.25">
      <c r="A12" s="1"/>
      <c r="B12" s="2"/>
      <c r="C12" s="13" t="s">
        <v>27</v>
      </c>
      <c r="D12" s="14" t="b">
        <v>1</v>
      </c>
      <c r="E12" s="4"/>
      <c r="F12" s="5"/>
      <c r="G12" s="1"/>
      <c r="H12" s="129" t="s">
        <v>75</v>
      </c>
      <c r="I12" s="130"/>
      <c r="J12" s="130"/>
      <c r="K12" s="13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12.75" x14ac:dyDescent="0.2">
      <c r="A13" s="1"/>
      <c r="B13" s="2"/>
      <c r="C13" s="15"/>
      <c r="D13" s="15"/>
      <c r="E13" s="4"/>
      <c r="F13" s="5"/>
      <c r="G13" s="1"/>
      <c r="H13" s="80"/>
      <c r="I13" s="82"/>
      <c r="J13" s="82"/>
      <c r="K13" s="77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ht="12.75" x14ac:dyDescent="0.2">
      <c r="A14" s="1"/>
      <c r="B14" s="2"/>
      <c r="C14" s="16" t="s">
        <v>14</v>
      </c>
      <c r="D14" s="17" t="str">
        <f>_xll.qlPiecewiseYieldCurve(D16,NDays,Calendar,RateHelpersSelected,DayCounter,IF(ISERROR(D22),NA(),D20:E20),IF(ISERROR(D22),NA(),D21:E21),Accuracy,TraitsID,InterpolatorID,Permanent,,ObjectOverwrite)</f>
        <v>_HKDYC1M#0016</v>
      </c>
      <c r="E14" s="4"/>
      <c r="F14" s="5"/>
      <c r="G14" s="1"/>
      <c r="H14" s="80"/>
      <c r="I14" s="79" t="s">
        <v>5</v>
      </c>
      <c r="J14" s="78" t="s">
        <v>48</v>
      </c>
      <c r="K14" s="77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12.75" x14ac:dyDescent="0.2">
      <c r="A15" s="1"/>
      <c r="B15" s="2"/>
      <c r="C15" s="18" t="s">
        <v>15</v>
      </c>
      <c r="D15" s="19" t="str">
        <f>_xll.ohRangeRetrieveError(YieldCurve)</f>
        <v/>
      </c>
      <c r="E15" s="4"/>
      <c r="F15" s="5"/>
      <c r="G15" s="1"/>
      <c r="H15" s="80"/>
      <c r="I15" s="79" t="s">
        <v>74</v>
      </c>
      <c r="J15" s="78" t="s">
        <v>73</v>
      </c>
      <c r="K15" s="77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12.75" x14ac:dyDescent="0.2">
      <c r="A16" s="1"/>
      <c r="B16" s="2"/>
      <c r="C16" s="16" t="s">
        <v>9</v>
      </c>
      <c r="D16" s="20" t="str">
        <f>"_"&amp;Currency&amp;"YC"&amp;IndexTenor</f>
        <v>_HKDYC1M</v>
      </c>
      <c r="E16" s="4"/>
      <c r="F16" s="5"/>
      <c r="G16" s="1"/>
      <c r="H16" s="80"/>
      <c r="I16" s="79" t="s">
        <v>72</v>
      </c>
      <c r="J16" s="78" t="s">
        <v>70</v>
      </c>
      <c r="K16" s="77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12.75" x14ac:dyDescent="0.2">
      <c r="A17" s="1"/>
      <c r="B17" s="2"/>
      <c r="C17" s="21" t="s">
        <v>10</v>
      </c>
      <c r="D17" s="63">
        <v>0</v>
      </c>
      <c r="E17" s="4"/>
      <c r="F17" s="5"/>
      <c r="G17" s="1"/>
      <c r="H17" s="80"/>
      <c r="I17" s="79" t="s">
        <v>71</v>
      </c>
      <c r="J17" s="78" t="s">
        <v>70</v>
      </c>
      <c r="K17" s="77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12.75" x14ac:dyDescent="0.2">
      <c r="A18" s="1"/>
      <c r="B18" s="2"/>
      <c r="C18" s="21" t="s">
        <v>4</v>
      </c>
      <c r="D18" s="64" t="s">
        <v>50</v>
      </c>
      <c r="E18" s="4"/>
      <c r="F18" s="5"/>
      <c r="G18" s="1"/>
      <c r="H18" s="80"/>
      <c r="I18" s="79" t="s">
        <v>4</v>
      </c>
      <c r="J18" s="81" t="s">
        <v>50</v>
      </c>
      <c r="K18" s="77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12.75" x14ac:dyDescent="0.2">
      <c r="A19" s="1"/>
      <c r="B19" s="2"/>
      <c r="C19" s="21" t="s">
        <v>8</v>
      </c>
      <c r="D19" s="22"/>
      <c r="E19" s="4"/>
      <c r="F19" s="5"/>
      <c r="G19" s="1"/>
      <c r="H19" s="80"/>
      <c r="I19" s="79" t="s">
        <v>69</v>
      </c>
      <c r="J19" s="81" t="s">
        <v>68</v>
      </c>
      <c r="K19" s="77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ht="12.75" x14ac:dyDescent="0.2">
      <c r="A20" s="1"/>
      <c r="B20" s="2"/>
      <c r="C20" s="21" t="s">
        <v>37</v>
      </c>
      <c r="D20" s="23" t="str">
        <f>Currency&amp;"TOY_SYNTH"&amp;IndexTenor&amp;"_Quote"</f>
        <v>HKDTOY_SYNTH1M_Quote</v>
      </c>
      <c r="E20" s="8" t="str">
        <f>Currency&amp;"TOY2_SYNTH"&amp;IndexTenor&amp;"_Quote"</f>
        <v>HKDTOY2_SYNTH1M_Quote</v>
      </c>
      <c r="F20" s="5"/>
      <c r="G20" s="1"/>
      <c r="H20" s="80"/>
      <c r="I20" s="79" t="s">
        <v>67</v>
      </c>
      <c r="J20" s="78" t="str">
        <f>PROPER(Currency)&amp;"YC"</f>
        <v>HkdYC</v>
      </c>
      <c r="K20" s="77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12.75" x14ac:dyDescent="0.2">
      <c r="A21" s="1"/>
      <c r="B21" s="2"/>
      <c r="C21" s="21" t="s">
        <v>38</v>
      </c>
      <c r="D21" s="24">
        <f>DATE(YEAR(_xll.qlCalendarAdvance(Calendar,_xll.qlSettingsEvaluationDate(Trigger),NDays&amp;"D")),12,31)</f>
        <v>41639</v>
      </c>
      <c r="E21" s="25">
        <f>DATE(YEAR(D21+1),12,31)</f>
        <v>42004</v>
      </c>
      <c r="F21" s="5"/>
      <c r="G21" s="1"/>
      <c r="H21" s="80"/>
      <c r="I21" s="79" t="s">
        <v>66</v>
      </c>
      <c r="J21" s="78" t="str">
        <f>PROPER(Currency)&amp;"YCSTD"</f>
        <v>HkdYCSTD</v>
      </c>
      <c r="K21" s="77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ht="13.5" thickBot="1" x14ac:dyDescent="0.25">
      <c r="A22" s="1"/>
      <c r="B22" s="2"/>
      <c r="C22" s="21" t="s">
        <v>44</v>
      </c>
      <c r="D22" s="26" t="e">
        <f>_xll.qlQuoteValue(D20,Trigger)</f>
        <v>#NUM!</v>
      </c>
      <c r="E22" s="27" t="e">
        <f>_xll.qlQuoteValue(E20,Trigger)</f>
        <v>#NUM!</v>
      </c>
      <c r="F22" s="5"/>
      <c r="G22" s="1"/>
      <c r="H22" s="76"/>
      <c r="I22" s="75"/>
      <c r="J22" s="75"/>
      <c r="K22" s="74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">
      <c r="A23" s="1"/>
      <c r="B23" s="2"/>
      <c r="C23" s="21" t="s">
        <v>22</v>
      </c>
      <c r="D23" s="28"/>
      <c r="E23" s="4"/>
      <c r="F23" s="5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">
      <c r="A24" s="1"/>
      <c r="B24" s="2"/>
      <c r="C24" s="21" t="s">
        <v>11</v>
      </c>
      <c r="D24" s="29" t="s">
        <v>36</v>
      </c>
      <c r="E24" s="4"/>
      <c r="F24" s="5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">
      <c r="A25" s="1"/>
      <c r="B25" s="2"/>
      <c r="C25" s="18" t="s">
        <v>12</v>
      </c>
      <c r="D25" s="30" t="s">
        <v>61</v>
      </c>
      <c r="E25" s="4"/>
      <c r="F25" s="5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">
      <c r="A26" s="1"/>
      <c r="B26" s="2"/>
      <c r="C26" s="15"/>
      <c r="D26" s="15"/>
      <c r="E26" s="4"/>
      <c r="F26" s="5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">
      <c r="A27" s="1"/>
      <c r="B27" s="2"/>
      <c r="C27" s="59">
        <f>_xll.qlTermStructureReferenceDate(YieldCurve)</f>
        <v>41598</v>
      </c>
      <c r="D27" s="31">
        <f>MAX(_xll.ohPack(Selected!I1:I13))</f>
        <v>1</v>
      </c>
      <c r="E27" s="4"/>
      <c r="F27" s="5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">
      <c r="A28" s="1"/>
      <c r="B28" s="2"/>
      <c r="C28" s="60">
        <f>MAX(_xll.ohPack(Selected!H2:H13))</f>
        <v>41967</v>
      </c>
      <c r="D28" s="10">
        <f>MIN(_xll.ohPack(Selected!I1:I13))</f>
        <v>0.99718199621706238</v>
      </c>
      <c r="E28" s="4"/>
      <c r="F28" s="5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">
      <c r="A29" s="1"/>
      <c r="B29" s="2"/>
      <c r="C29" s="32" t="s">
        <v>15</v>
      </c>
      <c r="D29" s="33" t="str">
        <f>_xll.ohRangeRetrieveError(Selected!I1)</f>
        <v/>
      </c>
      <c r="E29" s="4"/>
      <c r="F29" s="5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14.25" customHeight="1" thickBot="1" x14ac:dyDescent="0.25">
      <c r="A30" s="1"/>
      <c r="B30" s="34"/>
      <c r="C30" s="35"/>
      <c r="D30" s="125">
        <v>0.99718199600000001</v>
      </c>
      <c r="E30" s="35"/>
      <c r="F30" s="36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</sheetData>
  <mergeCells count="3">
    <mergeCell ref="B2:F2"/>
    <mergeCell ref="H2:K2"/>
    <mergeCell ref="H12:K12"/>
  </mergeCells>
  <phoneticPr fontId="2" type="noConversion"/>
  <dataValidations count="8">
    <dataValidation type="list" allowBlank="1" showInputMessage="1" showErrorMessage="1" sqref="D19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24">
      <formula1>"Discount,ZeroYield,ForwardRate"</formula1>
    </dataValidation>
    <dataValidation type="list" allowBlank="1" showInputMessage="1" showErrorMessage="1" sqref="D6">
      <formula1>"1D,1W,1M,2M,3M,6M,1Y"</formula1>
    </dataValidation>
    <dataValidation type="list" allowBlank="1" showInputMessage="1" showErrorMessage="1" sqref="D25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4">
      <formula1>"EUR,USD,GBP,JPY,CHF,HKD"</formula1>
    </dataValidation>
    <dataValidation type="list" allowBlank="1" showInputMessage="1" showErrorMessage="1" sqref="J14">
      <formula1>"EUR,USD,GBP,JPY,CHF,HKD,CHY,AUD,PLN,HUF"</formula1>
    </dataValidation>
    <dataValidation type="list" allowBlank="1" showInputMessage="1" showErrorMessage="1" sqref="J16:J17">
      <formula1>"Actual/Actual (ISDA),Actual/360,30/360 (Bond Basis),30E/360 (Eurobond Basis),Actual/365 (Fixed),Actual/Actual (ISMA),Actual/Actual (AFB),1/1,30/360 (Italian),Simple"</formula1>
    </dataValidation>
    <dataValidation type="list" showInputMessage="1" showErrorMessage="1" sqref="J15">
      <formula1>"Libor,ibor,Hibor"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workbookViewId="0"/>
  </sheetViews>
  <sheetFormatPr defaultRowHeight="11.25" x14ac:dyDescent="0.2"/>
  <cols>
    <col min="1" max="1" width="2.7109375" style="92" customWidth="1"/>
    <col min="2" max="2" width="5.28515625" style="92" customWidth="1"/>
    <col min="3" max="3" width="6.5703125" style="92" bestFit="1" customWidth="1"/>
    <col min="4" max="4" width="2.7109375" style="92" bestFit="1" customWidth="1"/>
    <col min="5" max="5" width="5.140625" style="92" bestFit="1" customWidth="1"/>
    <col min="6" max="6" width="5.85546875" style="92" bestFit="1" customWidth="1"/>
    <col min="7" max="8" width="13.85546875" style="92" bestFit="1" customWidth="1"/>
    <col min="9" max="9" width="7.140625" style="92" bestFit="1" customWidth="1"/>
    <col min="10" max="10" width="16.140625" style="92" bestFit="1" customWidth="1"/>
    <col min="11" max="11" width="23.7109375" style="92" bestFit="1" customWidth="1"/>
    <col min="12" max="12" width="28.140625" style="93" bestFit="1" customWidth="1"/>
    <col min="13" max="13" width="21" style="92" customWidth="1"/>
    <col min="14" max="15" width="2.7109375" style="92" customWidth="1"/>
    <col min="16" max="16" width="6.5703125" style="92" bestFit="1" customWidth="1"/>
    <col min="17" max="17" width="19.28515625" style="92" bestFit="1" customWidth="1"/>
    <col min="18" max="18" width="7.28515625" style="92" bestFit="1" customWidth="1"/>
    <col min="19" max="19" width="5.28515625" style="92" bestFit="1" customWidth="1"/>
    <col min="20" max="20" width="8.5703125" style="92" bestFit="1" customWidth="1"/>
    <col min="21" max="16384" width="9.140625" style="92"/>
  </cols>
  <sheetData>
    <row r="1" spans="1:20" x14ac:dyDescent="0.2">
      <c r="A1" s="124"/>
      <c r="B1" s="122"/>
      <c r="C1" s="122"/>
      <c r="D1" s="122"/>
      <c r="E1" s="122"/>
      <c r="F1" s="122"/>
      <c r="G1" s="122"/>
      <c r="H1" s="122"/>
      <c r="I1" s="122"/>
      <c r="J1" s="122"/>
      <c r="K1" s="123"/>
      <c r="L1" s="122"/>
      <c r="M1" s="122"/>
      <c r="N1" s="121"/>
    </row>
    <row r="2" spans="1:20" x14ac:dyDescent="0.2">
      <c r="A2" s="103"/>
      <c r="B2" s="111"/>
      <c r="C2" s="111"/>
      <c r="D2" s="111"/>
      <c r="E2" s="111"/>
      <c r="F2" s="111"/>
      <c r="G2" s="111"/>
      <c r="H2" s="111"/>
      <c r="I2" s="111"/>
      <c r="J2" s="101" t="s">
        <v>99</v>
      </c>
      <c r="K2" s="101" t="str">
        <f>Currency&amp;"_YC"&amp;$J$2&amp;"RH"</f>
        <v>HKD_YC1MRH</v>
      </c>
      <c r="L2" s="101" t="e">
        <f>NA()</f>
        <v>#N/A</v>
      </c>
      <c r="M2" s="111"/>
      <c r="N2" s="98"/>
    </row>
    <row r="3" spans="1:20" ht="36" customHeight="1" x14ac:dyDescent="0.2">
      <c r="A3" s="103"/>
      <c r="B3" s="120" t="s">
        <v>98</v>
      </c>
      <c r="C3" s="120" t="s">
        <v>97</v>
      </c>
      <c r="D3" s="120"/>
      <c r="E3" s="120"/>
      <c r="F3" s="120" t="s">
        <v>96</v>
      </c>
      <c r="G3" s="120" t="s">
        <v>95</v>
      </c>
      <c r="H3" s="120" t="s">
        <v>94</v>
      </c>
      <c r="I3" s="120" t="s">
        <v>93</v>
      </c>
      <c r="J3" s="120" t="s">
        <v>92</v>
      </c>
      <c r="K3" s="119" t="str">
        <f>K2&amp;"_Swaps.xml"</f>
        <v>HKD_YC1MRH_Swaps.xml</v>
      </c>
      <c r="L3" s="118" t="e">
        <f ca="1">IF(Serialize,_xll.ohObjectSave(L4:L16,SerializationPath&amp;K3,FileOverwrite,,Serialize),"---")</f>
        <v>#VALUE!</v>
      </c>
      <c r="M3" s="104" t="str">
        <f ca="1">_xll.ohRangeRetrieveError(L3)</f>
        <v/>
      </c>
      <c r="N3" s="98"/>
      <c r="P3" s="117" t="s">
        <v>91</v>
      </c>
      <c r="Q3" s="117" t="s">
        <v>90</v>
      </c>
      <c r="R3" s="117" t="s">
        <v>89</v>
      </c>
      <c r="S3" s="117" t="s">
        <v>88</v>
      </c>
      <c r="T3" s="134" t="s">
        <v>87</v>
      </c>
    </row>
    <row r="4" spans="1:20" x14ac:dyDescent="0.2">
      <c r="A4" s="112"/>
      <c r="B4" s="111"/>
      <c r="C4" s="111"/>
      <c r="D4" s="111"/>
      <c r="E4" s="111"/>
      <c r="F4" s="111"/>
      <c r="G4" s="111"/>
      <c r="H4" s="111"/>
      <c r="I4" s="111"/>
      <c r="J4" s="111"/>
      <c r="K4" s="116" t="str">
        <f>$K$2&amp;"_x"&amp;$E6&amp;"_"&amp;FamilyName&amp;$J$2</f>
        <v>HKD_YC1MRH_xAM1H_Hibor1M</v>
      </c>
      <c r="L4" s="115" t="str">
        <f>_xll.qlIborIndex(K4,FamilyName,J2,P4,Currency,Q4,R4,S4,T4,,Permanent,Trigger,ObjectOverwrite)</f>
        <v>HKD_YC1MRH_xAM1H_Hibor1M#0004</v>
      </c>
      <c r="M4" s="114" t="str">
        <f>_xll.ohRangeRetrieveError(L4)</f>
        <v/>
      </c>
      <c r="N4" s="98"/>
      <c r="P4" s="113">
        <v>2</v>
      </c>
      <c r="Q4" s="113" t="s">
        <v>86</v>
      </c>
      <c r="R4" s="113" t="s">
        <v>85</v>
      </c>
      <c r="S4" s="113" t="b">
        <v>1</v>
      </c>
      <c r="T4" s="135" t="s">
        <v>84</v>
      </c>
    </row>
    <row r="5" spans="1:20" x14ac:dyDescent="0.2">
      <c r="A5" s="112"/>
      <c r="B5" s="111"/>
      <c r="C5" s="111"/>
      <c r="D5" s="111"/>
      <c r="E5" s="111"/>
      <c r="F5" s="111"/>
      <c r="G5" s="111"/>
      <c r="H5" s="111"/>
      <c r="I5" s="111"/>
      <c r="J5" s="111"/>
      <c r="K5" s="111"/>
      <c r="L5" s="111"/>
      <c r="M5" s="111"/>
      <c r="N5" s="98"/>
    </row>
    <row r="6" spans="1:20" x14ac:dyDescent="0.2">
      <c r="A6" s="103"/>
      <c r="B6" s="110" t="s">
        <v>83</v>
      </c>
      <c r="C6" s="110" t="s">
        <v>60</v>
      </c>
      <c r="D6" s="110">
        <v>2</v>
      </c>
      <c r="E6" s="110" t="s">
        <v>82</v>
      </c>
      <c r="F6" s="109" t="s">
        <v>81</v>
      </c>
      <c r="G6" s="109" t="s">
        <v>80</v>
      </c>
      <c r="H6" s="109" t="str">
        <f t="shared" ref="H6:H16" si="0">MoneyMarketDayCounter</f>
        <v>Actual/365 (Fixed)</v>
      </c>
      <c r="I6" s="107">
        <v>0</v>
      </c>
      <c r="J6" s="106" t="str">
        <f t="shared" ref="J6:J16" si="1">Currency&amp;$E6&amp;$C6&amp;QuoteSuffix</f>
        <v>HKDAM1H2M_Quote</v>
      </c>
      <c r="K6" s="106" t="str">
        <f t="shared" ref="K6:K16" si="2">$K$2&amp;"_"&amp;$E6&amp;$C6</f>
        <v>HKD_YC1MRH_AM1H2M</v>
      </c>
      <c r="L6" s="105" t="str">
        <f>_xll.qlSwapRateHelper2(K6,$J6,$C6,Calendar,$F6,$G6,$H6,$L$4,$I6,B6,DiscountingCurve,Permanent,,ObjectOverwrite)</f>
        <v>HKD_YC1MRH_AM1H2M#0004</v>
      </c>
      <c r="M6" s="104" t="str">
        <f>_xll.ohRangeRetrieveError(L6)</f>
        <v/>
      </c>
      <c r="N6" s="98"/>
    </row>
    <row r="7" spans="1:20" x14ac:dyDescent="0.2">
      <c r="A7" s="103"/>
      <c r="B7" s="110" t="s">
        <v>83</v>
      </c>
      <c r="C7" s="110" t="s">
        <v>59</v>
      </c>
      <c r="D7" s="110">
        <v>3</v>
      </c>
      <c r="E7" s="110" t="s">
        <v>82</v>
      </c>
      <c r="F7" s="109" t="s">
        <v>81</v>
      </c>
      <c r="G7" s="109" t="s">
        <v>80</v>
      </c>
      <c r="H7" s="108" t="str">
        <f t="shared" si="0"/>
        <v>Actual/365 (Fixed)</v>
      </c>
      <c r="I7" s="107">
        <v>0</v>
      </c>
      <c r="J7" s="106" t="str">
        <f t="shared" si="1"/>
        <v>HKDAM1H3M_Quote</v>
      </c>
      <c r="K7" s="106" t="str">
        <f t="shared" si="2"/>
        <v>HKD_YC1MRH_AM1H3M</v>
      </c>
      <c r="L7" s="105" t="str">
        <f>_xll.qlSwapRateHelper2(K7,$J7,$C7,Calendar,$F7,$G7,$H7,$L$4,$I7,B7,DiscountingCurve,Permanent,,ObjectOverwrite)</f>
        <v>HKD_YC1MRH_AM1H3M#0004</v>
      </c>
      <c r="M7" s="104" t="str">
        <f>_xll.ohRangeRetrieveError(L7)</f>
        <v/>
      </c>
      <c r="N7" s="98"/>
    </row>
    <row r="8" spans="1:20" x14ac:dyDescent="0.2">
      <c r="A8" s="103"/>
      <c r="B8" s="110" t="s">
        <v>83</v>
      </c>
      <c r="C8" s="110" t="s">
        <v>58</v>
      </c>
      <c r="D8" s="110">
        <v>4</v>
      </c>
      <c r="E8" s="110" t="s">
        <v>82</v>
      </c>
      <c r="F8" s="109" t="s">
        <v>81</v>
      </c>
      <c r="G8" s="109" t="s">
        <v>80</v>
      </c>
      <c r="H8" s="108" t="str">
        <f t="shared" si="0"/>
        <v>Actual/365 (Fixed)</v>
      </c>
      <c r="I8" s="107">
        <v>0</v>
      </c>
      <c r="J8" s="106" t="str">
        <f t="shared" si="1"/>
        <v>HKDAM1H4M_Quote</v>
      </c>
      <c r="K8" s="106" t="str">
        <f t="shared" si="2"/>
        <v>HKD_YC1MRH_AM1H4M</v>
      </c>
      <c r="L8" s="105" t="str">
        <f>_xll.qlSwapRateHelper2(K8,$J8,$C8,Calendar,$F8,$G8,$H8,$L$4,$I8,B8,DiscountingCurve,Permanent,,ObjectOverwrite)</f>
        <v>HKD_YC1MRH_AM1H4M#0004</v>
      </c>
      <c r="M8" s="104" t="str">
        <f>_xll.ohRangeRetrieveError(L8)</f>
        <v/>
      </c>
      <c r="N8" s="98"/>
    </row>
    <row r="9" spans="1:20" x14ac:dyDescent="0.2">
      <c r="A9" s="103"/>
      <c r="B9" s="110" t="s">
        <v>83</v>
      </c>
      <c r="C9" s="110" t="s">
        <v>57</v>
      </c>
      <c r="D9" s="110">
        <v>5</v>
      </c>
      <c r="E9" s="110" t="s">
        <v>82</v>
      </c>
      <c r="F9" s="109" t="s">
        <v>81</v>
      </c>
      <c r="G9" s="109" t="s">
        <v>80</v>
      </c>
      <c r="H9" s="108" t="str">
        <f t="shared" si="0"/>
        <v>Actual/365 (Fixed)</v>
      </c>
      <c r="I9" s="107">
        <v>0</v>
      </c>
      <c r="J9" s="106" t="str">
        <f t="shared" si="1"/>
        <v>HKDAM1H5M_Quote</v>
      </c>
      <c r="K9" s="106" t="str">
        <f t="shared" si="2"/>
        <v>HKD_YC1MRH_AM1H5M</v>
      </c>
      <c r="L9" s="105" t="str">
        <f>_xll.qlSwapRateHelper2(K9,$J9,$C9,Calendar,$F9,$G9,$H9,$L$4,$I9,B9,DiscountingCurve,Permanent,,ObjectOverwrite)</f>
        <v>HKD_YC1MRH_AM1H5M#0004</v>
      </c>
      <c r="M9" s="104" t="str">
        <f>_xll.ohRangeRetrieveError(L9)</f>
        <v/>
      </c>
      <c r="N9" s="98"/>
    </row>
    <row r="10" spans="1:20" x14ac:dyDescent="0.2">
      <c r="A10" s="103"/>
      <c r="B10" s="110" t="s">
        <v>83</v>
      </c>
      <c r="C10" s="110" t="s">
        <v>56</v>
      </c>
      <c r="D10" s="110">
        <v>6</v>
      </c>
      <c r="E10" s="110" t="s">
        <v>82</v>
      </c>
      <c r="F10" s="109" t="s">
        <v>81</v>
      </c>
      <c r="G10" s="109" t="s">
        <v>80</v>
      </c>
      <c r="H10" s="108" t="str">
        <f t="shared" si="0"/>
        <v>Actual/365 (Fixed)</v>
      </c>
      <c r="I10" s="107">
        <v>0</v>
      </c>
      <c r="J10" s="106" t="str">
        <f t="shared" si="1"/>
        <v>HKDAM1H6M_Quote</v>
      </c>
      <c r="K10" s="106" t="str">
        <f t="shared" si="2"/>
        <v>HKD_YC1MRH_AM1H6M</v>
      </c>
      <c r="L10" s="105" t="str">
        <f>_xll.qlSwapRateHelper2(K10,$J10,$C10,Calendar,$F10,$G10,$H10,$L$4,$I10,B10,DiscountingCurve,Permanent,,ObjectOverwrite)</f>
        <v>HKD_YC1MRH_AM1H6M#0004</v>
      </c>
      <c r="M10" s="104" t="str">
        <f>_xll.ohRangeRetrieveError(L10)</f>
        <v/>
      </c>
      <c r="N10" s="98"/>
    </row>
    <row r="11" spans="1:20" x14ac:dyDescent="0.2">
      <c r="A11" s="103"/>
      <c r="B11" s="110" t="s">
        <v>83</v>
      </c>
      <c r="C11" s="110" t="s">
        <v>55</v>
      </c>
      <c r="D11" s="110">
        <v>7</v>
      </c>
      <c r="E11" s="110" t="s">
        <v>82</v>
      </c>
      <c r="F11" s="109" t="s">
        <v>81</v>
      </c>
      <c r="G11" s="109" t="s">
        <v>80</v>
      </c>
      <c r="H11" s="108" t="str">
        <f t="shared" si="0"/>
        <v>Actual/365 (Fixed)</v>
      </c>
      <c r="I11" s="107">
        <v>0</v>
      </c>
      <c r="J11" s="106" t="str">
        <f t="shared" si="1"/>
        <v>HKDAM1H7M_Quote</v>
      </c>
      <c r="K11" s="106" t="str">
        <f t="shared" si="2"/>
        <v>HKD_YC1MRH_AM1H7M</v>
      </c>
      <c r="L11" s="105" t="str">
        <f>_xll.qlSwapRateHelper2(K11,$J11,$C11,Calendar,$F11,$G11,$H11,$L$4,$I11,B11,DiscountingCurve,Permanent,,ObjectOverwrite)</f>
        <v>HKD_YC1MRH_AM1H7M#0004</v>
      </c>
      <c r="M11" s="104" t="str">
        <f>_xll.ohRangeRetrieveError(L11)</f>
        <v/>
      </c>
      <c r="N11" s="98"/>
    </row>
    <row r="12" spans="1:20" x14ac:dyDescent="0.2">
      <c r="A12" s="103"/>
      <c r="B12" s="110" t="s">
        <v>83</v>
      </c>
      <c r="C12" s="110" t="s">
        <v>54</v>
      </c>
      <c r="D12" s="110">
        <v>8</v>
      </c>
      <c r="E12" s="110" t="s">
        <v>82</v>
      </c>
      <c r="F12" s="109" t="s">
        <v>81</v>
      </c>
      <c r="G12" s="109" t="s">
        <v>80</v>
      </c>
      <c r="H12" s="108" t="str">
        <f t="shared" si="0"/>
        <v>Actual/365 (Fixed)</v>
      </c>
      <c r="I12" s="107">
        <v>0</v>
      </c>
      <c r="J12" s="106" t="str">
        <f t="shared" si="1"/>
        <v>HKDAM1H8M_Quote</v>
      </c>
      <c r="K12" s="106" t="str">
        <f t="shared" si="2"/>
        <v>HKD_YC1MRH_AM1H8M</v>
      </c>
      <c r="L12" s="105" t="str">
        <f>_xll.qlSwapRateHelper2(K12,$J12,$C12,Calendar,$F12,$G12,$H12,$L$4,$I12,B12,DiscountingCurve,Permanent,,ObjectOverwrite)</f>
        <v>HKD_YC1MRH_AM1H8M#0004</v>
      </c>
      <c r="M12" s="104" t="str">
        <f>_xll.ohRangeRetrieveError(L12)</f>
        <v/>
      </c>
      <c r="N12" s="98"/>
    </row>
    <row r="13" spans="1:20" x14ac:dyDescent="0.2">
      <c r="A13" s="103"/>
      <c r="B13" s="110" t="s">
        <v>83</v>
      </c>
      <c r="C13" s="110" t="s">
        <v>53</v>
      </c>
      <c r="D13" s="110">
        <v>9</v>
      </c>
      <c r="E13" s="110" t="s">
        <v>82</v>
      </c>
      <c r="F13" s="109" t="s">
        <v>81</v>
      </c>
      <c r="G13" s="109" t="s">
        <v>80</v>
      </c>
      <c r="H13" s="108" t="str">
        <f t="shared" si="0"/>
        <v>Actual/365 (Fixed)</v>
      </c>
      <c r="I13" s="107">
        <v>0</v>
      </c>
      <c r="J13" s="106" t="str">
        <f t="shared" si="1"/>
        <v>HKDAM1H9M_Quote</v>
      </c>
      <c r="K13" s="106" t="str">
        <f t="shared" si="2"/>
        <v>HKD_YC1MRH_AM1H9M</v>
      </c>
      <c r="L13" s="105" t="str">
        <f>_xll.qlSwapRateHelper2(K13,$J13,$C13,Calendar,$F13,$G13,$H13,$L$4,$I13,B13,DiscountingCurve,Permanent,,ObjectOverwrite)</f>
        <v>HKD_YC1MRH_AM1H9M#0004</v>
      </c>
      <c r="M13" s="104" t="str">
        <f>_xll.ohRangeRetrieveError(L13)</f>
        <v/>
      </c>
      <c r="N13" s="98"/>
    </row>
    <row r="14" spans="1:20" x14ac:dyDescent="0.2">
      <c r="A14" s="103"/>
      <c r="B14" s="110" t="s">
        <v>83</v>
      </c>
      <c r="C14" s="110" t="s">
        <v>52</v>
      </c>
      <c r="D14" s="110">
        <v>10</v>
      </c>
      <c r="E14" s="110" t="s">
        <v>82</v>
      </c>
      <c r="F14" s="109" t="s">
        <v>81</v>
      </c>
      <c r="G14" s="109" t="s">
        <v>80</v>
      </c>
      <c r="H14" s="108" t="str">
        <f t="shared" si="0"/>
        <v>Actual/365 (Fixed)</v>
      </c>
      <c r="I14" s="107">
        <v>0</v>
      </c>
      <c r="J14" s="106" t="str">
        <f t="shared" si="1"/>
        <v>HKDAM1H10M_Quote</v>
      </c>
      <c r="K14" s="106" t="str">
        <f t="shared" si="2"/>
        <v>HKD_YC1MRH_AM1H10M</v>
      </c>
      <c r="L14" s="105" t="str">
        <f>_xll.qlSwapRateHelper2(K14,$J14,$C14,Calendar,$F14,$G14,$H14,$L$4,$I14,B14,DiscountingCurve,Permanent,,ObjectOverwrite)</f>
        <v>HKD_YC1MRH_AM1H10M#0004</v>
      </c>
      <c r="M14" s="104" t="str">
        <f>_xll.ohRangeRetrieveError(L14)</f>
        <v/>
      </c>
      <c r="N14" s="98"/>
    </row>
    <row r="15" spans="1:20" x14ac:dyDescent="0.2">
      <c r="A15" s="103"/>
      <c r="B15" s="110" t="s">
        <v>83</v>
      </c>
      <c r="C15" s="110" t="s">
        <v>51</v>
      </c>
      <c r="D15" s="110">
        <v>11</v>
      </c>
      <c r="E15" s="110" t="s">
        <v>82</v>
      </c>
      <c r="F15" s="109" t="s">
        <v>81</v>
      </c>
      <c r="G15" s="109" t="s">
        <v>80</v>
      </c>
      <c r="H15" s="108" t="str">
        <f t="shared" si="0"/>
        <v>Actual/365 (Fixed)</v>
      </c>
      <c r="I15" s="107">
        <v>0</v>
      </c>
      <c r="J15" s="106" t="str">
        <f t="shared" si="1"/>
        <v>HKDAM1H11M_Quote</v>
      </c>
      <c r="K15" s="106" t="str">
        <f t="shared" si="2"/>
        <v>HKD_YC1MRH_AM1H11M</v>
      </c>
      <c r="L15" s="105" t="str">
        <f>_xll.qlSwapRateHelper2(K15,$J15,$C15,Calendar,$F15,$G15,$H15,$L$4,$I15,B15,DiscountingCurve,Permanent,,ObjectOverwrite)</f>
        <v>HKD_YC1MRH_AM1H11M#0004</v>
      </c>
      <c r="M15" s="104" t="str">
        <f>_xll.ohRangeRetrieveError(L15)</f>
        <v/>
      </c>
      <c r="N15" s="98"/>
    </row>
    <row r="16" spans="1:20" x14ac:dyDescent="0.2">
      <c r="A16" s="103"/>
      <c r="B16" s="110" t="s">
        <v>83</v>
      </c>
      <c r="C16" s="110" t="s">
        <v>24</v>
      </c>
      <c r="D16" s="110">
        <v>12</v>
      </c>
      <c r="E16" s="110" t="s">
        <v>82</v>
      </c>
      <c r="F16" s="109" t="s">
        <v>81</v>
      </c>
      <c r="G16" s="109" t="s">
        <v>80</v>
      </c>
      <c r="H16" s="108" t="str">
        <f t="shared" si="0"/>
        <v>Actual/365 (Fixed)</v>
      </c>
      <c r="I16" s="107">
        <v>0</v>
      </c>
      <c r="J16" s="106" t="str">
        <f t="shared" si="1"/>
        <v>HKDAM1H1Y_Quote</v>
      </c>
      <c r="K16" s="106" t="str">
        <f t="shared" si="2"/>
        <v>HKD_YC1MRH_AM1H1Y</v>
      </c>
      <c r="L16" s="105" t="str">
        <f>_xll.qlSwapRateHelper2(K16,$J16,$C16,Calendar,$F16,$G16,$H16,$L$4,$I16,B16,DiscountingCurve,Permanent,,ObjectOverwrite)</f>
        <v>HKD_YC1MRH_AM1H1Y#0004</v>
      </c>
      <c r="M16" s="104" t="str">
        <f>_xll.ohRangeRetrieveError(L16)</f>
        <v/>
      </c>
      <c r="N16" s="98"/>
    </row>
    <row r="17" spans="1:14" x14ac:dyDescent="0.2">
      <c r="A17" s="103"/>
      <c r="B17" s="102"/>
      <c r="C17" s="102"/>
      <c r="D17" s="102"/>
      <c r="E17" s="102"/>
      <c r="F17" s="101"/>
      <c r="G17" s="101"/>
      <c r="H17" s="101"/>
      <c r="I17" s="100"/>
      <c r="J17" s="99"/>
      <c r="K17" s="99"/>
      <c r="L17" s="99"/>
      <c r="M17" s="99"/>
      <c r="N17" s="98"/>
    </row>
    <row r="18" spans="1:14" ht="12" thickBot="1" x14ac:dyDescent="0.25">
      <c r="A18" s="97"/>
      <c r="B18" s="96"/>
      <c r="C18" s="96"/>
      <c r="D18" s="96"/>
      <c r="E18" s="96"/>
      <c r="F18" s="96"/>
      <c r="G18" s="96"/>
      <c r="H18" s="96"/>
      <c r="I18" s="96"/>
      <c r="J18" s="96"/>
      <c r="K18" s="96"/>
      <c r="L18" s="95"/>
      <c r="M18" s="95"/>
      <c r="N18" s="94"/>
    </row>
  </sheetData>
  <dataValidations count="5">
    <dataValidation type="list" allowBlank="1" showInputMessage="1" showErrorMessage="1" sqref="Q4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T4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R4">
      <formula1>"Following,Modified Following,Preceding,Modified Preceding,Unadjusted"</formula1>
    </dataValidation>
    <dataValidation type="list" allowBlank="1" showInputMessage="1" showErrorMessage="1" sqref="G6:G17">
      <formula1>"Following,Modified Following,Preceding,Modified Preceding,Month End Reference,Unadjusted Month End,Unadjusted"</formula1>
    </dataValidation>
    <dataValidation type="list" allowBlank="1" showInputMessage="1" showErrorMessage="1" sqref="F6:F17">
      <formula1>"Once,Annual,Semiannual,EveryFourthMonth,Quarterly,Bimonthly,Monthly"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J12"/>
  <sheetViews>
    <sheetView workbookViewId="0"/>
  </sheetViews>
  <sheetFormatPr defaultRowHeight="11.25" x14ac:dyDescent="0.2"/>
  <cols>
    <col min="1" max="1" width="24.42578125" style="58" bestFit="1" customWidth="1"/>
    <col min="2" max="4" width="8" style="58" bestFit="1" customWidth="1"/>
    <col min="5" max="6" width="9" style="58" bestFit="1" customWidth="1"/>
    <col min="7" max="8" width="17.28515625" style="58" bestFit="1" customWidth="1"/>
    <col min="9" max="9" width="3" style="37" bestFit="1" customWidth="1"/>
    <col min="10" max="10" width="19.28515625" style="37" bestFit="1" customWidth="1"/>
    <col min="11" max="16384" width="9.140625" style="37"/>
  </cols>
  <sheetData>
    <row r="1" spans="1:10" ht="33.75" customHeight="1" x14ac:dyDescent="0.2">
      <c r="A1" s="65" t="s">
        <v>19</v>
      </c>
      <c r="B1" s="65" t="s">
        <v>16</v>
      </c>
      <c r="C1" s="65" t="s">
        <v>26</v>
      </c>
      <c r="D1" s="65" t="s">
        <v>2</v>
      </c>
      <c r="E1" s="65" t="s">
        <v>3</v>
      </c>
      <c r="F1" s="65" t="s">
        <v>45</v>
      </c>
      <c r="G1" s="65" t="s">
        <v>0</v>
      </c>
      <c r="H1" s="65" t="s">
        <v>1</v>
      </c>
    </row>
    <row r="2" spans="1:10" ht="11.25" customHeight="1" x14ac:dyDescent="0.2">
      <c r="A2" s="136" t="str">
        <f>HKD_YCRH_Swaps_1M!K6</f>
        <v>HKD_YC1MRH_AM1H2M</v>
      </c>
      <c r="B2" s="66" t="e">
        <f>_xll.qlRateHelperQuoteValue($A2,Trigger)</f>
        <v>#NUM!</v>
      </c>
      <c r="C2" s="66">
        <f>_xll.qlSwapRateHelperSpread($A2,Trigger)</f>
        <v>0</v>
      </c>
      <c r="D2" s="67" t="b">
        <f>IF(ISERROR(B2),FALSE,TRUE)</f>
        <v>0</v>
      </c>
      <c r="E2" s="67">
        <v>50</v>
      </c>
      <c r="F2" s="67">
        <v>1</v>
      </c>
      <c r="G2" s="68">
        <f>_xll.qlRateHelperEarliestDate($A2,Trigger)</f>
        <v>41600</v>
      </c>
      <c r="H2" s="69">
        <f>_xll.qlRateHelperLatestDate($A2,Trigger)</f>
        <v>41661</v>
      </c>
      <c r="I2" s="37">
        <v>10</v>
      </c>
      <c r="J2" s="37" t="s">
        <v>30</v>
      </c>
    </row>
    <row r="3" spans="1:10" x14ac:dyDescent="0.2">
      <c r="A3" s="136" t="str">
        <f>HKD_YCRH_Swaps_1M!K7</f>
        <v>HKD_YC1MRH_AM1H3M</v>
      </c>
      <c r="B3" s="66">
        <f>_xll.qlRateHelperQuoteValue($A3,Trigger)</f>
        <v>2.1000000000000003E-3</v>
      </c>
      <c r="C3" s="66">
        <f>_xll.qlSwapRateHelperSpread($A3,Trigger)</f>
        <v>0</v>
      </c>
      <c r="D3" s="67" t="b">
        <f t="shared" ref="D3:D12" si="0">IF(ISERROR(B3),FALSE,TRUE)</f>
        <v>1</v>
      </c>
      <c r="E3" s="67">
        <v>50</v>
      </c>
      <c r="F3" s="67">
        <v>1</v>
      </c>
      <c r="G3" s="68">
        <f>_xll.qlRateHelperEarliestDate($A3,Trigger)</f>
        <v>41600</v>
      </c>
      <c r="H3" s="69">
        <f>_xll.qlRateHelperLatestDate($A3,Trigger)</f>
        <v>41694</v>
      </c>
      <c r="I3" s="37">
        <v>20</v>
      </c>
      <c r="J3" s="37" t="s">
        <v>31</v>
      </c>
    </row>
    <row r="4" spans="1:10" x14ac:dyDescent="0.2">
      <c r="A4" s="136" t="str">
        <f>HKD_YCRH_Swaps_1M!K8</f>
        <v>HKD_YC1MRH_AM1H4M</v>
      </c>
      <c r="B4" s="66" t="e">
        <f>_xll.qlRateHelperQuoteValue($A4,Trigger)</f>
        <v>#NUM!</v>
      </c>
      <c r="C4" s="66">
        <f>_xll.qlSwapRateHelperSpread($A4,Trigger)</f>
        <v>0</v>
      </c>
      <c r="D4" s="67" t="b">
        <f t="shared" si="0"/>
        <v>0</v>
      </c>
      <c r="E4" s="67">
        <v>50</v>
      </c>
      <c r="F4" s="67">
        <v>1</v>
      </c>
      <c r="G4" s="68">
        <f>_xll.qlRateHelperEarliestDate($A4,Trigger)</f>
        <v>41600</v>
      </c>
      <c r="H4" s="69">
        <f>_xll.qlRateHelperLatestDate($A4,Trigger)</f>
        <v>41722</v>
      </c>
      <c r="I4" s="37">
        <v>30</v>
      </c>
      <c r="J4" s="37" t="s">
        <v>32</v>
      </c>
    </row>
    <row r="5" spans="1:10" x14ac:dyDescent="0.2">
      <c r="A5" s="136" t="str">
        <f>HKD_YCRH_Swaps_1M!K9</f>
        <v>HKD_YC1MRH_AM1H5M</v>
      </c>
      <c r="B5" s="66" t="e">
        <f>_xll.qlRateHelperQuoteValue($A5,Trigger)</f>
        <v>#NUM!</v>
      </c>
      <c r="C5" s="66">
        <f>_xll.qlSwapRateHelperSpread($A5,Trigger)</f>
        <v>0</v>
      </c>
      <c r="D5" s="67" t="b">
        <f t="shared" si="0"/>
        <v>0</v>
      </c>
      <c r="E5" s="67">
        <v>50</v>
      </c>
      <c r="F5" s="67">
        <v>1</v>
      </c>
      <c r="G5" s="68">
        <f>_xll.qlRateHelperEarliestDate($A5,Trigger)</f>
        <v>41600</v>
      </c>
      <c r="H5" s="69">
        <f>_xll.qlRateHelperLatestDate($A5,Trigger)</f>
        <v>41751</v>
      </c>
      <c r="I5" s="37">
        <v>40</v>
      </c>
      <c r="J5" s="37" t="s">
        <v>42</v>
      </c>
    </row>
    <row r="6" spans="1:10" x14ac:dyDescent="0.2">
      <c r="A6" s="136" t="str">
        <f>HKD_YCRH_Swaps_1M!K10</f>
        <v>HKD_YC1MRH_AM1H6M</v>
      </c>
      <c r="B6" s="66">
        <f>_xll.qlRateHelperQuoteValue($A6,Trigger)</f>
        <v>2.3999999999999998E-3</v>
      </c>
      <c r="C6" s="66">
        <f>_xll.qlSwapRateHelperSpread($A6,Trigger)</f>
        <v>0</v>
      </c>
      <c r="D6" s="67" t="b">
        <f t="shared" si="0"/>
        <v>1</v>
      </c>
      <c r="E6" s="67">
        <v>50</v>
      </c>
      <c r="F6" s="67">
        <v>1</v>
      </c>
      <c r="G6" s="68">
        <f>_xll.qlRateHelperEarliestDate($A6,Trigger)</f>
        <v>41600</v>
      </c>
      <c r="H6" s="69">
        <f>_xll.qlRateHelperLatestDate($A6,Trigger)</f>
        <v>41781</v>
      </c>
      <c r="I6" s="37">
        <v>50</v>
      </c>
      <c r="J6" s="37" t="s">
        <v>33</v>
      </c>
    </row>
    <row r="7" spans="1:10" x14ac:dyDescent="0.2">
      <c r="A7" s="136" t="str">
        <f>HKD_YCRH_Swaps_1M!K11</f>
        <v>HKD_YC1MRH_AM1H7M</v>
      </c>
      <c r="B7" s="66" t="e">
        <f>_xll.qlRateHelperQuoteValue($A7,Trigger)</f>
        <v>#NUM!</v>
      </c>
      <c r="C7" s="66">
        <f>_xll.qlSwapRateHelperSpread($A7,Trigger)</f>
        <v>0</v>
      </c>
      <c r="D7" s="67" t="b">
        <f t="shared" si="0"/>
        <v>0</v>
      </c>
      <c r="E7" s="67">
        <v>50</v>
      </c>
      <c r="F7" s="67">
        <v>1</v>
      </c>
      <c r="G7" s="68">
        <f>_xll.qlRateHelperEarliestDate($A7,Trigger)</f>
        <v>41600</v>
      </c>
      <c r="H7" s="69">
        <f>_xll.qlRateHelperLatestDate($A7,Trigger)</f>
        <v>41813</v>
      </c>
      <c r="I7" s="37">
        <v>60</v>
      </c>
      <c r="J7" s="37" t="s">
        <v>34</v>
      </c>
    </row>
    <row r="8" spans="1:10" x14ac:dyDescent="0.2">
      <c r="A8" s="136" t="str">
        <f>HKD_YCRH_Swaps_1M!K12</f>
        <v>HKD_YC1MRH_AM1H8M</v>
      </c>
      <c r="B8" s="66" t="e">
        <f>_xll.qlRateHelperQuoteValue($A8,Trigger)</f>
        <v>#NUM!</v>
      </c>
      <c r="C8" s="66">
        <f>_xll.qlSwapRateHelperSpread($A8,Trigger)</f>
        <v>0</v>
      </c>
      <c r="D8" s="67" t="b">
        <f t="shared" si="0"/>
        <v>0</v>
      </c>
      <c r="E8" s="67">
        <v>50</v>
      </c>
      <c r="F8" s="67">
        <v>1</v>
      </c>
      <c r="G8" s="68">
        <f>_xll.qlRateHelperEarliestDate($A8,Trigger)</f>
        <v>41600</v>
      </c>
      <c r="H8" s="69">
        <f>_xll.qlRateHelperLatestDate($A8,Trigger)</f>
        <v>41842</v>
      </c>
      <c r="I8" s="37">
        <v>70</v>
      </c>
      <c r="J8" s="37" t="s">
        <v>46</v>
      </c>
    </row>
    <row r="9" spans="1:10" x14ac:dyDescent="0.2">
      <c r="A9" s="136" t="str">
        <f>HKD_YCRH_Swaps_1M!K13</f>
        <v>HKD_YC1MRH_AM1H9M</v>
      </c>
      <c r="B9" s="66">
        <f>_xll.qlRateHelperQuoteValue($A9,Trigger)</f>
        <v>2.5999999999999999E-3</v>
      </c>
      <c r="C9" s="66">
        <f>_xll.qlSwapRateHelperSpread($A9,Trigger)</f>
        <v>0</v>
      </c>
      <c r="D9" s="67" t="b">
        <f t="shared" si="0"/>
        <v>1</v>
      </c>
      <c r="E9" s="67">
        <v>50</v>
      </c>
      <c r="F9" s="67">
        <v>1</v>
      </c>
      <c r="G9" s="68">
        <f>_xll.qlRateHelperEarliestDate($A9,Trigger)</f>
        <v>41600</v>
      </c>
      <c r="H9" s="69">
        <f>_xll.qlRateHelperLatestDate($A9,Trigger)</f>
        <v>41873</v>
      </c>
    </row>
    <row r="10" spans="1:10" x14ac:dyDescent="0.2">
      <c r="A10" s="136" t="str">
        <f>HKD_YCRH_Swaps_1M!K14</f>
        <v>HKD_YC1MRH_AM1H10M</v>
      </c>
      <c r="B10" s="66" t="e">
        <f>_xll.qlRateHelperQuoteValue($A10,Trigger)</f>
        <v>#NUM!</v>
      </c>
      <c r="C10" s="66">
        <f>_xll.qlSwapRateHelperSpread($A10,Trigger)</f>
        <v>0</v>
      </c>
      <c r="D10" s="67" t="b">
        <f t="shared" si="0"/>
        <v>0</v>
      </c>
      <c r="E10" s="67">
        <v>50</v>
      </c>
      <c r="F10" s="67">
        <v>1</v>
      </c>
      <c r="G10" s="68">
        <f>_xll.qlRateHelperEarliestDate($A10,Trigger)</f>
        <v>41600</v>
      </c>
      <c r="H10" s="69">
        <f>_xll.qlRateHelperLatestDate($A10,Trigger)</f>
        <v>41904</v>
      </c>
    </row>
    <row r="11" spans="1:10" x14ac:dyDescent="0.2">
      <c r="A11" s="136" t="str">
        <f>HKD_YCRH_Swaps_1M!K15</f>
        <v>HKD_YC1MRH_AM1H11M</v>
      </c>
      <c r="B11" s="66" t="e">
        <f>_xll.qlRateHelperQuoteValue($A11,Trigger)</f>
        <v>#NUM!</v>
      </c>
      <c r="C11" s="66">
        <f>_xll.qlSwapRateHelperSpread($A11,Trigger)</f>
        <v>0</v>
      </c>
      <c r="D11" s="67" t="b">
        <f t="shared" si="0"/>
        <v>0</v>
      </c>
      <c r="E11" s="67">
        <v>50</v>
      </c>
      <c r="F11" s="67">
        <v>1</v>
      </c>
      <c r="G11" s="68">
        <f>_xll.qlRateHelperEarliestDate($A11,Trigger)</f>
        <v>41600</v>
      </c>
      <c r="H11" s="69">
        <f>_xll.qlRateHelperLatestDate($A11,Trigger)</f>
        <v>41934</v>
      </c>
    </row>
    <row r="12" spans="1:10" x14ac:dyDescent="0.2">
      <c r="A12" s="137" t="str">
        <f>HKD_YCRH_Swaps_1M!K16</f>
        <v>HKD_YC1MRH_AM1H1Y</v>
      </c>
      <c r="B12" s="70">
        <f>_xll.qlRateHelperQuoteValue($A12,Trigger)</f>
        <v>2.8000000000000004E-3</v>
      </c>
      <c r="C12" s="70">
        <f>_xll.qlSwapRateHelperSpread($A12,Trigger)</f>
        <v>0</v>
      </c>
      <c r="D12" s="71" t="b">
        <f t="shared" si="0"/>
        <v>1</v>
      </c>
      <c r="E12" s="71">
        <v>50</v>
      </c>
      <c r="F12" s="71">
        <v>1</v>
      </c>
      <c r="G12" s="72">
        <f>_xll.qlRateHelperEarliestDate($A12,Trigger)</f>
        <v>41600</v>
      </c>
      <c r="H12" s="73">
        <f>_xll.qlRateHelperLatestDate($A12,Trigger)</f>
        <v>41967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L15"/>
  <sheetViews>
    <sheetView workbookViewId="0">
      <selection sqref="A1:B1"/>
    </sheetView>
  </sheetViews>
  <sheetFormatPr defaultRowHeight="11.25" x14ac:dyDescent="0.2"/>
  <cols>
    <col min="1" max="1" width="36.85546875" style="37" bestFit="1" customWidth="1"/>
    <col min="2" max="2" width="9" style="37" bestFit="1" customWidth="1"/>
    <col min="3" max="3" width="12.140625" style="37" bestFit="1" customWidth="1"/>
    <col min="4" max="4" width="22.42578125" style="58" bestFit="1" customWidth="1"/>
    <col min="5" max="5" width="8" style="58" customWidth="1"/>
    <col min="6" max="6" width="8" style="58" bestFit="1" customWidth="1"/>
    <col min="7" max="8" width="17.28515625" style="58" bestFit="1" customWidth="1"/>
    <col min="9" max="9" width="12" style="37" bestFit="1" customWidth="1"/>
    <col min="10" max="11" width="9.140625" style="37"/>
    <col min="12" max="12" width="12" style="37" bestFit="1" customWidth="1"/>
    <col min="13" max="16384" width="9.140625" style="37"/>
  </cols>
  <sheetData>
    <row r="1" spans="1:12" ht="12" thickBot="1" x14ac:dyDescent="0.25">
      <c r="A1" s="132" t="s">
        <v>21</v>
      </c>
      <c r="B1" s="133"/>
      <c r="D1" s="38" t="s">
        <v>20</v>
      </c>
      <c r="E1" s="39" t="s">
        <v>47</v>
      </c>
      <c r="F1" s="39"/>
      <c r="G1" s="39" t="s">
        <v>0</v>
      </c>
      <c r="H1" s="40" t="s">
        <v>1</v>
      </c>
      <c r="I1" s="41">
        <f t="array" ref="I1:I13">_xll.qlPiecewiseYieldCurveData(YieldCurve)</f>
        <v>1</v>
      </c>
      <c r="L1" s="41">
        <v>1</v>
      </c>
    </row>
    <row r="2" spans="1:12" x14ac:dyDescent="0.2">
      <c r="A2" s="42" t="s">
        <v>28</v>
      </c>
      <c r="B2" s="43">
        <v>8</v>
      </c>
      <c r="C2" s="140" t="s">
        <v>62</v>
      </c>
      <c r="D2" s="44" t="str">
        <f t="array" ref="D2:D13">_xll.qlRateHelperSelection(_xll.ohFilter(RateHelpers,RateHelpersIncluded),_xll.ohFilter(RateHelpersPriority,RateHelpersIncluded),nIMMFutures,nSerialFutures,FrontFuturesRollingDays,DepoInclusionCriteria,_xll.ohFilter(MinDistance,RateHelpersIncluded),Trigger)</f>
        <v>HKD_YC1MRH_AM1H3M</v>
      </c>
      <c r="E2" s="45">
        <f>_xll.qlRateHelperRate($D2)</f>
        <v>2.1000000000000003E-3</v>
      </c>
      <c r="F2" s="45">
        <f>IF(ISERROR(_xll.qlSwapRateHelperSpread($D2)),IF(ISERROR(_xll.qlFuturesRateHelperConvexityAdjustment($D2)),"--",_xll.qlFuturesRateHelperConvexityAdjustment($D2)),_xll.qlSwapRateHelperSpread($D2))</f>
        <v>0</v>
      </c>
      <c r="G2" s="46">
        <f>_xll.qlRateHelperEarliestDate($D2)</f>
        <v>41600</v>
      </c>
      <c r="H2" s="47">
        <f>_xll.qlRateHelperLatestDate($D2)</f>
        <v>41694</v>
      </c>
      <c r="I2" s="41">
        <v>0.99944888117593667</v>
      </c>
      <c r="K2" s="37">
        <v>2.1000000000000003E-3</v>
      </c>
      <c r="L2" s="41">
        <v>0.99944888117593667</v>
      </c>
    </row>
    <row r="3" spans="1:12" x14ac:dyDescent="0.2">
      <c r="A3" s="48" t="s">
        <v>29</v>
      </c>
      <c r="B3" s="49">
        <v>0</v>
      </c>
      <c r="C3" s="140" t="s">
        <v>63</v>
      </c>
      <c r="D3" s="44" t="str">
        <v>HKD_YC1MRH_AM1H6M</v>
      </c>
      <c r="E3" s="45">
        <f>_xll.qlRateHelperRate($D3)</f>
        <v>2.3999999999999998E-3</v>
      </c>
      <c r="F3" s="45">
        <f>IF(ISERROR(_xll.qlSwapRateHelperSpread($D3)),IF(ISERROR(_xll.qlFuturesRateHelperConvexityAdjustment($D3)),"--",_xll.qlFuturesRateHelperConvexityAdjustment($D3)),_xll.qlSwapRateHelperSpread($D3))</f>
        <v>0</v>
      </c>
      <c r="G3" s="46">
        <f>_xll.qlRateHelperEarliestDate($D3)</f>
        <v>41600</v>
      </c>
      <c r="H3" s="47">
        <f>_xll.qlRateHelperLatestDate($D3)</f>
        <v>41781</v>
      </c>
      <c r="I3" s="41">
        <v>0.99880069538760774</v>
      </c>
      <c r="K3" s="37">
        <v>2.3999999999999998E-3</v>
      </c>
      <c r="L3" s="41">
        <v>0.99880069538760774</v>
      </c>
    </row>
    <row r="4" spans="1:12" x14ac:dyDescent="0.2">
      <c r="A4" s="48" t="s">
        <v>17</v>
      </c>
      <c r="B4" s="49">
        <v>1</v>
      </c>
      <c r="C4" s="140" t="s">
        <v>64</v>
      </c>
      <c r="D4" s="44" t="str">
        <v>HKD_YC1MRH_AM1H9M</v>
      </c>
      <c r="E4" s="45">
        <f>_xll.qlRateHelperRate($D4)</f>
        <v>2.5999999999999999E-3</v>
      </c>
      <c r="F4" s="45">
        <f>IF(ISERROR(_xll.qlSwapRateHelperSpread($D4)),IF(ISERROR(_xll.qlFuturesRateHelperConvexityAdjustment($D4)),"--",_xll.qlFuturesRateHelperConvexityAdjustment($D4)),_xll.qlSwapRateHelperSpread($D4))</f>
        <v>0</v>
      </c>
      <c r="G4" s="46">
        <f>_xll.qlRateHelperEarliestDate($D4)</f>
        <v>41600</v>
      </c>
      <c r="H4" s="47">
        <f>_xll.qlRateHelperLatestDate($D4)</f>
        <v>41873</v>
      </c>
      <c r="I4" s="41">
        <v>0.99804854241953556</v>
      </c>
      <c r="K4" s="37">
        <v>2.5999999999999999E-3</v>
      </c>
      <c r="L4" s="41">
        <v>0.99804854241953556</v>
      </c>
    </row>
    <row r="5" spans="1:12" x14ac:dyDescent="0.2">
      <c r="A5" s="48" t="s">
        <v>18</v>
      </c>
      <c r="B5" s="50" t="s">
        <v>25</v>
      </c>
      <c r="C5" s="140" t="s">
        <v>65</v>
      </c>
      <c r="D5" s="44" t="str">
        <v>HKD_YC1MRH_AM1H1Y</v>
      </c>
      <c r="E5" s="45">
        <f>_xll.qlRateHelperRate($D5)</f>
        <v>2.8000000000000004E-3</v>
      </c>
      <c r="F5" s="45">
        <f>IF(ISERROR(_xll.qlSwapRateHelperSpread($D5)),IF(ISERROR(_xll.qlFuturesRateHelperConvexityAdjustment($D5)),"--",_xll.qlFuturesRateHelperConvexityAdjustment($D5)),_xll.qlSwapRateHelperSpread($D5))</f>
        <v>0</v>
      </c>
      <c r="G5" s="46">
        <f>_xll.qlRateHelperEarliestDate($D5)</f>
        <v>41600</v>
      </c>
      <c r="H5" s="47">
        <f>_xll.qlRateHelperLatestDate($D5)</f>
        <v>41967</v>
      </c>
      <c r="I5" s="41">
        <v>0.99718199621706238</v>
      </c>
      <c r="K5" s="37">
        <v>2.8000000000000004E-3</v>
      </c>
      <c r="L5" s="41">
        <v>0.99718199621706238</v>
      </c>
    </row>
    <row r="6" spans="1:12" x14ac:dyDescent="0.2">
      <c r="A6" s="48" t="s">
        <v>15</v>
      </c>
      <c r="B6" s="51" t="str">
        <f>_xll.ohRangeRetrieveError(Selected!D2)</f>
        <v/>
      </c>
      <c r="D6" s="44" t="e">
        <v>#N/A</v>
      </c>
      <c r="E6" s="45" t="e">
        <f>_xll.qlRateHelperRate($D6)</f>
        <v>#VALUE!</v>
      </c>
      <c r="F6" s="45" t="str">
        <f>IF(ISERROR(_xll.qlSwapRateHelperSpread($D6)),IF(ISERROR(_xll.qlFuturesRateHelperConvexityAdjustment($D6)),"--",_xll.qlFuturesRateHelperConvexityAdjustment($D6)),_xll.qlSwapRateHelperSpread($D6))</f>
        <v>--</v>
      </c>
      <c r="G6" s="46" t="e">
        <f>_xll.qlRateHelperEarliestDate($D6)</f>
        <v>#VALUE!</v>
      </c>
      <c r="H6" s="47" t="e">
        <f>_xll.qlRateHelperLatestDate($D6)</f>
        <v>#VALUE!</v>
      </c>
      <c r="I6" s="41" t="e">
        <v>#N/A</v>
      </c>
    </row>
    <row r="7" spans="1:12" ht="12" thickBot="1" x14ac:dyDescent="0.25">
      <c r="A7" s="52" t="str">
        <f>_xll.ohGroup(RateHelperPrefix&amp;"_RateHelpersSelected",_xll.ohPack(Selected!D2:D13),TRUE,,ObjectOverwrite)</f>
        <v>HKD_YC1MRH_RateHelpersSelected#0018</v>
      </c>
      <c r="B7" s="53" t="str">
        <f>_xll.ohRangeRetrieveError(RateHelpersSelected)</f>
        <v/>
      </c>
      <c r="D7" s="44" t="e">
        <v>#N/A</v>
      </c>
      <c r="E7" s="45" t="e">
        <f>_xll.qlRateHelperRate($D7)</f>
        <v>#VALUE!</v>
      </c>
      <c r="F7" s="45" t="str">
        <f>IF(ISERROR(_xll.qlSwapRateHelperSpread($D7)),IF(ISERROR(_xll.qlFuturesRateHelperConvexityAdjustment($D7)),"--",_xll.qlFuturesRateHelperConvexityAdjustment($D7)),_xll.qlSwapRateHelperSpread($D7))</f>
        <v>--</v>
      </c>
      <c r="G7" s="46" t="e">
        <f>_xll.qlRateHelperEarliestDate($D7)</f>
        <v>#VALUE!</v>
      </c>
      <c r="H7" s="47" t="e">
        <f>_xll.qlRateHelperLatestDate($D7)</f>
        <v>#VALUE!</v>
      </c>
      <c r="I7" s="41" t="e">
        <v>#N/A</v>
      </c>
    </row>
    <row r="8" spans="1:12" x14ac:dyDescent="0.2">
      <c r="D8" s="44" t="e">
        <v>#N/A</v>
      </c>
      <c r="E8" s="45" t="e">
        <f>_xll.qlRateHelperRate($D8)</f>
        <v>#VALUE!</v>
      </c>
      <c r="F8" s="45" t="str">
        <f>IF(ISERROR(_xll.qlSwapRateHelperSpread($D8)),IF(ISERROR(_xll.qlFuturesRateHelperConvexityAdjustment($D8)),"--",_xll.qlFuturesRateHelperConvexityAdjustment($D8)),_xll.qlSwapRateHelperSpread($D8))</f>
        <v>--</v>
      </c>
      <c r="G8" s="46" t="e">
        <f>_xll.qlRateHelperEarliestDate($D8)</f>
        <v>#VALUE!</v>
      </c>
      <c r="H8" s="47" t="e">
        <f>_xll.qlRateHelperLatestDate($D8)</f>
        <v>#VALUE!</v>
      </c>
      <c r="I8" s="41" t="e">
        <v>#N/A</v>
      </c>
    </row>
    <row r="9" spans="1:12" x14ac:dyDescent="0.2">
      <c r="D9" s="44" t="e">
        <v>#N/A</v>
      </c>
      <c r="E9" s="45" t="e">
        <f>_xll.qlRateHelperRate($D9)</f>
        <v>#VALUE!</v>
      </c>
      <c r="F9" s="45" t="str">
        <f>IF(ISERROR(_xll.qlSwapRateHelperSpread($D9)),IF(ISERROR(_xll.qlFuturesRateHelperConvexityAdjustment($D9)),"--",_xll.qlFuturesRateHelperConvexityAdjustment($D9)),_xll.qlSwapRateHelperSpread($D9))</f>
        <v>--</v>
      </c>
      <c r="G9" s="46" t="e">
        <f>_xll.qlRateHelperEarliestDate($D9)</f>
        <v>#VALUE!</v>
      </c>
      <c r="H9" s="47" t="e">
        <f>_xll.qlRateHelperLatestDate($D9)</f>
        <v>#VALUE!</v>
      </c>
      <c r="I9" s="41" t="e">
        <v>#N/A</v>
      </c>
    </row>
    <row r="10" spans="1:12" x14ac:dyDescent="0.2">
      <c r="D10" s="44" t="e">
        <v>#N/A</v>
      </c>
      <c r="E10" s="45" t="e">
        <f>_xll.qlRateHelperRate($D10)</f>
        <v>#VALUE!</v>
      </c>
      <c r="F10" s="45" t="str">
        <f>IF(ISERROR(_xll.qlSwapRateHelperSpread($D10)),IF(ISERROR(_xll.qlFuturesRateHelperConvexityAdjustment($D10)),"--",_xll.qlFuturesRateHelperConvexityAdjustment($D10)),_xll.qlSwapRateHelperSpread($D10))</f>
        <v>--</v>
      </c>
      <c r="G10" s="46" t="e">
        <f>_xll.qlRateHelperEarliestDate($D10)</f>
        <v>#VALUE!</v>
      </c>
      <c r="H10" s="47" t="e">
        <f>_xll.qlRateHelperLatestDate($D10)</f>
        <v>#VALUE!</v>
      </c>
      <c r="I10" s="41" t="e">
        <v>#N/A</v>
      </c>
    </row>
    <row r="11" spans="1:12" x14ac:dyDescent="0.2">
      <c r="D11" s="44" t="e">
        <v>#N/A</v>
      </c>
      <c r="E11" s="45" t="e">
        <f>_xll.qlRateHelperRate($D11)</f>
        <v>#VALUE!</v>
      </c>
      <c r="F11" s="45" t="str">
        <f>IF(ISERROR(_xll.qlSwapRateHelperSpread($D11)),IF(ISERROR(_xll.qlFuturesRateHelperConvexityAdjustment($D11)),"--",_xll.qlFuturesRateHelperConvexityAdjustment($D11)),_xll.qlSwapRateHelperSpread($D11))</f>
        <v>--</v>
      </c>
      <c r="G11" s="46" t="e">
        <f>_xll.qlRateHelperEarliestDate($D11)</f>
        <v>#VALUE!</v>
      </c>
      <c r="H11" s="47" t="e">
        <f>_xll.qlRateHelperLatestDate($D11)</f>
        <v>#VALUE!</v>
      </c>
      <c r="I11" s="41" t="e">
        <v>#N/A</v>
      </c>
    </row>
    <row r="12" spans="1:12" x14ac:dyDescent="0.2">
      <c r="D12" s="44" t="e">
        <v>#N/A</v>
      </c>
      <c r="E12" s="45" t="e">
        <f>_xll.qlRateHelperRate($D12)</f>
        <v>#VALUE!</v>
      </c>
      <c r="F12" s="45" t="str">
        <f>IF(ISERROR(_xll.qlSwapRateHelperSpread($D12)),IF(ISERROR(_xll.qlFuturesRateHelperConvexityAdjustment($D12)),"--",_xll.qlFuturesRateHelperConvexityAdjustment($D12)),_xll.qlSwapRateHelperSpread($D12))</f>
        <v>--</v>
      </c>
      <c r="G12" s="46" t="e">
        <f>_xll.qlRateHelperEarliestDate($D12)</f>
        <v>#VALUE!</v>
      </c>
      <c r="H12" s="47" t="e">
        <f>_xll.qlRateHelperLatestDate($D12)</f>
        <v>#VALUE!</v>
      </c>
      <c r="I12" s="41" t="e">
        <v>#N/A</v>
      </c>
    </row>
    <row r="13" spans="1:12" ht="12" thickBot="1" x14ac:dyDescent="0.25">
      <c r="D13" s="54" t="e">
        <v>#N/A</v>
      </c>
      <c r="E13" s="55" t="e">
        <f>_xll.qlRateHelperRate($D13)</f>
        <v>#VALUE!</v>
      </c>
      <c r="F13" s="55" t="str">
        <f>IF(ISERROR(_xll.qlSwapRateHelperSpread($D13)),IF(ISERROR(_xll.qlFuturesRateHelperConvexityAdjustment($D13)),"--",_xll.qlFuturesRateHelperConvexityAdjustment($D13)),_xll.qlSwapRateHelperSpread($D13))</f>
        <v>--</v>
      </c>
      <c r="G13" s="56" t="e">
        <f>_xll.qlRateHelperEarliestDate($D13)</f>
        <v>#VALUE!</v>
      </c>
      <c r="H13" s="57" t="e">
        <f>_xll.qlRateHelperLatestDate($D13)</f>
        <v>#VALUE!</v>
      </c>
      <c r="I13" s="41" t="e">
        <v>#N/A</v>
      </c>
    </row>
    <row r="15" spans="1:12" x14ac:dyDescent="0.2">
      <c r="D15" s="138"/>
      <c r="I15" s="139"/>
    </row>
  </sheetData>
  <mergeCells count="1">
    <mergeCell ref="A1:B1"/>
  </mergeCells>
  <phoneticPr fontId="2" type="noConversion"/>
  <dataValidations disablePrompts="1"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41</vt:i4>
      </vt:variant>
    </vt:vector>
  </HeadingPairs>
  <TitlesOfParts>
    <vt:vector size="45" baseType="lpstr">
      <vt:lpstr>General Settings</vt:lpstr>
      <vt:lpstr>HKD_YCRH_Swaps_1M</vt:lpstr>
      <vt:lpstr>RateHelpers</vt:lpstr>
      <vt:lpstr>Selected</vt:lpstr>
      <vt:lpstr>Accuracy</vt:lpstr>
      <vt:lpstr>BondBasisDayCounter</vt:lpstr>
      <vt:lpstr>HKD_YCRH_Swaps_1M!Calendar</vt:lpstr>
      <vt:lpstr>Calendar</vt:lpstr>
      <vt:lpstr>HKD_YCRH_Swaps_1M!Currency</vt:lpstr>
      <vt:lpstr>Currency</vt:lpstr>
      <vt:lpstr>DayCounter</vt:lpstr>
      <vt:lpstr>DepoInclusionCriteria</vt:lpstr>
      <vt:lpstr>Discounting</vt:lpstr>
      <vt:lpstr>Discounting2</vt:lpstr>
      <vt:lpstr>HKD_YCRH_Swaps_1M!DiscountingCurve</vt:lpstr>
      <vt:lpstr>FamilyName</vt:lpstr>
      <vt:lpstr>FileOverwrite</vt:lpstr>
      <vt:lpstr>FrontFuturesRollingDays</vt:lpstr>
      <vt:lpstr>GENERAL_SETTINGS</vt:lpstr>
      <vt:lpstr>IborType</vt:lpstr>
      <vt:lpstr>IndexTenor</vt:lpstr>
      <vt:lpstr>InterpolatorID</vt:lpstr>
      <vt:lpstr>MinDistance</vt:lpstr>
      <vt:lpstr>MoneyMarketDayCounter</vt:lpstr>
      <vt:lpstr>Months</vt:lpstr>
      <vt:lpstr>NDays</vt:lpstr>
      <vt:lpstr>nIMMFutures</vt:lpstr>
      <vt:lpstr>nSerialFutures</vt:lpstr>
      <vt:lpstr>HKD_YCRH_Swaps_1M!ObjectOverwrite</vt:lpstr>
      <vt:lpstr>ObjectOverwrite</vt:lpstr>
      <vt:lpstr>HKD_YCRH_Swaps_1M!Permanent</vt:lpstr>
      <vt:lpstr>Permanent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HKD_YCRH_Swaps_1M!Trigger</vt:lpstr>
      <vt:lpstr>Trigger</vt:lpstr>
      <vt:lpstr>YieldCurve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AMETRANO FERDINANDO MARIA</cp:lastModifiedBy>
  <cp:lastPrinted>2006-06-05T17:15:30Z</cp:lastPrinted>
  <dcterms:created xsi:type="dcterms:W3CDTF">2006-04-26T09:45:07Z</dcterms:created>
  <dcterms:modified xsi:type="dcterms:W3CDTF">2013-11-20T16:22:37Z</dcterms:modified>
</cp:coreProperties>
</file>