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715" activeTab="1"/>
  </bookViews>
  <sheets>
    <sheet name="General Settings" sheetId="2" r:id="rId1"/>
    <sheet name="Contribution" sheetId="7" r:id="rId2"/>
    <sheet name="1M Pricing" sheetId="14" r:id="rId3"/>
    <sheet name="3M Pricing" sheetId="10" r:id="rId4"/>
    <sheet name="6M Pricing" sheetId="11" r:id="rId5"/>
    <sheet name="ON Pricing" sheetId="12" r:id="rId6"/>
  </sheets>
  <externalReferences>
    <externalReference r:id="rId7"/>
  </externalReferences>
  <definedNames>
    <definedName name="_xlnm._FilterDatabase" localSheetId="1" hidden="1">Contribution!$E$5:$AL$5</definedName>
    <definedName name="ASK">Contribution!$H$2</definedName>
    <definedName name="BDayConvention" localSheetId="2">'1M Pricing'!$N$6</definedName>
    <definedName name="BDayConvention" localSheetId="3">'3M Pricing'!$N$6</definedName>
    <definedName name="BDayConvention" localSheetId="4">'6M Pricing'!$N$6</definedName>
    <definedName name="BID">Contribution!$G$2</definedName>
    <definedName name="Calendar">'General Settings'!$D$19</definedName>
    <definedName name="Contribute">Contribution!$D$2</definedName>
    <definedName name="Currency">'General Settings'!$D$11</definedName>
    <definedName name="CurveTenor" localSheetId="2">'1M Pricing'!$D$2</definedName>
    <definedName name="CurveTenor" localSheetId="3">'3M Pricing'!$D$2</definedName>
    <definedName name="CurveTenor" localSheetId="4">'6M Pricing'!$D$2</definedName>
    <definedName name="CurveTenor" localSheetId="5">'ON Pricing'!$D$2</definedName>
    <definedName name="DayCounter" localSheetId="2">'1M Pricing'!$O$6</definedName>
    <definedName name="DayCounter" localSheetId="3">'3M Pricing'!$O$6</definedName>
    <definedName name="DayCounter" localSheetId="4">'6M Pricing'!$O$6</definedName>
    <definedName name="DiscountingCurve">'General Settings'!$D$12</definedName>
    <definedName name="EndOfMonth" localSheetId="2">'1M Pricing'!$M$6</definedName>
    <definedName name="EndOfMonth" localSheetId="3">'3M Pricing'!$M$6</definedName>
    <definedName name="EndOfMonth" localSheetId="4">'6M Pricing'!$M$6</definedName>
    <definedName name="EvaluationDate">'General Settings'!$D$5</definedName>
    <definedName name="Fields">Contribution!$G$2:$H$2</definedName>
    <definedName name="FixedLegBDC" localSheetId="2">'1M Pricing'!$N$23</definedName>
    <definedName name="FixedLegBDC" localSheetId="4">'6M Pricing'!$N$23</definedName>
    <definedName name="FixedLegBDC" localSheetId="5">'ON Pricing'!$N$7</definedName>
    <definedName name="FixedLegBDC">'3M Pricing'!$N$23</definedName>
    <definedName name="FixedLegDayCounter" localSheetId="2">'1M Pricing'!$O$23</definedName>
    <definedName name="FixedLegDayCounter" localSheetId="3">'3M Pricing'!$O$23</definedName>
    <definedName name="FixedLegDayCounter" localSheetId="4">'6M Pricing'!$O$23</definedName>
    <definedName name="FixedLegDayCounter" localSheetId="5">'ON Pricing'!$O$7</definedName>
    <definedName name="FixedLegTenor" localSheetId="2">'1M Pricing'!$M$23</definedName>
    <definedName name="FixedLegTenor" localSheetId="3">'3M Pricing'!$M$23</definedName>
    <definedName name="FixedLegTenor" localSheetId="4">'6M Pricing'!$M$23</definedName>
    <definedName name="FixedLegTenor" localSheetId="5">'ON Pricing'!$M$7</definedName>
    <definedName name="IborIndex" localSheetId="2">'1M Pricing'!$K$10</definedName>
    <definedName name="IborIndex" localSheetId="3">'3M Pricing'!$K$12</definedName>
    <definedName name="IborIndex" localSheetId="4">'6M Pricing'!$K$15</definedName>
    <definedName name="IborIndexFamily">'General Settings'!$D$13</definedName>
    <definedName name="InterestRatesTrigger">'General Settings'!$D$6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5">'ON Pricing'!$K$4</definedName>
    <definedName name="SettlementDate">'General Settings'!$D$20</definedName>
    <definedName name="SettlementDays">'General Settings'!$D$15</definedName>
    <definedName name="SourceAlias">Contribution!$E$2</definedName>
    <definedName name="Trigger">'General Settings'!$D$4</definedName>
    <definedName name="YieldCurve" localSheetId="2">'1M Pricing'!$D$3</definedName>
    <definedName name="YieldCurve" localSheetId="3">'3M Pricing'!$D$3</definedName>
    <definedName name="YieldCurve" localSheetId="4">'6M Pricing'!$D$3</definedName>
    <definedName name="YieldCurve" localSheetId="5">'ON Pricing'!$D$3</definedName>
  </definedNames>
  <calcPr calcId="145621"/>
</workbook>
</file>

<file path=xl/calcChain.xml><?xml version="1.0" encoding="utf-8"?>
<calcChain xmlns="http://schemas.openxmlformats.org/spreadsheetml/2006/main">
  <c r="H12" i="10" l="1"/>
  <c r="H11" i="10"/>
  <c r="H10" i="10"/>
  <c r="H9" i="10"/>
  <c r="H8" i="10"/>
  <c r="H7" i="10"/>
  <c r="H6" i="10"/>
  <c r="H41" i="14"/>
  <c r="H40" i="14"/>
  <c r="H39" i="14"/>
  <c r="H38" i="14"/>
  <c r="H37" i="14"/>
  <c r="H36" i="14"/>
  <c r="H33" i="14"/>
  <c r="H31" i="14"/>
  <c r="H30" i="14"/>
  <c r="H29" i="14"/>
  <c r="H28" i="14"/>
  <c r="H26" i="14"/>
  <c r="H25" i="14"/>
  <c r="H24" i="14"/>
  <c r="H23" i="14"/>
  <c r="H10" i="14"/>
  <c r="H9" i="14"/>
  <c r="H8" i="14"/>
  <c r="H7" i="14"/>
  <c r="H6" i="14"/>
  <c r="V41" i="7" l="1"/>
  <c r="V40" i="7"/>
  <c r="V39" i="7"/>
  <c r="V38" i="7"/>
  <c r="V37" i="7"/>
  <c r="V36" i="7"/>
  <c r="V33" i="7"/>
  <c r="V31" i="7"/>
  <c r="V30" i="7"/>
  <c r="V29" i="7"/>
  <c r="V28" i="7"/>
  <c r="V26" i="7"/>
  <c r="V15" i="7"/>
  <c r="V14" i="7"/>
  <c r="V13" i="7"/>
  <c r="V12" i="7"/>
  <c r="V11" i="7"/>
  <c r="V10" i="7"/>
  <c r="V9" i="7"/>
  <c r="V8" i="7"/>
  <c r="V7" i="7"/>
  <c r="V6" i="7"/>
  <c r="P38" i="7"/>
  <c r="P41" i="7"/>
  <c r="P40" i="7"/>
  <c r="P39" i="7"/>
  <c r="P37" i="7"/>
  <c r="P36" i="7"/>
  <c r="P33" i="7"/>
  <c r="P31" i="7"/>
  <c r="P30" i="7"/>
  <c r="P29" i="7"/>
  <c r="P28" i="7"/>
  <c r="P26" i="7"/>
  <c r="P12" i="7"/>
  <c r="P11" i="7"/>
  <c r="P10" i="7"/>
  <c r="P9" i="7"/>
  <c r="P8" i="7"/>
  <c r="P7" i="7"/>
  <c r="P6" i="7"/>
  <c r="J41" i="7"/>
  <c r="J40" i="7"/>
  <c r="J39" i="7"/>
  <c r="J38" i="7"/>
  <c r="J37" i="7"/>
  <c r="J36" i="7"/>
  <c r="J33" i="7"/>
  <c r="J31" i="7"/>
  <c r="J30" i="7"/>
  <c r="J29" i="7"/>
  <c r="J28" i="7"/>
  <c r="J26" i="7"/>
  <c r="J25" i="7"/>
  <c r="J24" i="7"/>
  <c r="J23" i="7"/>
  <c r="J10" i="7"/>
  <c r="J9" i="7"/>
  <c r="J8" i="7"/>
  <c r="J7" i="7"/>
  <c r="J6" i="7"/>
  <c r="AB40" i="7"/>
  <c r="AB41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16" i="7"/>
  <c r="AB15" i="7"/>
  <c r="AB14" i="7"/>
  <c r="AB13" i="7"/>
  <c r="AB12" i="7"/>
  <c r="AB11" i="7"/>
  <c r="AB10" i="7"/>
  <c r="AB7" i="7"/>
  <c r="AB6" i="7"/>
  <c r="E25" i="7"/>
  <c r="E24" i="7"/>
  <c r="E23" i="7"/>
  <c r="F17" i="7"/>
  <c r="B17" i="7" a="1"/>
  <c r="B17" i="7" l="1"/>
  <c r="B18" i="7"/>
  <c r="B19" i="7"/>
  <c r="B20" i="7"/>
  <c r="B21" i="7"/>
  <c r="B22" i="7"/>
  <c r="I10" i="14"/>
  <c r="I15" i="11"/>
  <c r="I12" i="10"/>
  <c r="D3" i="14"/>
  <c r="E7" i="7"/>
  <c r="E8" i="7"/>
  <c r="E9" i="7"/>
  <c r="E10" i="7"/>
  <c r="E26" i="7"/>
  <c r="E28" i="7"/>
  <c r="E29" i="7"/>
  <c r="E30" i="7"/>
  <c r="E31" i="7"/>
  <c r="E33" i="7"/>
  <c r="E36" i="7"/>
  <c r="E37" i="7"/>
  <c r="E38" i="7"/>
  <c r="E39" i="7"/>
  <c r="E40" i="7"/>
  <c r="E41" i="7"/>
  <c r="E6" i="7"/>
  <c r="D17" i="7"/>
  <c r="D18" i="7"/>
  <c r="D19" i="7"/>
  <c r="D20" i="7"/>
  <c r="D21" i="7"/>
  <c r="D22" i="7"/>
  <c r="P22" i="7" l="1"/>
  <c r="P21" i="7"/>
  <c r="P20" i="7"/>
  <c r="P19" i="7"/>
  <c r="P18" i="7"/>
  <c r="P17" i="7"/>
  <c r="B22" i="10"/>
  <c r="B21" i="10"/>
  <c r="B20" i="10"/>
  <c r="B19" i="10"/>
  <c r="B18" i="10"/>
  <c r="B17" i="10"/>
  <c r="I6" i="12"/>
  <c r="I29" i="10" l="1"/>
  <c r="I28" i="10"/>
  <c r="I26" i="10"/>
  <c r="I41" i="11"/>
  <c r="I40" i="11"/>
  <c r="I39" i="11"/>
  <c r="I38" i="11"/>
  <c r="I37" i="11"/>
  <c r="I36" i="11"/>
  <c r="I35" i="11"/>
  <c r="I34" i="11"/>
  <c r="I33" i="11"/>
  <c r="I32" i="11"/>
  <c r="I31" i="11"/>
  <c r="I30" i="11"/>
  <c r="D12" i="2"/>
  <c r="D13" i="2" l="1"/>
  <c r="K10" i="14" s="1"/>
  <c r="H16" i="7"/>
  <c r="I41" i="12" l="1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16" i="12"/>
  <c r="I15" i="12"/>
  <c r="I14" i="12"/>
  <c r="I13" i="12"/>
  <c r="I12" i="12"/>
  <c r="I11" i="12"/>
  <c r="I10" i="12"/>
  <c r="I7" i="12"/>
  <c r="H16" i="12" l="1"/>
  <c r="I17" i="10" l="1"/>
  <c r="I22" i="10"/>
  <c r="I20" i="10"/>
  <c r="I19" i="10"/>
  <c r="I21" i="10"/>
  <c r="I18" i="10"/>
  <c r="E19" i="10"/>
  <c r="E21" i="10"/>
  <c r="E18" i="10"/>
  <c r="E22" i="10"/>
  <c r="E20" i="10"/>
  <c r="E17" i="10"/>
  <c r="H41" i="12" l="1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15" i="12"/>
  <c r="H14" i="12"/>
  <c r="H13" i="12"/>
  <c r="H12" i="12"/>
  <c r="H11" i="12"/>
  <c r="H10" i="12"/>
  <c r="H7" i="12"/>
  <c r="H6" i="12"/>
  <c r="H41" i="10"/>
  <c r="H40" i="10"/>
  <c r="H39" i="10"/>
  <c r="H38" i="10"/>
  <c r="H37" i="10"/>
  <c r="H36" i="10"/>
  <c r="H33" i="10"/>
  <c r="H31" i="10"/>
  <c r="H30" i="10"/>
  <c r="H29" i="10"/>
  <c r="H28" i="10"/>
  <c r="H26" i="10"/>
  <c r="H22" i="10"/>
  <c r="H21" i="10"/>
  <c r="H20" i="10"/>
  <c r="H19" i="10"/>
  <c r="H18" i="10"/>
  <c r="H17" i="10"/>
  <c r="H14" i="11" l="1"/>
  <c r="H15" i="11"/>
  <c r="H37" i="11"/>
  <c r="H8" i="11"/>
  <c r="H38" i="11"/>
  <c r="H9" i="11"/>
  <c r="H39" i="11"/>
  <c r="H29" i="11"/>
  <c r="H36" i="11"/>
  <c r="H7" i="11"/>
  <c r="H26" i="11"/>
  <c r="H28" i="11"/>
  <c r="H10" i="11"/>
  <c r="H40" i="11"/>
  <c r="H11" i="11"/>
  <c r="H30" i="11"/>
  <c r="H41" i="11"/>
  <c r="H12" i="11"/>
  <c r="H31" i="11"/>
  <c r="H13" i="11"/>
  <c r="H33" i="11"/>
  <c r="H6" i="11"/>
  <c r="D3" i="12" l="1"/>
  <c r="D3" i="11"/>
  <c r="D3" i="10" l="1"/>
  <c r="B1" i="2" l="1"/>
  <c r="D5" i="2"/>
  <c r="D40" i="14" l="1"/>
  <c r="D32" i="14"/>
  <c r="D24" i="14"/>
  <c r="D39" i="14"/>
  <c r="D31" i="14"/>
  <c r="D38" i="14"/>
  <c r="D30" i="14"/>
  <c r="D9" i="14"/>
  <c r="D37" i="14"/>
  <c r="D29" i="14"/>
  <c r="D8" i="14"/>
  <c r="D36" i="14"/>
  <c r="D28" i="14"/>
  <c r="D7" i="14"/>
  <c r="D35" i="14"/>
  <c r="D27" i="14"/>
  <c r="D6" i="14"/>
  <c r="D34" i="14"/>
  <c r="D26" i="14"/>
  <c r="D41" i="14"/>
  <c r="D33" i="14"/>
  <c r="D25" i="14"/>
  <c r="D25" i="11"/>
  <c r="D24" i="11"/>
  <c r="D23" i="11"/>
  <c r="D23" i="10"/>
  <c r="D25" i="10"/>
  <c r="D24" i="10"/>
  <c r="D23" i="14"/>
  <c r="D10" i="14"/>
  <c r="D12" i="11"/>
  <c r="D8" i="11"/>
  <c r="D15" i="11"/>
  <c r="D11" i="11"/>
  <c r="D7" i="11"/>
  <c r="D14" i="11"/>
  <c r="D10" i="11"/>
  <c r="D13" i="11"/>
  <c r="D9" i="11"/>
  <c r="D41" i="12"/>
  <c r="D33" i="12"/>
  <c r="D16" i="12"/>
  <c r="D10" i="12"/>
  <c r="D40" i="12"/>
  <c r="D32" i="12"/>
  <c r="D9" i="12"/>
  <c r="D39" i="12"/>
  <c r="D31" i="12"/>
  <c r="D8" i="12"/>
  <c r="D38" i="12"/>
  <c r="D30" i="12"/>
  <c r="D15" i="12"/>
  <c r="D7" i="12"/>
  <c r="D37" i="12"/>
  <c r="D29" i="12"/>
  <c r="D14" i="12"/>
  <c r="D36" i="12"/>
  <c r="D28" i="12"/>
  <c r="D13" i="12"/>
  <c r="D35" i="12"/>
  <c r="D27" i="12"/>
  <c r="D12" i="12"/>
  <c r="D34" i="12"/>
  <c r="D26" i="12"/>
  <c r="D11" i="12"/>
  <c r="D26" i="11"/>
  <c r="D26" i="10"/>
  <c r="D6" i="12"/>
  <c r="K15" i="11"/>
  <c r="K12" i="10"/>
  <c r="D39" i="10"/>
  <c r="D40" i="10"/>
  <c r="D6" i="11"/>
  <c r="D36" i="11"/>
  <c r="D41" i="10"/>
  <c r="D31" i="11"/>
  <c r="D41" i="11"/>
  <c r="D34" i="10"/>
  <c r="D28" i="10"/>
  <c r="D30" i="10"/>
  <c r="D32" i="11"/>
  <c r="D10" i="10"/>
  <c r="D37" i="11"/>
  <c r="D31" i="10"/>
  <c r="E6" i="11"/>
  <c r="D34" i="11"/>
  <c r="D8" i="10"/>
  <c r="D38" i="10"/>
  <c r="D9" i="10"/>
  <c r="D27" i="10"/>
  <c r="D33" i="10"/>
  <c r="D35" i="10"/>
  <c r="D29" i="11"/>
  <c r="D36" i="10"/>
  <c r="D12" i="10"/>
  <c r="D6" i="10"/>
  <c r="D39" i="11"/>
  <c r="D11" i="10"/>
  <c r="D29" i="10"/>
  <c r="D37" i="10"/>
  <c r="D32" i="10"/>
  <c r="D35" i="11"/>
  <c r="D33" i="11"/>
  <c r="D27" i="11"/>
  <c r="D28" i="11"/>
  <c r="E6" i="10"/>
  <c r="D38" i="11"/>
  <c r="D30" i="11"/>
  <c r="D7" i="10"/>
  <c r="D40" i="11"/>
  <c r="G10" i="14"/>
  <c r="E10" i="14"/>
  <c r="F10" i="14" s="1"/>
  <c r="G15" i="11"/>
  <c r="E12" i="10"/>
  <c r="E15" i="11"/>
  <c r="E6" i="12"/>
  <c r="D18" i="2"/>
  <c r="D19" i="2" l="1"/>
  <c r="K41" i="10"/>
  <c r="K24" i="10"/>
  <c r="K23" i="10"/>
  <c r="K41" i="11"/>
  <c r="K41" i="14"/>
  <c r="K33" i="14"/>
  <c r="K25" i="14"/>
  <c r="K40" i="14"/>
  <c r="K32" i="14"/>
  <c r="K24" i="14"/>
  <c r="K39" i="14"/>
  <c r="K31" i="14"/>
  <c r="K38" i="14"/>
  <c r="K30" i="14"/>
  <c r="K37" i="14"/>
  <c r="K29" i="14"/>
  <c r="K36" i="14"/>
  <c r="K28" i="14"/>
  <c r="K35" i="14"/>
  <c r="K27" i="14"/>
  <c r="K34" i="14"/>
  <c r="K26" i="14"/>
  <c r="K23" i="14"/>
  <c r="K6" i="11"/>
  <c r="G6" i="11" s="1"/>
  <c r="K7" i="11"/>
  <c r="K8" i="11"/>
  <c r="K9" i="11"/>
  <c r="K10" i="11"/>
  <c r="K11" i="11"/>
  <c r="K12" i="11"/>
  <c r="K13" i="11"/>
  <c r="K14" i="11"/>
  <c r="K6" i="10"/>
  <c r="G6" i="10" s="1"/>
  <c r="K7" i="10"/>
  <c r="K8" i="10"/>
  <c r="K9" i="10"/>
  <c r="K10" i="10"/>
  <c r="K11" i="10"/>
  <c r="K6" i="14"/>
  <c r="K7" i="14"/>
  <c r="K8" i="14"/>
  <c r="K9" i="14"/>
  <c r="K23" i="11"/>
  <c r="K25" i="11"/>
  <c r="K25" i="10"/>
  <c r="K24" i="11"/>
  <c r="K28" i="10"/>
  <c r="K27" i="11"/>
  <c r="K40" i="12"/>
  <c r="F6" i="10"/>
  <c r="F22" i="10"/>
  <c r="K33" i="12"/>
  <c r="K38" i="11"/>
  <c r="K26" i="12"/>
  <c r="K34" i="10"/>
  <c r="G34" i="10" s="1"/>
  <c r="K35" i="12"/>
  <c r="K29" i="12"/>
  <c r="D21" i="10"/>
  <c r="K33" i="11"/>
  <c r="K34" i="11"/>
  <c r="K9" i="12"/>
  <c r="E40" i="12"/>
  <c r="K28" i="11"/>
  <c r="D18" i="10"/>
  <c r="F6" i="12"/>
  <c r="D17" i="10"/>
  <c r="F17" i="10"/>
  <c r="K31" i="11"/>
  <c r="K38" i="10"/>
  <c r="E38" i="10" s="1"/>
  <c r="K36" i="11"/>
  <c r="K40" i="10"/>
  <c r="K33" i="10"/>
  <c r="E10" i="11"/>
  <c r="K31" i="12"/>
  <c r="E31" i="12" s="1"/>
  <c r="K13" i="12"/>
  <c r="K26" i="10"/>
  <c r="K14" i="12"/>
  <c r="K32" i="12"/>
  <c r="K36" i="10"/>
  <c r="D20" i="2"/>
  <c r="K8" i="12"/>
  <c r="K35" i="11"/>
  <c r="K30" i="10"/>
  <c r="K39" i="12"/>
  <c r="K27" i="10"/>
  <c r="K36" i="12"/>
  <c r="G14" i="11"/>
  <c r="K34" i="12"/>
  <c r="K30" i="11"/>
  <c r="D20" i="10"/>
  <c r="F20" i="10"/>
  <c r="K41" i="12"/>
  <c r="K32" i="10"/>
  <c r="K37" i="11"/>
  <c r="K28" i="12"/>
  <c r="G7" i="11"/>
  <c r="K12" i="12"/>
  <c r="K26" i="11"/>
  <c r="K35" i="10"/>
  <c r="K27" i="12"/>
  <c r="F6" i="11"/>
  <c r="K16" i="12"/>
  <c r="K29" i="10"/>
  <c r="K15" i="12"/>
  <c r="K39" i="10"/>
  <c r="K38" i="12"/>
  <c r="K7" i="12"/>
  <c r="K29" i="11"/>
  <c r="K30" i="12"/>
  <c r="K37" i="12"/>
  <c r="K11" i="12"/>
  <c r="E10" i="10"/>
  <c r="K31" i="10"/>
  <c r="K39" i="11"/>
  <c r="F15" i="11"/>
  <c r="K40" i="11"/>
  <c r="K37" i="10"/>
  <c r="K10" i="12"/>
  <c r="F12" i="10"/>
  <c r="D22" i="10"/>
  <c r="F18" i="10"/>
  <c r="K32" i="11"/>
  <c r="E26" i="10"/>
  <c r="G9" i="11"/>
  <c r="E11" i="11"/>
  <c r="E24" i="10"/>
  <c r="F31" i="12"/>
  <c r="E9" i="11"/>
  <c r="E34" i="12"/>
  <c r="E36" i="11"/>
  <c r="E39" i="10"/>
  <c r="E8" i="11"/>
  <c r="E41" i="12"/>
  <c r="F19" i="10"/>
  <c r="E24" i="11"/>
  <c r="E33" i="11"/>
  <c r="E9" i="10"/>
  <c r="E31" i="10"/>
  <c r="E33" i="12"/>
  <c r="E14" i="11"/>
  <c r="F14" i="11" s="1"/>
  <c r="E30" i="12"/>
  <c r="E8" i="12"/>
  <c r="E26" i="12"/>
  <c r="E27" i="12"/>
  <c r="E9" i="12"/>
  <c r="E25" i="10"/>
  <c r="F40" i="12"/>
  <c r="E28" i="10"/>
  <c r="E7" i="10"/>
  <c r="E37" i="11"/>
  <c r="E39" i="11"/>
  <c r="E34" i="10"/>
  <c r="E34" i="11"/>
  <c r="E13" i="12"/>
  <c r="E11" i="10"/>
  <c r="F10" i="10"/>
  <c r="E38" i="11"/>
  <c r="E25" i="11"/>
  <c r="E7" i="12"/>
  <c r="E37" i="12"/>
  <c r="D19" i="10"/>
  <c r="E14" i="12"/>
  <c r="E36" i="10"/>
  <c r="F21" i="10"/>
  <c r="E30" i="10"/>
  <c r="E23" i="11"/>
  <c r="E13" i="11"/>
  <c r="F13" i="11" s="1"/>
  <c r="E37" i="10"/>
  <c r="F26" i="10"/>
  <c r="E29" i="12"/>
  <c r="E28" i="12"/>
  <c r="E36" i="12"/>
  <c r="E39" i="12"/>
  <c r="E35" i="12"/>
  <c r="E35" i="11"/>
  <c r="E41" i="10"/>
  <c r="F11" i="11"/>
  <c r="E11" i="12"/>
  <c r="E41" i="11"/>
  <c r="E33" i="10"/>
  <c r="F8" i="11"/>
  <c r="E10" i="12"/>
  <c r="E30" i="11"/>
  <c r="E35" i="10"/>
  <c r="F35" i="10" s="1"/>
  <c r="E8" i="10"/>
  <c r="E12" i="11"/>
  <c r="F12" i="11" s="1"/>
  <c r="E32" i="11"/>
  <c r="F39" i="10"/>
  <c r="E29" i="11"/>
  <c r="F7" i="12"/>
  <c r="E28" i="11"/>
  <c r="E27" i="10"/>
  <c r="F38" i="10"/>
  <c r="E32" i="12"/>
  <c r="E7" i="11"/>
  <c r="E38" i="12"/>
  <c r="F10" i="11"/>
  <c r="E32" i="10"/>
  <c r="E26" i="11"/>
  <c r="E40" i="11"/>
  <c r="E29" i="10"/>
  <c r="E12" i="12"/>
  <c r="E16" i="12"/>
  <c r="E27" i="11"/>
  <c r="E15" i="12"/>
  <c r="E31" i="11"/>
  <c r="E40" i="10"/>
  <c r="E9" i="14"/>
  <c r="F9" i="14" s="1"/>
  <c r="G9" i="14"/>
  <c r="E7" i="14"/>
  <c r="F7" i="14" s="1"/>
  <c r="G7" i="14"/>
  <c r="E8" i="14"/>
  <c r="F8" i="14" s="1"/>
  <c r="G8" i="14"/>
  <c r="G23" i="10"/>
  <c r="E23" i="10"/>
  <c r="F23" i="10" s="1"/>
  <c r="E41" i="14"/>
  <c r="F41" i="14" s="1"/>
  <c r="G41" i="14"/>
  <c r="G33" i="14"/>
  <c r="E33" i="14"/>
  <c r="F33" i="14" s="1"/>
  <c r="G25" i="14"/>
  <c r="E25" i="14"/>
  <c r="F25" i="14" s="1"/>
  <c r="E40" i="14"/>
  <c r="F40" i="14" s="1"/>
  <c r="G40" i="14"/>
  <c r="G32" i="14"/>
  <c r="E32" i="14"/>
  <c r="F32" i="14" s="1"/>
  <c r="G24" i="14"/>
  <c r="E24" i="14"/>
  <c r="F24" i="14" s="1"/>
  <c r="E39" i="14"/>
  <c r="F39" i="14" s="1"/>
  <c r="G39" i="14"/>
  <c r="G31" i="14"/>
  <c r="E31" i="14"/>
  <c r="F31" i="14" s="1"/>
  <c r="G38" i="14"/>
  <c r="E38" i="14"/>
  <c r="F38" i="14" s="1"/>
  <c r="G30" i="14"/>
  <c r="E30" i="14"/>
  <c r="F30" i="14" s="1"/>
  <c r="G37" i="14"/>
  <c r="E37" i="14"/>
  <c r="F37" i="14" s="1"/>
  <c r="G29" i="14"/>
  <c r="E29" i="14"/>
  <c r="F29" i="14" s="1"/>
  <c r="G36" i="14"/>
  <c r="E36" i="14"/>
  <c r="F36" i="14" s="1"/>
  <c r="G28" i="14"/>
  <c r="E28" i="14"/>
  <c r="F28" i="14" s="1"/>
  <c r="G35" i="14"/>
  <c r="E35" i="14"/>
  <c r="F35" i="14" s="1"/>
  <c r="G27" i="14"/>
  <c r="E27" i="14"/>
  <c r="F27" i="14" s="1"/>
  <c r="G34" i="14"/>
  <c r="E34" i="14"/>
  <c r="F34" i="14" s="1"/>
  <c r="G26" i="14"/>
  <c r="E26" i="14"/>
  <c r="F26" i="14" s="1"/>
  <c r="G23" i="14"/>
  <c r="E23" i="14"/>
  <c r="F23" i="14" s="1"/>
  <c r="G6" i="14"/>
  <c r="E6" i="14"/>
  <c r="F6" i="14" s="1"/>
  <c r="H41" i="7" l="1"/>
  <c r="F22" i="7"/>
  <c r="G39" i="7"/>
  <c r="F31" i="7"/>
  <c r="G9" i="7"/>
  <c r="H6" i="7"/>
  <c r="G12" i="7"/>
  <c r="H28" i="7"/>
  <c r="H36" i="7"/>
  <c r="G11" i="7"/>
  <c r="H31" i="7"/>
  <c r="H13" i="7"/>
  <c r="F20" i="7"/>
  <c r="F8" i="7"/>
  <c r="G7" i="7"/>
  <c r="F29" i="7"/>
  <c r="H29" i="7"/>
  <c r="H12" i="7"/>
  <c r="G6" i="7"/>
  <c r="H33" i="7"/>
  <c r="H26" i="7"/>
  <c r="G15" i="7"/>
  <c r="H34" i="7"/>
  <c r="G8" i="7"/>
  <c r="F11" i="7"/>
  <c r="H10" i="7"/>
  <c r="G37" i="7"/>
  <c r="H30" i="7"/>
  <c r="G14" i="7"/>
  <c r="H35" i="7"/>
  <c r="G33" i="7"/>
  <c r="G28" i="7"/>
  <c r="F26" i="7"/>
  <c r="G38" i="7"/>
  <c r="H15" i="7"/>
  <c r="G29" i="7"/>
  <c r="H40" i="7"/>
  <c r="G40" i="7"/>
  <c r="G26" i="7"/>
  <c r="G13" i="7"/>
  <c r="F21" i="7"/>
  <c r="H37" i="7"/>
  <c r="F39" i="7"/>
  <c r="F37" i="7"/>
  <c r="F33" i="7"/>
  <c r="H11" i="7"/>
  <c r="H27" i="7"/>
  <c r="F38" i="7"/>
  <c r="G10" i="7"/>
  <c r="F36" i="7"/>
  <c r="H38" i="7"/>
  <c r="G36" i="7"/>
  <c r="F28" i="7"/>
  <c r="F19" i="7"/>
  <c r="F7" i="7"/>
  <c r="F6" i="7"/>
  <c r="F41" i="7"/>
  <c r="F30" i="7"/>
  <c r="H7" i="7"/>
  <c r="F10" i="7"/>
  <c r="F9" i="7"/>
  <c r="H39" i="7"/>
  <c r="G31" i="7"/>
  <c r="H32" i="7"/>
  <c r="F12" i="7"/>
  <c r="G30" i="7"/>
  <c r="F40" i="7"/>
  <c r="G41" i="7"/>
  <c r="H14" i="7"/>
  <c r="F18" i="7"/>
  <c r="F29" i="11"/>
  <c r="F39" i="11"/>
  <c r="F30" i="10"/>
  <c r="F27" i="12"/>
  <c r="F37" i="11"/>
  <c r="F9" i="12"/>
  <c r="F36" i="12"/>
  <c r="F33" i="12"/>
  <c r="F38" i="11"/>
  <c r="F25" i="10"/>
  <c r="F11" i="10"/>
  <c r="F34" i="11"/>
  <c r="F13" i="12"/>
  <c r="F41" i="11"/>
  <c r="F26" i="11"/>
  <c r="F10" i="12"/>
  <c r="F24" i="11"/>
  <c r="F16" i="12"/>
  <c r="F8" i="10"/>
  <c r="F41" i="12"/>
  <c r="F32" i="11"/>
  <c r="F27" i="10"/>
  <c r="F14" i="12"/>
  <c r="F28" i="11"/>
  <c r="F12" i="12"/>
  <c r="F28" i="10"/>
  <c r="F31" i="11"/>
  <c r="F30" i="12"/>
  <c r="F40" i="11"/>
  <c r="F8" i="12"/>
  <c r="F29" i="12"/>
  <c r="F23" i="11"/>
  <c r="F32" i="10"/>
  <c r="F7" i="11"/>
  <c r="F28" i="12"/>
  <c r="F26" i="12"/>
  <c r="F35" i="11"/>
  <c r="F34" i="12"/>
  <c r="F33" i="10"/>
  <c r="F34" i="10"/>
  <c r="F27" i="11"/>
  <c r="F33" i="11"/>
  <c r="F41" i="10"/>
  <c r="F11" i="12"/>
  <c r="F36" i="11"/>
  <c r="F24" i="10"/>
  <c r="F31" i="10"/>
  <c r="F37" i="12"/>
  <c r="F32" i="12"/>
  <c r="F39" i="12"/>
  <c r="F40" i="10"/>
  <c r="F36" i="10"/>
  <c r="F38" i="12"/>
  <c r="F9" i="11"/>
  <c r="F25" i="11"/>
  <c r="F30" i="11"/>
  <c r="F15" i="12"/>
  <c r="F7" i="10"/>
  <c r="F35" i="12"/>
  <c r="F29" i="10"/>
  <c r="F9" i="10"/>
  <c r="F37" i="10"/>
  <c r="D6" i="2" l="1"/>
  <c r="G15" i="12"/>
  <c r="G9" i="12"/>
  <c r="G27" i="12"/>
  <c r="G32" i="10"/>
  <c r="G36" i="12"/>
  <c r="G25" i="11"/>
  <c r="G40" i="11"/>
  <c r="G16" i="12"/>
  <c r="G31" i="12"/>
  <c r="G28" i="12"/>
  <c r="G40" i="12"/>
  <c r="G6" i="12"/>
  <c r="G30" i="12"/>
  <c r="G26" i="11"/>
  <c r="G38" i="11"/>
  <c r="G28" i="10"/>
  <c r="G11" i="10"/>
  <c r="G38" i="10"/>
  <c r="G18" i="10"/>
  <c r="G36" i="10"/>
  <c r="G8" i="10"/>
  <c r="G30" i="11"/>
  <c r="G37" i="11"/>
  <c r="G34" i="11"/>
  <c r="G39" i="12"/>
  <c r="G35" i="11"/>
  <c r="G39" i="10"/>
  <c r="G17" i="10"/>
  <c r="G13" i="12"/>
  <c r="G29" i="11"/>
  <c r="G41" i="10"/>
  <c r="G23" i="11"/>
  <c r="G9" i="10"/>
  <c r="G34" i="12"/>
  <c r="G33" i="12"/>
  <c r="G40" i="10"/>
  <c r="G28" i="11"/>
  <c r="G12" i="12"/>
  <c r="G39" i="11"/>
  <c r="G30" i="10"/>
  <c r="G20" i="10"/>
  <c r="G27" i="11"/>
  <c r="G32" i="12"/>
  <c r="G21" i="10"/>
  <c r="G12" i="10"/>
  <c r="G33" i="11"/>
  <c r="G12" i="11"/>
  <c r="G19" i="10"/>
  <c r="G36" i="11"/>
  <c r="G37" i="12"/>
  <c r="G31" i="11"/>
  <c r="G10" i="10"/>
  <c r="G11" i="11"/>
  <c r="G31" i="10"/>
  <c r="G35" i="10"/>
  <c r="G11" i="12"/>
  <c r="G27" i="10"/>
  <c r="G24" i="11"/>
  <c r="G14" i="12"/>
  <c r="G38" i="12"/>
  <c r="G41" i="12"/>
  <c r="G8" i="12"/>
  <c r="G24" i="10"/>
  <c r="G26" i="12"/>
  <c r="G13" i="11"/>
  <c r="G35" i="12"/>
  <c r="G10" i="12"/>
  <c r="G7" i="10"/>
  <c r="G7" i="12"/>
  <c r="G29" i="12"/>
  <c r="G41" i="11"/>
  <c r="G10" i="11"/>
  <c r="G37" i="10"/>
  <c r="G33" i="10"/>
  <c r="G26" i="10"/>
  <c r="G29" i="10"/>
  <c r="G22" i="10"/>
  <c r="G8" i="11"/>
  <c r="G32" i="11"/>
  <c r="G25" i="10"/>
  <c r="W8" i="7" l="1"/>
  <c r="K7" i="7"/>
  <c r="Q22" i="7"/>
  <c r="Q29" i="7"/>
  <c r="Q26" i="7"/>
  <c r="Q33" i="7"/>
  <c r="Q37" i="7"/>
  <c r="K33" i="7"/>
  <c r="W10" i="7"/>
  <c r="W41" i="7"/>
  <c r="AC29" i="7"/>
  <c r="AC7" i="7"/>
  <c r="K10" i="7"/>
  <c r="Q7" i="7"/>
  <c r="K31" i="7"/>
  <c r="AC10" i="7"/>
  <c r="AC35" i="7"/>
  <c r="W13" i="7"/>
  <c r="AC26" i="7"/>
  <c r="AC41" i="7"/>
  <c r="AC38" i="7"/>
  <c r="AC14" i="7"/>
  <c r="K40" i="7"/>
  <c r="K23" i="7"/>
  <c r="K29" i="7"/>
  <c r="AC11" i="7"/>
  <c r="Q31" i="7"/>
  <c r="W11" i="7"/>
  <c r="K36" i="7"/>
  <c r="Q10" i="7"/>
  <c r="W31" i="7"/>
  <c r="AC37" i="7"/>
  <c r="W36" i="7"/>
  <c r="Q19" i="7"/>
  <c r="W12" i="7"/>
  <c r="W33" i="7"/>
  <c r="W15" i="7"/>
  <c r="W14" i="7"/>
  <c r="Q12" i="7"/>
  <c r="Q21" i="7"/>
  <c r="AC32" i="7"/>
  <c r="K9" i="7"/>
  <c r="Q20" i="7"/>
  <c r="Q30" i="7"/>
  <c r="K26" i="7"/>
  <c r="W39" i="7"/>
  <c r="AC12" i="7"/>
  <c r="W28" i="7"/>
  <c r="W9" i="7"/>
  <c r="Q40" i="7"/>
  <c r="AC33" i="7"/>
  <c r="AC34" i="7"/>
  <c r="Q9" i="7"/>
  <c r="K8" i="7"/>
  <c r="Q41" i="7"/>
  <c r="W29" i="7"/>
  <c r="AC13" i="7"/>
  <c r="Q17" i="7"/>
  <c r="Q39" i="7"/>
  <c r="W7" i="7"/>
  <c r="K30" i="7"/>
  <c r="AC39" i="7"/>
  <c r="W37" i="7"/>
  <c r="W30" i="7"/>
  <c r="Q8" i="7"/>
  <c r="Q36" i="7"/>
  <c r="K37" i="7"/>
  <c r="Q18" i="7"/>
  <c r="K41" i="7"/>
  <c r="Q38" i="7"/>
  <c r="Q11" i="7"/>
  <c r="Q28" i="7"/>
  <c r="K38" i="7"/>
  <c r="K24" i="7"/>
  <c r="W38" i="7"/>
  <c r="K39" i="7"/>
  <c r="W26" i="7"/>
  <c r="AC30" i="7"/>
  <c r="K28" i="7"/>
  <c r="AC6" i="7"/>
  <c r="AC40" i="7"/>
  <c r="AC28" i="7"/>
  <c r="AC31" i="7"/>
  <c r="AC16" i="7"/>
  <c r="W40" i="7"/>
  <c r="AC36" i="7"/>
  <c r="AC27" i="7"/>
  <c r="K25" i="7"/>
  <c r="AC15" i="7"/>
  <c r="Y8" i="7"/>
  <c r="M33" i="7"/>
  <c r="M31" i="7"/>
  <c r="AE14" i="7"/>
  <c r="M36" i="7"/>
  <c r="Y33" i="7"/>
  <c r="S30" i="7"/>
  <c r="AE34" i="7"/>
  <c r="Y7" i="7"/>
  <c r="S18" i="7"/>
  <c r="M39" i="7"/>
  <c r="AE16" i="7"/>
  <c r="Y10" i="7"/>
  <c r="M40" i="7"/>
  <c r="S10" i="7"/>
  <c r="Y15" i="7"/>
  <c r="M26" i="7"/>
  <c r="S9" i="7"/>
  <c r="M30" i="7"/>
  <c r="M41" i="7"/>
  <c r="Y26" i="7"/>
  <c r="Y40" i="7"/>
  <c r="M7" i="7"/>
  <c r="Y41" i="7"/>
  <c r="AE10" i="7"/>
  <c r="Y31" i="7"/>
  <c r="Y14" i="7"/>
  <c r="Y39" i="7"/>
  <c r="M8" i="7"/>
  <c r="AE39" i="7"/>
  <c r="S38" i="7"/>
  <c r="AE30" i="7"/>
  <c r="AE36" i="7"/>
  <c r="S22" i="7"/>
  <c r="AE29" i="7"/>
  <c r="AE35" i="7"/>
  <c r="M23" i="7"/>
  <c r="AE37" i="7"/>
  <c r="S12" i="7"/>
  <c r="AE12" i="7"/>
  <c r="S41" i="7"/>
  <c r="Y37" i="7"/>
  <c r="S11" i="7"/>
  <c r="M28" i="7"/>
  <c r="AE27" i="7"/>
  <c r="S29" i="7"/>
  <c r="AE7" i="7"/>
  <c r="Y13" i="7"/>
  <c r="M29" i="7"/>
  <c r="Y36" i="7"/>
  <c r="S21" i="7"/>
  <c r="Y28" i="7"/>
  <c r="Y29" i="7"/>
  <c r="Y30" i="7"/>
  <c r="S28" i="7"/>
  <c r="AE6" i="7"/>
  <c r="M25" i="7"/>
  <c r="S26" i="7"/>
  <c r="M10" i="7"/>
  <c r="AE26" i="7"/>
  <c r="AE11" i="7"/>
  <c r="AE32" i="7"/>
  <c r="Y9" i="7"/>
  <c r="AE13" i="7"/>
  <c r="S8" i="7"/>
  <c r="M38" i="7"/>
  <c r="AE40" i="7"/>
  <c r="AE15" i="7"/>
  <c r="S33" i="7"/>
  <c r="S7" i="7"/>
  <c r="AE41" i="7"/>
  <c r="S31" i="7"/>
  <c r="S19" i="7"/>
  <c r="M9" i="7"/>
  <c r="S40" i="7"/>
  <c r="S17" i="7"/>
  <c r="S36" i="7"/>
  <c r="M24" i="7"/>
  <c r="AE28" i="7"/>
  <c r="S37" i="7"/>
  <c r="AE38" i="7"/>
  <c r="Y11" i="7"/>
  <c r="Y12" i="7"/>
  <c r="S20" i="7"/>
  <c r="AE33" i="7"/>
  <c r="S39" i="7"/>
  <c r="M37" i="7"/>
  <c r="Y38" i="7"/>
  <c r="AE31" i="7"/>
  <c r="AD31" i="7" l="1"/>
  <c r="X38" i="7"/>
  <c r="L37" i="7"/>
  <c r="R39" i="7"/>
  <c r="AD33" i="7"/>
  <c r="R20" i="7"/>
  <c r="X12" i="7"/>
  <c r="X11" i="7"/>
  <c r="AD38" i="7"/>
  <c r="R37" i="7"/>
  <c r="AD28" i="7"/>
  <c r="L24" i="7"/>
  <c r="R36" i="7"/>
  <c r="R17" i="7"/>
  <c r="R40" i="7"/>
  <c r="L9" i="7"/>
  <c r="R19" i="7"/>
  <c r="R31" i="7"/>
  <c r="AD41" i="7"/>
  <c r="R7" i="7"/>
  <c r="R33" i="7"/>
  <c r="AD15" i="7"/>
  <c r="AD40" i="7"/>
  <c r="L38" i="7"/>
  <c r="R8" i="7"/>
  <c r="AD13" i="7"/>
  <c r="X9" i="7"/>
  <c r="AD32" i="7"/>
  <c r="AD11" i="7"/>
  <c r="AD26" i="7"/>
  <c r="L10" i="7"/>
  <c r="R26" i="7"/>
  <c r="L25" i="7"/>
  <c r="AD6" i="7"/>
  <c r="R28" i="7"/>
  <c r="X30" i="7"/>
  <c r="X29" i="7"/>
  <c r="X28" i="7"/>
  <c r="R21" i="7"/>
  <c r="X36" i="7"/>
  <c r="L29" i="7"/>
  <c r="X13" i="7"/>
  <c r="AD7" i="7"/>
  <c r="R29" i="7"/>
  <c r="AD27" i="7"/>
  <c r="L28" i="7"/>
  <c r="R11" i="7"/>
  <c r="X37" i="7"/>
  <c r="R41" i="7"/>
  <c r="AD12" i="7"/>
  <c r="R12" i="7"/>
  <c r="AD37" i="7"/>
  <c r="L23" i="7"/>
  <c r="AD35" i="7"/>
  <c r="AD29" i="7"/>
  <c r="R22" i="7"/>
  <c r="AD36" i="7"/>
  <c r="AD30" i="7"/>
  <c r="R38" i="7"/>
  <c r="AD39" i="7"/>
  <c r="L8" i="7"/>
  <c r="X39" i="7"/>
  <c r="X14" i="7"/>
  <c r="X31" i="7"/>
  <c r="AD10" i="7"/>
  <c r="X41" i="7"/>
  <c r="L7" i="7"/>
  <c r="X40" i="7"/>
  <c r="X26" i="7"/>
  <c r="L41" i="7"/>
  <c r="L30" i="7"/>
  <c r="R9" i="7"/>
  <c r="L26" i="7"/>
  <c r="X15" i="7"/>
  <c r="R10" i="7"/>
  <c r="L40" i="7"/>
  <c r="X10" i="7"/>
  <c r="AD16" i="7"/>
  <c r="L39" i="7"/>
  <c r="R18" i="7"/>
  <c r="X7" i="7"/>
  <c r="AD34" i="7"/>
  <c r="R30" i="7"/>
  <c r="X33" i="7"/>
  <c r="L36" i="7"/>
  <c r="AD14" i="7"/>
  <c r="L31" i="7"/>
  <c r="L33" i="7"/>
  <c r="X8" i="7"/>
  <c r="AF31" i="7"/>
  <c r="AF38" i="7"/>
  <c r="N9" i="7"/>
  <c r="N38" i="7"/>
  <c r="N10" i="7"/>
  <c r="T21" i="7"/>
  <c r="T11" i="7"/>
  <c r="AF29" i="7"/>
  <c r="Z14" i="7"/>
  <c r="N41" i="7"/>
  <c r="Z10" i="7"/>
  <c r="Z33" i="7"/>
  <c r="T20" i="7"/>
  <c r="T29" i="7"/>
  <c r="AF37" i="7"/>
  <c r="AF39" i="7"/>
  <c r="T10" i="7"/>
  <c r="Z7" i="7"/>
  <c r="Z8" i="7"/>
  <c r="Z12" i="7"/>
  <c r="T17" i="7"/>
  <c r="AF15" i="7"/>
  <c r="AF11" i="7"/>
  <c r="Z29" i="7"/>
  <c r="AF27" i="7"/>
  <c r="N23" i="7"/>
  <c r="N8" i="7"/>
  <c r="Z40" i="7"/>
  <c r="N40" i="7"/>
  <c r="AF34" i="7"/>
  <c r="Z38" i="7"/>
  <c r="T19" i="7"/>
  <c r="T8" i="7"/>
  <c r="T26" i="7"/>
  <c r="Z36" i="7"/>
  <c r="Z37" i="7"/>
  <c r="T22" i="7"/>
  <c r="Z31" i="7"/>
  <c r="N30" i="7"/>
  <c r="N36" i="7"/>
  <c r="N37" i="7"/>
  <c r="T37" i="7"/>
  <c r="T31" i="7"/>
  <c r="AF13" i="7"/>
  <c r="N25" i="7"/>
  <c r="N29" i="7"/>
  <c r="T41" i="7"/>
  <c r="AF36" i="7"/>
  <c r="T9" i="7"/>
  <c r="AF16" i="7"/>
  <c r="AF14" i="7"/>
  <c r="T39" i="7"/>
  <c r="AF28" i="7"/>
  <c r="AF41" i="7"/>
  <c r="Z9" i="7"/>
  <c r="AF6" i="7"/>
  <c r="Z13" i="7"/>
  <c r="AF12" i="7"/>
  <c r="AF30" i="7"/>
  <c r="AF10" i="7"/>
  <c r="N26" i="7"/>
  <c r="N39" i="7"/>
  <c r="N31" i="7"/>
  <c r="AF33" i="7"/>
  <c r="N24" i="7"/>
  <c r="T7" i="7"/>
  <c r="AF32" i="7"/>
  <c r="T28" i="7"/>
  <c r="AF7" i="7"/>
  <c r="T12" i="7"/>
  <c r="T38" i="7"/>
  <c r="Z41" i="7"/>
  <c r="Z15" i="7"/>
  <c r="T18" i="7"/>
  <c r="N33" i="7"/>
  <c r="T36" i="7"/>
  <c r="T33" i="7"/>
  <c r="Z30" i="7"/>
  <c r="N7" i="7"/>
  <c r="Z11" i="7"/>
  <c r="T40" i="7"/>
  <c r="AF40" i="7"/>
  <c r="AF26" i="7"/>
  <c r="Z28" i="7"/>
  <c r="N28" i="7"/>
  <c r="AF35" i="7"/>
  <c r="Z39" i="7"/>
  <c r="Z26" i="7"/>
  <c r="T30" i="7"/>
  <c r="Q6" i="7"/>
  <c r="R6" i="7" s="1"/>
  <c r="W6" i="7"/>
  <c r="X6" i="7" s="1"/>
  <c r="K6" i="7"/>
  <c r="L6" i="7" s="1"/>
  <c r="Y6" i="7"/>
  <c r="Z6" i="7"/>
  <c r="T6" i="7"/>
  <c r="S6" i="7"/>
  <c r="N6" i="7"/>
  <c r="M6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<sst xmlns="http://schemas.openxmlformats.org/spreadsheetml/2006/main" count="534" uniqueCount="97">
  <si>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</si>
  <si>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</si>
  <si>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</si>
  <si>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</si>
  <si>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</si>
  <si>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</si>
  <si>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</si>
  <si>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</si>
  <si>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</si>
  <si>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</si>
  <si>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</si>
  <si>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</si>
  <si>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</si>
  <si>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</si>
  <si>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</si>
  <si>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</si>
  <si>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</si>
  <si>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</si>
  <si>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</si>
  <si>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</si>
  <si>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</si>
  <si>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</si>
  <si>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</si>
  <si>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</si>
  <si>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</si>
  <si>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</si>
  <si>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</si>
  <si>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</si>
  <si>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</si>
  <si>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</si>
  <si>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</si>
  <si>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</si>
  <si>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</si>
  <si>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</si>
  <si>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</si>
  <si>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</si>
  <si>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</si>
  <si>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</si>
  <si>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</si>
  <si>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</si>
  <si>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</si>
  <si>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</si>
  <si>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</si>
  <si>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</si>
  <si>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</si>
  <si>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</si>
  <si>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</si>
  <si>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</si>
  <si>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</si>
  <si>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</si>
  <si>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</si>
  <si>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</si>
  <si>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</si>
  <si>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</si>
  <si>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</si>
  <si>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</si>
  <si>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</si>
  <si>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</si>
  <si>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</si>
  <si>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</si>
  <si>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</si>
  <si>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</si>
  <si>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</si>
  <si>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</si>
  <si>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</si>
  <si>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</si>
  <si>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</si>
  <si>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</si>
  <si>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</si>
  <si>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</si>
  <si>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</si>
  <si>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</si>
  <si>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</si>
  <si>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</si>
  <si>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</si>
  <si>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</si>
  <si>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</si>
  <si>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</si>
  <si>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</si>
  <si>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</si>
  <si>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</si>
  <si>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</si>
  <si>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</si>
  <si>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</si>
  <si>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</si>
  <si>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</si>
  <si>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</si>
  <si>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</si>
  <si>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</si>
  <si>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Half-Month Modified Following</t>
  </si>
  <si>
    <t>AONIA</t>
  </si>
  <si>
    <t>1Y6M</t>
  </si>
  <si>
    <t>Contribution</t>
  </si>
  <si>
    <t>DEPOSIT</t>
  </si>
  <si>
    <t>FUTURE</t>
  </si>
  <si>
    <t>SWAP</t>
  </si>
  <si>
    <t>EndOfMonth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</si>
</sst>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6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1" fillId="8" borderId="1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Continuous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20" xfId="0" applyFont="1" applyFill="1" applyBorder="1"/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0" fontId="11" fillId="0" borderId="19" xfId="0" applyFont="1" applyFill="1" applyBorder="1" applyAlignment="1">
      <alignment horizontal="center" vertical="center"/>
    </xf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" s="7"/>
      </tp>
      <tp t="s">
        <v>#N/A Invalid source.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" s="7"/>
      </tp>
      <tp t="s">
        <v>#N/A Invalid source.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Invalid source.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Invalid source.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Invalid source.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Invalid source.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Invalid source.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Invalid source.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Invalid source.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Invalid source.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Invalid source.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Invalid source.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Invalid source.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Invalid source.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Invalid source.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Invalid source.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Invalid source.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</main>
    <main first="pldatasource.rtgetrtdserver">
      <tp t="s">
        <v>#N/A Invalid source.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 t="s">
        <v>#N/A Invalid source.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Invalid source.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 t="s">
        <v>#N/A Invalid source.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 t="s">
        <v>#N/A Invalid source.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Invalid source.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Invalid source.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" s="7"/>
      </tp>
      <tp t="s">
        <v>#N/A Invalid source.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" s="7"/>
      </tp>
      <tp t="s">
        <v>#N/A Invalid source.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Invalid source.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Invalid source.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Invalid source.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Invalid source.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Invalid source.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Invalid source.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Invalid source.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Invalid source.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Invalid source.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Invalid source.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Invalid source.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Invalid source.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Invalid source.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Invalid source.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Invalid source.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</main>
    <main first="pldatasource.rtgetrtdserver">
      <tp t="s">
        <v>#N/A Invalid source.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 t="s">
        <v>#N/A Invalid source.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Invalid source.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Invalid source.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Invalid source.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 t="s">
        <v>#N/A Invalid source.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</main>
    <main first="pldatasource.rtgetrtdserver">
      <tp t="s">
        <v>#N/A Invalid source.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 t="s">
        <v>#N/A Invalid source.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 t="s">
        <v>#N/A Invalid source.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 t="s">
        <v>#N/A Invalid source.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 t="s">
        <v>#N/A Invalid source.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  <tp t="s">
        <v>#N/A Invalid source.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Invalid source.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Invalid source.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Invalid source.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Invalid source.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Invalid source.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9" s="7"/>
      </tp>
      <tp t="s">
        <v>#N/A Invalid source.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0" s="7"/>
      </tp>
      <tp t="s">
        <v>#N/A Invalid source.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1" s="7"/>
      </tp>
      <tp t="s">
        <v>#N/A Invalid source.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7" s="7"/>
      </tp>
      <tp t="s">
        <v>#N/A Invalid source.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6" s="7"/>
      </tp>
      <tp t="s">
        <v>#N/A Invalid source.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8" s="7"/>
      </tp>
      <tp t="s">
        <v>#N/A Invalid source.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0" s="7"/>
      </tp>
      <tp t="s">
        <v>#N/A Invalid source.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1" s="7"/>
      </tp>
      <tp t="s">
        <v>#N/A Invalid source.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3" s="7"/>
      </tp>
      <tp t="s">
        <v>#N/A Invalid source.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6" s="7"/>
      </tp>
      <tp t="s">
        <v>#N/A Invalid source.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8" s="7"/>
      </tp>
      <tp t="s">
        <v>#N/A Invalid source.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9" s="7"/>
      </tp>
      <tp t="s">
        <v>#N/A Invalid source.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0" s="7"/>
      </tp>
      <tp t="s">
        <v>#N/A Invalid source.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9" s="7"/>
      </tp>
      <tp t="s">
        <v>#N/A Invalid source.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2" s="7"/>
      </tp>
      <tp t="s">
        <v>#N/A Invalid source.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8" s="7"/>
      </tp>
      <tp t="s">
        <v>#N/A Invalid source.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1" s="7"/>
      </tp>
      <tp t="s">
        <v>#N/A Invalid source.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7" s="7"/>
      </tp>
    </main>
    <main first="pldatasource.rtgetrtdserver">
      <tp t="s">
        <v>#N/A Invalid source.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9" s="7"/>
      </tp>
      <tp t="s">
        <v>#N/A Invalid source.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0" s="7"/>
      </tp>
      <tp t="s">
        <v>#N/A Invalid source.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1" s="7"/>
      </tp>
      <tp t="s">
        <v>#N/A Invalid source.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7" s="7"/>
      </tp>
      <tp t="s">
        <v>#N/A Invalid source.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6" s="7"/>
      </tp>
      <tp t="s">
        <v>#N/A Invalid source.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8" s="7"/>
      </tp>
      <tp t="s">
        <v>#N/A Invalid source.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5" s="7"/>
      </tp>
      <tp t="s">
        <v>#N/A Invalid source.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0" s="7"/>
      </tp>
      <tp t="s">
        <v>#N/A Invalid source.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1" s="7"/>
      </tp>
      <tp t="s">
        <v>#N/A Invalid source.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4" s="7"/>
      </tp>
      <tp t="s">
        <v>#N/A Invalid source.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3" s="7"/>
      </tp>
      <tp t="s">
        <v>#N/A Invalid source.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6" s="7"/>
      </tp>
      <tp t="s">
        <v>#N/A Invalid source.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8" s="7"/>
      </tp>
      <tp t="s">
        <v>#N/A Invalid source.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9" s="7"/>
      </tp>
      <tp t="s">
        <v>#N/A Invalid source.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3" s="7"/>
      </tp>
    </main>
    <main first="pldatasource.rtgetrtdserver">
      <tp t="s">
        <v>#N/A Invalid source.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7" s="7"/>
      </tp>
      <tp t="s">
        <v>#N/A Invalid source.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6" s="7"/>
      </tp>
      <tp t="s">
        <v>#N/A Invalid source.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8" s="7"/>
      </tp>
      <tp t="s">
        <v>#N/A Invalid source.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1" s="7"/>
      </tp>
      <tp t="s">
        <v>#N/A Invalid source.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9" s="7"/>
      </tp>
      <tp t="s">
        <v>#N/A Invalid source.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2" s="7"/>
      </tp>
      <tp t="s">
        <v>#N/A Invalid source.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0" s="7"/>
      </tp>
      <tp t="s">
        <v>#N/A Invalid source.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 t="s">
        <v>#N/A Invalid source.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 t="s">
        <v>#N/A Invalid source.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 t="s">
        <v>#N/A Invalid source.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 t="s">
        <v>#N/A Invalid source.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 t="s">
        <v>#N/A Invalid source.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7"/>
      </tp>
    </main>
    <main first="pldatasource.rtgetrtdserver">
      <tp t="s">
        <v>#N/A Invalid source.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7"/>
      </tp>
      <tp t="s">
        <v>#N/A Invalid source.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7"/>
      </tp>
      <tp t="s">
        <v>#N/A Invalid source.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7"/>
      </tp>
      <tp t="s">
        <v>#N/A Invalid source.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7"/>
      </tp>
      <tp t="s">
        <v>#N/A Invalid source.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7"/>
      </tp>
      <tp t="s">
        <v>#N/A Invalid source.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 t="s">
        <v>#N/A Invalid source.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 t="s">
        <v>#N/A Invalid source.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 t="s">
        <v>#N/A Invalid source.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 t="s">
        <v>#N/A Invalid source.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 t="s">
        <v>#N/A Invalid source.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</main>
    <main first="pldatasource.rtgetrtdserver">
      <tp t="s">
        <v>#N/A Invalid source.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 t="s">
        <v>#N/A Invalid source.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 t="s">
        <v>#N/A Invalid source.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 t="s">
        <v>#N/A Invalid source.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7"/>
      </tp>
      <tp t="s">
        <v>#N/A Invalid source.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 t="s">
        <v>#N/A Invalid source.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 t="s">
        <v>#N/A Invalid source.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5" s="7"/>
      </tp>
      <tp t="s">
        <v>#N/A Invalid source.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3" s="7"/>
      </tp>
      <tp t="s">
        <v>#N/A Invalid source.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4" s="7"/>
      </tp>
      <tp t="s">
        <v>#N/A Invalid source.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1" s="7"/>
      </tp>
      <tp t="s">
        <v>#N/A Invalid source.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0" s="7"/>
      </tp>
      <tp t="s">
        <v>#N/A Invalid source.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3" s="7"/>
      </tp>
      <tp t="s">
        <v>#N/A Invalid source.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9" s="7"/>
      </tp>
      <tp t="s">
        <v>#N/A Invalid source.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8" s="7"/>
      </tp>
      <tp t="s">
        <v>#N/A Invalid source.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6" s="7"/>
      </tp>
    </main>
    <main first="pldatasource.rtgetrtdserver">
      <tp t="s">
        <v>#N/A Invalid source.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3" s="7"/>
      </tp>
      <tp t="s">
        <v>#N/A Invalid source.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1" s="7"/>
      </tp>
      <tp t="s">
        <v>#N/A Invalid source.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0" s="7"/>
      </tp>
      <tp t="s">
        <v>#N/A Invalid source.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9" s="7"/>
      </tp>
      <tp t="s">
        <v>#N/A Invalid source.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8" s="7"/>
      </tp>
      <tp t="s">
        <v>#N/A Invalid source.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6" s="7"/>
      </tp>
      <tp t="s">
        <v>#N/A Invalid source.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0" s="7"/>
      </tp>
      <tp t="s">
        <v>#N/A Invalid source.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9" s="7"/>
      </tp>
      <tp t="s">
        <v>#N/A Invalid source.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2" s="7"/>
      </tp>
      <tp t="s">
        <v>#N/A Invalid source.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8" s="7"/>
      </tp>
      <tp t="s">
        <v>#N/A Invalid source.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21" s="7"/>
      </tp>
      <tp t="s">
        <v>#N/A Invalid source.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17" s="7"/>
      </tp>
      <tp t="s">
        <v>#N/A Invalid source.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9" s="7"/>
      </tp>
      <tp t="s">
        <v>#N/A Invalid source.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40" s="7"/>
      </tp>
      <tp t="s">
        <v>#N/A Invalid source.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41" s="7"/>
      </tp>
      <tp t="s">
        <v>#N/A Invalid source.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6" s="7"/>
      </tp>
      <tp t="s">
        <v>#N/A Invalid source.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7" s="7"/>
      </tp>
      <tp t="s">
        <v>#N/A Invalid source.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8" s="7"/>
      </tp>
      <tp t="s">
        <v>#N/A Invalid source.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7"/>
      </tp>
      <tp t="s">
        <v>#N/A Invalid source.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0" s="7"/>
      </tp>
      <tp t="s">
        <v>#N/A Invalid source.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7"/>
      </tp>
      <tp t="s">
        <v>#N/A Invalid source.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6" s="7"/>
      </tp>
      <tp t="s">
        <v>#N/A Invalid source.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7" s="7"/>
      </tp>
      <tp t="s">
        <v>#N/A Invalid source.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7"/>
      </tp>
      <tp t="s">
        <v>#N/A Invalid source.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 t="s">
        <v>#N/A Invalid source.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 t="s">
        <v>#N/A Invalid source.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 t="s">
        <v>#N/A Invalid source.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 t="s">
        <v>#N/A Invalid source.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 t="s">
        <v>#N/A Invalid source.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Invalid source.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Invalid source.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Invalid source.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Invalid source.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Invalid source.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 t="s">
        <v>#N/A Invalid source.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 t="s">
        <v>#N/A Invalid source.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 t="s">
        <v>#N/A Invalid source.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 t="s">
        <v>#N/A Invalid source.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 t="s">
        <v>#N/A Invalid source.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 t="s">
        <v>#N/A Invalid source.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7"/>
      </tp>
      <tp t="s">
        <v>#N/A Invalid source.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7"/>
      </tp>
      <tp t="s">
        <v>#N/A Invalid source.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7"/>
      </tp>
      <tp t="s">
        <v>#N/A Invalid source.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7"/>
      </tp>
      <tp t="s">
        <v>#N/A Invalid source.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7"/>
      </tp>
      <tp t="s">
        <v>#N/A Invalid source.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" s="7"/>
      </tp>
      <tp t="s">
        <v>#N/A Invalid source.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" s="7"/>
      </tp>
      <tp t="s">
        <v>#N/A Invalid source.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" s="7"/>
      </tp>
      <tp t="s">
        <v>#N/A Invalid source.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1" s="7"/>
      </tp>
      <tp t="s">
        <v>#N/A Invalid source.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" s="7"/>
      </tp>
      <tp t="s">
        <v>#N/A Invalid source.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2" s="7"/>
      </tp>
      <tp t="s">
        <v>#N/A Invalid source.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" s="7"/>
      </tp>
      <tp t="s">
        <v>#N/A Invalid source.</v>
        <stp/>
        <stp>_x000B_AUDON1Y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Invalid source.</v>
        <stp/>
        <stp>_x000B_AUDON1Y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6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68" customWidth="1"/>
    <col min="3" max="3" width="21.42578125" style="68" bestFit="1" customWidth="1"/>
    <col min="4" max="4" width="28.5703125" style="68" bestFit="1" customWidth="1"/>
    <col min="5" max="5" width="2.7109375" style="68" customWidth="1"/>
    <col min="6" max="6" width="3.42578125" style="68" customWidth="1"/>
    <col min="7" max="16384" width="9.140625" style="68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6"/>
      <c r="B2" s="81" t="s">
        <v>4</v>
      </c>
      <c r="C2" s="82"/>
      <c r="D2" s="82"/>
      <c r="E2" s="67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s="11" customFormat="1" ht="11.25" x14ac:dyDescent="0.2">
      <c r="A3" s="2"/>
      <c r="B3" s="69"/>
      <c r="C3" s="70"/>
      <c r="D3" s="70"/>
      <c r="E3" s="7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9"/>
      <c r="C4" s="84" t="s">
        <v>5</v>
      </c>
      <c r="D4" s="72"/>
      <c r="E4" s="7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9"/>
      <c r="C5" s="84" t="s">
        <v>12</v>
      </c>
      <c r="D5" s="72">
        <f>_xll.qlSettingsEvaluationDate(Trigger)</f>
        <v>41877</v>
      </c>
      <c r="E5" s="7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9"/>
      <c r="C6" s="85" t="s">
        <v>68</v>
      </c>
      <c r="D6" s="73">
        <f>[1]!TriggerCounter</f>
        <v>6</v>
      </c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2" thickBot="1" x14ac:dyDescent="0.25">
      <c r="A7" s="2"/>
      <c r="B7" s="74"/>
      <c r="C7" s="75"/>
      <c r="D7" s="75"/>
      <c r="E7" s="7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16.5" x14ac:dyDescent="0.3">
      <c r="A9" s="66"/>
      <c r="B9" s="81" t="s">
        <v>3</v>
      </c>
      <c r="C9" s="82"/>
      <c r="D9" s="82"/>
      <c r="E9" s="83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s="11" customFormat="1" ht="11.25" x14ac:dyDescent="0.2">
      <c r="A10" s="2"/>
      <c r="B10" s="69"/>
      <c r="C10" s="70"/>
      <c r="D10" s="70"/>
      <c r="E10" s="7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1.25" x14ac:dyDescent="0.2">
      <c r="A11" s="2"/>
      <c r="B11" s="69"/>
      <c r="C11" s="84" t="s">
        <v>6</v>
      </c>
      <c r="D11" s="77" t="s">
        <v>82</v>
      </c>
      <c r="E11" s="7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9"/>
      <c r="C12" s="84" t="s">
        <v>86</v>
      </c>
      <c r="D12" s="77" t="str">
        <f>Currency&amp;"ON"</f>
        <v>AUDON</v>
      </c>
      <c r="E12" s="7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9"/>
      <c r="C13" s="84" t="s">
        <v>11</v>
      </c>
      <c r="D13" s="78" t="str">
        <f>PROPER(Currency)&amp;"BBSW"</f>
        <v>AudBBSW</v>
      </c>
      <c r="E13" s="7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9"/>
      <c r="C14" s="84" t="s">
        <v>13</v>
      </c>
      <c r="D14" s="78" t="s">
        <v>14</v>
      </c>
      <c r="E14" s="7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9"/>
      <c r="C15" s="84" t="s">
        <v>9</v>
      </c>
      <c r="D15" s="79">
        <v>1</v>
      </c>
      <c r="E15" s="7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9"/>
      <c r="C16" s="84" t="s">
        <v>80</v>
      </c>
      <c r="D16" s="78" t="s">
        <v>83</v>
      </c>
      <c r="E16" s="7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9"/>
      <c r="C17" s="84" t="s">
        <v>81</v>
      </c>
      <c r="D17" s="78" t="s">
        <v>83</v>
      </c>
      <c r="E17" s="7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9"/>
      <c r="C18" s="84" t="s">
        <v>79</v>
      </c>
      <c r="D18" s="78" t="b">
        <f>_xll.qlCalendarIsHoliday(LocalCalendar,_xll.qlCalendarAdvance(LiborCalendar,EvaluationDate,SettlementDays&amp;"D","f",FALSE,Trigger))</f>
        <v>0</v>
      </c>
      <c r="E18" s="7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9"/>
      <c r="C19" s="84" t="s">
        <v>7</v>
      </c>
      <c r="D19" s="78" t="str">
        <f>IF(D18,LocalCalendar,LiborCalendar)</f>
        <v>Australia</v>
      </c>
      <c r="E19" s="7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9"/>
      <c r="C20" s="85" t="s">
        <v>10</v>
      </c>
      <c r="D20" s="80">
        <f>_xll.qlCalendarAdvance(Calendar,EvaluationDate,SettlementDays&amp;"d","following",FALSE)</f>
        <v>41878</v>
      </c>
      <c r="E20" s="7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9"/>
      <c r="C21" s="85" t="s">
        <v>61</v>
      </c>
      <c r="D21" s="80" t="s">
        <v>62</v>
      </c>
      <c r="E21" s="7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2" thickBot="1" x14ac:dyDescent="0.25">
      <c r="A22" s="2"/>
      <c r="B22" s="74"/>
      <c r="C22" s="75"/>
      <c r="D22" s="75"/>
      <c r="E22" s="7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x14ac:dyDescent="0.25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x14ac:dyDescent="0.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x14ac:dyDescent="0.2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x14ac:dyDescent="0.2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x14ac:dyDescent="0.25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x14ac:dyDescent="0.2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x14ac:dyDescent="0.2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x14ac:dyDescent="0.2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x14ac:dyDescent="0.2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x14ac:dyDescent="0.2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x14ac:dyDescent="0.2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x14ac:dyDescent="0.2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x14ac:dyDescent="0.2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x14ac:dyDescent="0.2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x14ac:dyDescent="0.2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x14ac:dyDescent="0.2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x14ac:dyDescent="0.2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x14ac:dyDescent="0.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x14ac:dyDescent="0.2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x14ac:dyDescent="0.2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x14ac:dyDescent="0.2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x14ac:dyDescent="0.2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x14ac:dyDescent="0.2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x14ac:dyDescent="0.2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x14ac:dyDescent="0.2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x14ac:dyDescent="0.2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x14ac:dyDescent="0.2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x14ac:dyDescent="0.2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x14ac:dyDescent="0.2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x14ac:dyDescent="0.2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x14ac:dyDescent="0.2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x14ac:dyDescent="0.2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x14ac:dyDescent="0.2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x14ac:dyDescent="0.2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x14ac:dyDescent="0.2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x14ac:dyDescent="0.2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x14ac:dyDescent="0.2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0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1" customWidth="1"/>
    <col min="10" max="10" width="10" style="1" bestFit="1" customWidth="1"/>
    <col min="11" max="12" width="8" style="1" bestFit="1" customWidth="1"/>
    <col min="13" max="13" width="10" style="1" bestFit="1" customWidth="1"/>
    <col min="14" max="14" width="10" style="5" bestFit="1" customWidth="1"/>
    <col min="15" max="15" width="2.7109375" style="5" customWidth="1"/>
    <col min="16" max="16" width="10" style="1" bestFit="1" customWidth="1"/>
    <col min="17" max="18" width="8" style="1" bestFit="1" customWidth="1"/>
    <col min="19" max="19" width="10" style="1" bestFit="1" customWidth="1"/>
    <col min="20" max="20" width="10" style="5" bestFit="1" customWidth="1"/>
    <col min="21" max="21" width="2.7109375" style="5" customWidth="1"/>
    <col min="22" max="22" width="10" style="1" bestFit="1" customWidth="1"/>
    <col min="23" max="24" width="7" style="1" bestFit="1" customWidth="1"/>
    <col min="25" max="25" width="10" style="1" bestFit="1" customWidth="1"/>
    <col min="26" max="26" width="10" style="5" bestFit="1" customWidth="1"/>
    <col min="27" max="27" width="2.7109375" style="5" customWidth="1"/>
    <col min="28" max="28" width="12" style="1" bestFit="1" customWidth="1"/>
    <col min="29" max="30" width="7" style="1" bestFit="1" customWidth="1"/>
    <col min="31" max="31" width="10" style="1" bestFit="1" customWidth="1"/>
    <col min="32" max="32" width="10" style="5" bestFit="1" customWidth="1"/>
    <col min="33" max="33" width="2.7109375" style="11" customWidth="1"/>
    <col min="34" max="39" width="14.42578125" style="1" customWidth="1"/>
    <col min="40" max="16384" width="3" style="1"/>
  </cols>
  <sheetData>
    <row r="1" spans="1:59" x14ac:dyDescent="0.2">
      <c r="C1" s="2"/>
      <c r="D1" s="146" t="s">
        <v>8</v>
      </c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2"/>
      <c r="Q1" s="2"/>
      <c r="R1" s="2"/>
      <c r="S1" s="2"/>
      <c r="T1" s="3"/>
      <c r="U1" s="3"/>
      <c r="V1" s="2"/>
      <c r="W1" s="2"/>
      <c r="X1" s="2"/>
      <c r="Y1" s="2"/>
      <c r="Z1" s="3"/>
      <c r="AA1" s="3"/>
      <c r="AB1" s="2"/>
      <c r="AC1" s="2"/>
      <c r="AD1" s="2"/>
      <c r="AE1" s="2"/>
      <c r="AF1" s="3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11.25" customHeight="1" x14ac:dyDescent="0.2">
      <c r="A2" s="2"/>
      <c r="B2" s="2"/>
      <c r="C2" s="2"/>
      <c r="D2" s="46"/>
      <c r="E2" s="27" t="s">
        <v>2</v>
      </c>
      <c r="F2" s="27">
        <v>0</v>
      </c>
      <c r="G2" s="47" t="s">
        <v>0</v>
      </c>
      <c r="H2" s="26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11.25" customHeight="1" x14ac:dyDescent="0.2">
      <c r="A3" s="2"/>
      <c r="B3" s="2"/>
      <c r="C3" s="2"/>
      <c r="D3" s="2"/>
      <c r="E3" s="123"/>
      <c r="F3" s="1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11.25" customHeight="1" x14ac:dyDescent="0.2">
      <c r="A4" s="2"/>
      <c r="B4" s="2"/>
      <c r="C4" s="2"/>
      <c r="D4" s="125" t="s">
        <v>92</v>
      </c>
      <c r="E4" s="118"/>
      <c r="F4" s="36"/>
      <c r="G4" s="36"/>
      <c r="H4" s="119"/>
      <c r="I4" s="103" t="s">
        <v>70</v>
      </c>
      <c r="J4" s="12" t="s">
        <v>19</v>
      </c>
      <c r="K4" s="12"/>
      <c r="L4" s="13"/>
      <c r="M4" s="35"/>
      <c r="N4" s="14"/>
      <c r="O4" s="2" t="s">
        <v>70</v>
      </c>
      <c r="P4" s="12" t="s">
        <v>21</v>
      </c>
      <c r="Q4" s="12"/>
      <c r="R4" s="13"/>
      <c r="S4" s="35"/>
      <c r="T4" s="14"/>
      <c r="U4" s="44" t="s">
        <v>70</v>
      </c>
      <c r="V4" s="12" t="s">
        <v>14</v>
      </c>
      <c r="W4" s="12"/>
      <c r="X4" s="13"/>
      <c r="Y4" s="35"/>
      <c r="Z4" s="14"/>
      <c r="AA4" s="2"/>
      <c r="AB4" s="12" t="s">
        <v>15</v>
      </c>
      <c r="AC4" s="12"/>
      <c r="AD4" s="13"/>
      <c r="AE4" s="35"/>
      <c r="AF4" s="14"/>
      <c r="AG4" s="44" t="s">
        <v>70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s="39" customFormat="1" ht="11.25" customHeight="1" x14ac:dyDescent="0.2">
      <c r="A5" s="37"/>
      <c r="B5" s="37"/>
      <c r="C5" s="37"/>
      <c r="D5" s="25" t="s">
        <v>85</v>
      </c>
      <c r="E5" s="25" t="s">
        <v>19</v>
      </c>
      <c r="F5" s="25" t="s">
        <v>21</v>
      </c>
      <c r="G5" s="25" t="s">
        <v>14</v>
      </c>
      <c r="H5" s="25" t="s">
        <v>15</v>
      </c>
      <c r="I5" s="103" t="s">
        <v>70</v>
      </c>
      <c r="J5" s="38" t="s">
        <v>66</v>
      </c>
      <c r="K5" s="29" t="s">
        <v>0</v>
      </c>
      <c r="L5" s="29" t="s">
        <v>1</v>
      </c>
      <c r="M5" s="29" t="s">
        <v>71</v>
      </c>
      <c r="N5" s="29" t="s">
        <v>72</v>
      </c>
      <c r="O5" s="2" t="s">
        <v>70</v>
      </c>
      <c r="P5" s="38" t="s">
        <v>66</v>
      </c>
      <c r="Q5" s="29" t="s">
        <v>0</v>
      </c>
      <c r="R5" s="29" t="s">
        <v>1</v>
      </c>
      <c r="S5" s="29" t="s">
        <v>71</v>
      </c>
      <c r="T5" s="29" t="s">
        <v>72</v>
      </c>
      <c r="U5" s="45" t="s">
        <v>70</v>
      </c>
      <c r="V5" s="38" t="s">
        <v>66</v>
      </c>
      <c r="W5" s="29" t="s">
        <v>0</v>
      </c>
      <c r="X5" s="29" t="s">
        <v>1</v>
      </c>
      <c r="Y5" s="29" t="s">
        <v>71</v>
      </c>
      <c r="Z5" s="29" t="s">
        <v>72</v>
      </c>
      <c r="AA5" s="37"/>
      <c r="AB5" s="38" t="s">
        <v>66</v>
      </c>
      <c r="AC5" s="29" t="s">
        <v>0</v>
      </c>
      <c r="AD5" s="29" t="s">
        <v>1</v>
      </c>
      <c r="AE5" s="29" t="s">
        <v>71</v>
      </c>
      <c r="AF5" s="29" t="s">
        <v>72</v>
      </c>
      <c r="AG5" s="45" t="s">
        <v>70</v>
      </c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</row>
    <row r="6" spans="1:59" ht="11.25" customHeight="1" x14ac:dyDescent="0.2">
      <c r="A6" s="2"/>
      <c r="B6" s="2"/>
      <c r="C6" s="154" t="s">
        <v>93</v>
      </c>
      <c r="D6" s="22" t="s">
        <v>48</v>
      </c>
      <c r="E6" s="147" t="str">
        <f>IF(Contribute="abcd",IF($F$2&lt;&gt;-1,_xll.RtContribute(SourceAlias,J6,Fields,K6:L6,"SCOPE:SERVER"),_xll.RtContribute(SourceAlias,"DDS_INSERT_S",$F$2:$H$2,J6:L6,"SCOPE:SERVER FTC:ALL")),"stopped")</f>
        <v>stopped</v>
      </c>
      <c r="F6" s="22" t="str">
        <f>IF(Contribute="abcd",IF($F$2&lt;&gt;-1,_xll.RtContribute(SourceAlias,P6,Fields,Q6:R6,"SCOPE:SERVER"),_xll.RtContribute(SourceAlias,"DDS_INSERT_S",$F$2:$H$2,P6:R6,"SCOPE:SERVER FTC:ALL")),"stopped")</f>
        <v>stopped</v>
      </c>
      <c r="G6" s="22" t="str">
        <f>IF(Contribute="abcd",IF($F$2&lt;&gt;-1,_xll.RtContribute(SourceAlias,V6,Fields,W6:X6,"SCOPE:SERVER"),_xll.RtContribute(SourceAlias,"DDS_INSERT_S",$F$2:$H$2,V6:X6,"SCOPE:SERVER FTC:ALL")),"stopped")</f>
        <v>stopped</v>
      </c>
      <c r="H6" s="22" t="str">
        <f>IF(Contribute="abcd",IF($F$2&lt;&gt;-1,_xll.RtContribute(SourceAlias,AB6,Fields,AC6:AD6,"SCOPE:SERVER"),_xll.RtContribute(SourceAlias,"DDS_INSERT_S",$F$2:$H$2,AC6:AD6,"SCOPE:SERVER FTC:ALL")),"stopped")</f>
        <v>stopped</v>
      </c>
      <c r="I6" s="103" t="s">
        <v>70</v>
      </c>
      <c r="J6" s="127" t="str">
        <f t="shared" ref="J6:J10" si="0">Currency&amp;$J$4&amp;D6&amp;"="</f>
        <v>AUD1MOND=</v>
      </c>
      <c r="K6" s="128">
        <f>'1M Pricing'!G6*100</f>
        <v>2.6196003129203005</v>
      </c>
      <c r="L6" s="128">
        <f>K6</f>
        <v>2.6196003129203005</v>
      </c>
      <c r="M6" s="129" t="e">
        <f>ABS(_xll.RtGet(SourceAlias,$J6,BID)-K6)</f>
        <v>#VALUE!</v>
      </c>
      <c r="N6" s="129" t="e">
        <f>ABS(_xll.RtGet(SourceAlias,$J6,ASK)-L6)</f>
        <v>#VALUE!</v>
      </c>
      <c r="O6" s="2" t="s">
        <v>70</v>
      </c>
      <c r="P6" s="15" t="str">
        <f t="shared" ref="P6:P12" si="1">Currency&amp;$P$4&amp;D6&amp;"="</f>
        <v>AUD3MOND=</v>
      </c>
      <c r="Q6" s="16">
        <f>'3M Pricing'!G6*100</f>
        <v>2.6606780038964661</v>
      </c>
      <c r="R6" s="16">
        <f>Q6</f>
        <v>2.6606780038964661</v>
      </c>
      <c r="S6" s="16" t="e">
        <f>ABS(_xll.RtGet(SourceAlias,$P6,BID)-Q6)</f>
        <v>#VALUE!</v>
      </c>
      <c r="T6" s="16" t="e">
        <f>ABS(_xll.RtGet(SourceAlias,$P6,ASK)-R6)</f>
        <v>#VALUE!</v>
      </c>
      <c r="U6" s="44" t="s">
        <v>70</v>
      </c>
      <c r="V6" s="15" t="str">
        <f t="shared" ref="V6:V15" si="2">Currency&amp;$V$4&amp;D6&amp;"="</f>
        <v>AUD6MOND=</v>
      </c>
      <c r="W6" s="16">
        <f>'6M Pricing'!G6*100</f>
        <v>2.7146298146071279</v>
      </c>
      <c r="X6" s="16">
        <f>W6</f>
        <v>2.7146298146071279</v>
      </c>
      <c r="Y6" s="16" t="e">
        <f>ABS(_xll.RtGet(SourceAlias,$V6,BID)-W6)</f>
        <v>#VALUE!</v>
      </c>
      <c r="Z6" s="16" t="e">
        <f>ABS(_xll.RtGet(SourceAlias,$V6,ASK)-X6)</f>
        <v>#VALUE!</v>
      </c>
      <c r="AA6" s="2"/>
      <c r="AB6" s="15" t="str">
        <f>Currency&amp;$AB$4&amp;D6&amp;"="</f>
        <v>AUDONOND=</v>
      </c>
      <c r="AC6" s="16">
        <f>'ON Pricing'!G6*100</f>
        <v>2.4998800164998114</v>
      </c>
      <c r="AD6" s="16">
        <f>AC6</f>
        <v>2.4998800164998114</v>
      </c>
      <c r="AE6" s="16" t="e">
        <f>ABS(_xll.RtGet(SourceAlias,$AB6,BID)-AC6)</f>
        <v>#VALUE!</v>
      </c>
      <c r="AF6" s="16" t="e">
        <f>ABS(_xll.RtGet(SourceAlias,$AB6,ASK)-AD6)</f>
        <v>#VALUE!</v>
      </c>
      <c r="AG6" s="44" t="s">
        <v>70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11.25" customHeight="1" x14ac:dyDescent="0.2">
      <c r="A7" s="2"/>
      <c r="B7" s="2"/>
      <c r="C7" s="155"/>
      <c r="D7" s="23" t="s">
        <v>49</v>
      </c>
      <c r="E7" s="148" t="str">
        <f>IF(Contribute="abcd",IF($F$2&lt;&gt;-1,_xll.RtContribute(SourceAlias,J7,Fields,K7:L7,"SCOPE:SERVER"),_xll.RtContribute(SourceAlias,"DDS_INSERT_S",$F$2:$H$2,J7:L7,"SCOPE:SERVER FTC:ALL")),"stopped")</f>
        <v>stopped</v>
      </c>
      <c r="F7" s="23" t="str">
        <f>IF(Contribute="abcd",IF($F$2&lt;&gt;-1,_xll.RtContribute(SourceAlias,P7,Fields,Q7:R7,"SCOPE:SERVER"),_xll.RtContribute(SourceAlias,"DDS_INSERT_S",$F$2:$H$2,P7:R7,"SCOPE:SERVER FTC:ALL")),"stopped")</f>
        <v>stopped</v>
      </c>
      <c r="G7" s="23" t="str">
        <f>IF(Contribute="abcd",IF($F$2&lt;&gt;-1,_xll.RtContribute(SourceAlias,V7,Fields,W7:X7,"SCOPE:SERVER"),_xll.RtContribute(SourceAlias,"DDS_INSERT_S",$F$2:$H$2,V7:X7,"SCOPE:SERVER FTC:ALL")),"stopped")</f>
        <v>stopped</v>
      </c>
      <c r="H7" s="23" t="str">
        <f>IF(Contribute="abcd",IF($F$2&lt;&gt;-1,_xll.RtContribute(SourceAlias,AB7,Fields,AC7:AD7,"SCOPE:SERVER"),_xll.RtContribute(SourceAlias,"DDS_INSERT_S",$F$2:$H$2,AC7:AD7,"SCOPE:SERVER FTC:ALL")),"stopped")</f>
        <v>stopped</v>
      </c>
      <c r="I7" s="103" t="s">
        <v>70</v>
      </c>
      <c r="J7" s="130" t="str">
        <f t="shared" si="0"/>
        <v>AUD1MSWD=</v>
      </c>
      <c r="K7" s="131">
        <f>'1M Pricing'!G7*100</f>
        <v>2.6202930637939659</v>
      </c>
      <c r="L7" s="131">
        <f t="shared" ref="L7:L10" si="3">K7</f>
        <v>2.6202930637939659</v>
      </c>
      <c r="M7" s="132" t="e">
        <f>ABS(_xll.RtGet(SourceAlias,$J7,BID)-K7)</f>
        <v>#VALUE!</v>
      </c>
      <c r="N7" s="132" t="e">
        <f>ABS(_xll.RtGet(SourceAlias,$J7,ASK)-L7)</f>
        <v>#VALUE!</v>
      </c>
      <c r="O7" s="44" t="s">
        <v>70</v>
      </c>
      <c r="P7" s="17" t="str">
        <f t="shared" si="1"/>
        <v>AUD3MSWD=</v>
      </c>
      <c r="Q7" s="18">
        <f>'3M Pricing'!G7*100</f>
        <v>2.6612908044121939</v>
      </c>
      <c r="R7" s="18">
        <f t="shared" ref="R7:R12" si="4">Q7</f>
        <v>2.6612908044121939</v>
      </c>
      <c r="S7" s="18" t="e">
        <f>ABS(_xll.RtGet(SourceAlias,$P7,BID)-Q7)</f>
        <v>#VALUE!</v>
      </c>
      <c r="T7" s="18" t="e">
        <f>ABS(_xll.RtGet(SourceAlias,$P7,ASK)-R7)</f>
        <v>#VALUE!</v>
      </c>
      <c r="U7" s="44" t="s">
        <v>70</v>
      </c>
      <c r="V7" s="17" t="str">
        <f t="shared" si="2"/>
        <v>AUD6MSWD=</v>
      </c>
      <c r="W7" s="18">
        <f>'6M Pricing'!G7*100</f>
        <v>2.7152241225996132</v>
      </c>
      <c r="X7" s="18">
        <f t="shared" ref="X7:X15" si="5">W7</f>
        <v>2.7152241225996132</v>
      </c>
      <c r="Y7" s="18" t="e">
        <f>ABS(_xll.RtGet(SourceAlias,$V7,BID)-W7)</f>
        <v>#VALUE!</v>
      </c>
      <c r="Z7" s="18" t="e">
        <f>ABS(_xll.RtGet(SourceAlias,$V7,ASK)-X7)</f>
        <v>#VALUE!</v>
      </c>
      <c r="AA7" s="2"/>
      <c r="AB7" s="17" t="str">
        <f>Currency&amp;$AB$4&amp;D7&amp;"="</f>
        <v>AUDONSWD=</v>
      </c>
      <c r="AC7" s="18">
        <f>'ON Pricing'!G7*100</f>
        <v>2.4999999990978838</v>
      </c>
      <c r="AD7" s="18">
        <f t="shared" ref="AD7:AD15" si="6">AC7</f>
        <v>2.4999999990978838</v>
      </c>
      <c r="AE7" s="18" t="e">
        <f>ABS(_xll.RtGet(SourceAlias,$AB7,BID)-AC7)</f>
        <v>#VALUE!</v>
      </c>
      <c r="AF7" s="18" t="e">
        <f>ABS(_xll.RtGet(SourceAlias,$AB7,ASK)-AD7)</f>
        <v>#VALUE!</v>
      </c>
      <c r="AG7" s="44" t="s">
        <v>70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11.25" customHeight="1" x14ac:dyDescent="0.2">
      <c r="A8" s="2"/>
      <c r="B8" s="2"/>
      <c r="C8" s="155"/>
      <c r="D8" s="23" t="s">
        <v>50</v>
      </c>
      <c r="E8" s="148" t="str">
        <f>IF(Contribute="abcd",IF($F$2&lt;&gt;-1,_xll.RtContribute(SourceAlias,J8,Fields,K8:L8,"SCOPE:SERVER"),_xll.RtContribute(SourceAlias,"DDS_INSERT_S",$F$2:$H$2,J8:L8,"SCOPE:SERVER FTC:ALL")),"stopped")</f>
        <v>stopped</v>
      </c>
      <c r="F8" s="23" t="str">
        <f>IF(Contribute="abcd",IF($F$2&lt;&gt;-1,_xll.RtContribute(SourceAlias,P8,Fields,Q8:R8,"SCOPE:SERVER"),_xll.RtContribute(SourceAlias,"DDS_INSERT_S",$F$2:$H$2,P8:R8,"SCOPE:SERVER FTC:ALL")),"stopped")</f>
        <v>stopped</v>
      </c>
      <c r="G8" s="23" t="str">
        <f>IF(Contribute="abcd",IF($F$2&lt;&gt;-1,_xll.RtContribute(SourceAlias,V8,Fields,W8:X8,"SCOPE:SERVER"),_xll.RtContribute(SourceAlias,"DDS_INSERT_S",$F$2:$H$2,V8:X8,"SCOPE:SERVER FTC:ALL")),"stopped")</f>
        <v>stopped</v>
      </c>
      <c r="H8" s="23"/>
      <c r="I8" s="103" t="s">
        <v>70</v>
      </c>
      <c r="J8" s="130" t="str">
        <f t="shared" si="0"/>
        <v>AUD1M2WD=</v>
      </c>
      <c r="K8" s="131">
        <f>'1M Pricing'!G8*100</f>
        <v>2.6213456551804466</v>
      </c>
      <c r="L8" s="131">
        <f t="shared" si="3"/>
        <v>2.6213456551804466</v>
      </c>
      <c r="M8" s="132" t="e">
        <f>ABS(_xll.RtGet(SourceAlias,$J8,BID)-K8)</f>
        <v>#VALUE!</v>
      </c>
      <c r="N8" s="132" t="e">
        <f>ABS(_xll.RtGet(SourceAlias,$J8,ASK)-L8)</f>
        <v>#VALUE!</v>
      </c>
      <c r="O8" s="2" t="s">
        <v>70</v>
      </c>
      <c r="P8" s="17" t="str">
        <f t="shared" si="1"/>
        <v>AUD3M2WD=</v>
      </c>
      <c r="Q8" s="18">
        <f>'3M Pricing'!G8*100</f>
        <v>2.6620645547960065</v>
      </c>
      <c r="R8" s="18">
        <f t="shared" si="4"/>
        <v>2.6620645547960065</v>
      </c>
      <c r="S8" s="18" t="e">
        <f>ABS(_xll.RtGet(SourceAlias,$P8,BID)-Q8)</f>
        <v>#VALUE!</v>
      </c>
      <c r="T8" s="18" t="e">
        <f>ABS(_xll.RtGet(SourceAlias,$P8,ASK)-R8)</f>
        <v>#VALUE!</v>
      </c>
      <c r="U8" s="44" t="s">
        <v>70</v>
      </c>
      <c r="V8" s="17" t="str">
        <f t="shared" si="2"/>
        <v>AUD6M2WD=</v>
      </c>
      <c r="W8" s="18">
        <f>'6M Pricing'!G8*100</f>
        <v>2.7158959668256273</v>
      </c>
      <c r="X8" s="18">
        <f t="shared" si="5"/>
        <v>2.7158959668256273</v>
      </c>
      <c r="Y8" s="18" t="e">
        <f>ABS(_xll.RtGet(SourceAlias,$V8,BID)-W8)</f>
        <v>#VALUE!</v>
      </c>
      <c r="Z8" s="18" t="e">
        <f>ABS(_xll.RtGet(SourceAlias,$V8,ASK)-X8)</f>
        <v>#VALUE!</v>
      </c>
      <c r="AA8" s="2"/>
      <c r="AB8" s="17"/>
      <c r="AC8" s="18"/>
      <c r="AD8" s="18"/>
      <c r="AE8" s="18"/>
      <c r="AF8" s="18"/>
      <c r="AG8" s="44" t="s">
        <v>70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11.25" customHeight="1" x14ac:dyDescent="0.2">
      <c r="A9" s="2"/>
      <c r="B9" s="2"/>
      <c r="C9" s="155"/>
      <c r="D9" s="23" t="s">
        <v>51</v>
      </c>
      <c r="E9" s="148" t="str">
        <f>IF(Contribute="abcd",IF($F$2&lt;&gt;-1,_xll.RtContribute(SourceAlias,J9,Fields,K9:L9,"SCOPE:SERVER"),_xll.RtContribute(SourceAlias,"DDS_INSERT_S",$F$2:$H$2,J9:L9,"SCOPE:SERVER FTC:ALL")),"stopped")</f>
        <v>stopped</v>
      </c>
      <c r="F9" s="23" t="str">
        <f>IF(Contribute="abcd",IF($F$2&lt;&gt;-1,_xll.RtContribute(SourceAlias,P9,Fields,Q9:R9,"SCOPE:SERVER"),_xll.RtContribute(SourceAlias,"DDS_INSERT_S",$F$2:$H$2,P9:R9,"SCOPE:SERVER FTC:ALL")),"stopped")</f>
        <v>stopped</v>
      </c>
      <c r="G9" s="23" t="str">
        <f>IF(Contribute="abcd",IF($F$2&lt;&gt;-1,_xll.RtContribute(SourceAlias,V9,Fields,W9:X9,"SCOPE:SERVER"),_xll.RtContribute(SourceAlias,"DDS_INSERT_S",$F$2:$H$2,V9:X9,"SCOPE:SERVER FTC:ALL")),"stopped")</f>
        <v>stopped</v>
      </c>
      <c r="H9" s="23"/>
      <c r="I9" s="103" t="s">
        <v>70</v>
      </c>
      <c r="J9" s="130" t="str">
        <f t="shared" si="0"/>
        <v>AUD1M3WD=</v>
      </c>
      <c r="K9" s="131">
        <f>'1M Pricing'!G9*100</f>
        <v>2.6226618049657366</v>
      </c>
      <c r="L9" s="131">
        <f t="shared" si="3"/>
        <v>2.6226618049657366</v>
      </c>
      <c r="M9" s="132" t="e">
        <f>ABS(_xll.RtGet(SourceAlias,$J9,BID)-K9)</f>
        <v>#VALUE!</v>
      </c>
      <c r="N9" s="132" t="e">
        <f>ABS(_xll.RtGet(SourceAlias,$J9,ASK)-L9)</f>
        <v>#VALUE!</v>
      </c>
      <c r="O9" s="2" t="s">
        <v>70</v>
      </c>
      <c r="P9" s="17" t="str">
        <f t="shared" si="1"/>
        <v>AUD3M3WD=</v>
      </c>
      <c r="Q9" s="18">
        <f>'3M Pricing'!G9*100</f>
        <v>2.6629017380726245</v>
      </c>
      <c r="R9" s="18">
        <f t="shared" si="4"/>
        <v>2.6629017380726245</v>
      </c>
      <c r="S9" s="18" t="e">
        <f>ABS(_xll.RtGet(SourceAlias,$P9,BID)-Q9)</f>
        <v>#VALUE!</v>
      </c>
      <c r="T9" s="18" t="e">
        <f>ABS(_xll.RtGet(SourceAlias,$P9,ASK)-R9)</f>
        <v>#VALUE!</v>
      </c>
      <c r="U9" s="44" t="s">
        <v>70</v>
      </c>
      <c r="V9" s="17" t="str">
        <f t="shared" si="2"/>
        <v>AUD6M3WD=</v>
      </c>
      <c r="W9" s="18">
        <f>'6M Pricing'!G9*100</f>
        <v>2.7165446062128136</v>
      </c>
      <c r="X9" s="18">
        <f t="shared" si="5"/>
        <v>2.7165446062128136</v>
      </c>
      <c r="Y9" s="18" t="e">
        <f>ABS(_xll.RtGet(SourceAlias,$V9,BID)-W9)</f>
        <v>#VALUE!</v>
      </c>
      <c r="Z9" s="18" t="e">
        <f>ABS(_xll.RtGet(SourceAlias,$V9,ASK)-X9)</f>
        <v>#VALUE!</v>
      </c>
      <c r="AA9" s="2"/>
      <c r="AB9" s="17"/>
      <c r="AC9" s="18"/>
      <c r="AD9" s="18"/>
      <c r="AE9" s="18"/>
      <c r="AF9" s="18"/>
      <c r="AG9" s="44" t="s">
        <v>70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11.25" customHeight="1" x14ac:dyDescent="0.2">
      <c r="A10" s="2"/>
      <c r="B10" s="2"/>
      <c r="C10" s="155"/>
      <c r="D10" s="23" t="s">
        <v>52</v>
      </c>
      <c r="E10" s="148" t="str">
        <f>IF(Contribute="abcd",IF($F$2&lt;&gt;-1,_xll.RtContribute(SourceAlias,J10,Fields,K10:L10,"SCOPE:SERVER"),_xll.RtContribute(SourceAlias,"DDS_INSERT_S",$F$2:$H$2,J10:L10,"SCOPE:SERVER FTC:ALL")),"stopped")</f>
        <v>stopped</v>
      </c>
      <c r="F10" s="23" t="str">
        <f>IF(Contribute="abcd",IF($F$2&lt;&gt;-1,_xll.RtContribute(SourceAlias,P10,Fields,Q10:R10,"SCOPE:SERVER"),_xll.RtContribute(SourceAlias,"DDS_INSERT_S",$F$2:$H$2,P10:R10,"SCOPE:SERVER FTC:ALL")),"stopped")</f>
        <v>stopped</v>
      </c>
      <c r="G10" s="23" t="str">
        <f>IF(Contribute="abcd",IF($F$2&lt;&gt;-1,_xll.RtContribute(SourceAlias,V10,Fields,W10:X10,"SCOPE:SERVER"),_xll.RtContribute(SourceAlias,"DDS_INSERT_S",$F$2:$H$2,V10:X10,"SCOPE:SERVER FTC:ALL")),"stopped")</f>
        <v>stopped</v>
      </c>
      <c r="H10" s="23" t="str">
        <f>IF(Contribute="abcd",IF($F$2&lt;&gt;-1,_xll.RtContribute(SourceAlias,AB10,Fields,AC10:AD10,"SCOPE:SERVER"),_xll.RtContribute(SourceAlias,"DDS_INSERT_S",$F$2:$H$2,AC10:AD10,"SCOPE:SERVER FTC:ALL")),"stopped")</f>
        <v>stopped</v>
      </c>
      <c r="I10" s="103" t="s">
        <v>70</v>
      </c>
      <c r="J10" s="130" t="str">
        <f t="shared" si="0"/>
        <v>AUD1M1MD=</v>
      </c>
      <c r="K10" s="131">
        <f>'1M Pricing'!G10*100</f>
        <v>2.6250000001592193</v>
      </c>
      <c r="L10" s="131">
        <f t="shared" si="3"/>
        <v>2.6250000001592193</v>
      </c>
      <c r="M10" s="132" t="e">
        <f>ABS(_xll.RtGet(SourceAlias,$J10,BID)-K10)</f>
        <v>#VALUE!</v>
      </c>
      <c r="N10" s="132" t="e">
        <f>ABS(_xll.RtGet(SourceAlias,$J10,ASK)-L10)</f>
        <v>#VALUE!</v>
      </c>
      <c r="O10" s="2" t="s">
        <v>70</v>
      </c>
      <c r="P10" s="17" t="str">
        <f t="shared" si="1"/>
        <v>AUD3M1MD=</v>
      </c>
      <c r="Q10" s="18">
        <f>'3M Pricing'!G10*100</f>
        <v>2.6642079428103864</v>
      </c>
      <c r="R10" s="18">
        <f t="shared" si="4"/>
        <v>2.6642079428103864</v>
      </c>
      <c r="S10" s="18" t="e">
        <f>ABS(_xll.RtGet(SourceAlias,$P10,BID)-Q10)</f>
        <v>#VALUE!</v>
      </c>
      <c r="T10" s="18" t="e">
        <f>ABS(_xll.RtGet(SourceAlias,$P10,ASK)-R10)</f>
        <v>#VALUE!</v>
      </c>
      <c r="U10" s="44" t="s">
        <v>70</v>
      </c>
      <c r="V10" s="17" t="str">
        <f t="shared" si="2"/>
        <v>AUD6M1MD=</v>
      </c>
      <c r="W10" s="18">
        <f>'6M Pricing'!G10*100</f>
        <v>2.7174309082423047</v>
      </c>
      <c r="X10" s="18">
        <f t="shared" si="5"/>
        <v>2.7174309082423047</v>
      </c>
      <c r="Y10" s="18" t="e">
        <f>ABS(_xll.RtGet(SourceAlias,$V10,BID)-W10)</f>
        <v>#VALUE!</v>
      </c>
      <c r="Z10" s="18" t="e">
        <f>ABS(_xll.RtGet(SourceAlias,$V10,ASK)-X10)</f>
        <v>#VALUE!</v>
      </c>
      <c r="AA10" s="2"/>
      <c r="AB10" s="17" t="str">
        <f t="shared" ref="AB10:AB16" si="7">Currency&amp;$AB$4&amp;D10&amp;"="</f>
        <v>AUDON1MD=</v>
      </c>
      <c r="AC10" s="18">
        <f>'ON Pricing'!G10*100</f>
        <v>2.4990000000297319</v>
      </c>
      <c r="AD10" s="18">
        <f t="shared" si="6"/>
        <v>2.4990000000297319</v>
      </c>
      <c r="AE10" s="18" t="e">
        <f>ABS(_xll.RtGet(SourceAlias,$AB10,BID)-AC10)</f>
        <v>#VALUE!</v>
      </c>
      <c r="AF10" s="18" t="e">
        <f>ABS(_xll.RtGet(SourceAlias,$AB10,ASK)-AD10)</f>
        <v>#VALUE!</v>
      </c>
      <c r="AG10" s="44" t="s">
        <v>70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11.25" customHeight="1" x14ac:dyDescent="0.2">
      <c r="A11" s="2"/>
      <c r="B11" s="2"/>
      <c r="C11" s="155"/>
      <c r="D11" s="23" t="s">
        <v>53</v>
      </c>
      <c r="E11" s="148"/>
      <c r="F11" s="23" t="str">
        <f>IF(Contribute="abcd",IF($F$2&lt;&gt;-1,_xll.RtContribute(SourceAlias,P11,Fields,Q11:R11,"SCOPE:SERVER"),_xll.RtContribute(SourceAlias,"DDS_INSERT_S",$F$2:$H$2,P11:R11,"SCOPE:SERVER FTC:ALL")),"stopped")</f>
        <v>stopped</v>
      </c>
      <c r="G11" s="23" t="str">
        <f>IF(Contribute="abcd",IF($F$2&lt;&gt;-1,_xll.RtContribute(SourceAlias,V11,Fields,W11:X11,"SCOPE:SERVER"),_xll.RtContribute(SourceAlias,"DDS_INSERT_S",$F$2:$H$2,V11:X11,"SCOPE:SERVER FTC:ALL")),"stopped")</f>
        <v>stopped</v>
      </c>
      <c r="H11" s="23" t="str">
        <f>IF(Contribute="abcd",IF($F$2&lt;&gt;-1,_xll.RtContribute(SourceAlias,AB11,Fields,AC11:AD11,"SCOPE:SERVER"),_xll.RtContribute(SourceAlias,"DDS_INSERT_S",$F$2:$H$2,AC11:AD11,"SCOPE:SERVER FTC:ALL")),"stopped")</f>
        <v>stopped</v>
      </c>
      <c r="I11" s="103" t="s">
        <v>70</v>
      </c>
      <c r="J11" s="130"/>
      <c r="K11" s="131"/>
      <c r="L11" s="131"/>
      <c r="M11" s="132"/>
      <c r="N11" s="132"/>
      <c r="O11" s="2" t="s">
        <v>70</v>
      </c>
      <c r="P11" s="17" t="str">
        <f t="shared" si="1"/>
        <v>AUD3M2MD=</v>
      </c>
      <c r="Q11" s="18">
        <f>'3M Pricing'!G11*100</f>
        <v>2.6690841775781395</v>
      </c>
      <c r="R11" s="18">
        <f t="shared" si="4"/>
        <v>2.6690841775781395</v>
      </c>
      <c r="S11" s="18" t="e">
        <f>ABS(_xll.RtGet(SourceAlias,$P11,BID)-Q11)</f>
        <v>#VALUE!</v>
      </c>
      <c r="T11" s="18" t="e">
        <f>ABS(_xll.RtGet(SourceAlias,$P11,ASK)-R11)</f>
        <v>#VALUE!</v>
      </c>
      <c r="U11" s="44" t="s">
        <v>70</v>
      </c>
      <c r="V11" s="17" t="str">
        <f t="shared" si="2"/>
        <v>AUD6M2MD=</v>
      </c>
      <c r="W11" s="18">
        <f>'6M Pricing'!G11*100</f>
        <v>2.7198758667565346</v>
      </c>
      <c r="X11" s="18">
        <f t="shared" si="5"/>
        <v>2.7198758667565346</v>
      </c>
      <c r="Y11" s="18" t="e">
        <f>ABS(_xll.RtGet(SourceAlias,$V11,BID)-W11)</f>
        <v>#VALUE!</v>
      </c>
      <c r="Z11" s="18" t="e">
        <f>ABS(_xll.RtGet(SourceAlias,$V11,ASK)-X11)</f>
        <v>#VALUE!</v>
      </c>
      <c r="AA11" s="2"/>
      <c r="AB11" s="17" t="str">
        <f t="shared" si="7"/>
        <v>AUDON2MD=</v>
      </c>
      <c r="AC11" s="18">
        <f>'ON Pricing'!G11*100</f>
        <v>2.4974999999965619</v>
      </c>
      <c r="AD11" s="18">
        <f t="shared" si="6"/>
        <v>2.4974999999965619</v>
      </c>
      <c r="AE11" s="18" t="e">
        <f>ABS(_xll.RtGet(SourceAlias,$AB11,BID)-AC11)</f>
        <v>#VALUE!</v>
      </c>
      <c r="AF11" s="18" t="e">
        <f>ABS(_xll.RtGet(SourceAlias,$AB11,ASK)-AD11)</f>
        <v>#VALUE!</v>
      </c>
      <c r="AG11" s="44" t="s">
        <v>70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11.25" customHeight="1" x14ac:dyDescent="0.2">
      <c r="A12" s="2"/>
      <c r="B12" s="2"/>
      <c r="C12" s="155"/>
      <c r="D12" s="23" t="s">
        <v>54</v>
      </c>
      <c r="E12" s="148"/>
      <c r="F12" s="23" t="str">
        <f>IF(Contribute="abcd",IF($F$2&lt;&gt;-1,_xll.RtContribute(SourceAlias,P12,Fields,Q12:R12,"SCOPE:SERVER"),_xll.RtContribute(SourceAlias,"DDS_INSERT_S",$F$2:$H$2,P12:R12,"SCOPE:SERVER FTC:ALL")),"stopped")</f>
        <v>stopped</v>
      </c>
      <c r="G12" s="23" t="str">
        <f>IF(Contribute="abcd",IF($F$2&lt;&gt;-1,_xll.RtContribute(SourceAlias,V12,Fields,W12:X12,"SCOPE:SERVER"),_xll.RtContribute(SourceAlias,"DDS_INSERT_S",$F$2:$H$2,V12:X12,"SCOPE:SERVER FTC:ALL")),"stopped")</f>
        <v>stopped</v>
      </c>
      <c r="H12" s="23" t="str">
        <f>IF(Contribute="abcd",IF($F$2&lt;&gt;-1,_xll.RtContribute(SourceAlias,AB12,Fields,AC12:AD12,"SCOPE:SERVER"),_xll.RtContribute(SourceAlias,"DDS_INSERT_S",$F$2:$H$2,AC12:AD12,"SCOPE:SERVER FTC:ALL")),"stopped")</f>
        <v>stopped</v>
      </c>
      <c r="I12" s="103" t="s">
        <v>70</v>
      </c>
      <c r="J12" s="133"/>
      <c r="K12" s="134"/>
      <c r="L12" s="134"/>
      <c r="M12" s="135"/>
      <c r="N12" s="135"/>
      <c r="O12" s="2" t="s">
        <v>70</v>
      </c>
      <c r="P12" s="17" t="str">
        <f t="shared" si="1"/>
        <v>AUD3M3MD=</v>
      </c>
      <c r="Q12" s="18">
        <f>'3M Pricing'!G12*100</f>
        <v>2.674999999999593</v>
      </c>
      <c r="R12" s="18">
        <f t="shared" si="4"/>
        <v>2.674999999999593</v>
      </c>
      <c r="S12" s="18" t="e">
        <f>ABS(_xll.RtGet(SourceAlias,$P12,BID)-Q12)</f>
        <v>#VALUE!</v>
      </c>
      <c r="T12" s="18" t="e">
        <f>ABS(_xll.RtGet(SourceAlias,$P12,ASK)-R12)</f>
        <v>#VALUE!</v>
      </c>
      <c r="U12" s="44" t="s">
        <v>70</v>
      </c>
      <c r="V12" s="17" t="str">
        <f t="shared" si="2"/>
        <v>AUD6M3MD=</v>
      </c>
      <c r="W12" s="18">
        <f>'6M Pricing'!G12*100</f>
        <v>2.7218039869612514</v>
      </c>
      <c r="X12" s="18">
        <f t="shared" si="5"/>
        <v>2.7218039869612514</v>
      </c>
      <c r="Y12" s="18" t="e">
        <f>ABS(_xll.RtGet(SourceAlias,$V12,BID)-W12)</f>
        <v>#VALUE!</v>
      </c>
      <c r="Z12" s="18" t="e">
        <f>ABS(_xll.RtGet(SourceAlias,$V12,ASK)-X12)</f>
        <v>#VALUE!</v>
      </c>
      <c r="AA12" s="2"/>
      <c r="AB12" s="17" t="str">
        <f t="shared" si="7"/>
        <v>AUDON3MD=</v>
      </c>
      <c r="AC12" s="18">
        <f>'ON Pricing'!G12*100</f>
        <v>2.4950000000004064</v>
      </c>
      <c r="AD12" s="18">
        <f t="shared" si="6"/>
        <v>2.4950000000004064</v>
      </c>
      <c r="AE12" s="18" t="e">
        <f>ABS(_xll.RtGet(SourceAlias,$AB12,BID)-AC12)</f>
        <v>#VALUE!</v>
      </c>
      <c r="AF12" s="18" t="e">
        <f>ABS(_xll.RtGet(SourceAlias,$AB12,ASK)-AD12)</f>
        <v>#VALUE!</v>
      </c>
      <c r="AG12" s="44" t="s">
        <v>70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11.25" customHeight="1" x14ac:dyDescent="0.2">
      <c r="A13" s="2"/>
      <c r="B13" s="2"/>
      <c r="C13" s="155"/>
      <c r="D13" s="23" t="s">
        <v>55</v>
      </c>
      <c r="E13" s="148"/>
      <c r="F13" s="104"/>
      <c r="G13" s="23" t="str">
        <f>IF(Contribute="abcd",IF($F$2&lt;&gt;-1,_xll.RtContribute(SourceAlias,V13,Fields,W13:X13,"SCOPE:SERVER"),_xll.RtContribute(SourceAlias,"DDS_INSERT_S",$F$2:$H$2,V13:X13,"SCOPE:SERVER FTC:ALL")),"stopped")</f>
        <v>stopped</v>
      </c>
      <c r="H13" s="23" t="str">
        <f>IF(Contribute="abcd",IF($F$2&lt;&gt;-1,_xll.RtContribute(SourceAlias,AB13,Fields,AC13:AD13,"SCOPE:SERVER"),_xll.RtContribute(SourceAlias,"DDS_INSERT_S",$F$2:$H$2,AC13:AD13,"SCOPE:SERVER FTC:ALL")),"stopped")</f>
        <v>stopped</v>
      </c>
      <c r="I13" s="103" t="s">
        <v>70</v>
      </c>
      <c r="J13" s="130"/>
      <c r="K13" s="131"/>
      <c r="L13" s="131"/>
      <c r="M13" s="132"/>
      <c r="N13" s="132"/>
      <c r="O13" s="2" t="s">
        <v>70</v>
      </c>
      <c r="P13" s="108"/>
      <c r="Q13" s="108"/>
      <c r="R13" s="108"/>
      <c r="S13" s="109"/>
      <c r="T13" s="109"/>
      <c r="U13" s="44" t="s">
        <v>70</v>
      </c>
      <c r="V13" s="17" t="str">
        <f t="shared" si="2"/>
        <v>AUD6M4MD=</v>
      </c>
      <c r="W13" s="18">
        <f>'6M Pricing'!G13*100</f>
        <v>2.7234238696875712</v>
      </c>
      <c r="X13" s="18">
        <f t="shared" si="5"/>
        <v>2.7234238696875712</v>
      </c>
      <c r="Y13" s="18" t="e">
        <f>ABS(_xll.RtGet(SourceAlias,$V13,BID)-W13)</f>
        <v>#VALUE!</v>
      </c>
      <c r="Z13" s="18" t="e">
        <f>ABS(_xll.RtGet(SourceAlias,$V13,ASK)-X13)</f>
        <v>#VALUE!</v>
      </c>
      <c r="AA13" s="2"/>
      <c r="AB13" s="17" t="str">
        <f t="shared" si="7"/>
        <v>AUDON4MD=</v>
      </c>
      <c r="AC13" s="18">
        <f>'ON Pricing'!G13*100</f>
        <v>2.4924999999997191</v>
      </c>
      <c r="AD13" s="18">
        <f t="shared" si="6"/>
        <v>2.4924999999997191</v>
      </c>
      <c r="AE13" s="18" t="e">
        <f>ABS(_xll.RtGet(SourceAlias,$AB13,BID)-AC13)</f>
        <v>#VALUE!</v>
      </c>
      <c r="AF13" s="18" t="e">
        <f>ABS(_xll.RtGet(SourceAlias,$AB13,ASK)-AD13)</f>
        <v>#VALUE!</v>
      </c>
      <c r="AG13" s="44" t="s">
        <v>70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11.25" customHeight="1" x14ac:dyDescent="0.2">
      <c r="A14" s="2"/>
      <c r="B14" s="2"/>
      <c r="C14" s="155"/>
      <c r="D14" s="23" t="s">
        <v>56</v>
      </c>
      <c r="E14" s="148"/>
      <c r="F14" s="104"/>
      <c r="G14" s="23" t="str">
        <f>IF(Contribute="abcd",IF($F$2&lt;&gt;-1,_xll.RtContribute(SourceAlias,V14,Fields,W14:X14,"SCOPE:SERVER"),_xll.RtContribute(SourceAlias,"DDS_INSERT_S",$F$2:$H$2,V14:X14,"SCOPE:SERVER FTC:ALL")),"stopped")</f>
        <v>stopped</v>
      </c>
      <c r="H14" s="23" t="str">
        <f>IF(Contribute="abcd",IF($F$2&lt;&gt;-1,_xll.RtContribute(SourceAlias,AB14,Fields,AC14:AD14,"SCOPE:SERVER"),_xll.RtContribute(SourceAlias,"DDS_INSERT_S",$F$2:$H$2,AC14:AD14,"SCOPE:SERVER FTC:ALL")),"stopped")</f>
        <v>stopped</v>
      </c>
      <c r="I14" s="103" t="s">
        <v>70</v>
      </c>
      <c r="J14" s="130"/>
      <c r="K14" s="131"/>
      <c r="L14" s="131"/>
      <c r="M14" s="132"/>
      <c r="N14" s="132"/>
      <c r="O14" s="2" t="s">
        <v>70</v>
      </c>
      <c r="P14" s="108"/>
      <c r="Q14" s="108"/>
      <c r="R14" s="108"/>
      <c r="S14" s="109"/>
      <c r="T14" s="109"/>
      <c r="U14" s="44" t="s">
        <v>70</v>
      </c>
      <c r="V14" s="17" t="str">
        <f t="shared" si="2"/>
        <v>AUD6M5MD=</v>
      </c>
      <c r="W14" s="18">
        <f>'6M Pricing'!G14*100</f>
        <v>2.7244111171876813</v>
      </c>
      <c r="X14" s="18">
        <f t="shared" si="5"/>
        <v>2.7244111171876813</v>
      </c>
      <c r="Y14" s="18" t="e">
        <f>ABS(_xll.RtGet(SourceAlias,$V14,BID)-W14)</f>
        <v>#VALUE!</v>
      </c>
      <c r="Z14" s="18" t="e">
        <f>ABS(_xll.RtGet(SourceAlias,$V14,ASK)-X14)</f>
        <v>#VALUE!</v>
      </c>
      <c r="AA14" s="2"/>
      <c r="AB14" s="17" t="str">
        <f t="shared" si="7"/>
        <v>AUDON5MD=</v>
      </c>
      <c r="AC14" s="18">
        <f>'ON Pricing'!G14*100</f>
        <v>2.4924999999999393</v>
      </c>
      <c r="AD14" s="18">
        <f t="shared" si="6"/>
        <v>2.4924999999999393</v>
      </c>
      <c r="AE14" s="18" t="e">
        <f>ABS(_xll.RtGet(SourceAlias,$AB14,BID)-AC14)</f>
        <v>#VALUE!</v>
      </c>
      <c r="AF14" s="18" t="e">
        <f>ABS(_xll.RtGet(SourceAlias,$AB14,ASK)-AD14)</f>
        <v>#VALUE!</v>
      </c>
      <c r="AG14" s="44" t="s">
        <v>70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11.25" customHeight="1" x14ac:dyDescent="0.2">
      <c r="A15" s="2"/>
      <c r="B15" s="2"/>
      <c r="C15" s="155"/>
      <c r="D15" s="23" t="s">
        <v>57</v>
      </c>
      <c r="E15" s="148"/>
      <c r="F15" s="104"/>
      <c r="G15" s="23" t="str">
        <f>IF(Contribute="abcd",IF($F$2&lt;&gt;-1,_xll.RtContribute(SourceAlias,V15,Fields,W15:X15,"SCOPE:SERVER"),_xll.RtContribute(SourceAlias,"DDS_INSERT_S",$F$2:$H$2,V15:X15,"SCOPE:SERVER FTC:ALL")),"stopped")</f>
        <v>stopped</v>
      </c>
      <c r="H15" s="23" t="str">
        <f>IF(Contribute="abcd",IF($F$2&lt;&gt;-1,_xll.RtContribute(SourceAlias,AB15,Fields,AC15:AD15,"SCOPE:SERVER"),_xll.RtContribute(SourceAlias,"DDS_INSERT_S",$F$2:$H$2,AC15:AD15,"SCOPE:SERVER FTC:ALL")),"stopped")</f>
        <v>stopped</v>
      </c>
      <c r="I15" s="103" t="s">
        <v>70</v>
      </c>
      <c r="J15" s="133"/>
      <c r="K15" s="134"/>
      <c r="L15" s="134"/>
      <c r="M15" s="135"/>
      <c r="N15" s="135"/>
      <c r="O15" s="2" t="s">
        <v>70</v>
      </c>
      <c r="P15" s="108"/>
      <c r="Q15" s="108"/>
      <c r="R15" s="108"/>
      <c r="S15" s="109"/>
      <c r="T15" s="109"/>
      <c r="U15" s="44" t="s">
        <v>70</v>
      </c>
      <c r="V15" s="17" t="str">
        <f t="shared" si="2"/>
        <v>AUD6M6MD=</v>
      </c>
      <c r="W15" s="18">
        <f>'6M Pricing'!G15*100</f>
        <v>2.7250000000000032</v>
      </c>
      <c r="X15" s="18">
        <f t="shared" si="5"/>
        <v>2.7250000000000032</v>
      </c>
      <c r="Y15" s="18" t="e">
        <f>ABS(_xll.RtGet(SourceAlias,$V15,BID)-W15)</f>
        <v>#VALUE!</v>
      </c>
      <c r="Z15" s="18" t="e">
        <f>ABS(_xll.RtGet(SourceAlias,$V15,ASK)-X15)</f>
        <v>#VALUE!</v>
      </c>
      <c r="AA15" s="2"/>
      <c r="AB15" s="17" t="str">
        <f t="shared" si="7"/>
        <v>AUDON6MD=</v>
      </c>
      <c r="AC15" s="18">
        <f>'ON Pricing'!G15*100</f>
        <v>2.4909999999998846</v>
      </c>
      <c r="AD15" s="18">
        <f t="shared" si="6"/>
        <v>2.4909999999998846</v>
      </c>
      <c r="AE15" s="18" t="e">
        <f>ABS(_xll.RtGet(SourceAlias,$AB15,BID)-AC15)</f>
        <v>#VALUE!</v>
      </c>
      <c r="AF15" s="18" t="e">
        <f>ABS(_xll.RtGet(SourceAlias,$AB15,ASK)-AD15)</f>
        <v>#VALUE!</v>
      </c>
      <c r="AG15" s="44" t="s">
        <v>70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11.25" customHeight="1" x14ac:dyDescent="0.2">
      <c r="A16" s="2"/>
      <c r="B16" s="2"/>
      <c r="C16" s="156"/>
      <c r="D16" s="24" t="s">
        <v>58</v>
      </c>
      <c r="E16" s="149"/>
      <c r="F16" s="105"/>
      <c r="G16" s="24"/>
      <c r="H16" s="24" t="str">
        <f>IF(Contribute="abcd",IF($F$2&lt;&gt;-1,_xll.RtContribute(SourceAlias,AB16,Fields,AC16:AD16,"SCOPE:SERVER"),_xll.RtContribute(SourceAlias,"DDS_INSERT_S",$F$2:$H$2,AC16:AD16,"SCOPE:SERVER FTC:ALL")),"stopped")</f>
        <v>stopped</v>
      </c>
      <c r="I16" s="103" t="s">
        <v>70</v>
      </c>
      <c r="J16" s="136"/>
      <c r="K16" s="137"/>
      <c r="L16" s="137"/>
      <c r="M16" s="138"/>
      <c r="N16" s="138"/>
      <c r="O16" s="2" t="s">
        <v>70</v>
      </c>
      <c r="P16" s="108"/>
      <c r="Q16" s="108"/>
      <c r="R16" s="108"/>
      <c r="S16" s="109"/>
      <c r="T16" s="109"/>
      <c r="U16" s="44" t="s">
        <v>70</v>
      </c>
      <c r="V16" s="17"/>
      <c r="W16" s="18"/>
      <c r="X16" s="18"/>
      <c r="Y16" s="18"/>
      <c r="Z16" s="18"/>
      <c r="AA16" s="2"/>
      <c r="AB16" s="17" t="str">
        <f t="shared" si="7"/>
        <v>AUDON9MD=</v>
      </c>
      <c r="AC16" s="18">
        <f>'ON Pricing'!G16*100</f>
        <v>2.4899999999999336</v>
      </c>
      <c r="AD16" s="18">
        <f t="shared" ref="AD16" si="8">AC16</f>
        <v>2.4899999999999336</v>
      </c>
      <c r="AE16" s="18" t="e">
        <f>ABS(_xll.RtGet(SourceAlias,$AB16,BID)-AC16)</f>
        <v>#VALUE!</v>
      </c>
      <c r="AF16" s="18" t="e">
        <f>ABS(_xll.RtGet(SourceAlias,$AB16,ASK)-AD16)</f>
        <v>#VALUE!</v>
      </c>
      <c r="AG16" s="44" t="s">
        <v>70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11.25" customHeight="1" x14ac:dyDescent="0.2">
      <c r="A17" s="2" t="b">
        <v>1</v>
      </c>
      <c r="B17" s="126">
        <f t="array" ref="B17:B22">_xll.qlIMMNextDates(_xll.qlSettingsEvaluationDate(Trigger),A17:A22)</f>
        <v>41899</v>
      </c>
      <c r="C17" s="157" t="s">
        <v>94</v>
      </c>
      <c r="D17" s="101" t="str">
        <f>_xll.qlIMMcode(B17,Trigger)</f>
        <v>U4</v>
      </c>
      <c r="E17" s="150"/>
      <c r="F17" s="22" t="str">
        <f>IF(Contribute="abcd",IF($F$2&lt;&gt;-1,_xll.RtContribute(SourceAlias,P17,Fields,Q17:R17,"SCOPE:SERVER"),_xll.RtContribute(SourceAlias,"DDS_INSERT_S",$F$2:$H$2,P17:R17,"SCOPE:SERVER FTC:ALL")),"stopped")</f>
        <v>stopped</v>
      </c>
      <c r="G17" s="120"/>
      <c r="H17" s="112"/>
      <c r="I17" s="103" t="s">
        <v>70</v>
      </c>
      <c r="J17" s="139"/>
      <c r="K17" s="140"/>
      <c r="L17" s="140"/>
      <c r="M17" s="141"/>
      <c r="N17" s="141"/>
      <c r="O17" s="2" t="s">
        <v>70</v>
      </c>
      <c r="P17" s="15" t="str">
        <f t="shared" ref="P17:P22" si="9">Currency&amp;$P$4&amp;D17&amp;"="</f>
        <v>AUD3MU4=</v>
      </c>
      <c r="Q17" s="16">
        <f>'3M Pricing'!G17</f>
        <v>97.321226095651355</v>
      </c>
      <c r="R17" s="16">
        <f t="shared" ref="R17:R22" si="10">Q17</f>
        <v>97.321226095651355</v>
      </c>
      <c r="S17" s="16" t="e">
        <f>ABS(_xll.RtGet(SourceAlias,$P17,BID)-Q17)</f>
        <v>#VALUE!</v>
      </c>
      <c r="T17" s="16" t="e">
        <f>ABS(_xll.RtGet(SourceAlias,$P17,ASK)-R17)</f>
        <v>#VALUE!</v>
      </c>
      <c r="U17" s="44" t="s">
        <v>70</v>
      </c>
      <c r="V17" s="106"/>
      <c r="W17" s="106"/>
      <c r="X17" s="106"/>
      <c r="Y17" s="107"/>
      <c r="Z17" s="107"/>
      <c r="AA17" s="2"/>
      <c r="AB17" s="106"/>
      <c r="AC17" s="106"/>
      <c r="AD17" s="106"/>
      <c r="AE17" s="107"/>
      <c r="AF17" s="112"/>
      <c r="AG17" s="44" t="s">
        <v>70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11.25" customHeight="1" x14ac:dyDescent="0.2">
      <c r="A18" s="2" t="b">
        <v>1</v>
      </c>
      <c r="B18" s="126">
        <v>41990</v>
      </c>
      <c r="C18" s="158"/>
      <c r="D18" s="102" t="str">
        <f>_xll.qlIMMcode(B18,Trigger)</f>
        <v>Z4</v>
      </c>
      <c r="E18" s="151"/>
      <c r="F18" s="23" t="str">
        <f>IF(Contribute="abcd",IF($F$2&lt;&gt;-1,_xll.RtContribute(SourceAlias,P18,Fields,Q18:R18,"SCOPE:SERVER"),_xll.RtContribute(SourceAlias,"DDS_INSERT_S",$F$2:$H$2,P18:R18,"SCOPE:SERVER FTC:ALL")),"stopped")</f>
        <v>stopped</v>
      </c>
      <c r="G18" s="121"/>
      <c r="H18" s="113"/>
      <c r="I18" s="103" t="s">
        <v>70</v>
      </c>
      <c r="J18" s="133"/>
      <c r="K18" s="134"/>
      <c r="L18" s="134"/>
      <c r="M18" s="135"/>
      <c r="N18" s="135"/>
      <c r="O18" s="2" t="s">
        <v>70</v>
      </c>
      <c r="P18" s="17" t="str">
        <f t="shared" si="9"/>
        <v>AUD3MZ4=</v>
      </c>
      <c r="Q18" s="18">
        <f>'3M Pricing'!G18</f>
        <v>97.405000000160754</v>
      </c>
      <c r="R18" s="18">
        <f t="shared" si="10"/>
        <v>97.405000000160754</v>
      </c>
      <c r="S18" s="18" t="e">
        <f>ABS(_xll.RtGet(SourceAlias,$P18,BID)-Q18)</f>
        <v>#VALUE!</v>
      </c>
      <c r="T18" s="18" t="e">
        <f>ABS(_xll.RtGet(SourceAlias,$P18,ASK)-R18)</f>
        <v>#VALUE!</v>
      </c>
      <c r="U18" s="44" t="s">
        <v>70</v>
      </c>
      <c r="V18" s="108"/>
      <c r="W18" s="108"/>
      <c r="X18" s="108"/>
      <c r="Y18" s="109"/>
      <c r="Z18" s="109"/>
      <c r="AA18" s="2"/>
      <c r="AB18" s="108"/>
      <c r="AC18" s="108"/>
      <c r="AD18" s="108"/>
      <c r="AE18" s="109"/>
      <c r="AF18" s="113"/>
      <c r="AG18" s="44" t="s">
        <v>70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ht="11.25" customHeight="1" x14ac:dyDescent="0.2">
      <c r="A19" s="2" t="b">
        <v>1</v>
      </c>
      <c r="B19" s="126">
        <v>42081</v>
      </c>
      <c r="C19" s="158"/>
      <c r="D19" s="102" t="str">
        <f>_xll.qlIMMcode(B19,Trigger)</f>
        <v>H5</v>
      </c>
      <c r="E19" s="151"/>
      <c r="F19" s="23" t="str">
        <f>IF(Contribute="abcd",IF($F$2&lt;&gt;-1,_xll.RtContribute(SourceAlias,P19,Fields,Q19:R19,"SCOPE:SERVER"),_xll.RtContribute(SourceAlias,"DDS_INSERT_S",$F$2:$H$2,P19:R19,"SCOPE:SERVER FTC:ALL")),"stopped")</f>
        <v>stopped</v>
      </c>
      <c r="G19" s="121"/>
      <c r="H19" s="113"/>
      <c r="I19" s="103" t="s">
        <v>70</v>
      </c>
      <c r="J19" s="133"/>
      <c r="K19" s="134"/>
      <c r="L19" s="134"/>
      <c r="M19" s="135"/>
      <c r="N19" s="135"/>
      <c r="O19" s="2" t="s">
        <v>70</v>
      </c>
      <c r="P19" s="17" t="str">
        <f t="shared" si="9"/>
        <v>AUD3MH5=</v>
      </c>
      <c r="Q19" s="18">
        <f>'3M Pricing'!G19</f>
        <v>97.415000000205595</v>
      </c>
      <c r="R19" s="18">
        <f t="shared" si="10"/>
        <v>97.415000000205595</v>
      </c>
      <c r="S19" s="18" t="e">
        <f>ABS(_xll.RtGet(SourceAlias,$P19,BID)-Q19)</f>
        <v>#VALUE!</v>
      </c>
      <c r="T19" s="18" t="e">
        <f>ABS(_xll.RtGet(SourceAlias,$P19,ASK)-R19)</f>
        <v>#VALUE!</v>
      </c>
      <c r="U19" s="44" t="s">
        <v>70</v>
      </c>
      <c r="V19" s="108"/>
      <c r="W19" s="108"/>
      <c r="X19" s="108"/>
      <c r="Y19" s="109"/>
      <c r="Z19" s="109"/>
      <c r="AA19" s="2"/>
      <c r="AB19" s="108"/>
      <c r="AC19" s="108"/>
      <c r="AD19" s="108"/>
      <c r="AE19" s="109"/>
      <c r="AF19" s="113"/>
      <c r="AG19" s="44" t="s">
        <v>70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ht="11.25" customHeight="1" x14ac:dyDescent="0.2">
      <c r="A20" s="2" t="b">
        <v>1</v>
      </c>
      <c r="B20" s="126">
        <v>42172</v>
      </c>
      <c r="C20" s="158"/>
      <c r="D20" s="102" t="str">
        <f>_xll.qlIMMcode(B20,Trigger)</f>
        <v>M5</v>
      </c>
      <c r="E20" s="151"/>
      <c r="F20" s="23" t="str">
        <f>IF(Contribute="abcd",IF($F$2&lt;&gt;-1,_xll.RtContribute(SourceAlias,P20,Fields,Q20:R20,"SCOPE:SERVER"),_xll.RtContribute(SourceAlias,"DDS_INSERT_S",$F$2:$H$2,P20:R20,"SCOPE:SERVER FTC:ALL")),"stopped")</f>
        <v>stopped</v>
      </c>
      <c r="G20" s="121"/>
      <c r="H20" s="113"/>
      <c r="I20" s="103" t="s">
        <v>70</v>
      </c>
      <c r="J20" s="133"/>
      <c r="K20" s="134"/>
      <c r="L20" s="134"/>
      <c r="M20" s="135"/>
      <c r="N20" s="135"/>
      <c r="O20" s="2" t="s">
        <v>70</v>
      </c>
      <c r="P20" s="17" t="str">
        <f t="shared" si="9"/>
        <v>AUD3MM5=</v>
      </c>
      <c r="Q20" s="18">
        <f>'3M Pricing'!G20</f>
        <v>97.38000000005232</v>
      </c>
      <c r="R20" s="18">
        <f t="shared" si="10"/>
        <v>97.38000000005232</v>
      </c>
      <c r="S20" s="18" t="e">
        <f>ABS(_xll.RtGet(SourceAlias,$P20,BID)-Q20)</f>
        <v>#VALUE!</v>
      </c>
      <c r="T20" s="18" t="e">
        <f>ABS(_xll.RtGet(SourceAlias,$P20,ASK)-R20)</f>
        <v>#VALUE!</v>
      </c>
      <c r="U20" s="44" t="s">
        <v>70</v>
      </c>
      <c r="V20" s="108"/>
      <c r="W20" s="108"/>
      <c r="X20" s="108"/>
      <c r="Y20" s="109"/>
      <c r="Z20" s="109"/>
      <c r="AA20" s="2"/>
      <c r="AB20" s="108"/>
      <c r="AC20" s="108"/>
      <c r="AD20" s="108"/>
      <c r="AE20" s="109"/>
      <c r="AF20" s="113"/>
      <c r="AG20" s="44" t="s">
        <v>70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ht="11.25" customHeight="1" x14ac:dyDescent="0.2">
      <c r="A21" s="2" t="b">
        <v>1</v>
      </c>
      <c r="B21" s="126">
        <v>42263</v>
      </c>
      <c r="C21" s="158"/>
      <c r="D21" s="102" t="str">
        <f>_xll.qlIMMcode(B21,Trigger)</f>
        <v>U5</v>
      </c>
      <c r="E21" s="151"/>
      <c r="F21" s="23" t="str">
        <f>IF(Contribute="abcd",IF($F$2&lt;&gt;-1,_xll.RtContribute(SourceAlias,P21,Fields,Q21:R21,"SCOPE:SERVER"),_xll.RtContribute(SourceAlias,"DDS_INSERT_S",$F$2:$H$2,P21:R21,"SCOPE:SERVER FTC:ALL")),"stopped")</f>
        <v>stopped</v>
      </c>
      <c r="G21" s="121"/>
      <c r="H21" s="113"/>
      <c r="I21" s="103" t="s">
        <v>70</v>
      </c>
      <c r="J21" s="133"/>
      <c r="K21" s="134"/>
      <c r="L21" s="134"/>
      <c r="M21" s="135"/>
      <c r="N21" s="135"/>
      <c r="O21" s="2" t="s">
        <v>70</v>
      </c>
      <c r="P21" s="17" t="str">
        <f t="shared" si="9"/>
        <v>AUD3MU5=</v>
      </c>
      <c r="Q21" s="18">
        <f>'3M Pricing'!G21</f>
        <v>97.160000000313616</v>
      </c>
      <c r="R21" s="18">
        <f t="shared" si="10"/>
        <v>97.160000000313616</v>
      </c>
      <c r="S21" s="18" t="e">
        <f>ABS(_xll.RtGet(SourceAlias,$P21,BID)-Q21)</f>
        <v>#VALUE!</v>
      </c>
      <c r="T21" s="18" t="e">
        <f>ABS(_xll.RtGet(SourceAlias,$P21,ASK)-R21)</f>
        <v>#VALUE!</v>
      </c>
      <c r="U21" s="44" t="s">
        <v>70</v>
      </c>
      <c r="V21" s="108"/>
      <c r="W21" s="108"/>
      <c r="X21" s="108"/>
      <c r="Y21" s="109"/>
      <c r="Z21" s="109"/>
      <c r="AA21" s="2"/>
      <c r="AB21" s="108"/>
      <c r="AC21" s="108"/>
      <c r="AD21" s="108"/>
      <c r="AE21" s="109"/>
      <c r="AF21" s="113"/>
      <c r="AG21" s="44" t="s">
        <v>70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ht="11.25" customHeight="1" x14ac:dyDescent="0.2">
      <c r="A22" s="2" t="b">
        <v>1</v>
      </c>
      <c r="B22" s="126">
        <v>42354</v>
      </c>
      <c r="C22" s="159"/>
      <c r="D22" s="153" t="str">
        <f>_xll.qlIMMcode(B22,Trigger)</f>
        <v>Z5</v>
      </c>
      <c r="E22" s="152"/>
      <c r="F22" s="24" t="str">
        <f>IF(Contribute="abcd",IF($F$2&lt;&gt;-1,_xll.RtContribute(SourceAlias,P22,Fields,Q22:R22,"SCOPE:SERVER"),_xll.RtContribute(SourceAlias,"DDS_INSERT_S",$F$2:$H$2,P22:R22,"SCOPE:SERVER FTC:ALL")),"stopped")</f>
        <v>stopped</v>
      </c>
      <c r="G22" s="122"/>
      <c r="H22" s="114"/>
      <c r="I22" s="103" t="s">
        <v>70</v>
      </c>
      <c r="J22" s="136"/>
      <c r="K22" s="137"/>
      <c r="L22" s="137"/>
      <c r="M22" s="142"/>
      <c r="N22" s="142"/>
      <c r="O22" s="2" t="s">
        <v>70</v>
      </c>
      <c r="P22" s="19" t="str">
        <f t="shared" si="9"/>
        <v>AUD3MZ5=</v>
      </c>
      <c r="Q22" s="20">
        <f>'3M Pricing'!G22</f>
        <v>96.87318049962802</v>
      </c>
      <c r="R22" s="20">
        <f t="shared" si="10"/>
        <v>96.87318049962802</v>
      </c>
      <c r="S22" s="20" t="e">
        <f>ABS(_xll.RtGet(SourceAlias,$P22,BID)-Q22)</f>
        <v>#VALUE!</v>
      </c>
      <c r="T22" s="20" t="e">
        <f>ABS(_xll.RtGet(SourceAlias,$P22,ASK)-R22)</f>
        <v>#VALUE!</v>
      </c>
      <c r="U22" s="44" t="s">
        <v>70</v>
      </c>
      <c r="V22" s="110"/>
      <c r="W22" s="110"/>
      <c r="X22" s="110"/>
      <c r="Y22" s="111"/>
      <c r="Z22" s="111"/>
      <c r="AA22" s="2"/>
      <c r="AB22" s="110"/>
      <c r="AC22" s="110"/>
      <c r="AD22" s="110"/>
      <c r="AE22" s="111"/>
      <c r="AF22" s="114"/>
      <c r="AG22" s="44" t="s">
        <v>70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ht="11.25" customHeight="1" x14ac:dyDescent="0.2">
      <c r="A23" s="2"/>
      <c r="B23" s="2"/>
      <c r="C23" s="154" t="s">
        <v>95</v>
      </c>
      <c r="D23" s="22" t="s">
        <v>21</v>
      </c>
      <c r="E23" s="148" t="str">
        <f>IF(Contribute="abcd",IF($F$2&lt;&gt;-1,_xll.RtContribute(SourceAlias,J23,Fields,K23:L23,"SCOPE:SERVER"),_xll.RtContribute(SourceAlias,"DDS_INSERT_S",$F$2:$H$2,J23:L23,"SCOPE:SERVER FTC:ALL")),"stopped")</f>
        <v>stopped</v>
      </c>
      <c r="F23" s="104"/>
      <c r="G23" s="23"/>
      <c r="H23" s="23"/>
      <c r="I23" s="103"/>
      <c r="J23" s="127" t="str">
        <f>Currency&amp;$J$4&amp;D23&amp;"="</f>
        <v>AUD1M3M=</v>
      </c>
      <c r="K23" s="128">
        <f>'1M Pricing'!G23*100</f>
        <v>2.6364305019975118</v>
      </c>
      <c r="L23" s="128">
        <f>K23</f>
        <v>2.6364305019975118</v>
      </c>
      <c r="M23" s="129" t="e">
        <f>ABS(_xll.RtGet(SourceAlias,$J23,BID)-K23)</f>
        <v>#VALUE!</v>
      </c>
      <c r="N23" s="129" t="e">
        <f>ABS(_xll.RtGet(SourceAlias,$J23,ASK)-L23)</f>
        <v>#VALUE!</v>
      </c>
      <c r="O23" s="2"/>
      <c r="P23" s="106"/>
      <c r="Q23" s="106"/>
      <c r="R23" s="106"/>
      <c r="S23" s="107"/>
      <c r="T23" s="107"/>
      <c r="U23" s="44"/>
      <c r="V23" s="15"/>
      <c r="W23" s="16"/>
      <c r="X23" s="16"/>
      <c r="Y23" s="16"/>
      <c r="Z23" s="16"/>
      <c r="AA23" s="2"/>
      <c r="AB23" s="15"/>
      <c r="AC23" s="16"/>
      <c r="AD23" s="16"/>
      <c r="AE23" s="16"/>
      <c r="AF23" s="16"/>
      <c r="AG23" s="4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ht="11.25" customHeight="1" x14ac:dyDescent="0.2">
      <c r="A24" s="2"/>
      <c r="B24" s="2"/>
      <c r="C24" s="155"/>
      <c r="D24" s="23" t="s">
        <v>14</v>
      </c>
      <c r="E24" s="148" t="str">
        <f>IF(Contribute="abcd",IF($F$2&lt;&gt;-1,_xll.RtContribute(SourceAlias,J24,Fields,K24:L24,"SCOPE:SERVER"),_xll.RtContribute(SourceAlias,"DDS_INSERT_S",$F$2:$H$2,J24:L24,"SCOPE:SERVER FTC:ALL")),"stopped")</f>
        <v>stopped</v>
      </c>
      <c r="F24" s="104"/>
      <c r="G24" s="23"/>
      <c r="H24" s="23"/>
      <c r="I24" s="103"/>
      <c r="J24" s="130" t="str">
        <f>Currency&amp;$J$4&amp;D24&amp;"="</f>
        <v>AUD1M6M=</v>
      </c>
      <c r="K24" s="131">
        <f>'1M Pricing'!G24*100</f>
        <v>2.6096525799465846</v>
      </c>
      <c r="L24" s="131">
        <f>K24</f>
        <v>2.6096525799465846</v>
      </c>
      <c r="M24" s="132" t="e">
        <f>ABS(_xll.RtGet(SourceAlias,$J24,BID)-K24)</f>
        <v>#VALUE!</v>
      </c>
      <c r="N24" s="132" t="e">
        <f>ABS(_xll.RtGet(SourceAlias,$J24,ASK)-L24)</f>
        <v>#VALUE!</v>
      </c>
      <c r="O24" s="2"/>
      <c r="P24" s="108"/>
      <c r="Q24" s="108"/>
      <c r="R24" s="108"/>
      <c r="S24" s="109"/>
      <c r="T24" s="109"/>
      <c r="U24" s="44"/>
      <c r="V24" s="17"/>
      <c r="W24" s="18"/>
      <c r="X24" s="18"/>
      <c r="Y24" s="18"/>
      <c r="Z24" s="18"/>
      <c r="AA24" s="2"/>
      <c r="AB24" s="17"/>
      <c r="AC24" s="18"/>
      <c r="AD24" s="18"/>
      <c r="AE24" s="18"/>
      <c r="AF24" s="18"/>
      <c r="AG24" s="4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ht="11.25" customHeight="1" x14ac:dyDescent="0.2">
      <c r="A25" s="2"/>
      <c r="B25" s="2"/>
      <c r="C25" s="155"/>
      <c r="D25" s="23" t="s">
        <v>24</v>
      </c>
      <c r="E25" s="148" t="str">
        <f>IF(Contribute="abcd",IF($F$2&lt;&gt;-1,_xll.RtContribute(SourceAlias,J25,Fields,K25:L25,"SCOPE:SERVER"),_xll.RtContribute(SourceAlias,"DDS_INSERT_S",$F$2:$H$2,J25:L25,"SCOPE:SERVER FTC:ALL")),"stopped")</f>
        <v>stopped</v>
      </c>
      <c r="F25" s="104"/>
      <c r="G25" s="23"/>
      <c r="H25" s="23"/>
      <c r="I25" s="103"/>
      <c r="J25" s="130" t="str">
        <f>Currency&amp;$J$4&amp;D25&amp;"="</f>
        <v>AUD1M9M=</v>
      </c>
      <c r="K25" s="131">
        <f>'1M Pricing'!G25*100</f>
        <v>2.5496296742522269</v>
      </c>
      <c r="L25" s="131">
        <f>K25</f>
        <v>2.5496296742522269</v>
      </c>
      <c r="M25" s="132" t="e">
        <f>ABS(_xll.RtGet(SourceAlias,$J25,BID)-K25)</f>
        <v>#VALUE!</v>
      </c>
      <c r="N25" s="132" t="e">
        <f>ABS(_xll.RtGet(SourceAlias,$J25,ASK)-L25)</f>
        <v>#VALUE!</v>
      </c>
      <c r="O25" s="2"/>
      <c r="P25" s="108"/>
      <c r="Q25" s="108"/>
      <c r="R25" s="108"/>
      <c r="S25" s="109"/>
      <c r="T25" s="109"/>
      <c r="U25" s="44"/>
      <c r="V25" s="17"/>
      <c r="W25" s="18"/>
      <c r="X25" s="18"/>
      <c r="Y25" s="18"/>
      <c r="Z25" s="18"/>
      <c r="AA25" s="2"/>
      <c r="AB25" s="17"/>
      <c r="AC25" s="18"/>
      <c r="AD25" s="18"/>
      <c r="AE25" s="18"/>
      <c r="AF25" s="18"/>
      <c r="AG25" s="4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ht="11.25" customHeight="1" x14ac:dyDescent="0.2">
      <c r="A26" s="2"/>
      <c r="B26" s="2"/>
      <c r="C26" s="155"/>
      <c r="D26" s="23" t="s">
        <v>25</v>
      </c>
      <c r="E26" s="148" t="str">
        <f>IF(Contribute="abcd",IF($F$2&lt;&gt;-1,_xll.RtContribute(SourceAlias,J26,Fields,K26:L26,"SCOPE:SERVER"),_xll.RtContribute(SourceAlias,"DDS_INSERT_S",$F$2:$H$2,J26:L26,"SCOPE:SERVER FTC:ALL")),"stopped")</f>
        <v>stopped</v>
      </c>
      <c r="F26" s="23" t="str">
        <f>IF(Contribute="abcd",IF($F$2&lt;&gt;-1,_xll.RtContribute(SourceAlias,P26,Fields,Q26:R26,"SCOPE:SERVER"),_xll.RtContribute(SourceAlias,"DDS_INSERT_S",$F$2:$H$2,P26:R26,"SCOPE:SERVER FTC:ALL")),"stopped")</f>
        <v>stopped</v>
      </c>
      <c r="G26" s="23" t="str">
        <f>IF(Contribute="abcd",IF($F$2&lt;&gt;-1,_xll.RtContribute(SourceAlias,V26,Fields,W26:X26,"SCOPE:SERVER"),_xll.RtContribute(SourceAlias,"DDS_INSERT_S",$F$2:$H$2,V26:X26,"SCOPE:SERVER FTC:ALL")),"stopped")</f>
        <v>stopped</v>
      </c>
      <c r="H26" s="23" t="str">
        <f>IF(Contribute="abcd",IF($F$2&lt;&gt;-1,_xll.RtContribute(SourceAlias,AB26,Fields,AC26:AD26,"SCOPE:SERVER"),_xll.RtContribute(SourceAlias,"DDS_INSERT_S",$F$2:$H$2,AC26:AD26,"SCOPE:SERVER FTC:ALL")),"stopped")</f>
        <v>stopped</v>
      </c>
      <c r="I26" s="103" t="s">
        <v>70</v>
      </c>
      <c r="J26" s="130" t="str">
        <f>Currency&amp;$J$4&amp;D26&amp;"="</f>
        <v>AUD1M1Y=</v>
      </c>
      <c r="K26" s="131">
        <f>'1M Pricing'!G26*100</f>
        <v>2.618750000001385</v>
      </c>
      <c r="L26" s="131">
        <f>K26</f>
        <v>2.618750000001385</v>
      </c>
      <c r="M26" s="132" t="e">
        <f>ABS(_xll.RtGet(SourceAlias,$J26,BID)-K26)</f>
        <v>#VALUE!</v>
      </c>
      <c r="N26" s="132" t="e">
        <f>ABS(_xll.RtGet(SourceAlias,$J26,ASK)-L26)</f>
        <v>#VALUE!</v>
      </c>
      <c r="O26" s="2" t="s">
        <v>70</v>
      </c>
      <c r="P26" s="17" t="str">
        <f>Currency&amp;$P$4&amp;D26&amp;"="</f>
        <v>AUD3M1Y=</v>
      </c>
      <c r="Q26" s="18">
        <f>'3M Pricing'!G26*100</f>
        <v>2.6749999999358511</v>
      </c>
      <c r="R26" s="18">
        <f>Q26</f>
        <v>2.6749999999358511</v>
      </c>
      <c r="S26" s="18" t="e">
        <f>ABS(_xll.RtGet(SourceAlias,$P26,BID)-Q26)</f>
        <v>#VALUE!</v>
      </c>
      <c r="T26" s="18" t="e">
        <f>ABS(_xll.RtGet(SourceAlias,$P26,ASK)-R26)</f>
        <v>#VALUE!</v>
      </c>
      <c r="U26" s="44" t="s">
        <v>70</v>
      </c>
      <c r="V26" s="17" t="str">
        <f>Currency&amp;$V$4&amp;D26&amp;"="</f>
        <v>AUD6M1Y=</v>
      </c>
      <c r="W26" s="18">
        <f>'6M Pricing'!G26*100</f>
        <v>2.7228379355335459</v>
      </c>
      <c r="X26" s="18">
        <f>W26</f>
        <v>2.7228379355335459</v>
      </c>
      <c r="Y26" s="18" t="e">
        <f>ABS(_xll.RtGet(SourceAlias,$V26,BID)-W26)</f>
        <v>#VALUE!</v>
      </c>
      <c r="Z26" s="18" t="e">
        <f>ABS(_xll.RtGet(SourceAlias,$V26,ASK)-X26)</f>
        <v>#VALUE!</v>
      </c>
      <c r="AA26" s="2"/>
      <c r="AB26" s="17" t="str">
        <f t="shared" ref="AB26:AB41" si="11">Currency&amp;$AB$4&amp;D26&amp;"D"&amp;"="</f>
        <v>AUDON1YD=</v>
      </c>
      <c r="AC26" s="18">
        <f>'ON Pricing'!G26*100</f>
        <v>2.5079999999998712</v>
      </c>
      <c r="AD26" s="18">
        <f t="shared" ref="AD26:AD41" si="12">AC26</f>
        <v>2.5079999999998712</v>
      </c>
      <c r="AE26" s="18" t="e">
        <f>ABS(_xll.RtGet(SourceAlias,$AB26,BID)-AC26)</f>
        <v>#VALUE!</v>
      </c>
      <c r="AF26" s="18" t="e">
        <f>ABS(_xll.RtGet(SourceAlias,$AB26,ASK)-AD26)</f>
        <v>#VALUE!</v>
      </c>
      <c r="AG26" s="44" t="s">
        <v>70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ht="11.25" customHeight="1" x14ac:dyDescent="0.2">
      <c r="A27" s="2"/>
      <c r="B27" s="2"/>
      <c r="C27" s="155"/>
      <c r="D27" s="23" t="s">
        <v>91</v>
      </c>
      <c r="E27" s="148"/>
      <c r="F27" s="23"/>
      <c r="G27" s="23"/>
      <c r="H27" s="23" t="str">
        <f>IF(Contribute="abcd",IF($F$2&lt;&gt;-1,_xll.RtContribute(SourceAlias,AB27,Fields,AC27:AD27,"SCOPE:SERVER"),_xll.RtContribute(SourceAlias,"DDS_INSERT_S",$F$2:$H$2,AC27:AD27,"SCOPE:SERVER FTC:ALL")),"stopped")</f>
        <v>stopped</v>
      </c>
      <c r="I27" s="103" t="s">
        <v>70</v>
      </c>
      <c r="J27" s="130"/>
      <c r="K27" s="131"/>
      <c r="L27" s="131"/>
      <c r="M27" s="132"/>
      <c r="N27" s="132"/>
      <c r="O27" s="2" t="s">
        <v>70</v>
      </c>
      <c r="P27" s="17"/>
      <c r="Q27" s="18"/>
      <c r="R27" s="18"/>
      <c r="S27" s="18"/>
      <c r="T27" s="18"/>
      <c r="U27" s="44" t="s">
        <v>70</v>
      </c>
      <c r="V27" s="17"/>
      <c r="W27" s="18"/>
      <c r="X27" s="18"/>
      <c r="Y27" s="18"/>
      <c r="Z27" s="18"/>
      <c r="AA27" s="2"/>
      <c r="AB27" s="17" t="str">
        <f t="shared" si="11"/>
        <v>AUDON1Y6MD=</v>
      </c>
      <c r="AC27" s="18">
        <f>'ON Pricing'!G27*100</f>
        <v>2.5455005461132574</v>
      </c>
      <c r="AD27" s="18">
        <f t="shared" si="12"/>
        <v>2.5455005461132574</v>
      </c>
      <c r="AE27" s="18" t="e">
        <f>ABS(_xll.RtGet(SourceAlias,$AB27,BID)-AC27)</f>
        <v>#VALUE!</v>
      </c>
      <c r="AF27" s="18" t="e">
        <f>ABS(_xll.RtGet(SourceAlias,$AB27,ASK)-AD27)</f>
        <v>#VALUE!</v>
      </c>
      <c r="AG27" s="44" t="s">
        <v>70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ht="11.25" customHeight="1" x14ac:dyDescent="0.2">
      <c r="A28" s="2"/>
      <c r="B28" s="2"/>
      <c r="C28" s="155"/>
      <c r="D28" s="23" t="s">
        <v>26</v>
      </c>
      <c r="E28" s="148" t="str">
        <f>IF(Contribute="abcd",IF($F$2&lt;&gt;-1,_xll.RtContribute(SourceAlias,J28,Fields,K28:L28,"SCOPE:SERVER"),_xll.RtContribute(SourceAlias,"DDS_INSERT_S",$F$2:$H$2,J28:L28,"SCOPE:SERVER FTC:ALL")),"stopped")</f>
        <v>stopped</v>
      </c>
      <c r="F28" s="23" t="str">
        <f>IF(Contribute="abcd",IF($F$2&lt;&gt;-1,_xll.RtContribute(SourceAlias,P28,Fields,Q28:R28,"SCOPE:SERVER"),_xll.RtContribute(SourceAlias,"DDS_INSERT_S",$F$2:$H$2,P28:R28,"SCOPE:SERVER FTC:ALL")),"stopped")</f>
        <v>stopped</v>
      </c>
      <c r="G28" s="23" t="str">
        <f>IF(Contribute="abcd",IF($F$2&lt;&gt;-1,_xll.RtContribute(SourceAlias,V28,Fields,W28:X28,"SCOPE:SERVER"),_xll.RtContribute(SourceAlias,"DDS_INSERT_S",$F$2:$H$2,V28:X28,"SCOPE:SERVER FTC:ALL")),"stopped")</f>
        <v>stopped</v>
      </c>
      <c r="H28" s="23" t="str">
        <f>IF(Contribute="abcd",IF($F$2&lt;&gt;-1,_xll.RtContribute(SourceAlias,AB28,Fields,AC28:AD28,"SCOPE:SERVER"),_xll.RtContribute(SourceAlias,"DDS_INSERT_S",$F$2:$H$2,AC28:AD28,"SCOPE:SERVER FTC:ALL")),"stopped")</f>
        <v>stopped</v>
      </c>
      <c r="I28" s="103" t="s">
        <v>70</v>
      </c>
      <c r="J28" s="130" t="str">
        <f>Currency&amp;$J$4&amp;D28&amp;"="</f>
        <v>AUD1M2Y=</v>
      </c>
      <c r="K28" s="131">
        <f>'1M Pricing'!G28*100</f>
        <v>2.717500000087123</v>
      </c>
      <c r="L28" s="131">
        <f>K28</f>
        <v>2.717500000087123</v>
      </c>
      <c r="M28" s="132" t="e">
        <f>ABS(_xll.RtGet(SourceAlias,$J28,BID)-K28)</f>
        <v>#VALUE!</v>
      </c>
      <c r="N28" s="132" t="e">
        <f>ABS(_xll.RtGet(SourceAlias,$J28,ASK)-L28)</f>
        <v>#VALUE!</v>
      </c>
      <c r="O28" s="2" t="s">
        <v>70</v>
      </c>
      <c r="P28" s="17" t="str">
        <f>Currency&amp;$P$4&amp;D28&amp;"="</f>
        <v>AUD3M2Y=</v>
      </c>
      <c r="Q28" s="18">
        <f>'3M Pricing'!G28*100</f>
        <v>2.7850000001175679</v>
      </c>
      <c r="R28" s="18">
        <f>Q28</f>
        <v>2.7850000001175679</v>
      </c>
      <c r="S28" s="18" t="e">
        <f>ABS(_xll.RtGet(SourceAlias,$P28,BID)-Q28)</f>
        <v>#VALUE!</v>
      </c>
      <c r="T28" s="18" t="e">
        <f>ABS(_xll.RtGet(SourceAlias,$P28,ASK)-R28)</f>
        <v>#VALUE!</v>
      </c>
      <c r="U28" s="44" t="s">
        <v>70</v>
      </c>
      <c r="V28" s="17" t="str">
        <f>Currency&amp;$V$4&amp;D28&amp;"="</f>
        <v>AUD6M2Y=</v>
      </c>
      <c r="W28" s="18">
        <f>'6M Pricing'!G28*100</f>
        <v>2.8476364660638622</v>
      </c>
      <c r="X28" s="18">
        <f>W28</f>
        <v>2.8476364660638622</v>
      </c>
      <c r="Y28" s="18" t="e">
        <f>ABS(_xll.RtGet(SourceAlias,$V28,BID)-W28)</f>
        <v>#VALUE!</v>
      </c>
      <c r="Z28" s="18" t="e">
        <f>ABS(_xll.RtGet(SourceAlias,$V28,ASK)-X28)</f>
        <v>#VALUE!</v>
      </c>
      <c r="AA28" s="2"/>
      <c r="AB28" s="17" t="str">
        <f t="shared" si="11"/>
        <v>AUDON2YD=</v>
      </c>
      <c r="AC28" s="18">
        <f>'ON Pricing'!G28*100</f>
        <v>2.6199999999999788</v>
      </c>
      <c r="AD28" s="18">
        <f t="shared" si="12"/>
        <v>2.6199999999999788</v>
      </c>
      <c r="AE28" s="18" t="e">
        <f>ABS(_xll.RtGet(SourceAlias,$AB28,BID)-AC28)</f>
        <v>#VALUE!</v>
      </c>
      <c r="AF28" s="18" t="e">
        <f>ABS(_xll.RtGet(SourceAlias,$AB28,ASK)-AD28)</f>
        <v>#VALUE!</v>
      </c>
      <c r="AG28" s="44" t="s">
        <v>70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ht="11.25" customHeight="1" x14ac:dyDescent="0.2">
      <c r="A29" s="2"/>
      <c r="B29" s="2"/>
      <c r="C29" s="155"/>
      <c r="D29" s="23" t="s">
        <v>27</v>
      </c>
      <c r="E29" s="148" t="str">
        <f>IF(Contribute="abcd",IF($F$2&lt;&gt;-1,_xll.RtContribute(SourceAlias,J29,Fields,K29:L29,"SCOPE:SERVER"),_xll.RtContribute(SourceAlias,"DDS_INSERT_S",$F$2:$H$2,J29:L29,"SCOPE:SERVER FTC:ALL")),"stopped")</f>
        <v>stopped</v>
      </c>
      <c r="F29" s="23" t="str">
        <f>IF(Contribute="abcd",IF($F$2&lt;&gt;-1,_xll.RtContribute(SourceAlias,P29,Fields,Q29:R29,"SCOPE:SERVER"),_xll.RtContribute(SourceAlias,"DDS_INSERT_S",$F$2:$H$2,P29:R29,"SCOPE:SERVER FTC:ALL")),"stopped")</f>
        <v>stopped</v>
      </c>
      <c r="G29" s="23" t="str">
        <f>IF(Contribute="abcd",IF($F$2&lt;&gt;-1,_xll.RtContribute(SourceAlias,V29,Fields,W29:X29,"SCOPE:SERVER"),_xll.RtContribute(SourceAlias,"DDS_INSERT_S",$F$2:$H$2,V29:X29,"SCOPE:SERVER FTC:ALL")),"stopped")</f>
        <v>stopped</v>
      </c>
      <c r="H29" s="23" t="str">
        <f>IF(Contribute="abcd",IF($F$2&lt;&gt;-1,_xll.RtContribute(SourceAlias,AB29,Fields,AC29:AD29,"SCOPE:SERVER"),_xll.RtContribute(SourceAlias,"DDS_INSERT_S",$F$2:$H$2,AC29:AD29,"SCOPE:SERVER FTC:ALL")),"stopped")</f>
        <v>stopped</v>
      </c>
      <c r="I29" s="103" t="s">
        <v>70</v>
      </c>
      <c r="J29" s="130" t="str">
        <f>Currency&amp;$J$4&amp;D29&amp;"="</f>
        <v>AUD1M3Y=</v>
      </c>
      <c r="K29" s="131">
        <f>'1M Pricing'!G29*100</f>
        <v>2.8612499999442287</v>
      </c>
      <c r="L29" s="131">
        <f>K29</f>
        <v>2.8612499999442287</v>
      </c>
      <c r="M29" s="132" t="e">
        <f>ABS(_xll.RtGet(SourceAlias,$J29,BID)-K29)</f>
        <v>#VALUE!</v>
      </c>
      <c r="N29" s="132" t="e">
        <f>ABS(_xll.RtGet(SourceAlias,$J29,ASK)-L29)</f>
        <v>#VALUE!</v>
      </c>
      <c r="O29" s="2" t="s">
        <v>70</v>
      </c>
      <c r="P29" s="17" t="str">
        <f>Currency&amp;$P$4&amp;D29&amp;"="</f>
        <v>AUD3M3Y=</v>
      </c>
      <c r="Q29" s="18">
        <f>'3M Pricing'!G29*100</f>
        <v>2.9350000000904215</v>
      </c>
      <c r="R29" s="18">
        <f>Q29</f>
        <v>2.9350000000904215</v>
      </c>
      <c r="S29" s="18" t="e">
        <f>ABS(_xll.RtGet(SourceAlias,$P29,BID)-Q29)</f>
        <v>#VALUE!</v>
      </c>
      <c r="T29" s="18" t="e">
        <f>ABS(_xll.RtGet(SourceAlias,$P29,ASK)-R29)</f>
        <v>#VALUE!</v>
      </c>
      <c r="U29" s="44" t="s">
        <v>70</v>
      </c>
      <c r="V29" s="17" t="str">
        <f>Currency&amp;$V$4&amp;D29&amp;"="</f>
        <v>AUD6M3Y=</v>
      </c>
      <c r="W29" s="18">
        <f>'6M Pricing'!G29*100</f>
        <v>3.0039843636971675</v>
      </c>
      <c r="X29" s="18">
        <f>W29</f>
        <v>3.0039843636971675</v>
      </c>
      <c r="Y29" s="18" t="e">
        <f>ABS(_xll.RtGet(SourceAlias,$V29,BID)-W29)</f>
        <v>#VALUE!</v>
      </c>
      <c r="Z29" s="18" t="e">
        <f>ABS(_xll.RtGet(SourceAlias,$V29,ASK)-X29)</f>
        <v>#VALUE!</v>
      </c>
      <c r="AA29" s="2"/>
      <c r="AB29" s="17" t="str">
        <f t="shared" si="11"/>
        <v>AUDON3YD=</v>
      </c>
      <c r="AC29" s="18">
        <f>'ON Pricing'!G29*100</f>
        <v>2.7749999999999679</v>
      </c>
      <c r="AD29" s="18">
        <f t="shared" si="12"/>
        <v>2.7749999999999679</v>
      </c>
      <c r="AE29" s="18" t="e">
        <f>ABS(_xll.RtGet(SourceAlias,$AB29,BID)-AC29)</f>
        <v>#VALUE!</v>
      </c>
      <c r="AF29" s="18" t="e">
        <f>ABS(_xll.RtGet(SourceAlias,$AB29,ASK)-AD29)</f>
        <v>#VALUE!</v>
      </c>
      <c r="AG29" s="44" t="s">
        <v>70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ht="11.25" customHeight="1" x14ac:dyDescent="0.2">
      <c r="A30" s="2"/>
      <c r="B30" s="2"/>
      <c r="C30" s="155"/>
      <c r="D30" s="23" t="s">
        <v>28</v>
      </c>
      <c r="E30" s="148" t="str">
        <f>IF(Contribute="abcd",IF($F$2&lt;&gt;-1,_xll.RtContribute(SourceAlias,J30,Fields,K30:L30,"SCOPE:SERVER"),_xll.RtContribute(SourceAlias,"DDS_INSERT_S",$F$2:$H$2,J30:L30,"SCOPE:SERVER FTC:ALL")),"stopped")</f>
        <v>stopped</v>
      </c>
      <c r="F30" s="23" t="str">
        <f>IF(Contribute="abcd",IF($F$2&lt;&gt;-1,_xll.RtContribute(SourceAlias,P30,Fields,Q30:R30,"SCOPE:SERVER"),_xll.RtContribute(SourceAlias,"DDS_INSERT_S",$F$2:$H$2,P30:R30,"SCOPE:SERVER FTC:ALL")),"stopped")</f>
        <v>stopped</v>
      </c>
      <c r="G30" s="23" t="str">
        <f>IF(Contribute="abcd",IF($F$2&lt;&gt;-1,_xll.RtContribute(SourceAlias,V30,Fields,W30:X30,"SCOPE:SERVER"),_xll.RtContribute(SourceAlias,"DDS_INSERT_S",$F$2:$H$2,V30:X30,"SCOPE:SERVER FTC:ALL")),"stopped")</f>
        <v>stopped</v>
      </c>
      <c r="H30" s="23" t="str">
        <f>IF(Contribute="abcd",IF($F$2&lt;&gt;-1,_xll.RtContribute(SourceAlias,AB30,Fields,AC30:AD30,"SCOPE:SERVER"),_xll.RtContribute(SourceAlias,"DDS_INSERT_S",$F$2:$H$2,AC30:AD30,"SCOPE:SERVER FTC:ALL")),"stopped")</f>
        <v>stopped</v>
      </c>
      <c r="I30" s="103" t="s">
        <v>70</v>
      </c>
      <c r="J30" s="130" t="str">
        <f>Currency&amp;$J$4&amp;D30&amp;"="</f>
        <v>AUD1M4Y=</v>
      </c>
      <c r="K30" s="131">
        <f>'1M Pricing'!G30*100</f>
        <v>2.9187959349833372</v>
      </c>
      <c r="L30" s="131">
        <f>K30</f>
        <v>2.9187959349833372</v>
      </c>
      <c r="M30" s="132" t="e">
        <f>ABS(_xll.RtGet(SourceAlias,$J30,BID)-K30)</f>
        <v>#VALUE!</v>
      </c>
      <c r="N30" s="132" t="e">
        <f>ABS(_xll.RtGet(SourceAlias,$J30,ASK)-L30)</f>
        <v>#VALUE!</v>
      </c>
      <c r="O30" s="2" t="s">
        <v>70</v>
      </c>
      <c r="P30" s="17" t="str">
        <f>Currency&amp;$P$4&amp;D30&amp;"="</f>
        <v>AUD3M4Y=</v>
      </c>
      <c r="Q30" s="18">
        <f>'3M Pricing'!G30*100</f>
        <v>2.9950459349843173</v>
      </c>
      <c r="R30" s="18">
        <f>Q30</f>
        <v>2.9950459349843173</v>
      </c>
      <c r="S30" s="18" t="e">
        <f>ABS(_xll.RtGet(SourceAlias,$P30,BID)-Q30)</f>
        <v>#VALUE!</v>
      </c>
      <c r="T30" s="18" t="e">
        <f>ABS(_xll.RtGet(SourceAlias,$P30,ASK)-R30)</f>
        <v>#VALUE!</v>
      </c>
      <c r="U30" s="44" t="s">
        <v>70</v>
      </c>
      <c r="V30" s="17" t="str">
        <f>Currency&amp;$V$4&amp;D30&amp;"="</f>
        <v>AUD6M4Y=</v>
      </c>
      <c r="W30" s="18">
        <f>'6M Pricing'!G30*100</f>
        <v>3.0800000000078427</v>
      </c>
      <c r="X30" s="18">
        <f>W30</f>
        <v>3.0800000000078427</v>
      </c>
      <c r="Y30" s="18" t="e">
        <f>ABS(_xll.RtGet(SourceAlias,$V30,BID)-W30)</f>
        <v>#VALUE!</v>
      </c>
      <c r="Z30" s="18" t="e">
        <f>ABS(_xll.RtGet(SourceAlias,$V30,ASK)-X30)</f>
        <v>#VALUE!</v>
      </c>
      <c r="AA30" s="2"/>
      <c r="AB30" s="17" t="str">
        <f t="shared" si="11"/>
        <v>AUDON4YD=</v>
      </c>
      <c r="AC30" s="18">
        <f>'ON Pricing'!G30*100</f>
        <v>2.9199999999999156</v>
      </c>
      <c r="AD30" s="18">
        <f t="shared" si="12"/>
        <v>2.9199999999999156</v>
      </c>
      <c r="AE30" s="18" t="e">
        <f>ABS(_xll.RtGet(SourceAlias,$AB30,BID)-AC30)</f>
        <v>#VALUE!</v>
      </c>
      <c r="AF30" s="18" t="e">
        <f>ABS(_xll.RtGet(SourceAlias,$AB30,ASK)-AD30)</f>
        <v>#VALUE!</v>
      </c>
      <c r="AG30" s="44" t="s">
        <v>70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ht="11.25" customHeight="1" x14ac:dyDescent="0.2">
      <c r="A31" s="2"/>
      <c r="B31" s="2"/>
      <c r="C31" s="155"/>
      <c r="D31" s="23" t="s">
        <v>29</v>
      </c>
      <c r="E31" s="148" t="str">
        <f>IF(Contribute="abcd",IF($F$2&lt;&gt;-1,_xll.RtContribute(SourceAlias,J31,Fields,K31:L31,"SCOPE:SERVER"),_xll.RtContribute(SourceAlias,"DDS_INSERT_S",$F$2:$H$2,J31:L31,"SCOPE:SERVER FTC:ALL")),"stopped")</f>
        <v>stopped</v>
      </c>
      <c r="F31" s="23" t="str">
        <f>IF(Contribute="abcd",IF($F$2&lt;&gt;-1,_xll.RtContribute(SourceAlias,P31,Fields,Q31:R31,"SCOPE:SERVER"),_xll.RtContribute(SourceAlias,"DDS_INSERT_S",$F$2:$H$2,P31:R31,"SCOPE:SERVER FTC:ALL")),"stopped")</f>
        <v>stopped</v>
      </c>
      <c r="G31" s="23" t="str">
        <f>IF(Contribute="abcd",IF($F$2&lt;&gt;-1,_xll.RtContribute(SourceAlias,V31,Fields,W31:X31,"SCOPE:SERVER"),_xll.RtContribute(SourceAlias,"DDS_INSERT_S",$F$2:$H$2,V31:X31,"SCOPE:SERVER FTC:ALL")),"stopped")</f>
        <v>stopped</v>
      </c>
      <c r="H31" s="23" t="str">
        <f>IF(Contribute="abcd",IF($F$2&lt;&gt;-1,_xll.RtContribute(SourceAlias,AB31,Fields,AC31:AD31,"SCOPE:SERVER"),_xll.RtContribute(SourceAlias,"DDS_INSERT_S",$F$2:$H$2,AC31:AD31,"SCOPE:SERVER FTC:ALL")),"stopped")</f>
        <v>stopped</v>
      </c>
      <c r="I31" s="103" t="s">
        <v>70</v>
      </c>
      <c r="J31" s="130" t="str">
        <f>Currency&amp;$J$4&amp;D31&amp;"="</f>
        <v>AUD1M5Y=</v>
      </c>
      <c r="K31" s="131">
        <f>'1M Pricing'!G31*100</f>
        <v>3.0514118368244691</v>
      </c>
      <c r="L31" s="131">
        <f>K31</f>
        <v>3.0514118368244691</v>
      </c>
      <c r="M31" s="132" t="e">
        <f>ABS(_xll.RtGet(SourceAlias,$J31,BID)-K31)</f>
        <v>#VALUE!</v>
      </c>
      <c r="N31" s="132" t="e">
        <f>ABS(_xll.RtGet(SourceAlias,$J31,ASK)-L31)</f>
        <v>#VALUE!</v>
      </c>
      <c r="O31" s="2" t="s">
        <v>70</v>
      </c>
      <c r="P31" s="17" t="str">
        <f>Currency&amp;$P$4&amp;D31&amp;"="</f>
        <v>AUD3M5Y=</v>
      </c>
      <c r="Q31" s="18">
        <f>'3M Pricing'!G31*100</f>
        <v>3.1301618368247701</v>
      </c>
      <c r="R31" s="18">
        <f>Q31</f>
        <v>3.1301618368247701</v>
      </c>
      <c r="S31" s="18" t="e">
        <f>ABS(_xll.RtGet(SourceAlias,$P31,BID)-Q31)</f>
        <v>#VALUE!</v>
      </c>
      <c r="T31" s="18" t="e">
        <f>ABS(_xll.RtGet(SourceAlias,$P31,ASK)-R31)</f>
        <v>#VALUE!</v>
      </c>
      <c r="U31" s="44" t="s">
        <v>70</v>
      </c>
      <c r="V31" s="17" t="str">
        <f>Currency&amp;$V$4&amp;D31&amp;"="</f>
        <v>AUD6M5Y=</v>
      </c>
      <c r="W31" s="18">
        <f>'6M Pricing'!G31*100</f>
        <v>3.2199999999956557</v>
      </c>
      <c r="X31" s="18">
        <f>W31</f>
        <v>3.2199999999956557</v>
      </c>
      <c r="Y31" s="18" t="e">
        <f>ABS(_xll.RtGet(SourceAlias,$V31,BID)-W31)</f>
        <v>#VALUE!</v>
      </c>
      <c r="Z31" s="18" t="e">
        <f>ABS(_xll.RtGet(SourceAlias,$V31,ASK)-X31)</f>
        <v>#VALUE!</v>
      </c>
      <c r="AA31" s="2"/>
      <c r="AB31" s="17" t="str">
        <f t="shared" si="11"/>
        <v>AUDON5YD=</v>
      </c>
      <c r="AC31" s="18">
        <f>'ON Pricing'!G31*100</f>
        <v>3.077999999999899</v>
      </c>
      <c r="AD31" s="18">
        <f t="shared" si="12"/>
        <v>3.077999999999899</v>
      </c>
      <c r="AE31" s="18" t="e">
        <f>ABS(_xll.RtGet(SourceAlias,$AB31,BID)-AC31)</f>
        <v>#VALUE!</v>
      </c>
      <c r="AF31" s="18" t="e">
        <f>ABS(_xll.RtGet(SourceAlias,$AB31,ASK)-AD31)</f>
        <v>#VALUE!</v>
      </c>
      <c r="AG31" s="44" t="s">
        <v>70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11.25" customHeight="1" x14ac:dyDescent="0.2">
      <c r="A32" s="2"/>
      <c r="B32" s="2"/>
      <c r="C32" s="155"/>
      <c r="D32" s="23" t="s">
        <v>30</v>
      </c>
      <c r="E32" s="148"/>
      <c r="F32" s="23"/>
      <c r="G32" s="23"/>
      <c r="H32" s="23" t="str">
        <f>IF(Contribute="abcd",IF($F$2&lt;&gt;-1,_xll.RtContribute(SourceAlias,AB32,Fields,AC32:AD32,"SCOPE:SERVER"),_xll.RtContribute(SourceAlias,"DDS_INSERT_S",$F$2:$H$2,AC32:AD32,"SCOPE:SERVER FTC:ALL")),"stopped")</f>
        <v>stopped</v>
      </c>
      <c r="I32" s="103" t="s">
        <v>70</v>
      </c>
      <c r="J32" s="130"/>
      <c r="K32" s="131"/>
      <c r="L32" s="131"/>
      <c r="M32" s="132"/>
      <c r="N32" s="132"/>
      <c r="O32" s="2" t="s">
        <v>70</v>
      </c>
      <c r="P32" s="17"/>
      <c r="Q32" s="18"/>
      <c r="R32" s="18"/>
      <c r="S32" s="18"/>
      <c r="T32" s="18"/>
      <c r="U32" s="44" t="s">
        <v>70</v>
      </c>
      <c r="V32" s="17"/>
      <c r="W32" s="18"/>
      <c r="X32" s="18"/>
      <c r="Y32" s="18"/>
      <c r="Z32" s="18"/>
      <c r="AA32" s="2"/>
      <c r="AB32" s="17" t="str">
        <f t="shared" si="11"/>
        <v>AUDON6YD=</v>
      </c>
      <c r="AC32" s="18">
        <f>'ON Pricing'!G32*100</f>
        <v>3.2379999999998876</v>
      </c>
      <c r="AD32" s="18">
        <f t="shared" si="12"/>
        <v>3.2379999999998876</v>
      </c>
      <c r="AE32" s="18" t="e">
        <f>ABS(_xll.RtGet(SourceAlias,$AB32,BID)-AC32)</f>
        <v>#VALUE!</v>
      </c>
      <c r="AF32" s="18" t="e">
        <f>ABS(_xll.RtGet(SourceAlias,$AB32,ASK)-AD32)</f>
        <v>#VALUE!</v>
      </c>
      <c r="AG32" s="44" t="s">
        <v>70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ht="11.25" customHeight="1" x14ac:dyDescent="0.2">
      <c r="A33" s="2"/>
      <c r="B33" s="2"/>
      <c r="C33" s="155"/>
      <c r="D33" s="23" t="s">
        <v>31</v>
      </c>
      <c r="E33" s="148" t="str">
        <f>IF(Contribute="abcd",IF($F$2&lt;&gt;-1,_xll.RtContribute(SourceAlias,J33,Fields,K33:L33,"SCOPE:SERVER"),_xll.RtContribute(SourceAlias,"DDS_INSERT_S",$F$2:$H$2,J33:L33,"SCOPE:SERVER FTC:ALL")),"stopped")</f>
        <v>stopped</v>
      </c>
      <c r="F33" s="23" t="str">
        <f>IF(Contribute="abcd",IF($F$2&lt;&gt;-1,_xll.RtContribute(SourceAlias,P33,Fields,Q33:R33,"SCOPE:SERVER"),_xll.RtContribute(SourceAlias,"DDS_INSERT_S",$F$2:$H$2,P33:R33,"SCOPE:SERVER FTC:ALL")),"stopped")</f>
        <v>stopped</v>
      </c>
      <c r="G33" s="23" t="str">
        <f>IF(Contribute="abcd",IF($F$2&lt;&gt;-1,_xll.RtContribute(SourceAlias,V33,Fields,W33:X33,"SCOPE:SERVER"),_xll.RtContribute(SourceAlias,"DDS_INSERT_S",$F$2:$H$2,V33:X33,"SCOPE:SERVER FTC:ALL")),"stopped")</f>
        <v>stopped</v>
      </c>
      <c r="H33" s="23" t="str">
        <f>IF(Contribute="abcd",IF($F$2&lt;&gt;-1,_xll.RtContribute(SourceAlias,AB33,Fields,AC33:AD33,"SCOPE:SERVER"),_xll.RtContribute(SourceAlias,"DDS_INSERT_S",$F$2:$H$2,AC33:AD33,"SCOPE:SERVER FTC:ALL")),"stopped")</f>
        <v>stopped</v>
      </c>
      <c r="I33" s="103" t="s">
        <v>70</v>
      </c>
      <c r="J33" s="130" t="str">
        <f>Currency&amp;$J$4&amp;D33&amp;"="</f>
        <v>AUD1M7Y=</v>
      </c>
      <c r="K33" s="131">
        <f>'1M Pricing'!G33*100</f>
        <v>3.2978472985131679</v>
      </c>
      <c r="L33" s="131">
        <f>K33</f>
        <v>3.2978472985131679</v>
      </c>
      <c r="M33" s="132" t="e">
        <f>ABS(_xll.RtGet(SourceAlias,$J33,BID)-K33)</f>
        <v>#VALUE!</v>
      </c>
      <c r="N33" s="132" t="e">
        <f>ABS(_xll.RtGet(SourceAlias,$J33,ASK)-L33)</f>
        <v>#VALUE!</v>
      </c>
      <c r="O33" s="2" t="s">
        <v>70</v>
      </c>
      <c r="P33" s="17" t="str">
        <f>Currency&amp;$P$4&amp;D33&amp;"="</f>
        <v>AUD3M7Y=</v>
      </c>
      <c r="Q33" s="18">
        <f>'3M Pricing'!G33*100</f>
        <v>3.3803472985034251</v>
      </c>
      <c r="R33" s="18">
        <f>Q33</f>
        <v>3.3803472985034251</v>
      </c>
      <c r="S33" s="18" t="e">
        <f>ABS(_xll.RtGet(SourceAlias,$P33,BID)-Q33)</f>
        <v>#VALUE!</v>
      </c>
      <c r="T33" s="18" t="e">
        <f>ABS(_xll.RtGet(SourceAlias,$P33,ASK)-R33)</f>
        <v>#VALUE!</v>
      </c>
      <c r="U33" s="44" t="s">
        <v>70</v>
      </c>
      <c r="V33" s="17" t="str">
        <f>Currency&amp;$V$4&amp;D33&amp;"="</f>
        <v>AUD6M7Y=</v>
      </c>
      <c r="W33" s="18">
        <f>'6M Pricing'!G33*100</f>
        <v>3.4724999999621398</v>
      </c>
      <c r="X33" s="18">
        <f>W33</f>
        <v>3.4724999999621398</v>
      </c>
      <c r="Y33" s="18" t="e">
        <f>ABS(_xll.RtGet(SourceAlias,$V33,BID)-W33)</f>
        <v>#VALUE!</v>
      </c>
      <c r="Z33" s="18" t="e">
        <f>ABS(_xll.RtGet(SourceAlias,$V33,ASK)-X33)</f>
        <v>#VALUE!</v>
      </c>
      <c r="AA33" s="2"/>
      <c r="AB33" s="17" t="str">
        <f t="shared" si="11"/>
        <v>AUDON7YD=</v>
      </c>
      <c r="AC33" s="18">
        <f>'ON Pricing'!G33*100</f>
        <v>3.3979999999999131</v>
      </c>
      <c r="AD33" s="18">
        <f t="shared" si="12"/>
        <v>3.3979999999999131</v>
      </c>
      <c r="AE33" s="18" t="e">
        <f>ABS(_xll.RtGet(SourceAlias,$AB33,BID)-AC33)</f>
        <v>#VALUE!</v>
      </c>
      <c r="AF33" s="18" t="e">
        <f>ABS(_xll.RtGet(SourceAlias,$AB33,ASK)-AD33)</f>
        <v>#VALUE!</v>
      </c>
      <c r="AG33" s="44" t="s">
        <v>70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ht="11.25" customHeight="1" x14ac:dyDescent="0.2">
      <c r="A34" s="2"/>
      <c r="B34" s="2"/>
      <c r="C34" s="155"/>
      <c r="D34" s="23" t="s">
        <v>32</v>
      </c>
      <c r="E34" s="148"/>
      <c r="F34" s="23"/>
      <c r="G34" s="23"/>
      <c r="H34" s="23" t="str">
        <f>IF(Contribute="abcd",IF($F$2&lt;&gt;-1,_xll.RtContribute(SourceAlias,AB34,Fields,AC34:AD34,"SCOPE:SERVER"),_xll.RtContribute(SourceAlias,"DDS_INSERT_S",$F$2:$H$2,AC34:AD34,"SCOPE:SERVER FTC:ALL")),"stopped")</f>
        <v>stopped</v>
      </c>
      <c r="I34" s="103" t="s">
        <v>70</v>
      </c>
      <c r="J34" s="130"/>
      <c r="K34" s="131"/>
      <c r="L34" s="131"/>
      <c r="M34" s="132"/>
      <c r="N34" s="132"/>
      <c r="O34" s="2" t="s">
        <v>70</v>
      </c>
      <c r="P34" s="17"/>
      <c r="Q34" s="18"/>
      <c r="R34" s="18"/>
      <c r="S34" s="18"/>
      <c r="T34" s="18"/>
      <c r="U34" s="44" t="s">
        <v>70</v>
      </c>
      <c r="V34" s="17"/>
      <c r="W34" s="18"/>
      <c r="X34" s="18"/>
      <c r="Y34" s="18"/>
      <c r="Z34" s="18"/>
      <c r="AA34" s="2"/>
      <c r="AB34" s="17" t="str">
        <f t="shared" si="11"/>
        <v>AUDON8YD=</v>
      </c>
      <c r="AC34" s="18">
        <f>'ON Pricing'!G34*100</f>
        <v>3.5049999999999097</v>
      </c>
      <c r="AD34" s="18">
        <f t="shared" si="12"/>
        <v>3.5049999999999097</v>
      </c>
      <c r="AE34" s="18" t="e">
        <f>ABS(_xll.RtGet(SourceAlias,$AB34,BID)-AC34)</f>
        <v>#VALUE!</v>
      </c>
      <c r="AF34" s="18" t="e">
        <f>ABS(_xll.RtGet(SourceAlias,$AB34,ASK)-AD34)</f>
        <v>#VALUE!</v>
      </c>
      <c r="AG34" s="44" t="s">
        <v>70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ht="11.25" customHeight="1" x14ac:dyDescent="0.2">
      <c r="A35" s="2"/>
      <c r="B35" s="2"/>
      <c r="C35" s="155"/>
      <c r="D35" s="23" t="s">
        <v>33</v>
      </c>
      <c r="E35" s="148"/>
      <c r="F35" s="23"/>
      <c r="G35" s="23"/>
      <c r="H35" s="23" t="str">
        <f>IF(Contribute="abcd",IF($F$2&lt;&gt;-1,_xll.RtContribute(SourceAlias,AB35,Fields,AC35:AD35,"SCOPE:SERVER"),_xll.RtContribute(SourceAlias,"DDS_INSERT_S",$F$2:$H$2,AC35:AD35,"SCOPE:SERVER FTC:ALL")),"stopped")</f>
        <v>stopped</v>
      </c>
      <c r="I35" s="103" t="s">
        <v>70</v>
      </c>
      <c r="J35" s="130"/>
      <c r="K35" s="131"/>
      <c r="L35" s="131"/>
      <c r="M35" s="132"/>
      <c r="N35" s="132"/>
      <c r="O35" s="2" t="s">
        <v>70</v>
      </c>
      <c r="P35" s="17"/>
      <c r="Q35" s="18"/>
      <c r="R35" s="18"/>
      <c r="S35" s="18"/>
      <c r="T35" s="18"/>
      <c r="U35" s="44" t="s">
        <v>70</v>
      </c>
      <c r="V35" s="17"/>
      <c r="W35" s="18"/>
      <c r="X35" s="18"/>
      <c r="Y35" s="18"/>
      <c r="Z35" s="18"/>
      <c r="AA35" s="2"/>
      <c r="AB35" s="17" t="str">
        <f t="shared" si="11"/>
        <v>AUDON9YD=</v>
      </c>
      <c r="AC35" s="18">
        <f>'ON Pricing'!G35*100</f>
        <v>3.6100000000114765</v>
      </c>
      <c r="AD35" s="18">
        <f t="shared" si="12"/>
        <v>3.6100000000114765</v>
      </c>
      <c r="AE35" s="18" t="e">
        <f>ABS(_xll.RtGet(SourceAlias,$AB35,BID)-AC35)</f>
        <v>#VALUE!</v>
      </c>
      <c r="AF35" s="18" t="e">
        <f>ABS(_xll.RtGet(SourceAlias,$AB35,ASK)-AD35)</f>
        <v>#VALUE!</v>
      </c>
      <c r="AG35" s="44" t="s">
        <v>70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">
      <c r="A36" s="2"/>
      <c r="B36" s="2"/>
      <c r="C36" s="155"/>
      <c r="D36" s="23" t="s">
        <v>34</v>
      </c>
      <c r="E36" s="148" t="str">
        <f>IF(Contribute="abcd",IF($F$2&lt;&gt;-1,_xll.RtContribute(SourceAlias,J36,Fields,K36:L36,"SCOPE:SERVER"),_xll.RtContribute(SourceAlias,"DDS_INSERT_S",$F$2:$H$2,J36:L36,"SCOPE:SERVER FTC:ALL")),"stopped")</f>
        <v>stopped</v>
      </c>
      <c r="F36" s="23" t="str">
        <f>IF(Contribute="abcd",IF($F$2&lt;&gt;-1,_xll.RtContribute(SourceAlias,P36,Fields,Q36:R36,"SCOPE:SERVER"),_xll.RtContribute(SourceAlias,"DDS_INSERT_S",$F$2:$H$2,P36:R36,"SCOPE:SERVER FTC:ALL")),"stopped")</f>
        <v>stopped</v>
      </c>
      <c r="G36" s="23" t="str">
        <f>IF(Contribute="abcd",IF($F$2&lt;&gt;-1,_xll.RtContribute(SourceAlias,V36,Fields,W36:X36,"SCOPE:SERVER"),_xll.RtContribute(SourceAlias,"DDS_INSERT_S",$F$2:$H$2,V36:X36,"SCOPE:SERVER FTC:ALL")),"stopped")</f>
        <v>stopped</v>
      </c>
      <c r="H36" s="23" t="str">
        <f>IF(Contribute="abcd",IF($F$2&lt;&gt;-1,_xll.RtContribute(SourceAlias,AB36,Fields,AC36:AD36,"SCOPE:SERVER"),_xll.RtContribute(SourceAlias,"DDS_INSERT_S",$F$2:$H$2,AC36:AD36,"SCOPE:SERVER FTC:ALL")),"stopped")</f>
        <v>stopped</v>
      </c>
      <c r="I36" s="103" t="s">
        <v>70</v>
      </c>
      <c r="J36" s="130" t="str">
        <f t="shared" ref="J36:J41" si="13">Currency&amp;$J$4&amp;D36&amp;"="</f>
        <v>AUD1M10Y=</v>
      </c>
      <c r="K36" s="131">
        <f>'1M Pricing'!G36*100</f>
        <v>3.5565530529426166</v>
      </c>
      <c r="L36" s="131">
        <f t="shared" ref="L36:L41" si="14">K36</f>
        <v>3.5565530529426166</v>
      </c>
      <c r="M36" s="132" t="e">
        <f>ABS(_xll.RtGet(SourceAlias,$J36,BID)-K36)</f>
        <v>#VALUE!</v>
      </c>
      <c r="N36" s="132" t="e">
        <f>ABS(_xll.RtGet(SourceAlias,$J36,ASK)-L36)</f>
        <v>#VALUE!</v>
      </c>
      <c r="O36" s="2" t="s">
        <v>70</v>
      </c>
      <c r="P36" s="17" t="str">
        <f t="shared" ref="P36:P41" si="15">Currency&amp;$P$4&amp;D36&amp;"="</f>
        <v>AUD3M10Y=</v>
      </c>
      <c r="Q36" s="18">
        <f>'3M Pricing'!G36*100</f>
        <v>3.6415530529238795</v>
      </c>
      <c r="R36" s="18">
        <f t="shared" ref="R36:R41" si="16">Q36</f>
        <v>3.6415530529238795</v>
      </c>
      <c r="S36" s="18" t="e">
        <f>ABS(_xll.RtGet(SourceAlias,$P36,BID)-Q36)</f>
        <v>#VALUE!</v>
      </c>
      <c r="T36" s="18" t="e">
        <f>ABS(_xll.RtGet(SourceAlias,$P36,ASK)-R36)</f>
        <v>#VALUE!</v>
      </c>
      <c r="U36" s="44" t="s">
        <v>70</v>
      </c>
      <c r="V36" s="17" t="str">
        <f t="shared" ref="V36:V41" si="17">Currency&amp;$V$4&amp;D36&amp;"="</f>
        <v>AUD6M10Y=</v>
      </c>
      <c r="W36" s="18">
        <f>'6M Pricing'!G36*100</f>
        <v>3.7375000000359737</v>
      </c>
      <c r="X36" s="18">
        <f t="shared" ref="X36:X41" si="18">W36</f>
        <v>3.7375000000359737</v>
      </c>
      <c r="Y36" s="18" t="e">
        <f>ABS(_xll.RtGet(SourceAlias,$V36,BID)-W36)</f>
        <v>#VALUE!</v>
      </c>
      <c r="Z36" s="18" t="e">
        <f>ABS(_xll.RtGet(SourceAlias,$V36,ASK)-X36)</f>
        <v>#VALUE!</v>
      </c>
      <c r="AA36" s="2"/>
      <c r="AB36" s="17" t="str">
        <f t="shared" si="11"/>
        <v>AUDON10YD=</v>
      </c>
      <c r="AC36" s="18">
        <f>'ON Pricing'!G36*100</f>
        <v>3.7180000000087179</v>
      </c>
      <c r="AD36" s="18">
        <f t="shared" si="12"/>
        <v>3.7180000000087179</v>
      </c>
      <c r="AE36" s="18" t="e">
        <f>ABS(_xll.RtGet(SourceAlias,$AB36,BID)-AC36)</f>
        <v>#VALUE!</v>
      </c>
      <c r="AF36" s="18" t="e">
        <f>ABS(_xll.RtGet(SourceAlias,$AB36,ASK)-AD36)</f>
        <v>#VALUE!</v>
      </c>
      <c r="AG36" s="44" t="s">
        <v>70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">
      <c r="A37" s="2"/>
      <c r="B37" s="2"/>
      <c r="C37" s="155"/>
      <c r="D37" s="23" t="s">
        <v>35</v>
      </c>
      <c r="E37" s="148" t="str">
        <f>IF(Contribute="abcd",IF($F$2&lt;&gt;-1,_xll.RtContribute(SourceAlias,J37,Fields,K37:L37,"SCOPE:SERVER"),_xll.RtContribute(SourceAlias,"DDS_INSERT_S",$F$2:$H$2,J37:L37,"SCOPE:SERVER FTC:ALL")),"stopped")</f>
        <v>stopped</v>
      </c>
      <c r="F37" s="23" t="str">
        <f>IF(Contribute="abcd",IF($F$2&lt;&gt;-1,_xll.RtContribute(SourceAlias,P37,Fields,Q37:R37,"SCOPE:SERVER"),_xll.RtContribute(SourceAlias,"DDS_INSERT_S",$F$2:$H$2,P37:R37,"SCOPE:SERVER FTC:ALL")),"stopped")</f>
        <v>stopped</v>
      </c>
      <c r="G37" s="23" t="str">
        <f>IF(Contribute="abcd",IF($F$2&lt;&gt;-1,_xll.RtContribute(SourceAlias,V37,Fields,W37:X37,"SCOPE:SERVER"),_xll.RtContribute(SourceAlias,"DDS_INSERT_S",$F$2:$H$2,V37:X37,"SCOPE:SERVER FTC:ALL")),"stopped")</f>
        <v>stopped</v>
      </c>
      <c r="H37" s="23" t="str">
        <f>IF(Contribute="abcd",IF($F$2&lt;&gt;-1,_xll.RtContribute(SourceAlias,AB37,Fields,AC37:AD37,"SCOPE:SERVER"),_xll.RtContribute(SourceAlias,"DDS_INSERT_S",$F$2:$H$2,AC37:AD37,"SCOPE:SERVER FTC:ALL")),"stopped")</f>
        <v>stopped</v>
      </c>
      <c r="I37" s="103" t="s">
        <v>70</v>
      </c>
      <c r="J37" s="130" t="str">
        <f t="shared" si="13"/>
        <v>AUD1M12Y=</v>
      </c>
      <c r="K37" s="131">
        <f>'1M Pricing'!G37*100</f>
        <v>3.701486281727409</v>
      </c>
      <c r="L37" s="131">
        <f t="shared" si="14"/>
        <v>3.701486281727409</v>
      </c>
      <c r="M37" s="132" t="e">
        <f>ABS(_xll.RtGet(SourceAlias,$J37,BID)-K37)</f>
        <v>#VALUE!</v>
      </c>
      <c r="N37" s="132" t="e">
        <f>ABS(_xll.RtGet(SourceAlias,$J37,ASK)-L37)</f>
        <v>#VALUE!</v>
      </c>
      <c r="O37" s="2" t="s">
        <v>70</v>
      </c>
      <c r="P37" s="17" t="str">
        <f t="shared" si="15"/>
        <v>AUD3M12Y=</v>
      </c>
      <c r="Q37" s="18">
        <f>'3M Pricing'!G37*100</f>
        <v>3.7852362817479115</v>
      </c>
      <c r="R37" s="18">
        <f t="shared" si="16"/>
        <v>3.7852362817479115</v>
      </c>
      <c r="S37" s="18" t="e">
        <f>ABS(_xll.RtGet(SourceAlias,$P37,BID)-Q37)</f>
        <v>#VALUE!</v>
      </c>
      <c r="T37" s="18" t="e">
        <f>ABS(_xll.RtGet(SourceAlias,$P37,ASK)-R37)</f>
        <v>#VALUE!</v>
      </c>
      <c r="U37" s="44" t="s">
        <v>70</v>
      </c>
      <c r="V37" s="17" t="str">
        <f t="shared" si="17"/>
        <v>AUD6M12Y=</v>
      </c>
      <c r="W37" s="18">
        <f>'6M Pricing'!G37*100</f>
        <v>3.8800000000004227</v>
      </c>
      <c r="X37" s="18">
        <f t="shared" si="18"/>
        <v>3.8800000000004227</v>
      </c>
      <c r="Y37" s="18" t="e">
        <f>ABS(_xll.RtGet(SourceAlias,$V37,BID)-W37)</f>
        <v>#VALUE!</v>
      </c>
      <c r="Z37" s="18" t="e">
        <f>ABS(_xll.RtGet(SourceAlias,$V37,ASK)-X37)</f>
        <v>#VALUE!</v>
      </c>
      <c r="AA37" s="2"/>
      <c r="AB37" s="17" t="str">
        <f t="shared" si="11"/>
        <v>AUDON12YD=</v>
      </c>
      <c r="AC37" s="18">
        <f>'ON Pricing'!G37*100</f>
        <v>3.8650000000024423</v>
      </c>
      <c r="AD37" s="18">
        <f t="shared" si="12"/>
        <v>3.8650000000024423</v>
      </c>
      <c r="AE37" s="18" t="e">
        <f>ABS(_xll.RtGet(SourceAlias,$AB37,BID)-AC37)</f>
        <v>#VALUE!</v>
      </c>
      <c r="AF37" s="18" t="e">
        <f>ABS(_xll.RtGet(SourceAlias,$AB37,ASK)-AD37)</f>
        <v>#VALUE!</v>
      </c>
      <c r="AG37" s="44" t="s">
        <v>70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">
      <c r="A38" s="2"/>
      <c r="B38" s="2"/>
      <c r="C38" s="155"/>
      <c r="D38" s="23" t="s">
        <v>36</v>
      </c>
      <c r="E38" s="148" t="str">
        <f>IF(Contribute="abcd",IF($F$2&lt;&gt;-1,_xll.RtContribute(SourceAlias,J38,Fields,K38:L38,"SCOPE:SERVER"),_xll.RtContribute(SourceAlias,"DDS_INSERT_S",$F$2:$H$2,J38:L38,"SCOPE:SERVER FTC:ALL")),"stopped")</f>
        <v>stopped</v>
      </c>
      <c r="F38" s="23" t="str">
        <f>IF(Contribute="abcd",IF($F$2&lt;&gt;-1,_xll.RtContribute(SourceAlias,P38,Fields,Q38:R38,"SCOPE:SERVER"),_xll.RtContribute(SourceAlias,"DDS_INSERT_S",$F$2:$H$2,P38:R38,"SCOPE:SERVER FTC:ALL")),"stopped")</f>
        <v>stopped</v>
      </c>
      <c r="G38" s="23" t="str">
        <f>IF(Contribute="abcd",IF($F$2&lt;&gt;-1,_xll.RtContribute(SourceAlias,V38,Fields,W38:X38,"SCOPE:SERVER"),_xll.RtContribute(SourceAlias,"DDS_INSERT_S",$F$2:$H$2,V38:X38,"SCOPE:SERVER FTC:ALL")),"stopped")</f>
        <v>stopped</v>
      </c>
      <c r="H38" s="23" t="str">
        <f>IF(Contribute="abcd",IF($F$2&lt;&gt;-1,_xll.RtContribute(SourceAlias,AB38,Fields,AC38:AD38,"SCOPE:SERVER"),_xll.RtContribute(SourceAlias,"DDS_INSERT_S",$F$2:$H$2,AC38:AD38,"SCOPE:SERVER FTC:ALL")),"stopped")</f>
        <v>stopped</v>
      </c>
      <c r="I38" s="103" t="s">
        <v>70</v>
      </c>
      <c r="J38" s="130" t="str">
        <f t="shared" si="13"/>
        <v>AUD1M15Y=</v>
      </c>
      <c r="K38" s="131">
        <f>'1M Pricing'!G38*100</f>
        <v>3.8538553346458184</v>
      </c>
      <c r="L38" s="131">
        <f t="shared" si="14"/>
        <v>3.8538553346458184</v>
      </c>
      <c r="M38" s="132" t="e">
        <f>ABS(_xll.RtGet(SourceAlias,$J38,BID)-K38)</f>
        <v>#VALUE!</v>
      </c>
      <c r="N38" s="132" t="e">
        <f>ABS(_xll.RtGet(SourceAlias,$J38,ASK)-L38)</f>
        <v>#VALUE!</v>
      </c>
      <c r="O38" s="2" t="s">
        <v>70</v>
      </c>
      <c r="P38" s="17" t="str">
        <f t="shared" si="15"/>
        <v>AUD3M15Y=</v>
      </c>
      <c r="Q38" s="18">
        <f>'3M Pricing'!G38*100</f>
        <v>3.9388553346460133</v>
      </c>
      <c r="R38" s="18">
        <f t="shared" si="16"/>
        <v>3.9388553346460133</v>
      </c>
      <c r="S38" s="18" t="e">
        <f>ABS(_xll.RtGet(SourceAlias,$P38,BID)-Q38)</f>
        <v>#VALUE!</v>
      </c>
      <c r="T38" s="18" t="e">
        <f>ABS(_xll.RtGet(SourceAlias,$P38,ASK)-R38)</f>
        <v>#VALUE!</v>
      </c>
      <c r="U38" s="44" t="s">
        <v>70</v>
      </c>
      <c r="V38" s="17" t="str">
        <f t="shared" si="17"/>
        <v>AUD6M15Y=</v>
      </c>
      <c r="W38" s="18">
        <f>'6M Pricing'!G38*100</f>
        <v>4.0274999999998533</v>
      </c>
      <c r="X38" s="18">
        <f t="shared" si="18"/>
        <v>4.0274999999998533</v>
      </c>
      <c r="Y38" s="18" t="e">
        <f>ABS(_xll.RtGet(SourceAlias,$V38,BID)-W38)</f>
        <v>#VALUE!</v>
      </c>
      <c r="Z38" s="18" t="e">
        <f>ABS(_xll.RtGet(SourceAlias,$V38,ASK)-X38)</f>
        <v>#VALUE!</v>
      </c>
      <c r="AA38" s="2"/>
      <c r="AB38" s="17" t="str">
        <f t="shared" si="11"/>
        <v>AUDON15YD=</v>
      </c>
      <c r="AC38" s="18">
        <f>'ON Pricing'!G38*100</f>
        <v>4.0079999999994866</v>
      </c>
      <c r="AD38" s="18">
        <f t="shared" si="12"/>
        <v>4.0079999999994866</v>
      </c>
      <c r="AE38" s="18" t="e">
        <f>ABS(_xll.RtGet(SourceAlias,$AB38,BID)-AC38)</f>
        <v>#VALUE!</v>
      </c>
      <c r="AF38" s="18" t="e">
        <f>ABS(_xll.RtGet(SourceAlias,$AB38,ASK)-AD38)</f>
        <v>#VALUE!</v>
      </c>
      <c r="AG38" s="44" t="s">
        <v>70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">
      <c r="A39" s="2"/>
      <c r="B39" s="2"/>
      <c r="C39" s="155"/>
      <c r="D39" s="23" t="s">
        <v>37</v>
      </c>
      <c r="E39" s="148" t="str">
        <f>IF(Contribute="abcd",IF($F$2&lt;&gt;-1,_xll.RtContribute(SourceAlias,J39,Fields,K39:L39,"SCOPE:SERVER"),_xll.RtContribute(SourceAlias,"DDS_INSERT_S",$F$2:$H$2,J39:L39,"SCOPE:SERVER FTC:ALL")),"stopped")</f>
        <v>stopped</v>
      </c>
      <c r="F39" s="23" t="str">
        <f>IF(Contribute="abcd",IF($F$2&lt;&gt;-1,_xll.RtContribute(SourceAlias,P39,Fields,Q39:R39,"SCOPE:SERVER"),_xll.RtContribute(SourceAlias,"DDS_INSERT_S",$F$2:$H$2,P39:R39,"SCOPE:SERVER FTC:ALL")),"stopped")</f>
        <v>stopped</v>
      </c>
      <c r="G39" s="23" t="str">
        <f>IF(Contribute="abcd",IF($F$2&lt;&gt;-1,_xll.RtContribute(SourceAlias,V39,Fields,W39:X39,"SCOPE:SERVER"),_xll.RtContribute(SourceAlias,"DDS_INSERT_S",$F$2:$H$2,V39:X39,"SCOPE:SERVER FTC:ALL")),"stopped")</f>
        <v>stopped</v>
      </c>
      <c r="H39" s="23" t="str">
        <f>IF(Contribute="abcd",IF($F$2&lt;&gt;-1,_xll.RtContribute(SourceAlias,AB39,Fields,AC39:AD39,"SCOPE:SERVER"),_xll.RtContribute(SourceAlias,"DDS_INSERT_S",$F$2:$H$2,AC39:AD39,"SCOPE:SERVER FTC:ALL")),"stopped")</f>
        <v>stopped</v>
      </c>
      <c r="I39" s="103" t="s">
        <v>70</v>
      </c>
      <c r="J39" s="130" t="str">
        <f t="shared" si="13"/>
        <v>AUD1M20Y=</v>
      </c>
      <c r="K39" s="131">
        <f>'1M Pricing'!G39*100</f>
        <v>4.0274682082972149</v>
      </c>
      <c r="L39" s="131">
        <f t="shared" si="14"/>
        <v>4.0274682082972149</v>
      </c>
      <c r="M39" s="132" t="e">
        <f>ABS(_xll.RtGet(SourceAlias,$J39,BID)-K39)</f>
        <v>#VALUE!</v>
      </c>
      <c r="N39" s="132" t="e">
        <f>ABS(_xll.RtGet(SourceAlias,$J39,ASK)-L39)</f>
        <v>#VALUE!</v>
      </c>
      <c r="O39" s="2" t="s">
        <v>70</v>
      </c>
      <c r="P39" s="17" t="str">
        <f t="shared" si="15"/>
        <v>AUD3M20Y=</v>
      </c>
      <c r="Q39" s="18">
        <f>'3M Pricing'!G39*100</f>
        <v>4.1024682082942432</v>
      </c>
      <c r="R39" s="18">
        <f t="shared" si="16"/>
        <v>4.1024682082942432</v>
      </c>
      <c r="S39" s="18" t="e">
        <f>ABS(_xll.RtGet(SourceAlias,$P39,BID)-Q39)</f>
        <v>#VALUE!</v>
      </c>
      <c r="T39" s="18" t="e">
        <f>ABS(_xll.RtGet(SourceAlias,$P39,ASK)-R39)</f>
        <v>#VALUE!</v>
      </c>
      <c r="U39" s="44" t="s">
        <v>70</v>
      </c>
      <c r="V39" s="17" t="str">
        <f t="shared" si="17"/>
        <v>AUD6M20Y=</v>
      </c>
      <c r="W39" s="18">
        <f>'6M Pricing'!G39*100</f>
        <v>4.1800000000050677</v>
      </c>
      <c r="X39" s="18">
        <f t="shared" si="18"/>
        <v>4.1800000000050677</v>
      </c>
      <c r="Y39" s="18" t="e">
        <f>ABS(_xll.RtGet(SourceAlias,$V39,BID)-W39)</f>
        <v>#VALUE!</v>
      </c>
      <c r="Z39" s="18" t="e">
        <f>ABS(_xll.RtGet(SourceAlias,$V39,ASK)-X39)</f>
        <v>#VALUE!</v>
      </c>
      <c r="AA39" s="2"/>
      <c r="AB39" s="17" t="str">
        <f t="shared" si="11"/>
        <v>AUDON20YD=</v>
      </c>
      <c r="AC39" s="18">
        <f>'ON Pricing'!G39*100</f>
        <v>4.1379999999959463</v>
      </c>
      <c r="AD39" s="18">
        <f t="shared" si="12"/>
        <v>4.1379999999959463</v>
      </c>
      <c r="AE39" s="18" t="e">
        <f>ABS(_xll.RtGet(SourceAlias,$AB39,BID)-AC39)</f>
        <v>#VALUE!</v>
      </c>
      <c r="AF39" s="18" t="e">
        <f>ABS(_xll.RtGet(SourceAlias,$AB39,ASK)-AD39)</f>
        <v>#VALUE!</v>
      </c>
      <c r="AG39" s="44" t="s">
        <v>70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">
      <c r="A40" s="2"/>
      <c r="B40" s="2"/>
      <c r="C40" s="155"/>
      <c r="D40" s="23" t="s">
        <v>38</v>
      </c>
      <c r="E40" s="148" t="str">
        <f>IF(Contribute="abcd",IF($F$2&lt;&gt;-1,_xll.RtContribute(SourceAlias,J40,Fields,K40:L40,"SCOPE:SERVER"),_xll.RtContribute(SourceAlias,"DDS_INSERT_S",$F$2:$H$2,J40:L40,"SCOPE:SERVER FTC:ALL")),"stopped")</f>
        <v>stopped</v>
      </c>
      <c r="F40" s="23" t="str">
        <f>IF(Contribute="abcd",IF($F$2&lt;&gt;-1,_xll.RtContribute(SourceAlias,P40,Fields,Q40:R40,"SCOPE:SERVER"),_xll.RtContribute(SourceAlias,"DDS_INSERT_S",$F$2:$H$2,P40:R40,"SCOPE:SERVER FTC:ALL")),"stopped")</f>
        <v>stopped</v>
      </c>
      <c r="G40" s="23" t="str">
        <f>IF(Contribute="abcd",IF($F$2&lt;&gt;-1,_xll.RtContribute(SourceAlias,V40,Fields,W40:X40,"SCOPE:SERVER"),_xll.RtContribute(SourceAlias,"DDS_INSERT_S",$F$2:$H$2,V40:X40,"SCOPE:SERVER FTC:ALL")),"stopped")</f>
        <v>stopped</v>
      </c>
      <c r="H40" s="23" t="str">
        <f>IF(Contribute="abcd",IF($F$2&lt;&gt;-1,_xll.RtContribute(SourceAlias,AB40,Fields,AC40:AD40,"SCOPE:SERVER"),_xll.RtContribute(SourceAlias,"DDS_INSERT_S",$F$2:$H$2,AC40:AD40,"SCOPE:SERVER FTC:ALL")),"stopped")</f>
        <v>stopped</v>
      </c>
      <c r="I40" s="103" t="s">
        <v>70</v>
      </c>
      <c r="J40" s="130" t="str">
        <f t="shared" si="13"/>
        <v>AUD1M25Y=</v>
      </c>
      <c r="K40" s="131">
        <f>'1M Pricing'!G40*100</f>
        <v>4.1019336364557528</v>
      </c>
      <c r="L40" s="131">
        <f t="shared" si="14"/>
        <v>4.1019336364557528</v>
      </c>
      <c r="M40" s="132" t="e">
        <f>ABS(_xll.RtGet(SourceAlias,$J40,BID)-K40)</f>
        <v>#VALUE!</v>
      </c>
      <c r="N40" s="132" t="e">
        <f>ABS(_xll.RtGet(SourceAlias,$J40,ASK)-L40)</f>
        <v>#VALUE!</v>
      </c>
      <c r="O40" s="2" t="s">
        <v>70</v>
      </c>
      <c r="P40" s="17" t="str">
        <f t="shared" si="15"/>
        <v>AUD3M25Y=</v>
      </c>
      <c r="Q40" s="18">
        <f>'3M Pricing'!G40*100</f>
        <v>4.1656836364547543</v>
      </c>
      <c r="R40" s="18">
        <f t="shared" si="16"/>
        <v>4.1656836364547543</v>
      </c>
      <c r="S40" s="18" t="e">
        <f>ABS(_xll.RtGet(SourceAlias,$P40,BID)-Q40)</f>
        <v>#VALUE!</v>
      </c>
      <c r="T40" s="18" t="e">
        <f>ABS(_xll.RtGet(SourceAlias,$P40,ASK)-R40)</f>
        <v>#VALUE!</v>
      </c>
      <c r="U40" s="44" t="s">
        <v>70</v>
      </c>
      <c r="V40" s="17" t="str">
        <f t="shared" si="17"/>
        <v>AUD6M25Y=</v>
      </c>
      <c r="W40" s="18">
        <f>'6M Pricing'!G40*100</f>
        <v>4.2325000000026884</v>
      </c>
      <c r="X40" s="18">
        <f t="shared" si="18"/>
        <v>4.2325000000026884</v>
      </c>
      <c r="Y40" s="18" t="e">
        <f>ABS(_xll.RtGet(SourceAlias,$V40,BID)-W40)</f>
        <v>#VALUE!</v>
      </c>
      <c r="Z40" s="18" t="e">
        <f>ABS(_xll.RtGet(SourceAlias,$V40,ASK)-X40)</f>
        <v>#VALUE!</v>
      </c>
      <c r="AA40" s="2"/>
      <c r="AB40" s="17" t="str">
        <f t="shared" si="11"/>
        <v>AUDON25YD=</v>
      </c>
      <c r="AC40" s="18">
        <f>'ON Pricing'!G40*100</f>
        <v>4.1929999999997563</v>
      </c>
      <c r="AD40" s="18">
        <f t="shared" si="12"/>
        <v>4.1929999999997563</v>
      </c>
      <c r="AE40" s="18" t="e">
        <f>ABS(_xll.RtGet(SourceAlias,$AB40,BID)-AC40)</f>
        <v>#VALUE!</v>
      </c>
      <c r="AF40" s="18" t="e">
        <f>ABS(_xll.RtGet(SourceAlias,$AB40,ASK)-AD40)</f>
        <v>#VALUE!</v>
      </c>
      <c r="AG40" s="44" t="s">
        <v>70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">
      <c r="A41" s="2"/>
      <c r="B41" s="2"/>
      <c r="C41" s="156"/>
      <c r="D41" s="24" t="s">
        <v>39</v>
      </c>
      <c r="E41" s="149" t="str">
        <f>IF(Contribute="abcd",IF($F$2&lt;&gt;-1,_xll.RtContribute(SourceAlias,J41,Fields,K41:L41,"SCOPE:SERVER"),_xll.RtContribute(SourceAlias,"DDS_INSERT_S",$F$2:$H$2,J41:L41,"SCOPE:SERVER FTC:ALL")),"stopped")</f>
        <v>stopped</v>
      </c>
      <c r="F41" s="24" t="str">
        <f>IF(Contribute="abcd",IF($F$2&lt;&gt;-1,_xll.RtContribute(SourceAlias,P41,Fields,Q41:R41,"SCOPE:SERVER"),_xll.RtContribute(SourceAlias,"DDS_INSERT_S",$F$2:$H$2,P41:R41,"SCOPE:SERVER FTC:ALL")),"stopped")</f>
        <v>stopped</v>
      </c>
      <c r="G41" s="24" t="str">
        <f>IF(Contribute="abcd",IF($F$2&lt;&gt;-1,_xll.RtContribute(SourceAlias,V41,Fields,W41:X41,"SCOPE:SERVER"),_xll.RtContribute(SourceAlias,"DDS_INSERT_S",$F$2:$H$2,V41:X41,"SCOPE:SERVER FTC:ALL")),"stopped")</f>
        <v>stopped</v>
      </c>
      <c r="H41" s="24" t="str">
        <f>IF(Contribute="abcd",IF($F$2&lt;&gt;-1,_xll.RtContribute(SourceAlias,AB41,Fields,AC41:AD41,"SCOPE:SERVER"),_xll.RtContribute(SourceAlias,"DDS_INSERT_S",$F$2:$H$2,AC41:AD41,"SCOPE:SERVER FTC:ALL")),"stopped")</f>
        <v>stopped</v>
      </c>
      <c r="I41" s="103" t="s">
        <v>70</v>
      </c>
      <c r="J41" s="143" t="str">
        <f t="shared" si="13"/>
        <v>AUD1M30Y=</v>
      </c>
      <c r="K41" s="144">
        <f>'1M Pricing'!G41*100</f>
        <v>4.1329751402735164</v>
      </c>
      <c r="L41" s="144">
        <f t="shared" si="14"/>
        <v>4.1329751402735164</v>
      </c>
      <c r="M41" s="145" t="e">
        <f>ABS(_xll.RtGet(SourceAlias,$J41,BID)-K41)</f>
        <v>#VALUE!</v>
      </c>
      <c r="N41" s="145" t="e">
        <f>ABS(_xll.RtGet(SourceAlias,$J41,ASK)-L41)</f>
        <v>#VALUE!</v>
      </c>
      <c r="O41" s="2" t="s">
        <v>70</v>
      </c>
      <c r="P41" s="19" t="str">
        <f t="shared" si="15"/>
        <v>AUD3M30Y=</v>
      </c>
      <c r="Q41" s="20">
        <f>'3M Pricing'!G41*100</f>
        <v>4.1942251402771165</v>
      </c>
      <c r="R41" s="20">
        <f t="shared" si="16"/>
        <v>4.1942251402771165</v>
      </c>
      <c r="S41" s="20" t="e">
        <f>ABS(_xll.RtGet(SourceAlias,$P41,BID)-Q41)</f>
        <v>#VALUE!</v>
      </c>
      <c r="T41" s="20" t="e">
        <f>ABS(_xll.RtGet(SourceAlias,$P41,ASK)-R41)</f>
        <v>#VALUE!</v>
      </c>
      <c r="U41" s="44" t="s">
        <v>70</v>
      </c>
      <c r="V41" s="19" t="str">
        <f t="shared" si="17"/>
        <v>AUD6M30Y=</v>
      </c>
      <c r="W41" s="20">
        <f>'6M Pricing'!G41*100</f>
        <v>4.2524999999991966</v>
      </c>
      <c r="X41" s="20">
        <f t="shared" si="18"/>
        <v>4.2524999999991966</v>
      </c>
      <c r="Y41" s="20" t="e">
        <f>ABS(_xll.RtGet(SourceAlias,$V41,BID)-W41)</f>
        <v>#VALUE!</v>
      </c>
      <c r="Z41" s="20" t="e">
        <f>ABS(_xll.RtGet(SourceAlias,$V41,ASK)-X41)</f>
        <v>#VALUE!</v>
      </c>
      <c r="AA41" s="2"/>
      <c r="AB41" s="19" t="str">
        <f t="shared" si="11"/>
        <v>AUDON30YD=</v>
      </c>
      <c r="AC41" s="20">
        <f>'ON Pricing'!G41*100</f>
        <v>4.2149999999993089</v>
      </c>
      <c r="AD41" s="20">
        <f t="shared" si="12"/>
        <v>4.2149999999993089</v>
      </c>
      <c r="AE41" s="20" t="e">
        <f>ABS(_xll.RtGet(SourceAlias,$AB41,BID)-AC41)</f>
        <v>#VALUE!</v>
      </c>
      <c r="AF41" s="20" t="e">
        <f>ABS(_xll.RtGet(SourceAlias,$AB41,ASK)-AD41)</f>
        <v>#VALUE!</v>
      </c>
      <c r="AG41" s="44" t="s">
        <v>70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2"/>
      <c r="Q42" s="2"/>
      <c r="R42" s="2"/>
      <c r="S42" s="2"/>
      <c r="T42" s="3"/>
      <c r="U42" s="3"/>
      <c r="V42" s="2"/>
      <c r="W42" s="2"/>
      <c r="X42" s="2"/>
      <c r="Y42" s="2"/>
      <c r="Z42" s="3"/>
      <c r="AA42" s="3"/>
      <c r="AB42" s="86"/>
      <c r="AC42" s="2"/>
      <c r="AD42" s="2"/>
      <c r="AE42" s="2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2"/>
      <c r="Q43" s="2"/>
      <c r="R43" s="2"/>
      <c r="S43" s="2"/>
      <c r="T43" s="3"/>
      <c r="U43" s="3"/>
      <c r="V43" s="2"/>
      <c r="W43" s="2"/>
      <c r="X43" s="2"/>
      <c r="Y43" s="2"/>
      <c r="Z43" s="3"/>
      <c r="AA43" s="3"/>
      <c r="AB43" s="86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2"/>
      <c r="Q44" s="2"/>
      <c r="R44" s="2"/>
      <c r="S44" s="2"/>
      <c r="T44" s="3"/>
      <c r="U44" s="3"/>
      <c r="V44" s="2"/>
      <c r="W44" s="2"/>
      <c r="X44" s="2"/>
      <c r="Y44" s="2"/>
      <c r="Z44" s="3"/>
      <c r="AA44" s="3"/>
      <c r="AB44" s="86"/>
      <c r="AC44" s="2"/>
      <c r="AD44" s="2"/>
      <c r="AE44" s="2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2"/>
      <c r="Q45" s="2"/>
      <c r="R45" s="2"/>
      <c r="S45" s="2"/>
      <c r="T45" s="3"/>
      <c r="U45" s="3"/>
      <c r="V45" s="2"/>
      <c r="W45" s="2"/>
      <c r="X45" s="2"/>
      <c r="Y45" s="2"/>
      <c r="Z45" s="3"/>
      <c r="AA45" s="3"/>
      <c r="AB45" s="86"/>
      <c r="AC45" s="2"/>
      <c r="AD45" s="2"/>
      <c r="AE45" s="2"/>
      <c r="AF45" s="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2"/>
      <c r="Q46" s="2"/>
      <c r="R46" s="2"/>
      <c r="S46" s="2"/>
      <c r="T46" s="3"/>
      <c r="U46" s="3"/>
      <c r="V46" s="2"/>
      <c r="W46" s="2"/>
      <c r="X46" s="2"/>
      <c r="Y46" s="2"/>
      <c r="Z46" s="3"/>
      <c r="AA46" s="3"/>
      <c r="AB46" s="86"/>
      <c r="AC46" s="2"/>
      <c r="AD46" s="2"/>
      <c r="AE46" s="2"/>
      <c r="AF46" s="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2"/>
      <c r="Q47" s="2"/>
      <c r="R47" s="2"/>
      <c r="S47" s="2"/>
      <c r="T47" s="3"/>
      <c r="U47" s="3"/>
      <c r="V47" s="2"/>
      <c r="W47" s="2"/>
      <c r="X47" s="2"/>
      <c r="Y47" s="2"/>
      <c r="Z47" s="3"/>
      <c r="AA47" s="3"/>
      <c r="AB47" s="86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2"/>
      <c r="Q48" s="2"/>
      <c r="R48" s="2"/>
      <c r="S48" s="2"/>
      <c r="T48" s="3"/>
      <c r="U48" s="3"/>
      <c r="V48" s="2"/>
      <c r="W48" s="2"/>
      <c r="X48" s="2"/>
      <c r="Y48" s="2"/>
      <c r="Z48" s="3"/>
      <c r="AA48" s="3"/>
      <c r="AB48" s="86"/>
      <c r="AC48" s="2"/>
      <c r="AD48" s="2"/>
      <c r="AE48" s="2"/>
      <c r="AF48" s="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2"/>
      <c r="Q49" s="2"/>
      <c r="R49" s="2"/>
      <c r="S49" s="2"/>
      <c r="T49" s="3"/>
      <c r="U49" s="3"/>
      <c r="V49" s="2"/>
      <c r="W49" s="2"/>
      <c r="X49" s="2"/>
      <c r="Y49" s="2"/>
      <c r="Z49" s="3"/>
      <c r="AA49" s="3"/>
      <c r="AB49" s="86"/>
      <c r="AC49" s="2"/>
      <c r="AD49" s="2"/>
      <c r="AE49" s="2"/>
      <c r="AF49" s="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2"/>
      <c r="Q50" s="2"/>
      <c r="R50" s="2"/>
      <c r="S50" s="2"/>
      <c r="T50" s="3"/>
      <c r="U50" s="3"/>
      <c r="V50" s="2"/>
      <c r="W50" s="2"/>
      <c r="X50" s="2"/>
      <c r="Y50" s="2"/>
      <c r="Z50" s="3"/>
      <c r="AA50" s="3"/>
      <c r="AB50" s="86"/>
      <c r="AC50" s="2"/>
      <c r="AD50" s="2"/>
      <c r="AE50" s="2"/>
      <c r="AF50" s="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2"/>
      <c r="Q51" s="2"/>
      <c r="R51" s="2"/>
      <c r="S51" s="2"/>
      <c r="T51" s="3"/>
      <c r="U51" s="3"/>
      <c r="V51" s="2"/>
      <c r="W51" s="2"/>
      <c r="X51" s="2"/>
      <c r="Y51" s="2"/>
      <c r="Z51" s="3"/>
      <c r="AA51" s="3"/>
      <c r="AB51" s="86"/>
      <c r="AC51" s="2"/>
      <c r="AD51" s="2"/>
      <c r="AE51" s="2"/>
      <c r="AF51" s="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2"/>
      <c r="Q52" s="2"/>
      <c r="R52" s="2"/>
      <c r="S52" s="2"/>
      <c r="T52" s="3"/>
      <c r="U52" s="3"/>
      <c r="V52" s="2"/>
      <c r="W52" s="2"/>
      <c r="X52" s="2"/>
      <c r="Y52" s="2"/>
      <c r="Z52" s="3"/>
      <c r="AA52" s="3"/>
      <c r="AB52" s="2"/>
      <c r="AC52" s="2"/>
      <c r="AD52" s="2"/>
      <c r="AE52" s="2"/>
      <c r="AF52" s="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2"/>
      <c r="Q53" s="2"/>
      <c r="R53" s="2"/>
      <c r="S53" s="2"/>
      <c r="T53" s="3"/>
      <c r="U53" s="3"/>
      <c r="V53" s="2"/>
      <c r="W53" s="2"/>
      <c r="X53" s="2"/>
      <c r="Y53" s="2"/>
      <c r="Z53" s="3"/>
      <c r="AA53" s="3"/>
      <c r="AB53" s="2"/>
      <c r="AC53" s="2"/>
      <c r="AD53" s="2"/>
      <c r="AE53" s="2"/>
      <c r="AF53" s="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2"/>
      <c r="Q54" s="2"/>
      <c r="R54" s="2"/>
      <c r="S54" s="2"/>
      <c r="T54" s="3"/>
      <c r="U54" s="3"/>
      <c r="V54" s="2"/>
      <c r="W54" s="2"/>
      <c r="X54" s="2"/>
      <c r="Y54" s="2"/>
      <c r="Z54" s="3"/>
      <c r="AA54" s="3"/>
      <c r="AB54" s="2"/>
      <c r="AC54" s="2"/>
      <c r="AD54" s="2"/>
      <c r="AE54" s="2"/>
      <c r="AF54" s="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2"/>
      <c r="Q55" s="2"/>
      <c r="R55" s="2"/>
      <c r="S55" s="2"/>
      <c r="T55" s="3"/>
      <c r="U55" s="3"/>
      <c r="V55" s="2"/>
      <c r="W55" s="2"/>
      <c r="X55" s="2"/>
      <c r="Y55" s="2"/>
      <c r="Z55" s="3"/>
      <c r="AA55" s="3"/>
      <c r="AB55" s="2"/>
      <c r="AC55" s="2"/>
      <c r="AD55" s="2"/>
      <c r="AE55" s="2"/>
      <c r="AF55" s="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2"/>
      <c r="Q56" s="2"/>
      <c r="R56" s="2"/>
      <c r="S56" s="2"/>
      <c r="T56" s="3"/>
      <c r="U56" s="3"/>
      <c r="V56" s="2"/>
      <c r="W56" s="2"/>
      <c r="X56" s="2"/>
      <c r="Y56" s="2"/>
      <c r="Z56" s="3"/>
      <c r="AA56" s="3"/>
      <c r="AB56" s="2"/>
      <c r="AC56" s="2"/>
      <c r="AD56" s="2"/>
      <c r="AE56" s="2"/>
      <c r="AF56" s="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2"/>
      <c r="Q57" s="2"/>
      <c r="R57" s="2"/>
      <c r="S57" s="2"/>
      <c r="T57" s="3"/>
      <c r="U57" s="3"/>
      <c r="V57" s="2"/>
      <c r="W57" s="2"/>
      <c r="X57" s="2"/>
      <c r="Y57" s="2"/>
      <c r="Z57" s="3"/>
      <c r="AA57" s="3"/>
      <c r="AB57" s="2"/>
      <c r="AC57" s="2"/>
      <c r="AD57" s="2"/>
      <c r="AE57" s="2"/>
      <c r="AF57" s="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2"/>
      <c r="Q58" s="2"/>
      <c r="R58" s="2"/>
      <c r="S58" s="2"/>
      <c r="T58" s="3"/>
      <c r="U58" s="3"/>
      <c r="V58" s="2"/>
      <c r="W58" s="2"/>
      <c r="X58" s="2"/>
      <c r="Y58" s="2"/>
      <c r="Z58" s="3"/>
      <c r="AA58" s="3"/>
      <c r="AB58" s="2"/>
      <c r="AC58" s="2"/>
      <c r="AD58" s="2"/>
      <c r="AE58" s="2"/>
      <c r="AF58" s="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2"/>
      <c r="Q59" s="2"/>
      <c r="R59" s="2"/>
      <c r="S59" s="2"/>
      <c r="T59" s="3"/>
      <c r="U59" s="3"/>
      <c r="V59" s="2"/>
      <c r="W59" s="2"/>
      <c r="X59" s="2"/>
      <c r="Y59" s="2"/>
      <c r="Z59" s="3"/>
      <c r="AA59" s="3"/>
      <c r="AB59" s="2"/>
      <c r="AC59" s="2"/>
      <c r="AD59" s="2"/>
      <c r="AE59" s="2"/>
      <c r="AF59" s="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2"/>
      <c r="Q60" s="2"/>
      <c r="R60" s="2"/>
      <c r="S60" s="2"/>
      <c r="T60" s="3"/>
      <c r="U60" s="3"/>
      <c r="V60" s="2"/>
      <c r="W60" s="2"/>
      <c r="X60" s="2"/>
      <c r="Y60" s="2"/>
      <c r="Z60" s="3"/>
      <c r="AA60" s="3"/>
      <c r="AB60" s="2"/>
      <c r="AC60" s="2"/>
      <c r="AD60" s="2"/>
      <c r="AE60" s="2"/>
      <c r="AF60" s="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2"/>
      <c r="Q61" s="2"/>
      <c r="R61" s="2"/>
      <c r="S61" s="2"/>
      <c r="T61" s="3"/>
      <c r="U61" s="3"/>
      <c r="V61" s="2"/>
      <c r="W61" s="2"/>
      <c r="X61" s="2"/>
      <c r="Y61" s="2"/>
      <c r="Z61" s="3"/>
      <c r="AA61" s="3"/>
      <c r="AB61" s="2"/>
      <c r="AC61" s="2"/>
      <c r="AD61" s="2"/>
      <c r="AE61" s="2"/>
      <c r="AF61" s="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2"/>
      <c r="Q62" s="2"/>
      <c r="R62" s="2"/>
      <c r="S62" s="2"/>
      <c r="T62" s="3"/>
      <c r="U62" s="3"/>
      <c r="V62" s="2"/>
      <c r="W62" s="2"/>
      <c r="X62" s="2"/>
      <c r="Y62" s="2"/>
      <c r="Z62" s="3"/>
      <c r="AA62" s="3"/>
      <c r="AB62" s="2"/>
      <c r="AC62" s="2"/>
      <c r="AD62" s="2"/>
      <c r="AE62" s="2"/>
      <c r="AF62" s="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2"/>
      <c r="Q63" s="2"/>
      <c r="R63" s="2"/>
      <c r="S63" s="2"/>
      <c r="T63" s="3"/>
      <c r="U63" s="3"/>
      <c r="V63" s="2"/>
      <c r="W63" s="2"/>
      <c r="X63" s="2"/>
      <c r="Y63" s="2"/>
      <c r="Z63" s="3"/>
      <c r="AA63" s="3"/>
      <c r="AB63" s="2"/>
      <c r="AC63" s="2"/>
      <c r="AD63" s="2"/>
      <c r="AE63" s="2"/>
      <c r="AF63" s="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2"/>
      <c r="Q64" s="2"/>
      <c r="R64" s="2"/>
      <c r="S64" s="2"/>
      <c r="T64" s="3"/>
      <c r="U64" s="3"/>
      <c r="V64" s="2"/>
      <c r="W64" s="2"/>
      <c r="X64" s="2"/>
      <c r="Y64" s="2"/>
      <c r="Z64" s="3"/>
      <c r="AA64" s="3"/>
      <c r="AB64" s="2"/>
      <c r="AC64" s="2"/>
      <c r="AD64" s="2"/>
      <c r="AE64" s="2"/>
      <c r="AF64" s="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2"/>
      <c r="Q65" s="2"/>
      <c r="R65" s="2"/>
      <c r="S65" s="2"/>
      <c r="T65" s="3"/>
      <c r="U65" s="3"/>
      <c r="V65" s="2"/>
      <c r="W65" s="2"/>
      <c r="X65" s="2"/>
      <c r="Y65" s="2"/>
      <c r="Z65" s="3"/>
      <c r="AA65" s="3"/>
      <c r="AB65" s="2"/>
      <c r="AC65" s="2"/>
      <c r="AD65" s="2"/>
      <c r="AE65" s="2"/>
      <c r="AF65" s="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2"/>
      <c r="Q66" s="2"/>
      <c r="R66" s="2"/>
      <c r="S66" s="2"/>
      <c r="T66" s="3"/>
      <c r="U66" s="3"/>
      <c r="V66" s="2"/>
      <c r="W66" s="2"/>
      <c r="X66" s="2"/>
      <c r="Y66" s="2"/>
      <c r="Z66" s="3"/>
      <c r="AA66" s="3"/>
      <c r="AB66" s="2"/>
      <c r="AC66" s="2"/>
      <c r="AD66" s="2"/>
      <c r="AE66" s="2"/>
      <c r="AF66" s="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2"/>
      <c r="Q67" s="2"/>
      <c r="R67" s="2"/>
      <c r="S67" s="2"/>
      <c r="T67" s="3"/>
      <c r="U67" s="3"/>
      <c r="V67" s="2"/>
      <c r="W67" s="2"/>
      <c r="X67" s="2"/>
      <c r="Y67" s="2"/>
      <c r="Z67" s="3"/>
      <c r="AA67" s="3"/>
      <c r="AB67" s="2"/>
      <c r="AC67" s="2"/>
      <c r="AD67" s="2"/>
      <c r="AE67" s="2"/>
      <c r="AF67" s="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2"/>
      <c r="Q68" s="2"/>
      <c r="R68" s="2"/>
      <c r="S68" s="2"/>
      <c r="T68" s="3"/>
      <c r="U68" s="3"/>
      <c r="V68" s="2"/>
      <c r="W68" s="2"/>
      <c r="X68" s="2"/>
      <c r="Y68" s="2"/>
      <c r="Z68" s="3"/>
      <c r="AA68" s="3"/>
      <c r="AB68" s="2"/>
      <c r="AC68" s="2"/>
      <c r="AD68" s="2"/>
      <c r="AE68" s="2"/>
      <c r="AF68" s="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2"/>
      <c r="Q69" s="2"/>
      <c r="R69" s="2"/>
      <c r="S69" s="2"/>
      <c r="T69" s="3"/>
      <c r="U69" s="3"/>
      <c r="V69" s="2"/>
      <c r="W69" s="2"/>
      <c r="X69" s="2"/>
      <c r="Y69" s="2"/>
      <c r="Z69" s="3"/>
      <c r="AA69" s="3"/>
      <c r="AB69" s="2"/>
      <c r="AC69" s="2"/>
      <c r="AD69" s="2"/>
      <c r="AE69" s="2"/>
      <c r="AF69" s="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2"/>
      <c r="Q70" s="2"/>
      <c r="R70" s="2"/>
      <c r="S70" s="2"/>
      <c r="T70" s="3"/>
      <c r="U70" s="3"/>
      <c r="V70" s="2"/>
      <c r="W70" s="2"/>
      <c r="X70" s="2"/>
      <c r="Y70" s="2"/>
      <c r="Z70" s="3"/>
      <c r="AA70" s="3"/>
      <c r="AB70" s="2"/>
      <c r="AC70" s="2"/>
      <c r="AD70" s="2"/>
      <c r="AE70" s="2"/>
      <c r="AF70" s="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2"/>
      <c r="Q71" s="2"/>
      <c r="R71" s="2"/>
      <c r="S71" s="2"/>
      <c r="T71" s="3"/>
      <c r="U71" s="3"/>
      <c r="V71" s="2"/>
      <c r="W71" s="2"/>
      <c r="X71" s="2"/>
      <c r="Y71" s="2"/>
      <c r="Z71" s="3"/>
      <c r="AA71" s="3"/>
      <c r="AB71" s="2"/>
      <c r="AC71" s="2"/>
      <c r="AD71" s="2"/>
      <c r="AE71" s="2"/>
      <c r="AF71" s="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2"/>
      <c r="Q72" s="2"/>
      <c r="R72" s="2"/>
      <c r="S72" s="2"/>
      <c r="T72" s="3"/>
      <c r="U72" s="3"/>
      <c r="V72" s="2"/>
      <c r="W72" s="2"/>
      <c r="X72" s="2"/>
      <c r="Y72" s="2"/>
      <c r="Z72" s="3"/>
      <c r="AA72" s="3"/>
      <c r="AB72" s="2"/>
      <c r="AC72" s="2"/>
      <c r="AD72" s="2"/>
      <c r="AE72" s="2"/>
      <c r="AF72" s="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2"/>
      <c r="Q73" s="2"/>
      <c r="R73" s="2"/>
      <c r="S73" s="2"/>
      <c r="T73" s="3"/>
      <c r="U73" s="3"/>
      <c r="V73" s="2"/>
      <c r="W73" s="2"/>
      <c r="X73" s="2"/>
      <c r="Y73" s="2"/>
      <c r="Z73" s="3"/>
      <c r="AA73" s="3"/>
      <c r="AB73" s="2"/>
      <c r="AC73" s="2"/>
      <c r="AD73" s="2"/>
      <c r="AE73" s="2"/>
      <c r="AF73" s="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2"/>
      <c r="Q74" s="2"/>
      <c r="R74" s="2"/>
      <c r="S74" s="2"/>
      <c r="T74" s="3"/>
      <c r="U74" s="3"/>
      <c r="V74" s="2"/>
      <c r="W74" s="2"/>
      <c r="X74" s="2"/>
      <c r="Y74" s="2"/>
      <c r="Z74" s="3"/>
      <c r="AA74" s="3"/>
      <c r="AB74" s="2"/>
      <c r="AC74" s="2"/>
      <c r="AD74" s="2"/>
      <c r="AE74" s="2"/>
      <c r="AF74" s="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2"/>
      <c r="Q75" s="2"/>
      <c r="R75" s="2"/>
      <c r="S75" s="2"/>
      <c r="T75" s="3"/>
      <c r="U75" s="3"/>
      <c r="V75" s="2"/>
      <c r="W75" s="2"/>
      <c r="X75" s="2"/>
      <c r="Y75" s="2"/>
      <c r="Z75" s="3"/>
      <c r="AA75" s="3"/>
      <c r="AB75" s="2"/>
      <c r="AC75" s="2"/>
      <c r="AD75" s="2"/>
      <c r="AE75" s="2"/>
      <c r="AF75" s="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2"/>
      <c r="Q76" s="2"/>
      <c r="R76" s="2"/>
      <c r="S76" s="2"/>
      <c r="T76" s="3"/>
      <c r="U76" s="3"/>
      <c r="V76" s="2"/>
      <c r="W76" s="2"/>
      <c r="X76" s="2"/>
      <c r="Y76" s="2"/>
      <c r="Z76" s="3"/>
      <c r="AA76" s="3"/>
      <c r="AB76" s="2"/>
      <c r="AC76" s="2"/>
      <c r="AD76" s="2"/>
      <c r="AE76" s="2"/>
      <c r="AF76" s="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2"/>
      <c r="Q77" s="2"/>
      <c r="R77" s="2"/>
      <c r="S77" s="2"/>
      <c r="T77" s="3"/>
      <c r="U77" s="3"/>
      <c r="V77" s="2"/>
      <c r="W77" s="2"/>
      <c r="X77" s="2"/>
      <c r="Y77" s="2"/>
      <c r="Z77" s="3"/>
      <c r="AA77" s="3"/>
      <c r="AB77" s="2"/>
      <c r="AC77" s="2"/>
      <c r="AD77" s="2"/>
      <c r="AE77" s="2"/>
      <c r="AF77" s="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2"/>
      <c r="Q78" s="2"/>
      <c r="R78" s="2"/>
      <c r="S78" s="2"/>
      <c r="T78" s="3"/>
      <c r="U78" s="3"/>
      <c r="V78" s="2"/>
      <c r="W78" s="2"/>
      <c r="X78" s="2"/>
      <c r="Y78" s="2"/>
      <c r="Z78" s="3"/>
      <c r="AA78" s="3"/>
      <c r="AB78" s="2"/>
      <c r="AC78" s="2"/>
      <c r="AD78" s="2"/>
      <c r="AE78" s="2"/>
      <c r="AF78" s="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2"/>
      <c r="Q79" s="2"/>
      <c r="R79" s="2"/>
      <c r="S79" s="2"/>
      <c r="T79" s="3"/>
      <c r="U79" s="3"/>
      <c r="V79" s="2"/>
      <c r="W79" s="2"/>
      <c r="X79" s="2"/>
      <c r="Y79" s="2"/>
      <c r="Z79" s="3"/>
      <c r="AA79" s="3"/>
      <c r="AB79" s="2"/>
      <c r="AC79" s="2"/>
      <c r="AD79" s="2"/>
      <c r="AE79" s="2"/>
      <c r="AF79" s="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2"/>
      <c r="Q80" s="2"/>
      <c r="R80" s="2"/>
      <c r="S80" s="2"/>
      <c r="T80" s="3"/>
      <c r="U80" s="3"/>
      <c r="V80" s="2"/>
      <c r="W80" s="2"/>
      <c r="X80" s="2"/>
      <c r="Y80" s="2"/>
      <c r="Z80" s="3"/>
      <c r="AA80" s="3"/>
      <c r="AB80" s="2"/>
      <c r="AC80" s="2"/>
      <c r="AD80" s="2"/>
      <c r="AE80" s="2"/>
      <c r="AF80" s="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2"/>
      <c r="Q81" s="2"/>
      <c r="R81" s="2"/>
      <c r="S81" s="2"/>
      <c r="T81" s="3"/>
      <c r="U81" s="3"/>
      <c r="V81" s="2"/>
      <c r="W81" s="2"/>
      <c r="X81" s="2"/>
      <c r="Y81" s="2"/>
      <c r="Z81" s="3"/>
      <c r="AA81" s="3"/>
      <c r="AB81" s="2"/>
      <c r="AC81" s="2"/>
      <c r="AD81" s="2"/>
      <c r="AE81" s="2"/>
      <c r="AF81" s="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2"/>
      <c r="Q82" s="2"/>
      <c r="R82" s="2"/>
      <c r="S82" s="2"/>
      <c r="T82" s="3"/>
      <c r="U82" s="3"/>
      <c r="V82" s="2"/>
      <c r="W82" s="2"/>
      <c r="X82" s="2"/>
      <c r="Y82" s="2"/>
      <c r="Z82" s="3"/>
      <c r="AA82" s="3"/>
      <c r="AB82" s="2"/>
      <c r="AC82" s="2"/>
      <c r="AD82" s="2"/>
      <c r="AE82" s="2"/>
      <c r="AF82" s="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2"/>
      <c r="Q83" s="2"/>
      <c r="R83" s="2"/>
      <c r="S83" s="2"/>
      <c r="T83" s="3"/>
      <c r="U83" s="3"/>
      <c r="V83" s="2"/>
      <c r="W83" s="2"/>
      <c r="X83" s="2"/>
      <c r="Y83" s="2"/>
      <c r="Z83" s="3"/>
      <c r="AA83" s="3"/>
      <c r="AB83" s="2"/>
      <c r="AC83" s="2"/>
      <c r="AD83" s="2"/>
      <c r="AE83" s="2"/>
      <c r="AF83" s="3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2"/>
      <c r="Q84" s="2"/>
      <c r="R84" s="2"/>
      <c r="S84" s="2"/>
      <c r="T84" s="3"/>
      <c r="U84" s="3"/>
      <c r="V84" s="2"/>
      <c r="W84" s="2"/>
      <c r="X84" s="2"/>
      <c r="Y84" s="2"/>
      <c r="Z84" s="3"/>
      <c r="AA84" s="3"/>
      <c r="AB84" s="2"/>
      <c r="AC84" s="2"/>
      <c r="AD84" s="2"/>
      <c r="AE84" s="2"/>
      <c r="AF84" s="3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2"/>
      <c r="Q85" s="2"/>
      <c r="R85" s="2"/>
      <c r="S85" s="2"/>
      <c r="T85" s="3"/>
      <c r="U85" s="3"/>
      <c r="V85" s="2"/>
      <c r="W85" s="2"/>
      <c r="X85" s="2"/>
      <c r="Y85" s="2"/>
      <c r="Z85" s="3"/>
      <c r="AA85" s="3"/>
      <c r="AB85" s="2"/>
      <c r="AC85" s="2"/>
      <c r="AD85" s="2"/>
      <c r="AE85" s="2"/>
      <c r="AF85" s="3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2"/>
      <c r="Q86" s="2"/>
      <c r="R86" s="2"/>
      <c r="S86" s="2"/>
      <c r="T86" s="3"/>
      <c r="U86" s="3"/>
      <c r="V86" s="2"/>
      <c r="W86" s="2"/>
      <c r="X86" s="2"/>
      <c r="Y86" s="2"/>
      <c r="Z86" s="3"/>
      <c r="AA86" s="3"/>
      <c r="AB86" s="2"/>
      <c r="AC86" s="2"/>
      <c r="AD86" s="2"/>
      <c r="AE86" s="2"/>
      <c r="AF86" s="3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2"/>
      <c r="Q87" s="2"/>
      <c r="R87" s="2"/>
      <c r="S87" s="2"/>
      <c r="T87" s="3"/>
      <c r="U87" s="3"/>
      <c r="V87" s="2"/>
      <c r="W87" s="2"/>
      <c r="X87" s="2"/>
      <c r="Y87" s="2"/>
      <c r="Z87" s="3"/>
      <c r="AA87" s="3"/>
      <c r="AB87" s="2"/>
      <c r="AC87" s="2"/>
      <c r="AD87" s="2"/>
      <c r="AE87" s="2"/>
      <c r="AF87" s="3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2"/>
      <c r="Q88" s="2"/>
      <c r="R88" s="2"/>
      <c r="S88" s="2"/>
      <c r="T88" s="3"/>
      <c r="U88" s="3"/>
      <c r="V88" s="2"/>
      <c r="W88" s="2"/>
      <c r="X88" s="2"/>
      <c r="Y88" s="2"/>
      <c r="Z88" s="3"/>
      <c r="AA88" s="3"/>
      <c r="AB88" s="2"/>
      <c r="AC88" s="2"/>
      <c r="AD88" s="2"/>
      <c r="AE88" s="2"/>
      <c r="AF88" s="3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2"/>
      <c r="Q89" s="2"/>
      <c r="R89" s="2"/>
      <c r="S89" s="2"/>
      <c r="T89" s="3"/>
      <c r="U89" s="3"/>
      <c r="V89" s="2"/>
      <c r="W89" s="2"/>
      <c r="X89" s="2"/>
      <c r="Y89" s="2"/>
      <c r="Z89" s="3"/>
      <c r="AA89" s="3"/>
      <c r="AB89" s="2"/>
      <c r="AC89" s="2"/>
      <c r="AD89" s="2"/>
      <c r="AE89" s="2"/>
      <c r="AF89" s="3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2"/>
      <c r="Q90" s="2"/>
      <c r="R90" s="2"/>
      <c r="S90" s="2"/>
      <c r="T90" s="3"/>
      <c r="U90" s="3"/>
      <c r="V90" s="2"/>
      <c r="W90" s="2"/>
      <c r="X90" s="2"/>
      <c r="Y90" s="2"/>
      <c r="Z90" s="3"/>
      <c r="AA90" s="3"/>
      <c r="AB90" s="2"/>
      <c r="AC90" s="2"/>
      <c r="AD90" s="2"/>
      <c r="AE90" s="2"/>
      <c r="AF90" s="3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2"/>
      <c r="Q91" s="2"/>
      <c r="R91" s="2"/>
      <c r="S91" s="2"/>
      <c r="T91" s="3"/>
      <c r="U91" s="3"/>
      <c r="V91" s="2"/>
      <c r="W91" s="2"/>
      <c r="X91" s="2"/>
      <c r="Y91" s="2"/>
      <c r="Z91" s="3"/>
      <c r="AA91" s="3"/>
      <c r="AB91" s="2"/>
      <c r="AC91" s="2"/>
      <c r="AD91" s="2"/>
      <c r="AE91" s="2"/>
      <c r="AF91" s="3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2"/>
      <c r="Q92" s="2"/>
      <c r="R92" s="2"/>
      <c r="S92" s="2"/>
      <c r="T92" s="3"/>
      <c r="U92" s="3"/>
      <c r="V92" s="2"/>
      <c r="W92" s="2"/>
      <c r="X92" s="2"/>
      <c r="Y92" s="2"/>
      <c r="Z92" s="3"/>
      <c r="AA92" s="3"/>
      <c r="AB92" s="2"/>
      <c r="AC92" s="2"/>
      <c r="AD92" s="2"/>
      <c r="AE92" s="2"/>
      <c r="AF92" s="3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2"/>
      <c r="Q93" s="2"/>
      <c r="R93" s="2"/>
      <c r="S93" s="2"/>
      <c r="T93" s="3"/>
      <c r="U93" s="3"/>
      <c r="V93" s="2"/>
      <c r="W93" s="2"/>
      <c r="X93" s="2"/>
      <c r="Y93" s="2"/>
      <c r="Z93" s="3"/>
      <c r="AA93" s="3"/>
      <c r="AB93" s="2"/>
      <c r="AC93" s="2"/>
      <c r="AD93" s="2"/>
      <c r="AE93" s="2"/>
      <c r="AF93" s="3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2"/>
      <c r="Q94" s="2"/>
      <c r="R94" s="2"/>
      <c r="S94" s="2"/>
      <c r="T94" s="3"/>
      <c r="U94" s="3"/>
      <c r="V94" s="2"/>
      <c r="W94" s="2"/>
      <c r="X94" s="2"/>
      <c r="Y94" s="2"/>
      <c r="Z94" s="3"/>
      <c r="AA94" s="3"/>
      <c r="AB94" s="2"/>
      <c r="AC94" s="2"/>
      <c r="AD94" s="2"/>
      <c r="AE94" s="2"/>
      <c r="AF94" s="3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2"/>
      <c r="Q95" s="2"/>
      <c r="R95" s="2"/>
      <c r="S95" s="2"/>
      <c r="T95" s="3"/>
      <c r="U95" s="3"/>
      <c r="V95" s="2"/>
      <c r="W95" s="2"/>
      <c r="X95" s="2"/>
      <c r="Y95" s="2"/>
      <c r="Z95" s="3"/>
      <c r="AA95" s="3"/>
      <c r="AB95" s="2"/>
      <c r="AC95" s="2"/>
      <c r="AD95" s="2"/>
      <c r="AE95" s="2"/>
      <c r="AF95" s="3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2"/>
      <c r="Q96" s="2"/>
      <c r="R96" s="2"/>
      <c r="S96" s="2"/>
      <c r="T96" s="3"/>
      <c r="U96" s="3"/>
      <c r="V96" s="2"/>
      <c r="W96" s="2"/>
      <c r="X96" s="2"/>
      <c r="Y96" s="2"/>
      <c r="Z96" s="3"/>
      <c r="AA96" s="3"/>
      <c r="AB96" s="2"/>
      <c r="AC96" s="2"/>
      <c r="AD96" s="2"/>
      <c r="AE96" s="2"/>
      <c r="AF96" s="3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2"/>
      <c r="Q97" s="2"/>
      <c r="R97" s="2"/>
      <c r="S97" s="2"/>
      <c r="T97" s="3"/>
      <c r="U97" s="3"/>
      <c r="V97" s="2"/>
      <c r="W97" s="2"/>
      <c r="X97" s="2"/>
      <c r="Y97" s="2"/>
      <c r="Z97" s="3"/>
      <c r="AA97" s="3"/>
      <c r="AB97" s="2"/>
      <c r="AC97" s="2"/>
      <c r="AD97" s="2"/>
      <c r="AE97" s="2"/>
      <c r="AF97" s="3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2"/>
      <c r="Q98" s="2"/>
      <c r="R98" s="2"/>
      <c r="S98" s="2"/>
      <c r="T98" s="3"/>
      <c r="U98" s="3"/>
      <c r="V98" s="2"/>
      <c r="W98" s="2"/>
      <c r="X98" s="2"/>
      <c r="Y98" s="2"/>
      <c r="Z98" s="3"/>
      <c r="AA98" s="3"/>
      <c r="AB98" s="2"/>
      <c r="AC98" s="2"/>
      <c r="AD98" s="2"/>
      <c r="AE98" s="2"/>
      <c r="AF98" s="3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2"/>
      <c r="Q99" s="2"/>
      <c r="R99" s="2"/>
      <c r="S99" s="2"/>
      <c r="T99" s="3"/>
      <c r="U99" s="3"/>
      <c r="V99" s="2"/>
      <c r="W99" s="2"/>
      <c r="X99" s="2"/>
      <c r="Y99" s="2"/>
      <c r="Z99" s="3"/>
      <c r="AA99" s="3"/>
      <c r="AB99" s="2"/>
      <c r="AC99" s="2"/>
      <c r="AD99" s="2"/>
      <c r="AE99" s="2"/>
      <c r="AF99" s="3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2"/>
      <c r="Q100" s="2"/>
      <c r="R100" s="2"/>
      <c r="S100" s="2"/>
      <c r="T100" s="3"/>
      <c r="U100" s="3"/>
      <c r="V100" s="2"/>
      <c r="W100" s="2"/>
      <c r="X100" s="2"/>
      <c r="Y100" s="2"/>
      <c r="Z100" s="3"/>
      <c r="AA100" s="3"/>
      <c r="AB100" s="2"/>
      <c r="AC100" s="2"/>
      <c r="AD100" s="2"/>
      <c r="AE100" s="2"/>
      <c r="AF100" s="3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</sheetData>
  <mergeCells count="3">
    <mergeCell ref="C6:C16"/>
    <mergeCell ref="C17:C22"/>
    <mergeCell ref="C23:C41"/>
  </mergeCells>
  <conditionalFormatting sqref="D2">
    <cfRule type="cellIs" dxfId="0" priority="10" operator="equal">
      <formula>"abcd"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showGridLines="0" workbookViewId="0">
      <selection activeCell="D2" sqref="D2"/>
    </sheetView>
  </sheetViews>
  <sheetFormatPr defaultColWidth="2.85546875" defaultRowHeight="11.25" outlineLevelCol="1" x14ac:dyDescent="0.2"/>
  <cols>
    <col min="1" max="1" width="2.7109375" style="7" customWidth="1"/>
    <col min="2" max="2" width="4" style="5" bestFit="1" customWidth="1"/>
    <col min="3" max="3" width="15.140625" style="7" bestFit="1" customWidth="1"/>
    <col min="4" max="6" width="17.28515625" style="7" customWidth="1"/>
    <col min="7" max="7" width="8" style="7" bestFit="1" customWidth="1"/>
    <col min="8" max="8" width="13.140625" style="7" bestFit="1" customWidth="1"/>
    <col min="9" max="9" width="17.28515625" style="7" bestFit="1" customWidth="1"/>
    <col min="10" max="10" width="2.7109375" style="7" hidden="1" customWidth="1" outlineLevel="1"/>
    <col min="11" max="11" width="15.140625" style="7" hidden="1" customWidth="1" outlineLevel="1"/>
    <col min="12" max="12" width="2.7109375" style="7" hidden="1" customWidth="1" outlineLevel="1"/>
    <col min="13" max="13" width="14.140625" style="7" hidden="1" customWidth="1" outlineLevel="1"/>
    <col min="14" max="14" width="30.7109375" style="1" hidden="1" customWidth="1" outlineLevel="1"/>
    <col min="15" max="15" width="19.28515625" style="1" hidden="1" customWidth="1" outlineLevel="1"/>
    <col min="16" max="16" width="2.7109375" style="1" customWidth="1" collapsed="1"/>
    <col min="17" max="24" width="27.28515625" style="1" customWidth="1"/>
    <col min="25" max="25" width="27.28515625" style="40" customWidth="1"/>
    <col min="26" max="28" width="27.28515625" style="11" customWidth="1"/>
    <col min="29" max="81" width="27.28515625" style="1" customWidth="1"/>
    <col min="82" max="16384" width="2.85546875" style="1"/>
  </cols>
  <sheetData>
    <row r="1" spans="1:24" x14ac:dyDescent="0.2">
      <c r="A1" s="6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95"/>
      <c r="B2" s="89"/>
      <c r="C2" s="90" t="s">
        <v>76</v>
      </c>
      <c r="D2" s="91" t="s">
        <v>19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44"/>
      <c r="R2" s="2"/>
      <c r="S2" s="2"/>
      <c r="T2" s="2"/>
      <c r="U2" s="2"/>
      <c r="V2" s="2"/>
      <c r="W2" s="2"/>
      <c r="X2" s="2"/>
    </row>
    <row r="3" spans="1:24" x14ac:dyDescent="0.2">
      <c r="A3" s="95"/>
      <c r="B3" s="3"/>
      <c r="C3" s="90" t="s">
        <v>77</v>
      </c>
      <c r="D3" s="91" t="str">
        <f>Currency&amp;CurveTenor</f>
        <v>AUD1M</v>
      </c>
      <c r="E3" s="95"/>
      <c r="F3" s="95"/>
      <c r="G3" s="95"/>
      <c r="H3" s="95"/>
      <c r="I3" s="95"/>
      <c r="J3" s="6"/>
      <c r="K3" s="95"/>
      <c r="L3" s="6"/>
      <c r="M3" s="95"/>
      <c r="N3" s="95"/>
      <c r="O3" s="95"/>
      <c r="P3" s="95"/>
      <c r="Q3" s="44"/>
      <c r="R3" s="2"/>
      <c r="S3" s="2"/>
      <c r="T3" s="2"/>
      <c r="U3" s="2"/>
      <c r="V3" s="2"/>
      <c r="W3" s="2"/>
      <c r="X3" s="2"/>
    </row>
    <row r="4" spans="1:24" x14ac:dyDescent="0.2">
      <c r="A4" s="95"/>
      <c r="B4" s="89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44"/>
      <c r="R4" s="2"/>
      <c r="S4" s="2"/>
      <c r="T4" s="2"/>
      <c r="U4" s="2"/>
      <c r="V4" s="2"/>
      <c r="W4" s="2"/>
      <c r="X4" s="2"/>
    </row>
    <row r="5" spans="1:24" x14ac:dyDescent="0.2">
      <c r="A5" s="95"/>
      <c r="B5" s="28"/>
      <c r="C5" s="28" t="s">
        <v>47</v>
      </c>
      <c r="D5" s="28" t="s">
        <v>63</v>
      </c>
      <c r="E5" s="28" t="s">
        <v>73</v>
      </c>
      <c r="F5" s="28" t="s">
        <v>45</v>
      </c>
      <c r="G5" s="29" t="s">
        <v>44</v>
      </c>
      <c r="H5" s="29" t="s">
        <v>74</v>
      </c>
      <c r="I5" s="29" t="s">
        <v>75</v>
      </c>
      <c r="J5" s="44"/>
      <c r="K5" s="90" t="s">
        <v>40</v>
      </c>
      <c r="L5" s="89"/>
      <c r="M5" s="90" t="s">
        <v>96</v>
      </c>
      <c r="N5" s="90" t="s">
        <v>87</v>
      </c>
      <c r="O5" s="90" t="s">
        <v>88</v>
      </c>
      <c r="P5" s="44"/>
      <c r="Q5" s="44"/>
      <c r="R5" s="2"/>
      <c r="S5" s="2"/>
      <c r="T5" s="2"/>
      <c r="U5" s="2"/>
      <c r="V5" s="2"/>
      <c r="W5" s="2"/>
      <c r="X5" s="2"/>
    </row>
    <row r="6" spans="1:24" x14ac:dyDescent="0.2">
      <c r="A6" s="95"/>
      <c r="B6" s="22" t="s">
        <v>15</v>
      </c>
      <c r="C6" s="31" t="s">
        <v>65</v>
      </c>
      <c r="D6" s="48">
        <f t="shared" ref="D6:D41" si="0">EvaluationDate</f>
        <v>41877</v>
      </c>
      <c r="E6" s="48">
        <f>_xll.qlInterestRateIndexValueDate(K6,D6,Trigger)</f>
        <v>41877</v>
      </c>
      <c r="F6" s="48">
        <f>_xll.qlInterestRateIndexMaturity(K6,E6,Trigger)</f>
        <v>41878</v>
      </c>
      <c r="G6" s="55">
        <f>_xll.qlIndexFixing(K6,D6,TRUE,InterestRatesTrigger)</f>
        <v>2.6196003129203005E-2</v>
      </c>
      <c r="H6" s="56" t="str">
        <f>Contribution!J6</f>
        <v>AUD1MOND=</v>
      </c>
      <c r="I6" s="57"/>
      <c r="J6" s="44"/>
      <c r="K6" s="92" t="str">
        <f>_xll.qlIborIndex(,"BBSW",IF(B6="ON","1D",IF(B6="SW","1W",B6)),0,Currency,Calendar,BDayConvention,EndOfMonth,DayCounter,YieldCurve,,Trigger)</f>
        <v>obj_003e0#0026</v>
      </c>
      <c r="L6" s="89"/>
      <c r="M6" s="91" t="b">
        <v>1</v>
      </c>
      <c r="N6" s="91" t="s">
        <v>89</v>
      </c>
      <c r="O6" s="91" t="s">
        <v>43</v>
      </c>
      <c r="P6" s="44"/>
      <c r="Q6" s="44"/>
      <c r="R6" s="2"/>
      <c r="S6" s="2"/>
      <c r="T6" s="2"/>
      <c r="U6" s="2"/>
      <c r="V6" s="2"/>
      <c r="W6" s="2"/>
      <c r="X6" s="2"/>
    </row>
    <row r="7" spans="1:24" x14ac:dyDescent="0.2">
      <c r="A7" s="95"/>
      <c r="B7" s="23" t="s">
        <v>16</v>
      </c>
      <c r="C7" s="31" t="s">
        <v>65</v>
      </c>
      <c r="D7" s="51">
        <f t="shared" si="0"/>
        <v>41877</v>
      </c>
      <c r="E7" s="51">
        <f>_xll.qlInterestRateIndexValueDate(K7,D7,Trigger)</f>
        <v>41877</v>
      </c>
      <c r="F7" s="51">
        <f>_xll.qlInterestRateIndexMaturity(K7,E7,Trigger)</f>
        <v>41884</v>
      </c>
      <c r="G7" s="50">
        <f>_xll.qlIndexFixing(K7,D7,TRUE,InterestRatesTrigger)</f>
        <v>2.6202930637939659E-2</v>
      </c>
      <c r="H7" s="41" t="str">
        <f>Contribution!J7</f>
        <v>AUD1MSWD=</v>
      </c>
      <c r="I7" s="41"/>
      <c r="J7" s="44"/>
      <c r="K7" s="32" t="str">
        <f>_xll.qlIborIndex(,"BBSW",IF(B7="ON","1D",IF(B7="SW","1W",B7)),0,Currency,Calendar,BDayConvention,EndOfMonth,DayCounter,YieldCurve,,Trigger)</f>
        <v>obj_003a4#0010</v>
      </c>
      <c r="L7" s="89"/>
      <c r="M7" s="95"/>
      <c r="N7" s="95"/>
      <c r="O7" s="95"/>
      <c r="P7" s="44"/>
      <c r="Q7" s="44"/>
      <c r="R7" s="2"/>
      <c r="S7" s="2"/>
      <c r="T7" s="2"/>
      <c r="U7" s="2"/>
      <c r="V7" s="2"/>
      <c r="W7" s="2"/>
      <c r="X7" s="2"/>
    </row>
    <row r="8" spans="1:24" x14ac:dyDescent="0.2">
      <c r="A8" s="95"/>
      <c r="B8" s="23" t="s">
        <v>17</v>
      </c>
      <c r="C8" s="31" t="s">
        <v>65</v>
      </c>
      <c r="D8" s="51">
        <f t="shared" si="0"/>
        <v>41877</v>
      </c>
      <c r="E8" s="51">
        <f>_xll.qlInterestRateIndexValueDate(K8,D8,Trigger)</f>
        <v>41877</v>
      </c>
      <c r="F8" s="51">
        <f>_xll.qlInterestRateIndexMaturity(K8,E8,Trigger)</f>
        <v>41891</v>
      </c>
      <c r="G8" s="50">
        <f>_xll.qlIndexFixing(K8,D8,TRUE,InterestRatesTrigger)</f>
        <v>2.6213456551804466E-2</v>
      </c>
      <c r="H8" s="41" t="str">
        <f>Contribution!J8</f>
        <v>AUD1M2WD=</v>
      </c>
      <c r="I8" s="41"/>
      <c r="J8" s="44"/>
      <c r="K8" s="32" t="str">
        <f>_xll.qlIborIndex(,"BBSW",IF(B8="ON","1D",IF(B8="SW","1W",B8)),0,Currency,Calendar,BDayConvention,EndOfMonth,DayCounter,YieldCurve,,Trigger)</f>
        <v>obj_003ea#0010</v>
      </c>
      <c r="L8" s="89"/>
      <c r="M8" s="95"/>
      <c r="N8" s="95"/>
      <c r="O8" s="95"/>
      <c r="P8" s="44"/>
      <c r="Q8" s="44"/>
      <c r="R8" s="2"/>
      <c r="S8" s="2"/>
      <c r="T8" s="2"/>
      <c r="U8" s="2"/>
      <c r="V8" s="2"/>
      <c r="W8" s="2"/>
      <c r="X8" s="2"/>
    </row>
    <row r="9" spans="1:24" x14ac:dyDescent="0.2">
      <c r="A9" s="95"/>
      <c r="B9" s="23" t="s">
        <v>18</v>
      </c>
      <c r="C9" s="31" t="s">
        <v>65</v>
      </c>
      <c r="D9" s="51">
        <f t="shared" si="0"/>
        <v>41877</v>
      </c>
      <c r="E9" s="51">
        <f>_xll.qlInterestRateIndexValueDate(K9,D9,Trigger)</f>
        <v>41877</v>
      </c>
      <c r="F9" s="51">
        <f>_xll.qlInterestRateIndexMaturity(K9,E9,Trigger)</f>
        <v>41898</v>
      </c>
      <c r="G9" s="50">
        <f>_xll.qlIndexFixing(K9,D9,TRUE,InterestRatesTrigger)</f>
        <v>2.6226618049657365E-2</v>
      </c>
      <c r="H9" s="41" t="str">
        <f>Contribution!J9</f>
        <v>AUD1M3WD=</v>
      </c>
      <c r="I9" s="41"/>
      <c r="J9" s="44"/>
      <c r="K9" s="32" t="str">
        <f>_xll.qlIborIndex(,"BBSW",IF(B9="ON","1D",IF(B9="SW","1W",B9)),0,Currency,Calendar,BDayConvention,EndOfMonth,DayCounter,YieldCurve,,Trigger)</f>
        <v>obj_003a1#0017</v>
      </c>
      <c r="L9" s="89"/>
      <c r="M9" s="95"/>
      <c r="N9" s="95"/>
      <c r="O9" s="95"/>
      <c r="P9" s="44"/>
      <c r="Q9" s="44"/>
      <c r="R9" s="2"/>
      <c r="S9" s="2"/>
      <c r="T9" s="2"/>
      <c r="U9" s="2"/>
      <c r="V9" s="2"/>
      <c r="W9" s="2"/>
      <c r="X9" s="2"/>
    </row>
    <row r="10" spans="1:24" x14ac:dyDescent="0.2">
      <c r="A10" s="95"/>
      <c r="B10" s="23" t="s">
        <v>19</v>
      </c>
      <c r="C10" s="31" t="s">
        <v>65</v>
      </c>
      <c r="D10" s="51">
        <f t="shared" si="0"/>
        <v>41877</v>
      </c>
      <c r="E10" s="51">
        <f>_xll.qlInterestRateIndexValueDate(K10,D10,Trigger)</f>
        <v>41877</v>
      </c>
      <c r="F10" s="51">
        <f>_xll.qlInterestRateIndexMaturity(K10,E10,Trigger)</f>
        <v>41908</v>
      </c>
      <c r="G10" s="50">
        <f>_xll.qlIndexFixing(K10,D10,TRUE,InterestRatesTrigger)</f>
        <v>2.6250000001592194E-2</v>
      </c>
      <c r="H10" s="41" t="str">
        <f>Contribution!J10</f>
        <v>AUD1M1MD=</v>
      </c>
      <c r="I10" s="41" t="str">
        <f>"AU"&amp;CurveTenor&amp;"BA"&amp;"="</f>
        <v>AU1MBA=</v>
      </c>
      <c r="J10" s="44"/>
      <c r="K10" s="98" t="str">
        <f>IborIndexFamily&amp;CurveTenor</f>
        <v>AudBBSW1M</v>
      </c>
      <c r="L10" s="89"/>
      <c r="M10" s="95"/>
      <c r="N10" s="95"/>
      <c r="O10" s="95"/>
      <c r="P10" s="44"/>
      <c r="Q10" s="44"/>
      <c r="R10" s="2"/>
      <c r="S10" s="2"/>
      <c r="T10" s="2"/>
      <c r="U10" s="2"/>
      <c r="V10" s="2"/>
      <c r="W10" s="2"/>
      <c r="X10" s="2"/>
    </row>
    <row r="11" spans="1:24" x14ac:dyDescent="0.2">
      <c r="A11" s="95"/>
      <c r="B11" s="23"/>
      <c r="C11" s="31"/>
      <c r="D11" s="51"/>
      <c r="E11" s="51"/>
      <c r="F11" s="51"/>
      <c r="G11" s="50"/>
      <c r="H11" s="41"/>
      <c r="I11" s="41"/>
      <c r="J11" s="44"/>
      <c r="K11" s="95"/>
      <c r="L11" s="89"/>
      <c r="M11" s="95"/>
      <c r="N11" s="95"/>
      <c r="O11" s="95"/>
      <c r="P11" s="44"/>
      <c r="Q11" s="44"/>
      <c r="R11" s="2"/>
      <c r="S11" s="2"/>
      <c r="T11" s="2"/>
      <c r="U11" s="2"/>
      <c r="V11" s="2"/>
      <c r="W11" s="2"/>
      <c r="X11" s="2"/>
    </row>
    <row r="12" spans="1:24" x14ac:dyDescent="0.2">
      <c r="A12" s="95"/>
      <c r="B12" s="23"/>
      <c r="C12" s="31"/>
      <c r="D12" s="51"/>
      <c r="E12" s="51"/>
      <c r="F12" s="51"/>
      <c r="G12" s="50"/>
      <c r="H12" s="41"/>
      <c r="I12" s="41"/>
      <c r="J12" s="44"/>
      <c r="K12" s="95"/>
      <c r="L12" s="89"/>
      <c r="M12" s="95"/>
      <c r="N12" s="95"/>
      <c r="O12" s="95"/>
      <c r="P12" s="44"/>
      <c r="Q12" s="44"/>
      <c r="R12" s="2"/>
      <c r="S12" s="2"/>
      <c r="T12" s="2"/>
      <c r="U12" s="2"/>
      <c r="V12" s="2"/>
      <c r="W12" s="2"/>
      <c r="X12" s="2"/>
    </row>
    <row r="13" spans="1:24" x14ac:dyDescent="0.2">
      <c r="A13" s="95"/>
      <c r="B13" s="23"/>
      <c r="C13" s="31"/>
      <c r="D13" s="51"/>
      <c r="E13" s="51"/>
      <c r="F13" s="51"/>
      <c r="G13" s="50"/>
      <c r="H13" s="41"/>
      <c r="I13" s="41"/>
      <c r="J13" s="44"/>
      <c r="K13" s="95"/>
      <c r="L13" s="44"/>
      <c r="M13" s="95"/>
      <c r="N13" s="89"/>
      <c r="O13" s="95"/>
      <c r="P13" s="44"/>
      <c r="Q13" s="44"/>
      <c r="R13" s="2"/>
      <c r="S13" s="2"/>
      <c r="T13" s="2"/>
      <c r="U13" s="2"/>
      <c r="V13" s="2"/>
      <c r="W13" s="2"/>
      <c r="X13" s="2"/>
    </row>
    <row r="14" spans="1:24" x14ac:dyDescent="0.2">
      <c r="A14" s="95"/>
      <c r="B14" s="23"/>
      <c r="C14" s="31"/>
      <c r="D14" s="51"/>
      <c r="E14" s="51"/>
      <c r="F14" s="51"/>
      <c r="G14" s="50"/>
      <c r="H14" s="41"/>
      <c r="I14" s="41"/>
      <c r="J14" s="44"/>
      <c r="K14" s="95"/>
      <c r="L14" s="44"/>
      <c r="M14" s="95"/>
      <c r="N14" s="89"/>
      <c r="O14" s="95"/>
      <c r="P14" s="44"/>
      <c r="Q14" s="44"/>
      <c r="R14" s="2"/>
      <c r="S14" s="2"/>
      <c r="T14" s="2"/>
      <c r="U14" s="2"/>
      <c r="V14" s="2"/>
      <c r="W14" s="2"/>
      <c r="X14" s="2"/>
    </row>
    <row r="15" spans="1:24" x14ac:dyDescent="0.2">
      <c r="A15" s="95"/>
      <c r="B15" s="23"/>
      <c r="C15" s="31"/>
      <c r="D15" s="51"/>
      <c r="E15" s="51"/>
      <c r="F15" s="51"/>
      <c r="G15" s="50"/>
      <c r="H15" s="41"/>
      <c r="I15" s="41"/>
      <c r="J15" s="44"/>
      <c r="K15" s="95"/>
      <c r="L15" s="44"/>
      <c r="M15" s="95"/>
      <c r="N15" s="89"/>
      <c r="O15" s="95"/>
      <c r="P15" s="44"/>
      <c r="Q15" s="44"/>
      <c r="R15" s="2"/>
      <c r="S15" s="2"/>
      <c r="T15" s="2"/>
      <c r="U15" s="2"/>
      <c r="V15" s="2"/>
      <c r="W15" s="2"/>
      <c r="X15" s="2"/>
    </row>
    <row r="16" spans="1:24" x14ac:dyDescent="0.2">
      <c r="A16" s="95"/>
      <c r="B16" s="23"/>
      <c r="C16" s="31"/>
      <c r="D16" s="51"/>
      <c r="E16" s="51"/>
      <c r="F16" s="51"/>
      <c r="G16" s="50"/>
      <c r="H16" s="41"/>
      <c r="I16" s="41"/>
      <c r="J16" s="44"/>
      <c r="K16" s="95"/>
      <c r="L16" s="44"/>
      <c r="M16" s="95"/>
      <c r="N16" s="89"/>
      <c r="O16" s="95"/>
      <c r="P16" s="44"/>
      <c r="Q16" s="44"/>
      <c r="R16" s="2"/>
      <c r="S16" s="2"/>
      <c r="T16" s="2"/>
      <c r="U16" s="2"/>
      <c r="V16" s="2"/>
      <c r="W16" s="2"/>
      <c r="X16" s="2"/>
    </row>
    <row r="17" spans="1:24" x14ac:dyDescent="0.2">
      <c r="A17" s="95"/>
      <c r="B17" s="22"/>
      <c r="C17" s="30"/>
      <c r="D17" s="48"/>
      <c r="E17" s="48"/>
      <c r="F17" s="48"/>
      <c r="G17" s="115"/>
      <c r="H17" s="42"/>
      <c r="I17" s="42"/>
      <c r="J17" s="44"/>
      <c r="K17" s="95"/>
      <c r="L17" s="44"/>
      <c r="M17" s="95"/>
      <c r="N17" s="89"/>
      <c r="O17" s="95"/>
      <c r="P17" s="44"/>
      <c r="Q17" s="44"/>
      <c r="R17" s="2"/>
      <c r="S17" s="2"/>
      <c r="T17" s="2"/>
      <c r="U17" s="2"/>
      <c r="V17" s="2"/>
      <c r="W17" s="2"/>
      <c r="X17" s="2"/>
    </row>
    <row r="18" spans="1:24" x14ac:dyDescent="0.2">
      <c r="A18" s="95"/>
      <c r="B18" s="23"/>
      <c r="C18" s="31"/>
      <c r="D18" s="51"/>
      <c r="E18" s="51"/>
      <c r="F18" s="51"/>
      <c r="G18" s="116"/>
      <c r="H18" s="41"/>
      <c r="I18" s="41"/>
      <c r="J18" s="44"/>
      <c r="K18" s="95"/>
      <c r="L18" s="44"/>
      <c r="M18" s="95"/>
      <c r="N18" s="89"/>
      <c r="O18" s="95"/>
      <c r="P18" s="44"/>
      <c r="Q18" s="44"/>
      <c r="R18" s="2"/>
      <c r="S18" s="2"/>
      <c r="T18" s="2"/>
      <c r="U18" s="2"/>
      <c r="V18" s="2"/>
      <c r="W18" s="2"/>
      <c r="X18" s="2"/>
    </row>
    <row r="19" spans="1:24" x14ac:dyDescent="0.2">
      <c r="A19" s="95"/>
      <c r="B19" s="23"/>
      <c r="C19" s="31"/>
      <c r="D19" s="51"/>
      <c r="E19" s="51"/>
      <c r="F19" s="51"/>
      <c r="G19" s="116"/>
      <c r="H19" s="41"/>
      <c r="I19" s="41"/>
      <c r="J19" s="44"/>
      <c r="K19" s="95"/>
      <c r="L19" s="44"/>
      <c r="M19" s="95"/>
      <c r="N19" s="89"/>
      <c r="O19" s="95"/>
      <c r="P19" s="44"/>
      <c r="Q19" s="44"/>
      <c r="R19" s="2"/>
      <c r="S19" s="2"/>
      <c r="T19" s="2"/>
      <c r="U19" s="2"/>
      <c r="V19" s="2"/>
      <c r="W19" s="2"/>
      <c r="X19" s="2"/>
    </row>
    <row r="20" spans="1:24" x14ac:dyDescent="0.2">
      <c r="A20" s="95"/>
      <c r="B20" s="23"/>
      <c r="C20" s="31"/>
      <c r="D20" s="51"/>
      <c r="E20" s="51"/>
      <c r="F20" s="51"/>
      <c r="G20" s="116"/>
      <c r="H20" s="41"/>
      <c r="I20" s="41"/>
      <c r="J20" s="44"/>
      <c r="K20" s="95"/>
      <c r="L20" s="44"/>
      <c r="M20" s="95"/>
      <c r="N20" s="89"/>
      <c r="O20" s="95"/>
      <c r="P20" s="44"/>
      <c r="Q20" s="44"/>
      <c r="R20" s="2"/>
      <c r="S20" s="2"/>
      <c r="T20" s="2"/>
      <c r="U20" s="2"/>
      <c r="V20" s="2"/>
      <c r="W20" s="2"/>
      <c r="X20" s="2"/>
    </row>
    <row r="21" spans="1:24" x14ac:dyDescent="0.2">
      <c r="A21" s="95"/>
      <c r="B21" s="23"/>
      <c r="C21" s="31"/>
      <c r="D21" s="51"/>
      <c r="E21" s="51"/>
      <c r="F21" s="51"/>
      <c r="G21" s="116"/>
      <c r="H21" s="41"/>
      <c r="I21" s="41"/>
      <c r="J21" s="44"/>
      <c r="K21" s="95"/>
      <c r="L21" s="44"/>
      <c r="M21" s="95"/>
      <c r="N21" s="89"/>
      <c r="O21" s="95"/>
      <c r="P21" s="44"/>
      <c r="Q21" s="44"/>
      <c r="R21" s="2"/>
      <c r="S21" s="2"/>
      <c r="T21" s="2"/>
      <c r="U21" s="2"/>
      <c r="V21" s="2"/>
      <c r="W21" s="2"/>
      <c r="X21" s="2"/>
    </row>
    <row r="22" spans="1:24" x14ac:dyDescent="0.2">
      <c r="A22" s="95"/>
      <c r="B22" s="24"/>
      <c r="C22" s="33"/>
      <c r="D22" s="52"/>
      <c r="E22" s="52"/>
      <c r="F22" s="52"/>
      <c r="G22" s="117"/>
      <c r="H22" s="43"/>
      <c r="I22" s="43"/>
      <c r="J22" s="44"/>
      <c r="K22" s="90" t="s">
        <v>46</v>
      </c>
      <c r="L22" s="89"/>
      <c r="M22" s="90" t="s">
        <v>41</v>
      </c>
      <c r="N22" s="90" t="s">
        <v>78</v>
      </c>
      <c r="O22" s="90" t="s">
        <v>42</v>
      </c>
      <c r="P22" s="44"/>
      <c r="Q22" s="44"/>
      <c r="R22" s="2"/>
      <c r="S22" s="2"/>
      <c r="T22" s="2"/>
      <c r="U22" s="2"/>
      <c r="V22" s="2"/>
      <c r="W22" s="2"/>
      <c r="X22" s="2"/>
    </row>
    <row r="23" spans="1:24" x14ac:dyDescent="0.2">
      <c r="A23" s="95"/>
      <c r="B23" s="22" t="s">
        <v>21</v>
      </c>
      <c r="C23" s="30" t="s">
        <v>64</v>
      </c>
      <c r="D23" s="48">
        <f t="shared" si="0"/>
        <v>41877</v>
      </c>
      <c r="E23" s="48">
        <f>_xll.qlInterestRateIndexValueDate(K23,D23,Trigger)</f>
        <v>41878</v>
      </c>
      <c r="F23" s="48">
        <f>_xll.qlInterestRateIndexMaturity(K23,E23,Trigger)</f>
        <v>41970</v>
      </c>
      <c r="G23" s="49">
        <f>_xll.qlIndexFixing(K23,D23,TRUE,InterestRatesTrigger)</f>
        <v>2.6364305019975116E-2</v>
      </c>
      <c r="H23" s="42" t="str">
        <f>Contribution!J23</f>
        <v>AUD1M3M=</v>
      </c>
      <c r="I23" s="42"/>
      <c r="J23" s="44"/>
      <c r="K23" s="32" t="str">
        <f>_xll.qlSwapIndex(,"BBSW",B23,SettlementDays,Currency,Calendar,FixedLegTenor,FixedLegBDC,FixedLegDayCounter,IborIndex,DiscountingCurve,,Trigger)</f>
        <v>obj_0038e#0022</v>
      </c>
      <c r="L23" s="89"/>
      <c r="M23" s="91" t="s">
        <v>19</v>
      </c>
      <c r="N23" s="91" t="s">
        <v>60</v>
      </c>
      <c r="O23" s="91" t="s">
        <v>43</v>
      </c>
      <c r="P23" s="44"/>
      <c r="Q23" s="44"/>
      <c r="R23" s="2"/>
      <c r="S23" s="2"/>
      <c r="T23" s="2"/>
      <c r="U23" s="2"/>
      <c r="V23" s="2"/>
      <c r="W23" s="2"/>
      <c r="X23" s="2"/>
    </row>
    <row r="24" spans="1:24" x14ac:dyDescent="0.2">
      <c r="A24" s="95"/>
      <c r="B24" s="23" t="s">
        <v>14</v>
      </c>
      <c r="C24" s="31" t="s">
        <v>64</v>
      </c>
      <c r="D24" s="51">
        <f t="shared" si="0"/>
        <v>41877</v>
      </c>
      <c r="E24" s="51">
        <f>_xll.qlInterestRateIndexValueDate(K24,D24,Trigger)</f>
        <v>41878</v>
      </c>
      <c r="F24" s="51">
        <f>_xll.qlInterestRateIndexMaturity(K24,E24,Trigger)</f>
        <v>42062</v>
      </c>
      <c r="G24" s="50">
        <f>_xll.qlIndexFixing(K24,D24,TRUE,InterestRatesTrigger)</f>
        <v>2.6096525799465847E-2</v>
      </c>
      <c r="H24" s="41" t="str">
        <f>Contribution!J24</f>
        <v>AUD1M6M=</v>
      </c>
      <c r="I24" s="41"/>
      <c r="J24" s="44"/>
      <c r="K24" s="32" t="str">
        <f>_xll.qlSwapIndex(,"BBSW",B24,SettlementDays,Currency,Calendar,FixedLegTenor,FixedLegBDC,FixedLegDayCounter,IborIndex,DiscountingCurve,,Trigger)</f>
        <v>obj_0038d#0010</v>
      </c>
      <c r="L24" s="89"/>
      <c r="M24" s="95"/>
      <c r="N24" s="89"/>
      <c r="O24" s="95"/>
      <c r="P24" s="44"/>
      <c r="Q24" s="44"/>
      <c r="R24" s="2"/>
      <c r="S24" s="2"/>
      <c r="T24" s="2"/>
      <c r="U24" s="2"/>
      <c r="V24" s="2"/>
      <c r="W24" s="2"/>
      <c r="X24" s="2"/>
    </row>
    <row r="25" spans="1:24" x14ac:dyDescent="0.2">
      <c r="A25" s="95"/>
      <c r="B25" s="23" t="s">
        <v>24</v>
      </c>
      <c r="C25" s="31" t="s">
        <v>64</v>
      </c>
      <c r="D25" s="51">
        <f t="shared" si="0"/>
        <v>41877</v>
      </c>
      <c r="E25" s="51">
        <f>_xll.qlInterestRateIndexValueDate(K25,D25,Trigger)</f>
        <v>41878</v>
      </c>
      <c r="F25" s="51">
        <f>_xll.qlInterestRateIndexMaturity(K25,E25,Trigger)</f>
        <v>42151</v>
      </c>
      <c r="G25" s="50">
        <f>_xll.qlIndexFixing(K25,D25,TRUE,InterestRatesTrigger)</f>
        <v>2.5496296742522268E-2</v>
      </c>
      <c r="H25" s="41" t="str">
        <f>Contribution!J25</f>
        <v>AUD1M9M=</v>
      </c>
      <c r="I25" s="41"/>
      <c r="J25" s="44"/>
      <c r="K25" s="32" t="str">
        <f>_xll.qlSwapIndex(,"BBSW",B25,SettlementDays,Currency,Calendar,FixedLegTenor,FixedLegBDC,FixedLegDayCounter,IborIndex,DiscountingCurve,,Trigger)</f>
        <v>obj_0038f#0010</v>
      </c>
      <c r="L25" s="89"/>
      <c r="M25" s="95"/>
      <c r="N25" s="89"/>
      <c r="O25" s="95"/>
      <c r="P25" s="44"/>
      <c r="Q25" s="44"/>
      <c r="R25" s="2"/>
      <c r="S25" s="2"/>
      <c r="T25" s="2"/>
      <c r="U25" s="2"/>
      <c r="V25" s="2"/>
      <c r="W25" s="2"/>
      <c r="X25" s="2"/>
    </row>
    <row r="26" spans="1:24" x14ac:dyDescent="0.2">
      <c r="A26" s="95"/>
      <c r="B26" s="23" t="s">
        <v>25</v>
      </c>
      <c r="C26" s="31" t="s">
        <v>64</v>
      </c>
      <c r="D26" s="51">
        <f t="shared" si="0"/>
        <v>41877</v>
      </c>
      <c r="E26" s="51">
        <f>_xll.qlInterestRateIndexValueDate(K26,D26,Trigger)</f>
        <v>41878</v>
      </c>
      <c r="F26" s="51">
        <f>_xll.qlInterestRateIndexMaturity(K26,E26,Trigger)</f>
        <v>42243</v>
      </c>
      <c r="G26" s="50">
        <f>_xll.qlIndexFixing(K26,D26,TRUE,InterestRatesTrigger)</f>
        <v>2.6187500000013849E-2</v>
      </c>
      <c r="H26" s="41" t="str">
        <f>Contribution!J26</f>
        <v>AUD1M1Y=</v>
      </c>
      <c r="I26" s="58"/>
      <c r="J26" s="44"/>
      <c r="K26" s="32" t="str">
        <f>_xll.qlSwapIndex(,"BBSW",B26,SettlementDays,Currency,Calendar,FixedLegTenor,FixedLegBDC,FixedLegDayCounter,IborIndex,DiscountingCurve,,Trigger)</f>
        <v>obj_003bb#0010</v>
      </c>
      <c r="L26" s="89"/>
      <c r="M26" s="95"/>
      <c r="N26" s="89"/>
      <c r="O26" s="95"/>
      <c r="P26" s="44"/>
      <c r="Q26" s="44"/>
      <c r="R26" s="2"/>
      <c r="S26" s="2"/>
      <c r="T26" s="2"/>
      <c r="U26" s="2"/>
      <c r="V26" s="2"/>
      <c r="W26" s="2"/>
      <c r="X26" s="2"/>
    </row>
    <row r="27" spans="1:24" x14ac:dyDescent="0.2">
      <c r="A27" s="95"/>
      <c r="B27" s="23" t="s">
        <v>67</v>
      </c>
      <c r="C27" s="31" t="s">
        <v>64</v>
      </c>
      <c r="D27" s="51">
        <f t="shared" si="0"/>
        <v>41877</v>
      </c>
      <c r="E27" s="51">
        <f>_xll.qlInterestRateIndexValueDate(K27,D27,Trigger)</f>
        <v>41878</v>
      </c>
      <c r="F27" s="51">
        <f>_xll.qlInterestRateIndexMaturity(K27,E27,Trigger)</f>
        <v>42429</v>
      </c>
      <c r="G27" s="50">
        <f>_xll.qlIndexFixing(K27,D27,TRUE,InterestRatesTrigger)</f>
        <v>2.6783756918428395E-2</v>
      </c>
      <c r="H27" s="41"/>
      <c r="I27" s="58"/>
      <c r="J27" s="44"/>
      <c r="K27" s="93" t="str">
        <f>_xll.qlSwapIndex(,"BBSW",B27,SettlementDays,Currency,Calendar,FixedLegTenor,FixedLegBDC,FixedLegDayCounter,IborIndex,DiscountingCurve,,Trigger)</f>
        <v>obj_003b1#0010</v>
      </c>
      <c r="L27" s="96"/>
      <c r="M27" s="95"/>
      <c r="N27" s="89"/>
      <c r="O27" s="95"/>
      <c r="P27" s="44"/>
      <c r="Q27" s="44"/>
      <c r="R27" s="2"/>
      <c r="S27" s="2"/>
      <c r="T27" s="2"/>
      <c r="U27" s="2"/>
      <c r="V27" s="2"/>
      <c r="W27" s="2"/>
      <c r="X27" s="2"/>
    </row>
    <row r="28" spans="1:24" x14ac:dyDescent="0.2">
      <c r="A28" s="95"/>
      <c r="B28" s="23" t="s">
        <v>26</v>
      </c>
      <c r="C28" s="31" t="s">
        <v>64</v>
      </c>
      <c r="D28" s="51">
        <f t="shared" si="0"/>
        <v>41877</v>
      </c>
      <c r="E28" s="51">
        <f>_xll.qlInterestRateIndexValueDate(K28,D28,Trigger)</f>
        <v>41878</v>
      </c>
      <c r="F28" s="51">
        <f>_xll.qlInterestRateIndexMaturity(K28,E28,Trigger)</f>
        <v>42611</v>
      </c>
      <c r="G28" s="50">
        <f>_xll.qlIndexFixing(K28,D28,TRUE,InterestRatesTrigger)</f>
        <v>2.7175000000871228E-2</v>
      </c>
      <c r="H28" s="41" t="str">
        <f>Contribution!J28</f>
        <v>AUD1M2Y=</v>
      </c>
      <c r="I28" s="58"/>
      <c r="J28" s="44"/>
      <c r="K28" s="93" t="str">
        <f>_xll.qlSwapIndex(,"BBSW",B28,SettlementDays,Currency,Calendar,FixedLegTenor,FixedLegBDC,FixedLegDayCounter,IborIndex,DiscountingCurve,,Trigger)</f>
        <v>obj_00394#0010</v>
      </c>
      <c r="L28" s="96"/>
      <c r="M28" s="95"/>
      <c r="N28" s="89"/>
      <c r="O28" s="95"/>
      <c r="P28" s="44"/>
      <c r="Q28" s="44"/>
      <c r="R28" s="2"/>
      <c r="S28" s="2"/>
      <c r="T28" s="2"/>
      <c r="U28" s="2"/>
      <c r="V28" s="2"/>
      <c r="W28" s="2"/>
      <c r="X28" s="2"/>
    </row>
    <row r="29" spans="1:24" x14ac:dyDescent="0.2">
      <c r="A29" s="95"/>
      <c r="B29" s="23" t="s">
        <v>27</v>
      </c>
      <c r="C29" s="31" t="s">
        <v>64</v>
      </c>
      <c r="D29" s="51">
        <f t="shared" si="0"/>
        <v>41877</v>
      </c>
      <c r="E29" s="51">
        <f>_xll.qlInterestRateIndexValueDate(K29,D29,Trigger)</f>
        <v>41878</v>
      </c>
      <c r="F29" s="51">
        <f>_xll.qlInterestRateIndexMaturity(K29,E29,Trigger)</f>
        <v>42975</v>
      </c>
      <c r="G29" s="50">
        <f>_xll.qlIndexFixing(K29,D29,TRUE,InterestRatesTrigger)</f>
        <v>2.8612499999442285E-2</v>
      </c>
      <c r="H29" s="41" t="str">
        <f>Contribution!J29</f>
        <v>AUD1M3Y=</v>
      </c>
      <c r="I29" s="58"/>
      <c r="J29" s="44"/>
      <c r="K29" s="93" t="str">
        <f>_xll.qlSwapIndex(,"BBSW",B29,SettlementDays,Currency,Calendar,FixedLegTenor,FixedLegBDC,FixedLegDayCounter,IborIndex,DiscountingCurve,,Trigger)</f>
        <v>obj_003c2#0010</v>
      </c>
      <c r="L29" s="96"/>
      <c r="M29" s="95"/>
      <c r="N29" s="89"/>
      <c r="O29" s="95"/>
      <c r="P29" s="44"/>
      <c r="Q29" s="44"/>
      <c r="R29" s="2"/>
      <c r="S29" s="2"/>
      <c r="T29" s="2"/>
      <c r="U29" s="2"/>
      <c r="V29" s="2"/>
      <c r="W29" s="2"/>
      <c r="X29" s="2"/>
    </row>
    <row r="30" spans="1:24" x14ac:dyDescent="0.2">
      <c r="A30" s="95"/>
      <c r="B30" s="23" t="s">
        <v>28</v>
      </c>
      <c r="C30" s="31" t="s">
        <v>64</v>
      </c>
      <c r="D30" s="51">
        <f t="shared" si="0"/>
        <v>41877</v>
      </c>
      <c r="E30" s="51">
        <f>_xll.qlInterestRateIndexValueDate(K30,D30,Trigger)</f>
        <v>41878</v>
      </c>
      <c r="F30" s="51">
        <f>_xll.qlInterestRateIndexMaturity(K30,E30,Trigger)</f>
        <v>43339</v>
      </c>
      <c r="G30" s="50">
        <f>_xll.qlIndexFixing(K30,D30,TRUE,InterestRatesTrigger)</f>
        <v>2.9187959349833374E-2</v>
      </c>
      <c r="H30" s="41" t="str">
        <f>Contribution!J30</f>
        <v>AUD1M4Y=</v>
      </c>
      <c r="I30" s="58"/>
      <c r="J30" s="44"/>
      <c r="K30" s="93" t="str">
        <f>_xll.qlSwapIndex(,"BBSW",B30,SettlementDays,Currency,Calendar,FixedLegTenor,FixedLegBDC,FixedLegDayCounter,IborIndex,DiscountingCurve,,Trigger)</f>
        <v>obj_00396#0010</v>
      </c>
      <c r="L30" s="96"/>
      <c r="M30" s="95"/>
      <c r="N30" s="89"/>
      <c r="O30" s="95"/>
      <c r="P30" s="44"/>
      <c r="Q30" s="44"/>
      <c r="R30" s="2"/>
      <c r="S30" s="2"/>
      <c r="T30" s="2"/>
      <c r="U30" s="2"/>
      <c r="V30" s="2"/>
      <c r="W30" s="2"/>
      <c r="X30" s="2"/>
    </row>
    <row r="31" spans="1:24" x14ac:dyDescent="0.2">
      <c r="A31" s="95"/>
      <c r="B31" s="23" t="s">
        <v>29</v>
      </c>
      <c r="C31" s="31" t="s">
        <v>64</v>
      </c>
      <c r="D31" s="51">
        <f t="shared" si="0"/>
        <v>41877</v>
      </c>
      <c r="E31" s="51">
        <f>_xll.qlInterestRateIndexValueDate(K31,D31,Trigger)</f>
        <v>41878</v>
      </c>
      <c r="F31" s="51">
        <f>_xll.qlInterestRateIndexMaturity(K31,E31,Trigger)</f>
        <v>43704</v>
      </c>
      <c r="G31" s="50">
        <f>_xll.qlIndexFixing(K31,D31,TRUE,InterestRatesTrigger)</f>
        <v>3.0514118368244691E-2</v>
      </c>
      <c r="H31" s="41" t="str">
        <f>Contribution!J31</f>
        <v>AUD1M5Y=</v>
      </c>
      <c r="I31" s="41"/>
      <c r="J31" s="44"/>
      <c r="K31" s="93" t="str">
        <f>_xll.qlSwapIndex(,"BBSW",B31,SettlementDays,Currency,Calendar,FixedLegTenor,FixedLegBDC,FixedLegDayCounter,IborIndex,DiscountingCurve,,Trigger)</f>
        <v>obj_003d9#0010</v>
      </c>
      <c r="L31" s="96"/>
      <c r="M31" s="95"/>
      <c r="N31" s="89"/>
      <c r="O31" s="95"/>
      <c r="P31" s="44"/>
      <c r="Q31" s="44"/>
      <c r="R31" s="2"/>
      <c r="S31" s="2"/>
      <c r="T31" s="2"/>
      <c r="U31" s="2"/>
      <c r="V31" s="2"/>
      <c r="W31" s="2"/>
      <c r="X31" s="2"/>
    </row>
    <row r="32" spans="1:24" x14ac:dyDescent="0.2">
      <c r="A32" s="95"/>
      <c r="B32" s="23" t="s">
        <v>30</v>
      </c>
      <c r="C32" s="31" t="s">
        <v>64</v>
      </c>
      <c r="D32" s="51">
        <f t="shared" si="0"/>
        <v>41877</v>
      </c>
      <c r="E32" s="51">
        <f>_xll.qlInterestRateIndexValueDate(K32,D32,Trigger)</f>
        <v>41878</v>
      </c>
      <c r="F32" s="51">
        <f>_xll.qlInterestRateIndexMaturity(K32,E32,Trigger)</f>
        <v>44070</v>
      </c>
      <c r="G32" s="50">
        <f>_xll.qlIndexFixing(K32,D32,TRUE,InterestRatesTrigger)</f>
        <v>3.1853233245050738E-2</v>
      </c>
      <c r="H32" s="41"/>
      <c r="I32" s="41"/>
      <c r="J32" s="44"/>
      <c r="K32" s="93" t="str">
        <f>_xll.qlSwapIndex(,"BBSW",B32,SettlementDays,Currency,Calendar,FixedLegTenor,FixedLegBDC,FixedLegDayCounter,IborIndex,DiscountingCurve,,Trigger)</f>
        <v>obj_003d2#0010</v>
      </c>
      <c r="L32" s="96"/>
      <c r="M32" s="95"/>
      <c r="N32" s="89"/>
      <c r="O32" s="95"/>
      <c r="P32" s="44"/>
      <c r="Q32" s="44"/>
      <c r="R32" s="2"/>
      <c r="S32" s="2"/>
      <c r="T32" s="2"/>
      <c r="U32" s="2"/>
      <c r="V32" s="2"/>
      <c r="W32" s="2"/>
      <c r="X32" s="2"/>
    </row>
    <row r="33" spans="1:24" x14ac:dyDescent="0.2">
      <c r="A33" s="95"/>
      <c r="B33" s="23" t="s">
        <v>31</v>
      </c>
      <c r="C33" s="31" t="s">
        <v>64</v>
      </c>
      <c r="D33" s="51">
        <f t="shared" si="0"/>
        <v>41877</v>
      </c>
      <c r="E33" s="51">
        <f>_xll.qlInterestRateIndexValueDate(K33,D33,Trigger)</f>
        <v>41878</v>
      </c>
      <c r="F33" s="51">
        <f>_xll.qlInterestRateIndexMaturity(K33,E33,Trigger)</f>
        <v>44435</v>
      </c>
      <c r="G33" s="50">
        <f>_xll.qlIndexFixing(K33,D33,TRUE,InterestRatesTrigger)</f>
        <v>3.2978472985131679E-2</v>
      </c>
      <c r="H33" s="41" t="str">
        <f>Contribution!J33</f>
        <v>AUD1M7Y=</v>
      </c>
      <c r="I33" s="41"/>
      <c r="J33" s="44"/>
      <c r="K33" s="93" t="str">
        <f>_xll.qlSwapIndex(,"BBSW",B33,SettlementDays,Currency,Calendar,FixedLegTenor,FixedLegBDC,FixedLegDayCounter,IborIndex,DiscountingCurve,,Trigger)</f>
        <v>obj_0039d#0010</v>
      </c>
      <c r="L33" s="96"/>
      <c r="M33" s="95"/>
      <c r="N33" s="89"/>
      <c r="O33" s="95"/>
      <c r="P33" s="44"/>
      <c r="Q33" s="44"/>
      <c r="R33" s="2"/>
      <c r="S33" s="2"/>
      <c r="T33" s="2"/>
      <c r="U33" s="2"/>
      <c r="V33" s="2"/>
      <c r="W33" s="2"/>
      <c r="X33" s="2"/>
    </row>
    <row r="34" spans="1:24" x14ac:dyDescent="0.2">
      <c r="A34" s="95"/>
      <c r="B34" s="23" t="s">
        <v>32</v>
      </c>
      <c r="C34" s="31" t="s">
        <v>64</v>
      </c>
      <c r="D34" s="51">
        <f t="shared" si="0"/>
        <v>41877</v>
      </c>
      <c r="E34" s="51">
        <f>_xll.qlInterestRateIndexValueDate(K34,D34,Trigger)</f>
        <v>41878</v>
      </c>
      <c r="F34" s="51">
        <f>_xll.qlInterestRateIndexMaturity(K34,E34,Trigger)</f>
        <v>44802</v>
      </c>
      <c r="G34" s="50">
        <f>_xll.qlIndexFixing(K34,D34,TRUE,InterestRatesTrigger)</f>
        <v>3.3929931574609815E-2</v>
      </c>
      <c r="H34" s="41"/>
      <c r="I34" s="41"/>
      <c r="J34" s="44"/>
      <c r="K34" s="93" t="str">
        <f>_xll.qlSwapIndex(,"BBSW",B34,SettlementDays,Currency,Calendar,FixedLegTenor,FixedLegBDC,FixedLegDayCounter,IborIndex,DiscountingCurve,,Trigger)</f>
        <v>obj_003cd#0010</v>
      </c>
      <c r="L34" s="96"/>
      <c r="M34" s="95"/>
      <c r="N34" s="89"/>
      <c r="O34" s="95"/>
      <c r="P34" s="44"/>
      <c r="Q34" s="44"/>
      <c r="R34" s="2"/>
      <c r="S34" s="2"/>
      <c r="T34" s="2"/>
      <c r="U34" s="2"/>
      <c r="V34" s="2"/>
      <c r="W34" s="2"/>
      <c r="X34" s="2"/>
    </row>
    <row r="35" spans="1:24" x14ac:dyDescent="0.2">
      <c r="A35" s="95"/>
      <c r="B35" s="23" t="s">
        <v>33</v>
      </c>
      <c r="C35" s="31" t="s">
        <v>64</v>
      </c>
      <c r="D35" s="51">
        <f t="shared" si="0"/>
        <v>41877</v>
      </c>
      <c r="E35" s="51">
        <f>_xll.qlInterestRateIndexValueDate(K35,D35,Trigger)</f>
        <v>41878</v>
      </c>
      <c r="F35" s="51">
        <f>_xll.qlInterestRateIndexMaturity(K35,E35,Trigger)</f>
        <v>45166</v>
      </c>
      <c r="G35" s="50">
        <f>_xll.qlIndexFixing(K35,D35,TRUE,InterestRatesTrigger)</f>
        <v>3.4770745834403503E-2</v>
      </c>
      <c r="H35" s="41"/>
      <c r="I35" s="41"/>
      <c r="J35" s="44"/>
      <c r="K35" s="93" t="str">
        <f>_xll.qlSwapIndex(,"BBSW",B35,SettlementDays,Currency,Calendar,FixedLegTenor,FixedLegBDC,FixedLegDayCounter,IborIndex,DiscountingCurve,,Trigger)</f>
        <v>obj_0039a#0010</v>
      </c>
      <c r="L35" s="96"/>
      <c r="M35" s="95"/>
      <c r="N35" s="89"/>
      <c r="O35" s="95"/>
      <c r="P35" s="44"/>
      <c r="Q35" s="44"/>
      <c r="R35" s="2"/>
      <c r="S35" s="2"/>
      <c r="T35" s="2"/>
      <c r="U35" s="2"/>
      <c r="V35" s="2"/>
      <c r="W35" s="2"/>
      <c r="X35" s="2"/>
    </row>
    <row r="36" spans="1:24" x14ac:dyDescent="0.2">
      <c r="A36" s="95"/>
      <c r="B36" s="23" t="s">
        <v>34</v>
      </c>
      <c r="C36" s="31" t="s">
        <v>64</v>
      </c>
      <c r="D36" s="51">
        <f t="shared" si="0"/>
        <v>41877</v>
      </c>
      <c r="E36" s="51">
        <f>_xll.qlInterestRateIndexValueDate(K36,D36,Trigger)</f>
        <v>41878</v>
      </c>
      <c r="F36" s="51">
        <f>_xll.qlInterestRateIndexMaturity(K36,E36,Trigger)</f>
        <v>45531</v>
      </c>
      <c r="G36" s="50">
        <f>_xll.qlIndexFixing(K36,D36,TRUE,InterestRatesTrigger)</f>
        <v>3.5565530529426168E-2</v>
      </c>
      <c r="H36" s="41" t="str">
        <f>Contribution!J36</f>
        <v>AUD1M10Y=</v>
      </c>
      <c r="I36" s="41"/>
      <c r="J36" s="44"/>
      <c r="K36" s="93" t="str">
        <f>_xll.qlSwapIndex(,"BBSW",B36,SettlementDays,Currency,Calendar,FixedLegTenor,FixedLegBDC,FixedLegDayCounter,IborIndex,DiscountingCurve,,Trigger)</f>
        <v>obj_003bd#0010</v>
      </c>
      <c r="L36" s="96"/>
      <c r="M36" s="95"/>
      <c r="N36" s="89"/>
      <c r="O36" s="95"/>
      <c r="P36" s="44"/>
      <c r="Q36" s="44"/>
      <c r="R36" s="2"/>
      <c r="S36" s="2"/>
      <c r="T36" s="2"/>
      <c r="U36" s="2"/>
      <c r="V36" s="2"/>
      <c r="W36" s="2"/>
      <c r="X36" s="2"/>
    </row>
    <row r="37" spans="1:24" x14ac:dyDescent="0.2">
      <c r="A37" s="95"/>
      <c r="B37" s="23" t="s">
        <v>35</v>
      </c>
      <c r="C37" s="31" t="s">
        <v>64</v>
      </c>
      <c r="D37" s="51">
        <f t="shared" si="0"/>
        <v>41877</v>
      </c>
      <c r="E37" s="51">
        <f>_xll.qlInterestRateIndexValueDate(K37,D37,Trigger)</f>
        <v>41878</v>
      </c>
      <c r="F37" s="51">
        <f>_xll.qlInterestRateIndexMaturity(K37,E37,Trigger)</f>
        <v>46261</v>
      </c>
      <c r="G37" s="50">
        <f>_xll.qlIndexFixing(K37,D37,TRUE,InterestRatesTrigger)</f>
        <v>3.7014862817274091E-2</v>
      </c>
      <c r="H37" s="41" t="str">
        <f>Contribution!J37</f>
        <v>AUD1M12Y=</v>
      </c>
      <c r="I37" s="41"/>
      <c r="J37" s="44"/>
      <c r="K37" s="93" t="str">
        <f>_xll.qlSwapIndex(,"BBSW",B37,SettlementDays,Currency,Calendar,FixedLegTenor,FixedLegBDC,FixedLegDayCounter,IborIndex,DiscountingCurve,,Trigger)</f>
        <v>obj_003a9#0010</v>
      </c>
      <c r="L37" s="96"/>
      <c r="M37" s="95"/>
      <c r="N37" s="89"/>
      <c r="O37" s="95"/>
      <c r="P37" s="44"/>
      <c r="Q37" s="44"/>
      <c r="R37" s="2"/>
      <c r="S37" s="2"/>
      <c r="T37" s="2"/>
      <c r="U37" s="2"/>
      <c r="V37" s="2"/>
      <c r="W37" s="2"/>
      <c r="X37" s="2"/>
    </row>
    <row r="38" spans="1:24" x14ac:dyDescent="0.2">
      <c r="A38" s="95"/>
      <c r="B38" s="23" t="s">
        <v>36</v>
      </c>
      <c r="C38" s="31" t="s">
        <v>64</v>
      </c>
      <c r="D38" s="51">
        <f t="shared" si="0"/>
        <v>41877</v>
      </c>
      <c r="E38" s="51">
        <f>_xll.qlInterestRateIndexValueDate(K38,D38,Trigger)</f>
        <v>41878</v>
      </c>
      <c r="F38" s="51">
        <f>_xll.qlInterestRateIndexMaturity(K38,E38,Trigger)</f>
        <v>47357</v>
      </c>
      <c r="G38" s="50">
        <f>_xll.qlIndexFixing(K38,D38,TRUE,InterestRatesTrigger)</f>
        <v>3.8538553346458185E-2</v>
      </c>
      <c r="H38" s="41" t="str">
        <f>Contribution!J38</f>
        <v>AUD1M15Y=</v>
      </c>
      <c r="I38" s="41"/>
      <c r="J38" s="44"/>
      <c r="K38" s="93" t="str">
        <f>_xll.qlSwapIndex(,"BBSW",B38,SettlementDays,Currency,Calendar,FixedLegTenor,FixedLegBDC,FixedLegDayCounter,IborIndex,DiscountingCurve,,Trigger)</f>
        <v>obj_003cc#0010</v>
      </c>
      <c r="L38" s="96"/>
      <c r="M38" s="95"/>
      <c r="N38" s="95"/>
      <c r="O38" s="89"/>
      <c r="P38" s="44"/>
      <c r="Q38" s="44"/>
      <c r="R38" s="2"/>
      <c r="S38" s="2"/>
      <c r="T38" s="2"/>
      <c r="U38" s="2"/>
      <c r="V38" s="2"/>
      <c r="W38" s="2"/>
      <c r="X38" s="2"/>
    </row>
    <row r="39" spans="1:24" x14ac:dyDescent="0.2">
      <c r="A39" s="95"/>
      <c r="B39" s="23" t="s">
        <v>37</v>
      </c>
      <c r="C39" s="31" t="s">
        <v>64</v>
      </c>
      <c r="D39" s="51">
        <f t="shared" si="0"/>
        <v>41877</v>
      </c>
      <c r="E39" s="51">
        <f>_xll.qlInterestRateIndexValueDate(K39,D39,Trigger)</f>
        <v>41878</v>
      </c>
      <c r="F39" s="51">
        <f>_xll.qlInterestRateIndexMaturity(K39,E39,Trigger)</f>
        <v>49184</v>
      </c>
      <c r="G39" s="50">
        <f>_xll.qlIndexFixing(K39,D39,TRUE,InterestRatesTrigger)</f>
        <v>4.0274682082972149E-2</v>
      </c>
      <c r="H39" s="41" t="str">
        <f>Contribution!J39</f>
        <v>AUD1M20Y=</v>
      </c>
      <c r="I39" s="41"/>
      <c r="J39" s="44"/>
      <c r="K39" s="93" t="str">
        <f>_xll.qlSwapIndex(,"BBSW",B39,SettlementDays,Currency,Calendar,FixedLegTenor,FixedLegBDC,FixedLegDayCounter,IborIndex,DiscountingCurve,,Trigger)</f>
        <v>obj_003b8#0010</v>
      </c>
      <c r="L39" s="96"/>
      <c r="M39" s="95"/>
      <c r="N39" s="89"/>
      <c r="O39" s="95"/>
      <c r="P39" s="44"/>
      <c r="Q39" s="44"/>
      <c r="R39" s="2"/>
      <c r="S39" s="2"/>
      <c r="T39" s="2"/>
      <c r="U39" s="2"/>
      <c r="V39" s="2"/>
      <c r="W39" s="2"/>
      <c r="X39" s="2"/>
    </row>
    <row r="40" spans="1:24" x14ac:dyDescent="0.2">
      <c r="A40" s="95"/>
      <c r="B40" s="23" t="s">
        <v>38</v>
      </c>
      <c r="C40" s="31" t="s">
        <v>64</v>
      </c>
      <c r="D40" s="51">
        <f t="shared" si="0"/>
        <v>41877</v>
      </c>
      <c r="E40" s="51">
        <f>_xll.qlInterestRateIndexValueDate(K40,D40,Trigger)</f>
        <v>41878</v>
      </c>
      <c r="F40" s="51">
        <f>_xll.qlInterestRateIndexMaturity(K40,E40,Trigger)</f>
        <v>51011</v>
      </c>
      <c r="G40" s="50">
        <f>_xll.qlIndexFixing(K40,D40,TRUE,InterestRatesTrigger)</f>
        <v>4.1019336364557527E-2</v>
      </c>
      <c r="H40" s="41" t="str">
        <f>Contribution!J40</f>
        <v>AUD1M25Y=</v>
      </c>
      <c r="I40" s="41"/>
      <c r="J40" s="44"/>
      <c r="K40" s="93" t="str">
        <f>_xll.qlSwapIndex(,"BBSW",B40,SettlementDays,Currency,Calendar,FixedLegTenor,FixedLegBDC,FixedLegDayCounter,IborIndex,DiscountingCurve,,Trigger)</f>
        <v>obj_003e8#0010</v>
      </c>
      <c r="L40" s="96"/>
      <c r="M40" s="95"/>
      <c r="N40" s="89"/>
      <c r="O40" s="95"/>
      <c r="P40" s="95"/>
      <c r="Q40" s="95"/>
      <c r="R40" s="95"/>
      <c r="S40" s="2"/>
      <c r="T40" s="2"/>
      <c r="U40" s="2"/>
      <c r="V40" s="2"/>
      <c r="W40" s="2"/>
      <c r="X40" s="2"/>
    </row>
    <row r="41" spans="1:24" x14ac:dyDescent="0.2">
      <c r="A41" s="95"/>
      <c r="B41" s="24" t="s">
        <v>39</v>
      </c>
      <c r="C41" s="33" t="s">
        <v>64</v>
      </c>
      <c r="D41" s="52">
        <f t="shared" si="0"/>
        <v>41877</v>
      </c>
      <c r="E41" s="52">
        <f>_xll.qlInterestRateIndexValueDate(K41,D41,Trigger)</f>
        <v>41878</v>
      </c>
      <c r="F41" s="52">
        <f>_xll.qlInterestRateIndexMaturity(K41,E41,Trigger)</f>
        <v>52838</v>
      </c>
      <c r="G41" s="53">
        <f>_xll.qlIndexFixing(K41,D41,TRUE,InterestRatesTrigger)</f>
        <v>4.1329751402735163E-2</v>
      </c>
      <c r="H41" s="43" t="str">
        <f>Contribution!J41</f>
        <v>AUD1M30Y=</v>
      </c>
      <c r="I41" s="43"/>
      <c r="J41" s="44"/>
      <c r="K41" s="59" t="str">
        <f>_xll.qlSwapIndex(,"BBSW",B41,SettlementDays,Currency,Calendar,FixedLegTenor,FixedLegBDC,FixedLegDayCounter,IborIndex,DiscountingCurve,,Trigger)</f>
        <v>obj_003a6#0010</v>
      </c>
      <c r="L41" s="96"/>
      <c r="M41" s="95"/>
      <c r="N41" s="89"/>
      <c r="O41" s="95"/>
      <c r="P41" s="44"/>
      <c r="Q41" s="44"/>
      <c r="R41" s="2"/>
      <c r="S41" s="2"/>
      <c r="T41" s="2"/>
      <c r="U41" s="2"/>
      <c r="V41" s="2"/>
      <c r="W41" s="2"/>
      <c r="X41" s="2"/>
    </row>
    <row r="42" spans="1:24" x14ac:dyDescent="0.2">
      <c r="A42" s="95"/>
      <c r="B42" s="3"/>
      <c r="C42" s="6"/>
      <c r="D42" s="6"/>
      <c r="E42" s="6"/>
      <c r="F42" s="6"/>
      <c r="G42" s="6"/>
      <c r="H42" s="6"/>
      <c r="I42" s="6"/>
      <c r="J42" s="44"/>
      <c r="K42" s="95"/>
      <c r="L42" s="95"/>
      <c r="M42" s="95"/>
      <c r="N42" s="44"/>
      <c r="O42" s="44"/>
      <c r="P42" s="44"/>
      <c r="Q42" s="44"/>
      <c r="R42" s="2"/>
      <c r="S42" s="2"/>
      <c r="T42" s="2"/>
      <c r="U42" s="2"/>
      <c r="V42" s="2"/>
      <c r="W42" s="2"/>
      <c r="X42" s="2"/>
    </row>
    <row r="43" spans="1:24" x14ac:dyDescent="0.2">
      <c r="A43" s="95"/>
      <c r="B43" s="3"/>
      <c r="C43" s="6"/>
      <c r="D43" s="6"/>
      <c r="E43" s="6"/>
      <c r="F43" s="6"/>
      <c r="G43" s="6"/>
      <c r="H43" s="6"/>
      <c r="I43" s="6"/>
      <c r="J43" s="44"/>
      <c r="K43" s="95"/>
      <c r="L43" s="95"/>
      <c r="M43" s="95"/>
      <c r="N43" s="44"/>
      <c r="O43" s="44"/>
      <c r="P43" s="44"/>
      <c r="Q43" s="44"/>
      <c r="R43" s="2"/>
      <c r="S43" s="2"/>
      <c r="T43" s="2"/>
      <c r="U43" s="2"/>
      <c r="V43" s="2"/>
      <c r="W43" s="2"/>
      <c r="X43" s="2"/>
    </row>
    <row r="44" spans="1:24" x14ac:dyDescent="0.2">
      <c r="A44" s="95"/>
      <c r="B44" s="3"/>
      <c r="C44" s="6"/>
      <c r="D44" s="6"/>
      <c r="E44" s="6"/>
      <c r="F44" s="6"/>
      <c r="G44" s="6"/>
      <c r="H44" s="6"/>
      <c r="I44" s="6"/>
      <c r="J44" s="95"/>
      <c r="K44" s="95"/>
      <c r="L44" s="95"/>
      <c r="M44" s="95"/>
      <c r="N44" s="44"/>
      <c r="O44" s="44"/>
      <c r="P44" s="95"/>
      <c r="Q44" s="44"/>
      <c r="R44" s="2"/>
      <c r="S44" s="2"/>
      <c r="T44" s="2"/>
      <c r="U44" s="2"/>
      <c r="V44" s="2"/>
      <c r="W44" s="2"/>
      <c r="X44" s="2"/>
    </row>
    <row r="45" spans="1:24" x14ac:dyDescent="0.2">
      <c r="A45" s="6"/>
      <c r="B45" s="3"/>
      <c r="C45" s="6"/>
      <c r="D45" s="6"/>
      <c r="E45" s="6"/>
      <c r="F45" s="6"/>
      <c r="G45" s="6"/>
      <c r="H45" s="6"/>
      <c r="I45" s="6"/>
      <c r="J45" s="95"/>
      <c r="K45" s="95"/>
      <c r="L45" s="95"/>
      <c r="M45" s="95"/>
      <c r="N45" s="44"/>
      <c r="O45" s="44"/>
      <c r="P45" s="44"/>
      <c r="Q45" s="44"/>
      <c r="R45" s="2"/>
      <c r="S45" s="2"/>
      <c r="T45" s="2"/>
      <c r="U45" s="2"/>
      <c r="V45" s="2"/>
      <c r="W45" s="2"/>
      <c r="X45" s="2"/>
    </row>
    <row r="46" spans="1:24" x14ac:dyDescent="0.2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6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6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6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6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6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6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6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6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6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6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6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6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6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6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6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6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6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6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6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6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6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6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6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6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6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6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6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6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6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6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6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6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6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6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6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6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6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6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34" x14ac:dyDescent="0.2">
      <c r="A97" s="6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34" x14ac:dyDescent="0.2">
      <c r="A98" s="6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34" x14ac:dyDescent="0.2">
      <c r="A99" s="6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34" x14ac:dyDescent="0.2">
      <c r="A100" s="6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34" x14ac:dyDescent="0.2">
      <c r="A101" s="160"/>
      <c r="B101" s="162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AC101" s="11"/>
      <c r="AD101" s="11"/>
      <c r="AE101" s="11"/>
      <c r="AF101" s="11"/>
      <c r="AG101" s="11"/>
      <c r="AH101" s="11"/>
    </row>
    <row r="102" spans="1:34" x14ac:dyDescent="0.2">
      <c r="A102" s="160"/>
      <c r="B102" s="162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AC102" s="11"/>
      <c r="AD102" s="11"/>
      <c r="AE102" s="11"/>
      <c r="AF102" s="11"/>
      <c r="AG102" s="11"/>
      <c r="AH102" s="11"/>
    </row>
    <row r="103" spans="1:34" x14ac:dyDescent="0.2">
      <c r="A103" s="160"/>
      <c r="B103" s="162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C103" s="11"/>
      <c r="AD103" s="11"/>
      <c r="AE103" s="11"/>
      <c r="AF103" s="11"/>
      <c r="AG103" s="11"/>
      <c r="AH103" s="11"/>
    </row>
    <row r="104" spans="1:34" x14ac:dyDescent="0.2">
      <c r="A104" s="160"/>
      <c r="B104" s="162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C104" s="11"/>
      <c r="AD104" s="11"/>
      <c r="AE104" s="11"/>
      <c r="AF104" s="11"/>
      <c r="AG104" s="11"/>
      <c r="AH104" s="11"/>
    </row>
    <row r="105" spans="1:34" x14ac:dyDescent="0.2">
      <c r="A105" s="160"/>
      <c r="B105" s="162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C105" s="11"/>
      <c r="AD105" s="11"/>
      <c r="AE105" s="11"/>
      <c r="AF105" s="11"/>
      <c r="AG105" s="11"/>
      <c r="AH105" s="11"/>
    </row>
    <row r="106" spans="1:34" x14ac:dyDescent="0.2">
      <c r="A106" s="160"/>
      <c r="B106" s="162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C106" s="11"/>
      <c r="AD106" s="11"/>
      <c r="AE106" s="11"/>
      <c r="AF106" s="11"/>
      <c r="AG106" s="11"/>
      <c r="AH106" s="11"/>
    </row>
    <row r="107" spans="1:34" x14ac:dyDescent="0.2">
      <c r="A107" s="160"/>
      <c r="B107" s="162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C107" s="11"/>
      <c r="AD107" s="11"/>
      <c r="AE107" s="11"/>
      <c r="AF107" s="11"/>
      <c r="AG107" s="11"/>
      <c r="AH107" s="11"/>
    </row>
    <row r="108" spans="1:34" x14ac:dyDescent="0.2">
      <c r="A108" s="160"/>
      <c r="B108" s="162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C108" s="11"/>
      <c r="AD108" s="11"/>
      <c r="AE108" s="11"/>
      <c r="AF108" s="11"/>
      <c r="AG108" s="11"/>
      <c r="AH108" s="11"/>
    </row>
    <row r="109" spans="1:34" x14ac:dyDescent="0.2">
      <c r="A109" s="160"/>
      <c r="B109" s="162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C109" s="11"/>
      <c r="AD109" s="11"/>
      <c r="AE109" s="11"/>
      <c r="AF109" s="11"/>
      <c r="AG109" s="11"/>
      <c r="AH109" s="11"/>
    </row>
    <row r="110" spans="1:34" x14ac:dyDescent="0.2">
      <c r="A110" s="160"/>
      <c r="B110" s="162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C110" s="11"/>
      <c r="AD110" s="11"/>
      <c r="AE110" s="11"/>
      <c r="AF110" s="11"/>
      <c r="AG110" s="11"/>
      <c r="AH110" s="11"/>
    </row>
    <row r="111" spans="1:34" x14ac:dyDescent="0.2">
      <c r="A111" s="160"/>
      <c r="B111" s="162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C111" s="11"/>
      <c r="AD111" s="11"/>
      <c r="AE111" s="11"/>
      <c r="AF111" s="11"/>
      <c r="AG111" s="11"/>
      <c r="AH111" s="11"/>
    </row>
    <row r="112" spans="1:34" x14ac:dyDescent="0.2">
      <c r="A112" s="160"/>
      <c r="B112" s="162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C112" s="11"/>
      <c r="AD112" s="11"/>
      <c r="AE112" s="11"/>
      <c r="AF112" s="11"/>
      <c r="AG112" s="11"/>
      <c r="AH112" s="11"/>
    </row>
    <row r="113" spans="1:34" x14ac:dyDescent="0.2">
      <c r="A113" s="160"/>
      <c r="B113" s="162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C113" s="11"/>
      <c r="AD113" s="11"/>
      <c r="AE113" s="11"/>
      <c r="AF113" s="11"/>
      <c r="AG113" s="11"/>
      <c r="AH113" s="11"/>
    </row>
    <row r="114" spans="1:34" x14ac:dyDescent="0.2">
      <c r="A114" s="160"/>
      <c r="B114" s="162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AC114" s="11"/>
      <c r="AD114" s="11"/>
      <c r="AE114" s="11"/>
      <c r="AF114" s="11"/>
      <c r="AG114" s="11"/>
      <c r="AH114" s="11"/>
    </row>
    <row r="115" spans="1:34" x14ac:dyDescent="0.2">
      <c r="A115" s="160"/>
      <c r="B115" s="162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AC115" s="11"/>
      <c r="AD115" s="11"/>
      <c r="AE115" s="11"/>
      <c r="AF115" s="11"/>
      <c r="AG115" s="11"/>
      <c r="AH115" s="11"/>
    </row>
    <row r="116" spans="1:34" x14ac:dyDescent="0.2">
      <c r="A116" s="160"/>
      <c r="B116" s="162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AC116" s="11"/>
      <c r="AD116" s="11"/>
      <c r="AE116" s="11"/>
      <c r="AF116" s="11"/>
      <c r="AG116" s="11"/>
      <c r="AH116" s="11"/>
    </row>
    <row r="117" spans="1:34" x14ac:dyDescent="0.2">
      <c r="A117" s="160"/>
      <c r="B117" s="162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AC117" s="11"/>
      <c r="AD117" s="11"/>
      <c r="AE117" s="11"/>
      <c r="AF117" s="11"/>
      <c r="AG117" s="11"/>
      <c r="AH117" s="11"/>
    </row>
    <row r="118" spans="1:34" x14ac:dyDescent="0.2">
      <c r="A118" s="160"/>
      <c r="B118" s="162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AC118" s="11"/>
      <c r="AD118" s="11"/>
      <c r="AE118" s="11"/>
      <c r="AF118" s="11"/>
      <c r="AG118" s="11"/>
      <c r="AH118" s="11"/>
    </row>
    <row r="119" spans="1:34" x14ac:dyDescent="0.2">
      <c r="A119" s="160"/>
      <c r="B119" s="162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AC119" s="11"/>
      <c r="AD119" s="11"/>
      <c r="AE119" s="11"/>
      <c r="AF119" s="11"/>
      <c r="AG119" s="11"/>
      <c r="AH119" s="11"/>
    </row>
    <row r="120" spans="1:34" x14ac:dyDescent="0.2">
      <c r="A120" s="160"/>
      <c r="B120" s="162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AC120" s="11"/>
      <c r="AD120" s="11"/>
      <c r="AE120" s="11"/>
      <c r="AF120" s="11"/>
      <c r="AG120" s="11"/>
      <c r="AH120" s="11"/>
    </row>
    <row r="121" spans="1:34" x14ac:dyDescent="0.2">
      <c r="A121" s="160"/>
      <c r="B121" s="162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AC121" s="11"/>
      <c r="AD121" s="11"/>
      <c r="AE121" s="11"/>
      <c r="AF121" s="11"/>
      <c r="AG121" s="11"/>
      <c r="AH121" s="11"/>
    </row>
    <row r="122" spans="1:34" x14ac:dyDescent="0.2">
      <c r="A122" s="160"/>
      <c r="B122" s="162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AC122" s="11"/>
      <c r="AD122" s="11"/>
      <c r="AE122" s="11"/>
      <c r="AF122" s="11"/>
      <c r="AG122" s="11"/>
      <c r="AH122" s="11"/>
    </row>
    <row r="123" spans="1:34" x14ac:dyDescent="0.2">
      <c r="A123" s="160"/>
      <c r="B123" s="162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AC123" s="11"/>
      <c r="AD123" s="11"/>
      <c r="AE123" s="11"/>
      <c r="AF123" s="11"/>
      <c r="AG123" s="11"/>
      <c r="AH123" s="11"/>
    </row>
    <row r="124" spans="1:34" x14ac:dyDescent="0.2">
      <c r="A124" s="160"/>
      <c r="B124" s="162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AC124" s="11"/>
      <c r="AD124" s="11"/>
      <c r="AE124" s="11"/>
      <c r="AF124" s="11"/>
      <c r="AG124" s="11"/>
      <c r="AH124" s="11"/>
    </row>
    <row r="125" spans="1:34" x14ac:dyDescent="0.2">
      <c r="A125" s="160"/>
      <c r="B125" s="162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AC125" s="11"/>
      <c r="AD125" s="11"/>
      <c r="AE125" s="11"/>
      <c r="AF125" s="11"/>
      <c r="AG125" s="11"/>
      <c r="AH125" s="11"/>
    </row>
    <row r="126" spans="1:34" x14ac:dyDescent="0.2">
      <c r="A126" s="160"/>
      <c r="B126" s="162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AC126" s="11"/>
      <c r="AD126" s="11"/>
      <c r="AE126" s="11"/>
      <c r="AF126" s="11"/>
      <c r="AG126" s="11"/>
      <c r="AH126" s="11"/>
    </row>
    <row r="127" spans="1:34" x14ac:dyDescent="0.2">
      <c r="A127" s="160"/>
      <c r="B127" s="162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AC127" s="11"/>
      <c r="AD127" s="11"/>
      <c r="AE127" s="11"/>
      <c r="AF127" s="11"/>
      <c r="AG127" s="11"/>
      <c r="AH127" s="11"/>
    </row>
  </sheetData>
  <dataValidations disablePrompts="1" count="2">
    <dataValidation type="list" allowBlank="1" showInputMessage="1" showErrorMessage="1" sqref="O23 O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23 N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showGridLines="0" workbookViewId="0">
      <selection activeCell="D2" sqref="D2"/>
    </sheetView>
  </sheetViews>
  <sheetFormatPr defaultColWidth="2.85546875" defaultRowHeight="11.25" outlineLevelCol="1" x14ac:dyDescent="0.2"/>
  <cols>
    <col min="1" max="1" width="2.7109375" style="7" customWidth="1"/>
    <col min="2" max="2" width="4" style="5" bestFit="1" customWidth="1"/>
    <col min="3" max="3" width="15.140625" style="7" bestFit="1" customWidth="1"/>
    <col min="4" max="6" width="17.28515625" style="7" customWidth="1"/>
    <col min="7" max="7" width="8" style="7" bestFit="1" customWidth="1"/>
    <col min="8" max="8" width="13.140625" style="7" bestFit="1" customWidth="1"/>
    <col min="9" max="9" width="17.28515625" style="7" bestFit="1" customWidth="1"/>
    <col min="10" max="10" width="2.7109375" style="7" hidden="1" customWidth="1" outlineLevel="1"/>
    <col min="11" max="11" width="15.140625" style="7" hidden="1" customWidth="1" outlineLevel="1"/>
    <col min="12" max="12" width="2.7109375" style="7" hidden="1" customWidth="1" outlineLevel="1"/>
    <col min="13" max="13" width="14.140625" style="7" hidden="1" customWidth="1" outlineLevel="1"/>
    <col min="14" max="14" width="30.7109375" style="7" hidden="1" customWidth="1" outlineLevel="1"/>
    <col min="15" max="15" width="19.28515625" style="7" hidden="1" customWidth="1" outlineLevel="1"/>
    <col min="16" max="16" width="2.7109375" style="1" customWidth="1" collapsed="1"/>
    <col min="17" max="24" width="14.85546875" style="1" customWidth="1"/>
    <col min="25" max="27" width="14.85546875" style="40" customWidth="1"/>
    <col min="28" max="148" width="14.85546875" style="1" customWidth="1"/>
    <col min="149" max="16384" width="2.85546875" style="1"/>
  </cols>
  <sheetData>
    <row r="1" spans="1:24" x14ac:dyDescent="0.2">
      <c r="A1" s="6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95"/>
      <c r="B2" s="89"/>
      <c r="C2" s="90" t="s">
        <v>76</v>
      </c>
      <c r="D2" s="91" t="s">
        <v>21</v>
      </c>
      <c r="E2" s="95"/>
      <c r="F2" s="95"/>
      <c r="G2" s="95"/>
      <c r="H2" s="95"/>
      <c r="I2" s="95"/>
      <c r="J2" s="60"/>
      <c r="K2" s="60"/>
      <c r="L2" s="60"/>
      <c r="M2" s="60"/>
      <c r="N2" s="60"/>
      <c r="O2" s="60"/>
      <c r="P2" s="44"/>
      <c r="Q2" s="44"/>
      <c r="R2" s="44"/>
      <c r="S2" s="44"/>
      <c r="T2" s="44"/>
      <c r="U2" s="44"/>
      <c r="V2" s="44"/>
      <c r="W2" s="44"/>
      <c r="X2" s="44"/>
    </row>
    <row r="3" spans="1:24" x14ac:dyDescent="0.2">
      <c r="A3" s="95"/>
      <c r="B3" s="3"/>
      <c r="C3" s="90" t="s">
        <v>77</v>
      </c>
      <c r="D3" s="91" t="str">
        <f>Currency&amp;CurveTenor</f>
        <v>AUD3M</v>
      </c>
      <c r="E3" s="95"/>
      <c r="F3" s="95"/>
      <c r="G3" s="95"/>
      <c r="H3" s="95"/>
      <c r="I3" s="95"/>
      <c r="J3" s="60"/>
      <c r="K3" s="6"/>
      <c r="L3" s="60"/>
      <c r="M3" s="6"/>
      <c r="N3" s="60"/>
      <c r="O3" s="60"/>
      <c r="P3" s="44"/>
      <c r="Q3" s="44"/>
      <c r="R3" s="2"/>
      <c r="S3" s="2"/>
      <c r="T3" s="2"/>
      <c r="U3" s="2"/>
      <c r="V3" s="2"/>
      <c r="W3" s="2"/>
      <c r="X3" s="2"/>
    </row>
    <row r="4" spans="1:24" x14ac:dyDescent="0.2">
      <c r="A4" s="95"/>
      <c r="B4" s="89"/>
      <c r="C4" s="95"/>
      <c r="D4" s="95"/>
      <c r="E4" s="95"/>
      <c r="F4" s="95"/>
      <c r="G4" s="95"/>
      <c r="H4" s="95"/>
      <c r="I4" s="95"/>
      <c r="J4" s="60"/>
      <c r="K4" s="60"/>
      <c r="L4" s="60"/>
      <c r="M4" s="60"/>
      <c r="N4" s="60"/>
      <c r="O4" s="60"/>
      <c r="P4" s="44"/>
      <c r="Q4" s="44"/>
      <c r="R4" s="2"/>
      <c r="S4" s="2"/>
      <c r="T4" s="2"/>
      <c r="U4" s="2"/>
      <c r="V4" s="2"/>
      <c r="W4" s="2"/>
      <c r="X4" s="2"/>
    </row>
    <row r="5" spans="1:24" x14ac:dyDescent="0.2">
      <c r="A5" s="95"/>
      <c r="B5" s="28"/>
      <c r="C5" s="28" t="s">
        <v>47</v>
      </c>
      <c r="D5" s="28" t="s">
        <v>63</v>
      </c>
      <c r="E5" s="28" t="s">
        <v>73</v>
      </c>
      <c r="F5" s="28" t="s">
        <v>45</v>
      </c>
      <c r="G5" s="29" t="s">
        <v>44</v>
      </c>
      <c r="H5" s="29" t="s">
        <v>74</v>
      </c>
      <c r="I5" s="29" t="s">
        <v>75</v>
      </c>
      <c r="J5" s="60"/>
      <c r="K5" s="8" t="s">
        <v>40</v>
      </c>
      <c r="L5" s="60"/>
      <c r="M5" s="90" t="s">
        <v>96</v>
      </c>
      <c r="N5" s="90" t="s">
        <v>87</v>
      </c>
      <c r="O5" s="90" t="s">
        <v>88</v>
      </c>
      <c r="P5" s="44"/>
      <c r="Q5" s="44"/>
      <c r="R5" s="2"/>
      <c r="S5" s="2"/>
      <c r="T5" s="2"/>
      <c r="U5" s="2"/>
      <c r="V5" s="2"/>
      <c r="W5" s="2"/>
      <c r="X5" s="2"/>
    </row>
    <row r="6" spans="1:24" x14ac:dyDescent="0.2">
      <c r="A6" s="95"/>
      <c r="B6" s="22" t="s">
        <v>15</v>
      </c>
      <c r="C6" s="31" t="s">
        <v>65</v>
      </c>
      <c r="D6" s="48">
        <f t="shared" ref="D6:D12" si="0">EvaluationDate</f>
        <v>41877</v>
      </c>
      <c r="E6" s="48">
        <f>EvaluationDate</f>
        <v>41877</v>
      </c>
      <c r="F6" s="48">
        <f>_xll.qlCalendarAdvance(Calendar,EvaluationDate,"1D","f",TRUE,Trigger)</f>
        <v>41878</v>
      </c>
      <c r="G6" s="55">
        <f>_xll.qlIndexFixing(K6,D6,TRUE,InterestRatesTrigger)</f>
        <v>2.6606780038964661E-2</v>
      </c>
      <c r="H6" s="56" t="str">
        <f>Contribution!P6</f>
        <v>AUD3MOND=</v>
      </c>
      <c r="I6" s="57"/>
      <c r="J6" s="60"/>
      <c r="K6" s="92" t="str">
        <f>_xll.qlIborIndex(,"BBSW",IF(B6="ON","1D",IF(B6="SW","1W",B6)),0,Currency,Calendar,BDayConvention,EndOfMonth,DayCounter,YieldCurve,,Trigger)</f>
        <v>obj_003d8#0033</v>
      </c>
      <c r="L6" s="60"/>
      <c r="M6" s="91" t="b">
        <v>1</v>
      </c>
      <c r="N6" s="91" t="s">
        <v>89</v>
      </c>
      <c r="O6" s="91" t="s">
        <v>43</v>
      </c>
      <c r="P6" s="44"/>
      <c r="Q6" s="44"/>
      <c r="R6" s="2"/>
      <c r="S6" s="2"/>
      <c r="T6" s="2"/>
      <c r="U6" s="2"/>
      <c r="V6" s="2"/>
      <c r="W6" s="2"/>
      <c r="X6" s="2"/>
    </row>
    <row r="7" spans="1:24" x14ac:dyDescent="0.2">
      <c r="A7" s="95"/>
      <c r="B7" s="23" t="s">
        <v>16</v>
      </c>
      <c r="C7" s="31" t="s">
        <v>65</v>
      </c>
      <c r="D7" s="51">
        <f t="shared" si="0"/>
        <v>41877</v>
      </c>
      <c r="E7" s="51">
        <f>_xll.qlInterestRateIndexValueDate(K7,D7,Trigger)</f>
        <v>41877</v>
      </c>
      <c r="F7" s="51">
        <f>_xll.qlInterestRateIndexMaturity(K7,E7,Trigger)</f>
        <v>41884</v>
      </c>
      <c r="G7" s="50">
        <f>_xll.qlIndexFixing(K7,D7,TRUE,InterestRatesTrigger)</f>
        <v>2.661290804412194E-2</v>
      </c>
      <c r="H7" s="41" t="str">
        <f>Contribution!P7</f>
        <v>AUD3MSWD=</v>
      </c>
      <c r="I7" s="41"/>
      <c r="J7" s="60"/>
      <c r="K7" s="32" t="str">
        <f>_xll.qlIborIndex(,"BBSW",IF(B7="ON","1D",IF(B7="SW","1W",B7)),0,Currency,Calendar,BDayConvention,EndOfMonth,DayCounter,YieldCurve,,Trigger)</f>
        <v>obj_003b5#0012</v>
      </c>
      <c r="L7" s="60"/>
      <c r="M7" s="60"/>
      <c r="N7" s="95"/>
      <c r="O7" s="95"/>
      <c r="P7" s="44"/>
      <c r="Q7" s="44"/>
      <c r="R7" s="2"/>
      <c r="S7" s="2"/>
      <c r="T7" s="2"/>
      <c r="U7" s="2"/>
      <c r="V7" s="2"/>
      <c r="W7" s="2"/>
      <c r="X7" s="2"/>
    </row>
    <row r="8" spans="1:24" x14ac:dyDescent="0.2">
      <c r="A8" s="95"/>
      <c r="B8" s="23" t="s">
        <v>17</v>
      </c>
      <c r="C8" s="31" t="s">
        <v>65</v>
      </c>
      <c r="D8" s="51">
        <f t="shared" si="0"/>
        <v>41877</v>
      </c>
      <c r="E8" s="51">
        <f>_xll.qlInterestRateIndexValueDate(K8,D8,Trigger)</f>
        <v>41877</v>
      </c>
      <c r="F8" s="51">
        <f>_xll.qlInterestRateIndexMaturity(K8,E8,Trigger)</f>
        <v>41891</v>
      </c>
      <c r="G8" s="50">
        <f>_xll.qlIndexFixing(K8,D8,TRUE,InterestRatesTrigger)</f>
        <v>2.6620645547960065E-2</v>
      </c>
      <c r="H8" s="41" t="str">
        <f>Contribution!P8</f>
        <v>AUD3M2WD=</v>
      </c>
      <c r="I8" s="41"/>
      <c r="J8" s="60"/>
      <c r="K8" s="32" t="str">
        <f>_xll.qlIborIndex(,"BBSW",IF(B8="ON","1D",IF(B8="SW","1W",B8)),0,Currency,Calendar,BDayConvention,EndOfMonth,DayCounter,YieldCurve,,Trigger)</f>
        <v>obj_003c6#0012</v>
      </c>
      <c r="L8" s="60"/>
      <c r="M8" s="60"/>
      <c r="N8" s="95"/>
      <c r="O8" s="95"/>
      <c r="P8" s="44"/>
      <c r="Q8" s="44"/>
      <c r="R8" s="2"/>
      <c r="S8" s="2"/>
      <c r="T8" s="2"/>
      <c r="U8" s="2"/>
      <c r="V8" s="2"/>
      <c r="W8" s="2"/>
      <c r="X8" s="2"/>
    </row>
    <row r="9" spans="1:24" x14ac:dyDescent="0.2">
      <c r="A9" s="95"/>
      <c r="B9" s="23" t="s">
        <v>18</v>
      </c>
      <c r="C9" s="31" t="s">
        <v>65</v>
      </c>
      <c r="D9" s="51">
        <f t="shared" si="0"/>
        <v>41877</v>
      </c>
      <c r="E9" s="51">
        <f>_xll.qlInterestRateIndexValueDate(K9,D9,Trigger)</f>
        <v>41877</v>
      </c>
      <c r="F9" s="51">
        <f>_xll.qlInterestRateIndexMaturity(K9,E9,Trigger)</f>
        <v>41898</v>
      </c>
      <c r="G9" s="50">
        <f>_xll.qlIndexFixing(K9,D9,TRUE,InterestRatesTrigger)</f>
        <v>2.6629017380726247E-2</v>
      </c>
      <c r="H9" s="41" t="str">
        <f>Contribution!P9</f>
        <v>AUD3M3WD=</v>
      </c>
      <c r="I9" s="41"/>
      <c r="J9" s="60"/>
      <c r="K9" s="32" t="str">
        <f>_xll.qlIborIndex(,"BBSW",IF(B9="ON","1D",IF(B9="SW","1W",B9)),0,Currency,Calendar,BDayConvention,EndOfMonth,DayCounter,YieldCurve,,Trigger)</f>
        <v>obj_003eb#0012</v>
      </c>
      <c r="L9" s="60"/>
      <c r="M9" s="60"/>
      <c r="N9" s="95"/>
      <c r="O9" s="95"/>
      <c r="P9" s="44"/>
      <c r="Q9" s="44"/>
      <c r="R9" s="2"/>
      <c r="S9" s="2"/>
      <c r="T9" s="2"/>
      <c r="U9" s="2"/>
      <c r="V9" s="2"/>
      <c r="W9" s="2"/>
      <c r="X9" s="2"/>
    </row>
    <row r="10" spans="1:24" x14ac:dyDescent="0.2">
      <c r="A10" s="95"/>
      <c r="B10" s="23" t="s">
        <v>19</v>
      </c>
      <c r="C10" s="31" t="s">
        <v>65</v>
      </c>
      <c r="D10" s="51">
        <f t="shared" si="0"/>
        <v>41877</v>
      </c>
      <c r="E10" s="51">
        <f>_xll.qlInterestRateIndexValueDate(K10,D10,Trigger)</f>
        <v>41877</v>
      </c>
      <c r="F10" s="51">
        <f>_xll.qlInterestRateIndexMaturity(K10,E10,Trigger)</f>
        <v>41908</v>
      </c>
      <c r="G10" s="50">
        <f>_xll.qlIndexFixing(K10,D10,TRUE,InterestRatesTrigger)</f>
        <v>2.6642079428103864E-2</v>
      </c>
      <c r="H10" s="41" t="str">
        <f>Contribution!P10</f>
        <v>AUD3M1MD=</v>
      </c>
      <c r="I10" s="41"/>
      <c r="J10" s="60"/>
      <c r="K10" s="32" t="str">
        <f>_xll.qlIborIndex(,"BBSW",IF(B10="ON","1D",IF(B10="SW","1W",B10)),0,Currency,Calendar,BDayConvention,EndOfMonth,DayCounter,YieldCurve,,Trigger)</f>
        <v>obj_003e1#0012</v>
      </c>
      <c r="L10" s="60"/>
      <c r="M10" s="60"/>
      <c r="N10" s="60"/>
      <c r="O10" s="60"/>
      <c r="P10" s="44"/>
      <c r="Q10" s="44"/>
      <c r="R10" s="2"/>
      <c r="S10" s="2"/>
      <c r="T10" s="2"/>
      <c r="U10" s="2"/>
      <c r="V10" s="2"/>
      <c r="W10" s="2"/>
      <c r="X10" s="2"/>
    </row>
    <row r="11" spans="1:24" x14ac:dyDescent="0.2">
      <c r="A11" s="95"/>
      <c r="B11" s="23" t="s">
        <v>20</v>
      </c>
      <c r="C11" s="31" t="s">
        <v>65</v>
      </c>
      <c r="D11" s="51">
        <f t="shared" si="0"/>
        <v>41877</v>
      </c>
      <c r="E11" s="51">
        <f>_xll.qlInterestRateIndexValueDate(K11,D11,Trigger)</f>
        <v>41877</v>
      </c>
      <c r="F11" s="51">
        <f>_xll.qlInterestRateIndexMaturity(K11,E11,Trigger)</f>
        <v>41939</v>
      </c>
      <c r="G11" s="50">
        <f>_xll.qlIndexFixing(K11,D11,TRUE,InterestRatesTrigger)</f>
        <v>2.6690841775781394E-2</v>
      </c>
      <c r="H11" s="41" t="str">
        <f>Contribution!P11</f>
        <v>AUD3M2MD=</v>
      </c>
      <c r="I11" s="41"/>
      <c r="J11" s="60"/>
      <c r="K11" s="32" t="str">
        <f>_xll.qlIborIndex(,"BBSW",IF(B11="ON","1D",IF(B11="SW","1W",B11)),0,Currency,Calendar,BDayConvention,EndOfMonth,DayCounter,YieldCurve,,Trigger)</f>
        <v>obj_003a8#0012</v>
      </c>
      <c r="L11" s="60"/>
      <c r="M11" s="60"/>
      <c r="N11" s="60"/>
      <c r="O11" s="60"/>
      <c r="P11" s="44"/>
      <c r="Q11" s="44"/>
      <c r="R11" s="2"/>
      <c r="S11" s="2"/>
      <c r="T11" s="2"/>
      <c r="U11" s="2"/>
      <c r="V11" s="2"/>
      <c r="W11" s="2"/>
      <c r="X11" s="2"/>
    </row>
    <row r="12" spans="1:24" x14ac:dyDescent="0.2">
      <c r="A12" s="95"/>
      <c r="B12" s="23" t="s">
        <v>21</v>
      </c>
      <c r="C12" s="31" t="s">
        <v>65</v>
      </c>
      <c r="D12" s="51">
        <f t="shared" si="0"/>
        <v>41877</v>
      </c>
      <c r="E12" s="51">
        <f>_xll.qlInterestRateIndexValueDate(K12,D12,Trigger)</f>
        <v>41877</v>
      </c>
      <c r="F12" s="51">
        <f>_xll.qlInterestRateIndexMaturity(K12,E12,Trigger)</f>
        <v>41969</v>
      </c>
      <c r="G12" s="50">
        <f>_xll.qlIndexFixing(K12,D12,TRUE,InterestRatesTrigger)</f>
        <v>2.674999999999593E-2</v>
      </c>
      <c r="H12" s="41" t="str">
        <f>Contribution!P12</f>
        <v>AUD3M3MD=</v>
      </c>
      <c r="I12" s="41" t="str">
        <f>"AU"&amp;CurveTenor&amp;"BA"&amp;"="</f>
        <v>AU3MBA=</v>
      </c>
      <c r="J12" s="60"/>
      <c r="K12" s="98" t="str">
        <f>IborIndexFamily&amp;CurveTenor</f>
        <v>AudBBSW3M</v>
      </c>
      <c r="L12" s="60"/>
      <c r="M12" s="60"/>
      <c r="N12" s="60"/>
      <c r="O12" s="60"/>
      <c r="P12" s="44"/>
      <c r="Q12" s="44"/>
      <c r="R12" s="2"/>
      <c r="S12" s="2"/>
      <c r="T12" s="2"/>
      <c r="U12" s="2"/>
      <c r="V12" s="2"/>
      <c r="W12" s="2"/>
      <c r="X12" s="2"/>
    </row>
    <row r="13" spans="1:24" x14ac:dyDescent="0.2">
      <c r="A13" s="95"/>
      <c r="B13" s="23"/>
      <c r="C13" s="31"/>
      <c r="D13" s="51"/>
      <c r="E13" s="51"/>
      <c r="F13" s="51"/>
      <c r="G13" s="50"/>
      <c r="H13" s="41"/>
      <c r="I13" s="41"/>
      <c r="J13" s="60"/>
      <c r="K13" s="95"/>
      <c r="L13" s="60"/>
      <c r="M13" s="60"/>
      <c r="N13" s="60"/>
      <c r="O13" s="60"/>
      <c r="P13" s="44"/>
      <c r="Q13" s="44"/>
      <c r="R13" s="2"/>
      <c r="S13" s="2"/>
      <c r="T13" s="2"/>
      <c r="U13" s="2"/>
      <c r="V13" s="2"/>
      <c r="W13" s="2"/>
      <c r="X13" s="2"/>
    </row>
    <row r="14" spans="1:24" x14ac:dyDescent="0.2">
      <c r="A14" s="95"/>
      <c r="B14" s="23"/>
      <c r="C14" s="31"/>
      <c r="D14" s="51"/>
      <c r="E14" s="51"/>
      <c r="F14" s="51"/>
      <c r="G14" s="50"/>
      <c r="H14" s="41"/>
      <c r="I14" s="41"/>
      <c r="J14" s="60"/>
      <c r="K14" s="95"/>
      <c r="L14" s="60"/>
      <c r="M14" s="60"/>
      <c r="N14" s="60"/>
      <c r="O14" s="60"/>
      <c r="P14" s="44"/>
      <c r="Q14" s="44"/>
      <c r="R14" s="2"/>
      <c r="S14" s="2"/>
      <c r="T14" s="2"/>
      <c r="U14" s="2"/>
      <c r="V14" s="2"/>
      <c r="W14" s="2"/>
      <c r="X14" s="2"/>
    </row>
    <row r="15" spans="1:24" x14ac:dyDescent="0.2">
      <c r="A15" s="95"/>
      <c r="B15" s="23"/>
      <c r="C15" s="31"/>
      <c r="D15" s="51"/>
      <c r="E15" s="51"/>
      <c r="F15" s="51"/>
      <c r="G15" s="50"/>
      <c r="H15" s="41"/>
      <c r="I15" s="41"/>
      <c r="J15" s="60"/>
      <c r="K15" s="95"/>
      <c r="L15" s="60"/>
      <c r="M15" s="60"/>
      <c r="N15" s="60"/>
      <c r="O15" s="60"/>
      <c r="P15" s="44"/>
      <c r="Q15" s="44"/>
      <c r="R15" s="2"/>
      <c r="S15" s="2"/>
      <c r="T15" s="2"/>
      <c r="U15" s="2"/>
      <c r="V15" s="2"/>
      <c r="W15" s="2"/>
      <c r="X15" s="2"/>
    </row>
    <row r="16" spans="1:24" x14ac:dyDescent="0.2">
      <c r="A16" s="95"/>
      <c r="B16" s="23"/>
      <c r="C16" s="31"/>
      <c r="D16" s="51"/>
      <c r="E16" s="51"/>
      <c r="F16" s="51"/>
      <c r="G16" s="50"/>
      <c r="H16" s="41"/>
      <c r="I16" s="41"/>
      <c r="J16" s="60"/>
      <c r="K16" s="60"/>
      <c r="L16" s="60"/>
      <c r="M16" s="60"/>
      <c r="N16" s="60"/>
      <c r="O16" s="60"/>
      <c r="P16" s="44"/>
      <c r="Q16" s="44"/>
      <c r="R16" s="2"/>
      <c r="S16" s="2"/>
      <c r="T16" s="2"/>
      <c r="U16" s="2"/>
      <c r="V16" s="2"/>
      <c r="W16" s="2"/>
      <c r="X16" s="2"/>
    </row>
    <row r="17" spans="1:24" x14ac:dyDescent="0.2">
      <c r="A17" s="95"/>
      <c r="B17" s="22" t="str">
        <f>Contribution!D17</f>
        <v>U4</v>
      </c>
      <c r="C17" s="30" t="s">
        <v>84</v>
      </c>
      <c r="D17" s="48">
        <f>_xll.qlInterestRateIndexFixingDate(IborIndex,E17)</f>
        <v>41899</v>
      </c>
      <c r="E17" s="48">
        <f>_xll.qlIMMdate(B17)</f>
        <v>41899</v>
      </c>
      <c r="F17" s="48">
        <f>_xll.qlInterestRateIndexMaturity(IborIndex,E17,Trigger)</f>
        <v>41990</v>
      </c>
      <c r="G17" s="115">
        <f>(1-_xll.qlIndexFixing(IborIndex,D17,TRUE,InterestRatesTrigger))*100</f>
        <v>97.321226095651355</v>
      </c>
      <c r="H17" s="42" t="str">
        <f>Contribution!P17</f>
        <v>AUD3MU4=</v>
      </c>
      <c r="I17" s="42" t="str">
        <f>"YBA"&amp;B17</f>
        <v>YBAU4</v>
      </c>
      <c r="J17" s="60"/>
      <c r="K17" s="95"/>
      <c r="L17" s="95"/>
      <c r="M17" s="95"/>
      <c r="N17" s="95"/>
      <c r="O17" s="95"/>
      <c r="P17" s="44"/>
      <c r="Q17" s="44"/>
      <c r="R17" s="2"/>
      <c r="S17" s="2"/>
      <c r="T17" s="2"/>
      <c r="U17" s="2"/>
      <c r="V17" s="2"/>
      <c r="W17" s="2"/>
      <c r="X17" s="2"/>
    </row>
    <row r="18" spans="1:24" x14ac:dyDescent="0.2">
      <c r="A18" s="95"/>
      <c r="B18" s="23" t="str">
        <f>Contribution!D18</f>
        <v>Z4</v>
      </c>
      <c r="C18" s="31" t="s">
        <v>84</v>
      </c>
      <c r="D18" s="51">
        <f>_xll.qlInterestRateIndexFixingDate(IborIndex,E18)</f>
        <v>41990</v>
      </c>
      <c r="E18" s="51">
        <f>_xll.qlIMMdate(B18)</f>
        <v>41990</v>
      </c>
      <c r="F18" s="51">
        <f>_xll.qlInterestRateIndexMaturity(IborIndex,E18,Trigger)</f>
        <v>42080</v>
      </c>
      <c r="G18" s="116">
        <f>(1-_xll.qlIndexFixing(IborIndex,D18,TRUE,InterestRatesTrigger))*100</f>
        <v>97.405000000160754</v>
      </c>
      <c r="H18" s="41" t="str">
        <f>Contribution!P18</f>
        <v>AUD3MZ4=</v>
      </c>
      <c r="I18" s="41" t="str">
        <f t="shared" ref="I18:I22" si="1">"YBA"&amp;B18</f>
        <v>YBAZ4</v>
      </c>
      <c r="J18" s="95"/>
      <c r="K18" s="95"/>
      <c r="L18" s="95"/>
      <c r="M18" s="95"/>
      <c r="N18" s="95"/>
      <c r="O18" s="95"/>
      <c r="P18" s="44"/>
      <c r="Q18" s="44"/>
      <c r="R18" s="2"/>
      <c r="S18" s="2"/>
      <c r="T18" s="2"/>
      <c r="U18" s="2"/>
      <c r="V18" s="2"/>
      <c r="W18" s="2"/>
      <c r="X18" s="2"/>
    </row>
    <row r="19" spans="1:24" x14ac:dyDescent="0.2">
      <c r="A19" s="95"/>
      <c r="B19" s="23" t="str">
        <f>Contribution!D19</f>
        <v>H5</v>
      </c>
      <c r="C19" s="31" t="s">
        <v>84</v>
      </c>
      <c r="D19" s="51">
        <f>_xll.qlInterestRateIndexFixingDate(IborIndex,E19)</f>
        <v>42081</v>
      </c>
      <c r="E19" s="51">
        <f>_xll.qlIMMdate(B19)</f>
        <v>42081</v>
      </c>
      <c r="F19" s="51">
        <f>_xll.qlInterestRateIndexMaturity(IborIndex,E19,Trigger)</f>
        <v>42173</v>
      </c>
      <c r="G19" s="116">
        <f>(1-_xll.qlIndexFixing(IborIndex,D19,TRUE,InterestRatesTrigger))*100</f>
        <v>97.415000000205595</v>
      </c>
      <c r="H19" s="41" t="str">
        <f>Contribution!P19</f>
        <v>AUD3MH5=</v>
      </c>
      <c r="I19" s="41" t="str">
        <f t="shared" si="1"/>
        <v>YBAH5</v>
      </c>
      <c r="J19" s="95"/>
      <c r="K19" s="95"/>
      <c r="L19" s="95"/>
      <c r="M19" s="95"/>
      <c r="N19" s="95"/>
      <c r="O19" s="95"/>
      <c r="P19" s="44"/>
      <c r="Q19" s="44"/>
      <c r="R19" s="2"/>
      <c r="S19" s="2"/>
      <c r="T19" s="2"/>
      <c r="U19" s="2"/>
      <c r="V19" s="2"/>
      <c r="W19" s="2"/>
      <c r="X19" s="2"/>
    </row>
    <row r="20" spans="1:24" x14ac:dyDescent="0.2">
      <c r="A20" s="95"/>
      <c r="B20" s="23" t="str">
        <f>Contribution!D20</f>
        <v>M5</v>
      </c>
      <c r="C20" s="31" t="s">
        <v>84</v>
      </c>
      <c r="D20" s="51">
        <f>_xll.qlInterestRateIndexFixingDate(IborIndex,E20)</f>
        <v>42172</v>
      </c>
      <c r="E20" s="51">
        <f>_xll.qlIMMdate(B20)</f>
        <v>42172</v>
      </c>
      <c r="F20" s="51">
        <f>_xll.qlInterestRateIndexMaturity(IborIndex,E20,Trigger)</f>
        <v>42264</v>
      </c>
      <c r="G20" s="116">
        <f>(1-_xll.qlIndexFixing(IborIndex,D20,TRUE,InterestRatesTrigger))*100</f>
        <v>97.38000000005232</v>
      </c>
      <c r="H20" s="41" t="str">
        <f>Contribution!P20</f>
        <v>AUD3MM5=</v>
      </c>
      <c r="I20" s="41" t="str">
        <f t="shared" si="1"/>
        <v>YBAM5</v>
      </c>
      <c r="J20" s="95"/>
      <c r="K20" s="95"/>
      <c r="L20" s="95"/>
      <c r="M20" s="95"/>
      <c r="N20" s="95"/>
      <c r="O20" s="95"/>
      <c r="P20" s="44"/>
      <c r="Q20" s="44"/>
      <c r="R20" s="2"/>
      <c r="S20" s="2"/>
      <c r="T20" s="2"/>
      <c r="U20" s="2"/>
      <c r="V20" s="2"/>
      <c r="W20" s="2"/>
      <c r="X20" s="2"/>
    </row>
    <row r="21" spans="1:24" x14ac:dyDescent="0.2">
      <c r="A21" s="95"/>
      <c r="B21" s="23" t="str">
        <f>Contribution!D21</f>
        <v>U5</v>
      </c>
      <c r="C21" s="31" t="s">
        <v>84</v>
      </c>
      <c r="D21" s="51">
        <f>_xll.qlInterestRateIndexFixingDate(IborIndex,E21)</f>
        <v>42263</v>
      </c>
      <c r="E21" s="51">
        <f>_xll.qlIMMdate(B21)</f>
        <v>42263</v>
      </c>
      <c r="F21" s="51">
        <f>_xll.qlInterestRateIndexMaturity(IborIndex,E21,Trigger)</f>
        <v>42354</v>
      </c>
      <c r="G21" s="116">
        <f>(1-_xll.qlIndexFixing(IborIndex,D21,TRUE,InterestRatesTrigger))*100</f>
        <v>97.160000000313616</v>
      </c>
      <c r="H21" s="41" t="str">
        <f>Contribution!P21</f>
        <v>AUD3MU5=</v>
      </c>
      <c r="I21" s="41" t="str">
        <f t="shared" si="1"/>
        <v>YBAU5</v>
      </c>
      <c r="J21" s="95"/>
      <c r="K21" s="95"/>
      <c r="L21" s="95"/>
      <c r="M21" s="95"/>
      <c r="N21" s="95"/>
      <c r="O21" s="95"/>
      <c r="P21" s="44"/>
      <c r="Q21" s="44"/>
      <c r="R21" s="2"/>
      <c r="S21" s="2"/>
      <c r="T21" s="2"/>
      <c r="U21" s="2"/>
      <c r="V21" s="2"/>
      <c r="W21" s="2"/>
      <c r="X21" s="2"/>
    </row>
    <row r="22" spans="1:24" x14ac:dyDescent="0.2">
      <c r="A22" s="95"/>
      <c r="B22" s="24" t="str">
        <f>Contribution!D22</f>
        <v>Z5</v>
      </c>
      <c r="C22" s="33" t="s">
        <v>84</v>
      </c>
      <c r="D22" s="52">
        <f>_xll.qlInterestRateIndexFixingDate(IborIndex,E22)</f>
        <v>42354</v>
      </c>
      <c r="E22" s="52">
        <f>_xll.qlIMMdate(B22)</f>
        <v>42354</v>
      </c>
      <c r="F22" s="52">
        <f>_xll.qlInterestRateIndexMaturity(IborIndex,E22,Trigger)</f>
        <v>42445</v>
      </c>
      <c r="G22" s="117">
        <f>(1-_xll.qlIndexFixing(IborIndex,D22,TRUE,InterestRatesTrigger))*100</f>
        <v>96.87318049962802</v>
      </c>
      <c r="H22" s="43" t="str">
        <f>Contribution!P22</f>
        <v>AUD3MZ5=</v>
      </c>
      <c r="I22" s="43" t="str">
        <f t="shared" si="1"/>
        <v>YBAZ5</v>
      </c>
      <c r="J22" s="95"/>
      <c r="K22" s="94" t="s">
        <v>46</v>
      </c>
      <c r="L22" s="96"/>
      <c r="M22" s="90" t="s">
        <v>41</v>
      </c>
      <c r="N22" s="90" t="s">
        <v>78</v>
      </c>
      <c r="O22" s="90" t="s">
        <v>42</v>
      </c>
      <c r="P22" s="44"/>
      <c r="Q22" s="44"/>
      <c r="R22" s="2"/>
      <c r="S22" s="2"/>
      <c r="T22" s="2"/>
      <c r="U22" s="2"/>
      <c r="V22" s="2"/>
      <c r="W22" s="2"/>
      <c r="X22" s="2"/>
    </row>
    <row r="23" spans="1:24" x14ac:dyDescent="0.2">
      <c r="A23" s="95"/>
      <c r="B23" s="22" t="s">
        <v>21</v>
      </c>
      <c r="C23" s="30" t="s">
        <v>64</v>
      </c>
      <c r="D23" s="48">
        <f>EvaluationDate</f>
        <v>41877</v>
      </c>
      <c r="E23" s="48">
        <f>_xll.qlInterestRateIndexValueDate(K23,D23,Trigger)</f>
        <v>41878</v>
      </c>
      <c r="F23" s="48">
        <f>_xll.qlInterestRateIndexMaturity(K23,E23,Trigger)</f>
        <v>41970</v>
      </c>
      <c r="G23" s="49">
        <f>_xll.qlIndexFixing(K23,D23,TRUE,InterestRatesTrigger)</f>
        <v>2.6751805020187015E-2</v>
      </c>
      <c r="H23" s="42"/>
      <c r="I23" s="42"/>
      <c r="J23" s="95"/>
      <c r="K23" s="32" t="str">
        <f>_xll.qlSwapIndex(,"BBSW",B23,SettlementDays,Currency,Calendar,FixedLegTenor,FixedLegBDC,FixedLegDayCounter,IborIndex,DiscountingCurve,,Trigger)</f>
        <v>obj_00388#0020</v>
      </c>
      <c r="L23" s="60"/>
      <c r="M23" s="32" t="s">
        <v>21</v>
      </c>
      <c r="N23" s="32" t="s">
        <v>60</v>
      </c>
      <c r="O23" s="32" t="s">
        <v>43</v>
      </c>
      <c r="P23" s="44"/>
      <c r="Q23" s="44"/>
      <c r="R23" s="2"/>
      <c r="S23" s="2"/>
      <c r="T23" s="2"/>
      <c r="U23" s="2"/>
      <c r="V23" s="2"/>
      <c r="W23" s="2"/>
      <c r="X23" s="2"/>
    </row>
    <row r="24" spans="1:24" x14ac:dyDescent="0.2">
      <c r="A24" s="95"/>
      <c r="B24" s="23" t="s">
        <v>14</v>
      </c>
      <c r="C24" s="31" t="s">
        <v>64</v>
      </c>
      <c r="D24" s="51">
        <f t="shared" ref="D24:D25" si="2">EvaluationDate</f>
        <v>41877</v>
      </c>
      <c r="E24" s="51">
        <f>_xll.qlInterestRateIndexValueDate(K24,D24,Trigger)</f>
        <v>41878</v>
      </c>
      <c r="F24" s="51">
        <f>_xll.qlInterestRateIndexMaturity(K24,E24,Trigger)</f>
        <v>42062</v>
      </c>
      <c r="G24" s="50">
        <f>_xll.qlIndexFixing(K24,D24,TRUE,InterestRatesTrigger)</f>
        <v>2.655902579942971E-2</v>
      </c>
      <c r="H24" s="41"/>
      <c r="I24" s="41"/>
      <c r="J24" s="60"/>
      <c r="K24" s="32" t="str">
        <f>_xll.qlSwapIndex(,"BBSW",B24,SettlementDays,Currency,Calendar,FixedLegTenor,FixedLegBDC,FixedLegDayCounter,IborIndex,DiscountingCurve,,Trigger)</f>
        <v>obj_0038c#0009</v>
      </c>
      <c r="L24" s="60"/>
      <c r="M24" s="61"/>
      <c r="N24" s="61"/>
      <c r="O24" s="61"/>
      <c r="P24" s="44"/>
      <c r="Q24" s="44"/>
      <c r="R24" s="2"/>
      <c r="S24" s="2"/>
      <c r="T24" s="2"/>
      <c r="U24" s="2"/>
      <c r="V24" s="2"/>
      <c r="W24" s="2"/>
      <c r="X24" s="2"/>
    </row>
    <row r="25" spans="1:24" x14ac:dyDescent="0.2">
      <c r="A25" s="95"/>
      <c r="B25" s="23" t="s">
        <v>24</v>
      </c>
      <c r="C25" s="31" t="s">
        <v>64</v>
      </c>
      <c r="D25" s="51">
        <f t="shared" si="2"/>
        <v>41877</v>
      </c>
      <c r="E25" s="51">
        <f>_xll.qlInterestRateIndexValueDate(K25,D25,Trigger)</f>
        <v>41878</v>
      </c>
      <c r="F25" s="51">
        <f>_xll.qlInterestRateIndexMaturity(K25,E25,Trigger)</f>
        <v>42151</v>
      </c>
      <c r="G25" s="50">
        <f>_xll.qlIndexFixing(K25,D25,TRUE,InterestRatesTrigger)</f>
        <v>2.6008796742588939E-2</v>
      </c>
      <c r="H25" s="41"/>
      <c r="I25" s="41"/>
      <c r="J25" s="95"/>
      <c r="K25" s="32" t="str">
        <f>_xll.qlSwapIndex(,"BBSW",B25,SettlementDays,Currency,Calendar,FixedLegTenor,FixedLegBDC,FixedLegDayCounter,IborIndex,DiscountingCurve,,Trigger)</f>
        <v>obj_0038a#0008</v>
      </c>
      <c r="L25" s="60"/>
      <c r="M25" s="95"/>
      <c r="N25" s="95"/>
      <c r="O25" s="95"/>
      <c r="P25" s="44"/>
      <c r="Q25" s="44"/>
      <c r="R25" s="2"/>
      <c r="S25" s="2"/>
      <c r="T25" s="2"/>
      <c r="U25" s="2"/>
      <c r="V25" s="2"/>
      <c r="W25" s="2"/>
      <c r="X25" s="2"/>
    </row>
    <row r="26" spans="1:24" x14ac:dyDescent="0.2">
      <c r="A26" s="95"/>
      <c r="B26" s="23" t="s">
        <v>25</v>
      </c>
      <c r="C26" s="31" t="s">
        <v>64</v>
      </c>
      <c r="D26" s="51">
        <f t="shared" ref="D26:D27" si="3">EvaluationDate</f>
        <v>41877</v>
      </c>
      <c r="E26" s="51">
        <f>_xll.qlInterestRateIndexValueDate(K26,D26,Trigger)</f>
        <v>41878</v>
      </c>
      <c r="F26" s="51">
        <f>_xll.qlInterestRateIndexMaturity(K26,E26,Trigger)</f>
        <v>42243</v>
      </c>
      <c r="G26" s="50">
        <f>_xll.qlIndexFixing(K26,D26,TRUE,InterestRatesTrigger)</f>
        <v>2.6749999999358509E-2</v>
      </c>
      <c r="H26" s="41" t="str">
        <f>Contribution!P26</f>
        <v>AUD3M1Y=</v>
      </c>
      <c r="I26" s="58" t="str">
        <f>Currency&amp;"QM3AB"&amp;B26&amp;"=ICAA"</f>
        <v>AUDQM3AB1Y=ICAA</v>
      </c>
      <c r="J26" s="95"/>
      <c r="K26" s="32" t="str">
        <f>_xll.qlSwapIndex(,"BBSW",B26,SettlementDays,Currency,Calendar,FixedLegTenor,FixedLegBDC,FixedLegDayCounter,IborIndex,DiscountingCurve,,Trigger)</f>
        <v>obj_003b3#0008</v>
      </c>
      <c r="L26" s="60"/>
      <c r="M26" s="60"/>
      <c r="N26" s="60"/>
      <c r="O26" s="60"/>
      <c r="P26" s="44"/>
      <c r="Q26" s="44"/>
      <c r="R26" s="2"/>
      <c r="S26" s="2"/>
      <c r="T26" s="2"/>
      <c r="U26" s="2"/>
      <c r="V26" s="2"/>
      <c r="W26" s="2"/>
      <c r="X26" s="2"/>
    </row>
    <row r="27" spans="1:24" x14ac:dyDescent="0.2">
      <c r="A27" s="95"/>
      <c r="B27" s="23" t="s">
        <v>67</v>
      </c>
      <c r="C27" s="31" t="s">
        <v>64</v>
      </c>
      <c r="D27" s="51">
        <f t="shared" si="3"/>
        <v>41877</v>
      </c>
      <c r="E27" s="51">
        <f>_xll.qlInterestRateIndexValueDate(K27,D27,Trigger)</f>
        <v>41878</v>
      </c>
      <c r="F27" s="51">
        <f>_xll.qlInterestRateIndexMaturity(K27,E27,Trigger)</f>
        <v>42429</v>
      </c>
      <c r="G27" s="50">
        <f>_xll.qlIndexFixing(K27,D27,TRUE,InterestRatesTrigger)</f>
        <v>2.7295086144565356E-2</v>
      </c>
      <c r="H27" s="41"/>
      <c r="I27" s="58"/>
      <c r="J27" s="95"/>
      <c r="K27" s="32" t="str">
        <f>_xll.qlSwapIndex(,"BBSW",B27,SettlementDays,Currency,Calendar,FixedLegTenor,FixedLegBDC,FixedLegDayCounter,IborIndex,DiscountingCurve,,Trigger)</f>
        <v>obj_003bf#0008</v>
      </c>
      <c r="L27" s="60"/>
      <c r="M27" s="60"/>
      <c r="N27" s="60"/>
      <c r="O27" s="60"/>
      <c r="P27" s="44"/>
      <c r="Q27" s="44"/>
      <c r="R27" s="2"/>
      <c r="S27" s="2"/>
      <c r="T27" s="2"/>
      <c r="U27" s="2"/>
      <c r="V27" s="2"/>
      <c r="W27" s="2"/>
      <c r="X27" s="2"/>
    </row>
    <row r="28" spans="1:24" x14ac:dyDescent="0.2">
      <c r="A28" s="95"/>
      <c r="B28" s="23" t="s">
        <v>26</v>
      </c>
      <c r="C28" s="31" t="s">
        <v>64</v>
      </c>
      <c r="D28" s="51">
        <f t="shared" ref="D28:D41" si="4">EvaluationDate</f>
        <v>41877</v>
      </c>
      <c r="E28" s="51">
        <f>_xll.qlInterestRateIndexValueDate(K28,D28,Trigger)</f>
        <v>41878</v>
      </c>
      <c r="F28" s="51">
        <f>_xll.qlInterestRateIndexMaturity(K28,E28,Trigger)</f>
        <v>42611</v>
      </c>
      <c r="G28" s="50">
        <f>_xll.qlIndexFixing(K28,D28,TRUE,InterestRatesTrigger)</f>
        <v>2.7850000001175681E-2</v>
      </c>
      <c r="H28" s="41" t="str">
        <f>Contribution!P28</f>
        <v>AUD3M2Y=</v>
      </c>
      <c r="I28" s="58" t="str">
        <f>Currency&amp;"QM3AB"&amp;B28&amp;"=ICAA"</f>
        <v>AUDQM3AB2Y=ICAA</v>
      </c>
      <c r="J28" s="60"/>
      <c r="K28" s="32" t="str">
        <f>_xll.qlSwapIndex(,"BBSW",B28,SettlementDays,Currency,Calendar,FixedLegTenor,FixedLegBDC,FixedLegDayCounter,IborIndex,DiscountingCurve,,Trigger)</f>
        <v>obj_00390#0008</v>
      </c>
      <c r="L28" s="60"/>
      <c r="M28" s="60"/>
      <c r="N28" s="60"/>
      <c r="O28" s="60"/>
      <c r="P28" s="44"/>
      <c r="Q28" s="44"/>
      <c r="R28" s="2"/>
      <c r="S28" s="2"/>
      <c r="T28" s="2"/>
      <c r="U28" s="2"/>
      <c r="V28" s="2"/>
      <c r="W28" s="2"/>
      <c r="X28" s="2"/>
    </row>
    <row r="29" spans="1:24" x14ac:dyDescent="0.2">
      <c r="A29" s="95"/>
      <c r="B29" s="23" t="s">
        <v>27</v>
      </c>
      <c r="C29" s="31" t="s">
        <v>64</v>
      </c>
      <c r="D29" s="51">
        <f t="shared" si="4"/>
        <v>41877</v>
      </c>
      <c r="E29" s="51">
        <f>_xll.qlInterestRateIndexValueDate(K29,D29,Trigger)</f>
        <v>41878</v>
      </c>
      <c r="F29" s="51">
        <f>_xll.qlInterestRateIndexMaturity(K29,E29,Trigger)</f>
        <v>42975</v>
      </c>
      <c r="G29" s="50">
        <f>_xll.qlIndexFixing(K29,D29,TRUE,InterestRatesTrigger)</f>
        <v>2.9350000000904215E-2</v>
      </c>
      <c r="H29" s="41" t="str">
        <f>Contribution!P29</f>
        <v>AUD3M3Y=</v>
      </c>
      <c r="I29" s="58" t="str">
        <f>Currency&amp;"QM3AB"&amp;B29&amp;"=ICAA"</f>
        <v>AUDQM3AB3Y=ICAA</v>
      </c>
      <c r="J29" s="60"/>
      <c r="K29" s="32" t="str">
        <f>_xll.qlSwapIndex(,"BBSW",B29,SettlementDays,Currency,Calendar,FixedLegTenor,FixedLegBDC,FixedLegDayCounter,IborIndex,DiscountingCurve,,Trigger)</f>
        <v>obj_003d4#0008</v>
      </c>
      <c r="L29" s="60"/>
      <c r="M29" s="60"/>
      <c r="N29" s="60"/>
      <c r="O29" s="60"/>
      <c r="P29" s="44"/>
      <c r="Q29" s="44"/>
      <c r="R29" s="2"/>
      <c r="S29" s="2"/>
      <c r="T29" s="2"/>
      <c r="U29" s="2"/>
      <c r="V29" s="2"/>
      <c r="W29" s="2"/>
      <c r="X29" s="2"/>
    </row>
    <row r="30" spans="1:24" x14ac:dyDescent="0.2">
      <c r="A30" s="95"/>
      <c r="B30" s="23" t="s">
        <v>28</v>
      </c>
      <c r="C30" s="31" t="s">
        <v>64</v>
      </c>
      <c r="D30" s="51">
        <f t="shared" si="4"/>
        <v>41877</v>
      </c>
      <c r="E30" s="51">
        <f>_xll.qlInterestRateIndexValueDate(K30,D30,Trigger)</f>
        <v>41878</v>
      </c>
      <c r="F30" s="51">
        <f>_xll.qlInterestRateIndexMaturity(K30,E30,Trigger)</f>
        <v>43339</v>
      </c>
      <c r="G30" s="50">
        <f>_xll.qlIndexFixing(K30,D30,TRUE,InterestRatesTrigger)</f>
        <v>2.9950459349843174E-2</v>
      </c>
      <c r="H30" s="41" t="str">
        <f>Contribution!P30</f>
        <v>AUD3M4Y=</v>
      </c>
      <c r="I30" s="58"/>
      <c r="J30" s="60"/>
      <c r="K30" s="32" t="str">
        <f>_xll.qlSwapIndex(,"BBSW",B30,SettlementDays,Currency,Calendar,FixedLegTenor,FixedLegBDC,FixedLegDayCounter,IborIndex,DiscountingCurve,,Trigger)</f>
        <v>obj_003bc#0008</v>
      </c>
      <c r="L30" s="60"/>
      <c r="M30" s="60"/>
      <c r="N30" s="60"/>
      <c r="O30" s="60"/>
      <c r="P30" s="44"/>
      <c r="Q30" s="44"/>
      <c r="R30" s="2"/>
      <c r="S30" s="2"/>
      <c r="T30" s="2"/>
      <c r="U30" s="2"/>
      <c r="V30" s="2"/>
      <c r="W30" s="2"/>
      <c r="X30" s="2"/>
    </row>
    <row r="31" spans="1:24" x14ac:dyDescent="0.2">
      <c r="A31" s="95"/>
      <c r="B31" s="23" t="s">
        <v>29</v>
      </c>
      <c r="C31" s="31" t="s">
        <v>64</v>
      </c>
      <c r="D31" s="51">
        <f t="shared" si="4"/>
        <v>41877</v>
      </c>
      <c r="E31" s="51">
        <f>_xll.qlInterestRateIndexValueDate(K31,D31,Trigger)</f>
        <v>41878</v>
      </c>
      <c r="F31" s="51">
        <f>_xll.qlInterestRateIndexMaturity(K31,E31,Trigger)</f>
        <v>43704</v>
      </c>
      <c r="G31" s="50">
        <f>_xll.qlIndexFixing(K31,D31,TRUE,InterestRatesTrigger)</f>
        <v>3.1301618368247699E-2</v>
      </c>
      <c r="H31" s="41" t="str">
        <f>Contribution!P31</f>
        <v>AUD3M5Y=</v>
      </c>
      <c r="I31" s="41"/>
      <c r="J31" s="60"/>
      <c r="K31" s="32" t="str">
        <f>_xll.qlSwapIndex(,"BBSW",B31,SettlementDays,Currency,Calendar,FixedLegTenor,FixedLegBDC,FixedLegDayCounter,IborIndex,DiscountingCurve,,Trigger)</f>
        <v>obj_003e3#0008</v>
      </c>
      <c r="L31" s="60"/>
      <c r="M31" s="60"/>
      <c r="N31" s="60"/>
      <c r="O31" s="60"/>
      <c r="P31" s="44"/>
      <c r="Q31" s="44"/>
      <c r="R31" s="2"/>
      <c r="S31" s="2"/>
      <c r="T31" s="2"/>
      <c r="U31" s="2"/>
      <c r="V31" s="2"/>
      <c r="W31" s="2"/>
      <c r="X31" s="2"/>
    </row>
    <row r="32" spans="1:24" x14ac:dyDescent="0.2">
      <c r="A32" s="95"/>
      <c r="B32" s="23" t="s">
        <v>30</v>
      </c>
      <c r="C32" s="31" t="s">
        <v>64</v>
      </c>
      <c r="D32" s="51">
        <f t="shared" si="4"/>
        <v>41877</v>
      </c>
      <c r="E32" s="51">
        <f>_xll.qlInterestRateIndexValueDate(K32,D32,Trigger)</f>
        <v>41878</v>
      </c>
      <c r="F32" s="51">
        <f>_xll.qlInterestRateIndexMaturity(K32,E32,Trigger)</f>
        <v>44070</v>
      </c>
      <c r="G32" s="50">
        <f>_xll.qlIndexFixing(K32,D32,TRUE,InterestRatesTrigger)</f>
        <v>3.2661581811217248E-2</v>
      </c>
      <c r="H32" s="41"/>
      <c r="I32" s="41"/>
      <c r="J32" s="60"/>
      <c r="K32" s="32" t="str">
        <f>_xll.qlSwapIndex(,"BBSW",B32,SettlementDays,Currency,Calendar,FixedLegTenor,FixedLegBDC,FixedLegDayCounter,IborIndex,DiscountingCurve,,Trigger)</f>
        <v>obj_003c8#0008</v>
      </c>
      <c r="L32" s="60"/>
      <c r="M32" s="60"/>
      <c r="N32" s="60"/>
      <c r="O32" s="60"/>
      <c r="P32" s="44"/>
      <c r="Q32" s="44"/>
      <c r="R32" s="2"/>
      <c r="S32" s="2"/>
      <c r="T32" s="2"/>
      <c r="U32" s="2"/>
      <c r="V32" s="2"/>
      <c r="W32" s="2"/>
      <c r="X32" s="2"/>
    </row>
    <row r="33" spans="1:24" x14ac:dyDescent="0.2">
      <c r="A33" s="95"/>
      <c r="B33" s="23" t="s">
        <v>31</v>
      </c>
      <c r="C33" s="31" t="s">
        <v>64</v>
      </c>
      <c r="D33" s="51">
        <f t="shared" si="4"/>
        <v>41877</v>
      </c>
      <c r="E33" s="51">
        <f>_xll.qlInterestRateIndexValueDate(K33,D33,Trigger)</f>
        <v>41878</v>
      </c>
      <c r="F33" s="51">
        <f>_xll.qlInterestRateIndexMaturity(K33,E33,Trigger)</f>
        <v>44435</v>
      </c>
      <c r="G33" s="50">
        <f>_xll.qlIndexFixing(K33,D33,TRUE,InterestRatesTrigger)</f>
        <v>3.380347298503425E-2</v>
      </c>
      <c r="H33" s="41" t="str">
        <f>Contribution!P33</f>
        <v>AUD3M7Y=</v>
      </c>
      <c r="I33" s="41"/>
      <c r="J33" s="60"/>
      <c r="K33" s="32" t="str">
        <f>_xll.qlSwapIndex(,"BBSW",B33,SettlementDays,Currency,Calendar,FixedLegTenor,FixedLegBDC,FixedLegDayCounter,IborIndex,DiscountingCurve,,Trigger)</f>
        <v>obj_003ae#0008</v>
      </c>
      <c r="L33" s="60"/>
      <c r="M33" s="60"/>
      <c r="N33" s="60"/>
      <c r="O33" s="60"/>
      <c r="P33" s="44"/>
      <c r="Q33" s="44"/>
      <c r="R33" s="2"/>
      <c r="S33" s="2"/>
      <c r="T33" s="2"/>
      <c r="U33" s="2"/>
      <c r="V33" s="2"/>
      <c r="W33" s="2"/>
      <c r="X33" s="2"/>
    </row>
    <row r="34" spans="1:24" x14ac:dyDescent="0.2">
      <c r="A34" s="95"/>
      <c r="B34" s="23" t="s">
        <v>32</v>
      </c>
      <c r="C34" s="31" t="s">
        <v>64</v>
      </c>
      <c r="D34" s="51">
        <f t="shared" si="4"/>
        <v>41877</v>
      </c>
      <c r="E34" s="51">
        <f>_xll.qlInterestRateIndexValueDate(K34,D34,Trigger)</f>
        <v>41878</v>
      </c>
      <c r="F34" s="51">
        <f>_xll.qlInterestRateIndexMaturity(K34,E34,Trigger)</f>
        <v>44802</v>
      </c>
      <c r="G34" s="50">
        <f>_xll.qlIndexFixing(K34,D34,TRUE,InterestRatesTrigger)</f>
        <v>3.4770372878238004E-2</v>
      </c>
      <c r="H34" s="41"/>
      <c r="I34" s="41"/>
      <c r="J34" s="60"/>
      <c r="K34" s="32" t="str">
        <f>_xll.qlSwapIndex(,"BBSW",B34,SettlementDays,Currency,Calendar,FixedLegTenor,FixedLegBDC,FixedLegDayCounter,IborIndex,DiscountingCurve,,Trigger)</f>
        <v>obj_00398#0008</v>
      </c>
      <c r="L34" s="60"/>
      <c r="M34" s="60"/>
      <c r="N34" s="60"/>
      <c r="O34" s="60"/>
      <c r="P34" s="44"/>
      <c r="Q34" s="44"/>
      <c r="R34" s="2"/>
      <c r="S34" s="2"/>
      <c r="T34" s="2"/>
      <c r="U34" s="2"/>
      <c r="V34" s="2"/>
      <c r="W34" s="2"/>
      <c r="X34" s="2"/>
    </row>
    <row r="35" spans="1:24" x14ac:dyDescent="0.2">
      <c r="A35" s="95"/>
      <c r="B35" s="23" t="s">
        <v>33</v>
      </c>
      <c r="C35" s="31" t="s">
        <v>64</v>
      </c>
      <c r="D35" s="51">
        <f t="shared" si="4"/>
        <v>41877</v>
      </c>
      <c r="E35" s="51">
        <f>_xll.qlInterestRateIndexValueDate(K35,D35,Trigger)</f>
        <v>41878</v>
      </c>
      <c r="F35" s="51">
        <f>_xll.qlInterestRateIndexMaturity(K35,E35,Trigger)</f>
        <v>45166</v>
      </c>
      <c r="G35" s="50">
        <f>_xll.qlIndexFixing(K35,D35,TRUE,InterestRatesTrigger)</f>
        <v>3.5620546637620605E-2</v>
      </c>
      <c r="H35" s="41"/>
      <c r="I35" s="41"/>
      <c r="J35" s="60"/>
      <c r="K35" s="32" t="str">
        <f>_xll.qlSwapIndex(,"BBSW",B35,SettlementDays,Currency,Calendar,FixedLegTenor,FixedLegBDC,FixedLegDayCounter,IborIndex,DiscountingCurve,,Trigger)</f>
        <v>obj_003d0#0008</v>
      </c>
      <c r="L35" s="60"/>
      <c r="M35" s="60"/>
      <c r="N35" s="60"/>
      <c r="O35" s="60"/>
      <c r="P35" s="44"/>
      <c r="Q35" s="44"/>
      <c r="R35" s="2"/>
      <c r="S35" s="2"/>
      <c r="T35" s="2"/>
      <c r="U35" s="2"/>
      <c r="V35" s="2"/>
      <c r="W35" s="2"/>
      <c r="X35" s="2"/>
    </row>
    <row r="36" spans="1:24" x14ac:dyDescent="0.2">
      <c r="A36" s="95"/>
      <c r="B36" s="23" t="s">
        <v>34</v>
      </c>
      <c r="C36" s="31" t="s">
        <v>64</v>
      </c>
      <c r="D36" s="51">
        <f t="shared" si="4"/>
        <v>41877</v>
      </c>
      <c r="E36" s="51">
        <f>_xll.qlInterestRateIndexValueDate(K36,D36,Trigger)</f>
        <v>41878</v>
      </c>
      <c r="F36" s="51">
        <f>_xll.qlInterestRateIndexMaturity(K36,E36,Trigger)</f>
        <v>45531</v>
      </c>
      <c r="G36" s="50">
        <f>_xll.qlIndexFixing(K36,D36,TRUE,InterestRatesTrigger)</f>
        <v>3.6415530529238793E-2</v>
      </c>
      <c r="H36" s="41" t="str">
        <f>Contribution!P36</f>
        <v>AUD3M10Y=</v>
      </c>
      <c r="I36" s="41"/>
      <c r="J36" s="60"/>
      <c r="K36" s="32" t="str">
        <f>_xll.qlSwapIndex(,"BBSW",B36,SettlementDays,Currency,Calendar,FixedLegTenor,FixedLegBDC,FixedLegDayCounter,IborIndex,DiscountingCurve,,Trigger)</f>
        <v>obj_003b7#0008</v>
      </c>
      <c r="L36" s="60"/>
      <c r="M36" s="60"/>
      <c r="N36" s="60"/>
      <c r="O36" s="60"/>
      <c r="P36" s="44"/>
      <c r="Q36" s="44"/>
      <c r="R36" s="2"/>
      <c r="S36" s="2"/>
      <c r="T36" s="2"/>
      <c r="U36" s="2"/>
      <c r="V36" s="2"/>
      <c r="W36" s="2"/>
      <c r="X36" s="2"/>
    </row>
    <row r="37" spans="1:24" x14ac:dyDescent="0.2">
      <c r="A37" s="95"/>
      <c r="B37" s="23" t="s">
        <v>35</v>
      </c>
      <c r="C37" s="31" t="s">
        <v>64</v>
      </c>
      <c r="D37" s="51">
        <f t="shared" si="4"/>
        <v>41877</v>
      </c>
      <c r="E37" s="51">
        <f>_xll.qlInterestRateIndexValueDate(K37,D37,Trigger)</f>
        <v>41878</v>
      </c>
      <c r="F37" s="51">
        <f>_xll.qlInterestRateIndexMaturity(K37,E37,Trigger)</f>
        <v>46261</v>
      </c>
      <c r="G37" s="50">
        <f>_xll.qlIndexFixing(K37,D37,TRUE,InterestRatesTrigger)</f>
        <v>3.7852362817479113E-2</v>
      </c>
      <c r="H37" s="41" t="str">
        <f>Contribution!P37</f>
        <v>AUD3M12Y=</v>
      </c>
      <c r="I37" s="41"/>
      <c r="J37" s="60"/>
      <c r="K37" s="32" t="str">
        <f>_xll.qlSwapIndex(,"BBSW",B37,SettlementDays,Currency,Calendar,FixedLegTenor,FixedLegBDC,FixedLegDayCounter,IborIndex,DiscountingCurve,,Trigger)</f>
        <v>obj_003e6#0008</v>
      </c>
      <c r="L37" s="60"/>
      <c r="M37" s="60"/>
      <c r="N37" s="60"/>
      <c r="O37" s="60"/>
      <c r="P37" s="44"/>
      <c r="Q37" s="44"/>
      <c r="R37" s="2"/>
      <c r="S37" s="2"/>
      <c r="T37" s="2"/>
      <c r="U37" s="2"/>
      <c r="V37" s="2"/>
      <c r="W37" s="2"/>
      <c r="X37" s="2"/>
    </row>
    <row r="38" spans="1:24" x14ac:dyDescent="0.2">
      <c r="A38" s="95"/>
      <c r="B38" s="23" t="s">
        <v>36</v>
      </c>
      <c r="C38" s="31" t="s">
        <v>64</v>
      </c>
      <c r="D38" s="51">
        <f t="shared" si="4"/>
        <v>41877</v>
      </c>
      <c r="E38" s="51">
        <f>_xll.qlInterestRateIndexValueDate(K38,D38,Trigger)</f>
        <v>41878</v>
      </c>
      <c r="F38" s="51">
        <f>_xll.qlInterestRateIndexMaturity(K38,E38,Trigger)</f>
        <v>47357</v>
      </c>
      <c r="G38" s="50">
        <f>_xll.qlIndexFixing(K38,D38,TRUE,InterestRatesTrigger)</f>
        <v>3.9388553346460131E-2</v>
      </c>
      <c r="H38" s="41" t="str">
        <f>Contribution!P38</f>
        <v>AUD3M15Y=</v>
      </c>
      <c r="I38" s="41"/>
      <c r="J38" s="60"/>
      <c r="K38" s="32" t="str">
        <f>_xll.qlSwapIndex(,"BBSW",B38,SettlementDays,Currency,Calendar,FixedLegTenor,FixedLegBDC,FixedLegDayCounter,IborIndex,DiscountingCurve,,Trigger)</f>
        <v>obj_003ab#0008</v>
      </c>
      <c r="L38" s="60"/>
      <c r="M38" s="60"/>
      <c r="N38" s="60"/>
      <c r="O38" s="60"/>
      <c r="P38" s="44"/>
      <c r="Q38" s="44"/>
      <c r="R38" s="2"/>
      <c r="S38" s="2"/>
      <c r="T38" s="2"/>
      <c r="U38" s="2"/>
      <c r="V38" s="2"/>
      <c r="W38" s="2"/>
      <c r="X38" s="2"/>
    </row>
    <row r="39" spans="1:24" x14ac:dyDescent="0.2">
      <c r="A39" s="95"/>
      <c r="B39" s="23" t="s">
        <v>37</v>
      </c>
      <c r="C39" s="31" t="s">
        <v>64</v>
      </c>
      <c r="D39" s="51">
        <f t="shared" si="4"/>
        <v>41877</v>
      </c>
      <c r="E39" s="51">
        <f>_xll.qlInterestRateIndexValueDate(K39,D39,Trigger)</f>
        <v>41878</v>
      </c>
      <c r="F39" s="51">
        <f>_xll.qlInterestRateIndexMaturity(K39,E39,Trigger)</f>
        <v>49184</v>
      </c>
      <c r="G39" s="50">
        <f>_xll.qlIndexFixing(K39,D39,TRUE,InterestRatesTrigger)</f>
        <v>4.1024682082942431E-2</v>
      </c>
      <c r="H39" s="41" t="str">
        <f>Contribution!P39</f>
        <v>AUD3M20Y=</v>
      </c>
      <c r="I39" s="41"/>
      <c r="J39" s="60"/>
      <c r="K39" s="32" t="str">
        <f>_xll.qlSwapIndex(,"BBSW",B39,SettlementDays,Currency,Calendar,FixedLegTenor,FixedLegBDC,FixedLegDayCounter,IborIndex,DiscountingCurve,,Trigger)</f>
        <v>obj_003d6#0008</v>
      </c>
      <c r="L39" s="6"/>
      <c r="M39" s="6"/>
      <c r="N39" s="6"/>
      <c r="O39" s="6"/>
      <c r="P39" s="44"/>
      <c r="Q39" s="44"/>
      <c r="R39" s="2"/>
      <c r="S39" s="2"/>
      <c r="T39" s="2"/>
      <c r="U39" s="2"/>
      <c r="V39" s="2"/>
      <c r="W39" s="2"/>
      <c r="X39" s="2"/>
    </row>
    <row r="40" spans="1:24" x14ac:dyDescent="0.2">
      <c r="A40" s="95"/>
      <c r="B40" s="23" t="s">
        <v>38</v>
      </c>
      <c r="C40" s="31" t="s">
        <v>64</v>
      </c>
      <c r="D40" s="51">
        <f t="shared" si="4"/>
        <v>41877</v>
      </c>
      <c r="E40" s="51">
        <f>_xll.qlInterestRateIndexValueDate(K40,D40,Trigger)</f>
        <v>41878</v>
      </c>
      <c r="F40" s="51">
        <f>_xll.qlInterestRateIndexMaturity(K40,E40,Trigger)</f>
        <v>51011</v>
      </c>
      <c r="G40" s="50">
        <f>_xll.qlIndexFixing(K40,D40,TRUE,InterestRatesTrigger)</f>
        <v>4.1656836364547541E-2</v>
      </c>
      <c r="H40" s="41" t="str">
        <f>Contribution!P40</f>
        <v>AUD3M25Y=</v>
      </c>
      <c r="I40" s="41"/>
      <c r="J40" s="60"/>
      <c r="K40" s="32" t="str">
        <f>_xll.qlSwapIndex(,"BBSW",B40,SettlementDays,Currency,Calendar,FixedLegTenor,FixedLegBDC,FixedLegDayCounter,IborIndex,DiscountingCurve,,Trigger)</f>
        <v>obj_003ad#0008</v>
      </c>
      <c r="L40" s="6"/>
      <c r="M40" s="6"/>
      <c r="N40" s="6"/>
      <c r="O40" s="6"/>
      <c r="P40" s="44"/>
      <c r="Q40" s="44"/>
      <c r="R40" s="2"/>
      <c r="S40" s="2"/>
      <c r="T40" s="2"/>
      <c r="U40" s="2"/>
      <c r="V40" s="2"/>
      <c r="W40" s="2"/>
      <c r="X40" s="2"/>
    </row>
    <row r="41" spans="1:24" x14ac:dyDescent="0.2">
      <c r="A41" s="95"/>
      <c r="B41" s="24" t="s">
        <v>39</v>
      </c>
      <c r="C41" s="33" t="s">
        <v>64</v>
      </c>
      <c r="D41" s="52">
        <f t="shared" si="4"/>
        <v>41877</v>
      </c>
      <c r="E41" s="52">
        <f>_xll.qlInterestRateIndexValueDate(K41,D41,Trigger)</f>
        <v>41878</v>
      </c>
      <c r="F41" s="52">
        <f>_xll.qlInterestRateIndexMaturity(K41,E41,Trigger)</f>
        <v>52838</v>
      </c>
      <c r="G41" s="53">
        <f>_xll.qlIndexFixing(K41,D41,TRUE,InterestRatesTrigger)</f>
        <v>4.1942251402771163E-2</v>
      </c>
      <c r="H41" s="43" t="str">
        <f>Contribution!P41</f>
        <v>AUD3M30Y=</v>
      </c>
      <c r="I41" s="43"/>
      <c r="J41" s="60"/>
      <c r="K41" s="34" t="str">
        <f>_xll.qlSwapIndex(,"BBSW",B41,SettlementDays,Currency,Calendar,FixedLegTenor,FixedLegBDC,FixedLegDayCounter,IborIndex,DiscountingCurve,,Trigger)</f>
        <v>obj_0039b#0009</v>
      </c>
      <c r="L41" s="6"/>
      <c r="M41" s="6"/>
      <c r="N41" s="6"/>
      <c r="O41" s="6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95"/>
      <c r="B42" s="3"/>
      <c r="C42" s="6"/>
      <c r="D42" s="6"/>
      <c r="E42" s="6"/>
      <c r="F42" s="6"/>
      <c r="G42" s="6"/>
      <c r="H42" s="6"/>
      <c r="I42" s="6"/>
      <c r="J42" s="60"/>
      <c r="K42" s="6"/>
      <c r="L42" s="6"/>
      <c r="M42" s="6"/>
      <c r="N42" s="6"/>
      <c r="O42" s="6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95"/>
      <c r="B43" s="3"/>
      <c r="C43" s="6"/>
      <c r="D43" s="6"/>
      <c r="E43" s="6"/>
      <c r="F43" s="6"/>
      <c r="G43" s="6"/>
      <c r="H43" s="6"/>
      <c r="I43" s="6"/>
      <c r="J43" s="60"/>
      <c r="K43" s="6"/>
      <c r="L43" s="6"/>
      <c r="M43" s="6"/>
      <c r="N43" s="6"/>
      <c r="O43" s="6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95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6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6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6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6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6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6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6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6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6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6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6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6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6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6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6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6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6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6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6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6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6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6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6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6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6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6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6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6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6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6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6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6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6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6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6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6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6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6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6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2"/>
      <c r="Q96" s="2"/>
      <c r="R96" s="2"/>
      <c r="S96" s="2"/>
      <c r="T96" s="2"/>
      <c r="U96" s="2"/>
      <c r="V96" s="2"/>
      <c r="W96" s="2"/>
      <c r="X96" s="2"/>
    </row>
    <row r="97" spans="1:38" x14ac:dyDescent="0.2">
      <c r="A97" s="6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2"/>
      <c r="Q97" s="2"/>
      <c r="R97" s="2"/>
      <c r="S97" s="2"/>
      <c r="T97" s="2"/>
      <c r="U97" s="2"/>
      <c r="V97" s="2"/>
      <c r="W97" s="2"/>
      <c r="X97" s="2"/>
    </row>
    <row r="98" spans="1:38" x14ac:dyDescent="0.2">
      <c r="A98" s="6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2"/>
      <c r="Q98" s="2"/>
      <c r="R98" s="2"/>
      <c r="S98" s="2"/>
      <c r="T98" s="2"/>
      <c r="U98" s="2"/>
      <c r="V98" s="2"/>
      <c r="W98" s="2"/>
      <c r="X98" s="2"/>
    </row>
    <row r="99" spans="1:38" x14ac:dyDescent="0.2">
      <c r="A99" s="6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2"/>
      <c r="Q99" s="2"/>
      <c r="R99" s="2"/>
      <c r="S99" s="2"/>
      <c r="T99" s="2"/>
      <c r="U99" s="2"/>
      <c r="V99" s="2"/>
      <c r="W99" s="2"/>
      <c r="X99" s="2"/>
    </row>
    <row r="100" spans="1:38" x14ac:dyDescent="0.2">
      <c r="A100" s="6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2"/>
      <c r="Q100" s="2"/>
      <c r="R100" s="2"/>
      <c r="S100" s="2"/>
      <c r="T100" s="2"/>
      <c r="U100" s="2"/>
      <c r="V100" s="2"/>
      <c r="W100" s="2"/>
      <c r="X100" s="2"/>
    </row>
    <row r="101" spans="1:38" x14ac:dyDescent="0.2">
      <c r="A101" s="160"/>
      <c r="B101" s="162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s="40" customFormat="1" x14ac:dyDescent="0.2">
      <c r="A102" s="160"/>
      <c r="B102" s="162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x14ac:dyDescent="0.2">
      <c r="A103" s="160"/>
      <c r="B103" s="162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x14ac:dyDescent="0.2">
      <c r="A104" s="160"/>
      <c r="B104" s="162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x14ac:dyDescent="0.2">
      <c r="A105" s="160"/>
      <c r="B105" s="162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x14ac:dyDescent="0.2">
      <c r="A106" s="160"/>
      <c r="B106" s="162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x14ac:dyDescent="0.2">
      <c r="A107" s="160"/>
      <c r="B107" s="162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x14ac:dyDescent="0.2">
      <c r="A108" s="160"/>
      <c r="B108" s="162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x14ac:dyDescent="0.2">
      <c r="A109" s="160"/>
      <c r="B109" s="162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</sheetData>
  <dataValidations count="2">
    <dataValidation type="list" allowBlank="1" showInputMessage="1" showErrorMessage="1" sqref="O23 O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23 N6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showGridLines="0" workbookViewId="0">
      <selection activeCell="D2" sqref="D2"/>
    </sheetView>
  </sheetViews>
  <sheetFormatPr defaultColWidth="2.85546875" defaultRowHeight="11.25" outlineLevelCol="1" x14ac:dyDescent="0.2"/>
  <cols>
    <col min="1" max="1" width="2.7109375" style="7" customWidth="1"/>
    <col min="2" max="2" width="4" style="5" bestFit="1" customWidth="1"/>
    <col min="3" max="3" width="15.140625" style="7" bestFit="1" customWidth="1"/>
    <col min="4" max="6" width="17.28515625" style="7" customWidth="1"/>
    <col min="7" max="7" width="8" style="7" bestFit="1" customWidth="1"/>
    <col min="8" max="8" width="13.140625" style="7" bestFit="1" customWidth="1"/>
    <col min="9" max="9" width="17.28515625" style="7" bestFit="1" customWidth="1"/>
    <col min="10" max="10" width="2.7109375" style="7" hidden="1" customWidth="1" outlineLevel="1"/>
    <col min="11" max="11" width="15.140625" style="7" hidden="1" customWidth="1" outlineLevel="1"/>
    <col min="12" max="12" width="2.7109375" style="7" hidden="1" customWidth="1" outlineLevel="1"/>
    <col min="13" max="13" width="14.140625" style="7" hidden="1" customWidth="1" outlineLevel="1"/>
    <col min="14" max="14" width="30.7109375" style="1" hidden="1" customWidth="1" outlineLevel="1"/>
    <col min="15" max="15" width="19.28515625" style="1" hidden="1" customWidth="1" outlineLevel="1"/>
    <col min="16" max="16" width="2.7109375" style="1" customWidth="1" collapsed="1"/>
    <col min="17" max="24" width="27.28515625" style="1" customWidth="1"/>
    <col min="25" max="25" width="27.28515625" style="40" customWidth="1"/>
    <col min="26" max="28" width="27.28515625" style="11" customWidth="1"/>
    <col min="29" max="81" width="27.28515625" style="1" customWidth="1"/>
    <col min="82" max="16384" width="2.85546875" style="1"/>
  </cols>
  <sheetData>
    <row r="1" spans="1:24" x14ac:dyDescent="0.2">
      <c r="A1" s="6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95"/>
      <c r="B2" s="89"/>
      <c r="C2" s="90" t="s">
        <v>76</v>
      </c>
      <c r="D2" s="91" t="s">
        <v>14</v>
      </c>
      <c r="E2" s="95"/>
      <c r="F2" s="95"/>
      <c r="G2" s="95"/>
      <c r="H2" s="95"/>
      <c r="I2" s="95"/>
      <c r="J2" s="60"/>
      <c r="K2" s="60"/>
      <c r="L2" s="60"/>
      <c r="M2" s="60"/>
      <c r="N2" s="60"/>
      <c r="O2" s="60"/>
      <c r="P2" s="60"/>
      <c r="Q2" s="44"/>
      <c r="R2" s="2"/>
      <c r="S2" s="2"/>
      <c r="T2" s="2"/>
      <c r="U2" s="2"/>
      <c r="V2" s="2"/>
      <c r="W2" s="2"/>
      <c r="X2" s="2"/>
    </row>
    <row r="3" spans="1:24" x14ac:dyDescent="0.2">
      <c r="A3" s="95"/>
      <c r="B3" s="3"/>
      <c r="C3" s="90" t="s">
        <v>77</v>
      </c>
      <c r="D3" s="91" t="str">
        <f>Currency&amp;CurveTenor</f>
        <v>AUD6M</v>
      </c>
      <c r="E3" s="95"/>
      <c r="F3" s="95"/>
      <c r="G3" s="95"/>
      <c r="H3" s="95"/>
      <c r="I3" s="95"/>
      <c r="J3" s="6"/>
      <c r="K3" s="60"/>
      <c r="L3" s="6"/>
      <c r="M3" s="60"/>
      <c r="N3" s="60"/>
      <c r="O3" s="60"/>
      <c r="P3" s="60"/>
      <c r="Q3" s="44"/>
      <c r="R3" s="2"/>
      <c r="S3" s="2"/>
      <c r="T3" s="2"/>
      <c r="U3" s="2"/>
      <c r="V3" s="2"/>
      <c r="W3" s="2"/>
      <c r="X3" s="2"/>
    </row>
    <row r="4" spans="1:24" x14ac:dyDescent="0.2">
      <c r="A4" s="95"/>
      <c r="B4" s="89"/>
      <c r="C4" s="95"/>
      <c r="D4" s="95"/>
      <c r="E4" s="95"/>
      <c r="F4" s="95"/>
      <c r="G4" s="95"/>
      <c r="H4" s="95"/>
      <c r="I4" s="95"/>
      <c r="J4" s="60"/>
      <c r="K4" s="60"/>
      <c r="L4" s="60"/>
      <c r="M4" s="60"/>
      <c r="N4" s="60"/>
      <c r="O4" s="60"/>
      <c r="P4" s="60"/>
      <c r="Q4" s="44"/>
      <c r="R4" s="2"/>
      <c r="S4" s="2"/>
      <c r="T4" s="2"/>
      <c r="U4" s="2"/>
      <c r="V4" s="2"/>
      <c r="W4" s="2"/>
      <c r="X4" s="2"/>
    </row>
    <row r="5" spans="1:24" x14ac:dyDescent="0.2">
      <c r="A5" s="95"/>
      <c r="B5" s="28"/>
      <c r="C5" s="28" t="s">
        <v>47</v>
      </c>
      <c r="D5" s="28" t="s">
        <v>63</v>
      </c>
      <c r="E5" s="28" t="s">
        <v>73</v>
      </c>
      <c r="F5" s="28" t="s">
        <v>45</v>
      </c>
      <c r="G5" s="29" t="s">
        <v>44</v>
      </c>
      <c r="H5" s="29" t="s">
        <v>74</v>
      </c>
      <c r="I5" s="29" t="s">
        <v>75</v>
      </c>
      <c r="J5" s="44"/>
      <c r="K5" s="8" t="s">
        <v>40</v>
      </c>
      <c r="L5" s="4"/>
      <c r="M5" s="90" t="s">
        <v>96</v>
      </c>
      <c r="N5" s="90" t="s">
        <v>87</v>
      </c>
      <c r="O5" s="90" t="s">
        <v>88</v>
      </c>
      <c r="P5" s="44"/>
      <c r="Q5" s="44"/>
      <c r="R5" s="2"/>
      <c r="S5" s="2"/>
      <c r="T5" s="2"/>
      <c r="U5" s="2"/>
      <c r="V5" s="2"/>
      <c r="W5" s="2"/>
      <c r="X5" s="2"/>
    </row>
    <row r="6" spans="1:24" x14ac:dyDescent="0.2">
      <c r="A6" s="95"/>
      <c r="B6" s="22" t="s">
        <v>15</v>
      </c>
      <c r="C6" s="31" t="s">
        <v>65</v>
      </c>
      <c r="D6" s="48">
        <f t="shared" ref="D6:D15" si="0">EvaluationDate</f>
        <v>41877</v>
      </c>
      <c r="E6" s="48">
        <f>EvaluationDate</f>
        <v>41877</v>
      </c>
      <c r="F6" s="48">
        <f>_xll.qlCalendarAdvance(Calendar,EvaluationDate,"1D","f",TRUE,Trigger)</f>
        <v>41878</v>
      </c>
      <c r="G6" s="55">
        <f>_xll.qlIndexFixing(K6,D6,TRUE,InterestRatesTrigger)</f>
        <v>2.7146298146071279E-2</v>
      </c>
      <c r="H6" s="56" t="str">
        <f>Contribution!V6</f>
        <v>AUD6MOND=</v>
      </c>
      <c r="I6" s="57"/>
      <c r="J6" s="44"/>
      <c r="K6" s="92" t="str">
        <f>_xll.qlIborIndex(,"BBSW",IF(B6="ON","1D",IF(B6="SW","1W",B6)),0,Currency,Calendar,BDayConvention,EndOfMonth,DayCounter,YieldCurve,,Trigger)</f>
        <v>obj_003a0#0044</v>
      </c>
      <c r="L6" s="4"/>
      <c r="M6" s="91" t="b">
        <v>1</v>
      </c>
      <c r="N6" s="91" t="s">
        <v>89</v>
      </c>
      <c r="O6" s="91" t="s">
        <v>43</v>
      </c>
      <c r="P6" s="44"/>
      <c r="Q6" s="44"/>
      <c r="R6" s="2"/>
      <c r="S6" s="2"/>
      <c r="T6" s="2"/>
      <c r="U6" s="2"/>
      <c r="V6" s="2"/>
      <c r="W6" s="2"/>
      <c r="X6" s="2"/>
    </row>
    <row r="7" spans="1:24" x14ac:dyDescent="0.2">
      <c r="A7" s="95"/>
      <c r="B7" s="23" t="s">
        <v>16</v>
      </c>
      <c r="C7" s="31" t="s">
        <v>65</v>
      </c>
      <c r="D7" s="51">
        <f t="shared" si="0"/>
        <v>41877</v>
      </c>
      <c r="E7" s="51">
        <f>_xll.qlInterestRateIndexValueDate(K7,D7,Trigger)</f>
        <v>41877</v>
      </c>
      <c r="F7" s="51">
        <f>_xll.qlInterestRateIndexMaturity(K7,E7,Trigger)</f>
        <v>41884</v>
      </c>
      <c r="G7" s="50">
        <f>_xll.qlIndexFixing(K7,D7,TRUE,InterestRatesTrigger)</f>
        <v>2.7152241225996132E-2</v>
      </c>
      <c r="H7" s="41" t="str">
        <f>Contribution!V7</f>
        <v>AUD6MSWD=</v>
      </c>
      <c r="I7" s="41"/>
      <c r="J7" s="44"/>
      <c r="K7" s="32" t="str">
        <f>_xll.qlIborIndex(,"BBSW",IF(B7="ON","1D",IF(B7="SW","1W",B7)),0,Currency,Calendar,BDayConvention,EndOfMonth,DayCounter,YieldCurve,,Trigger)</f>
        <v>obj_003cb#0036</v>
      </c>
      <c r="L7" s="4"/>
      <c r="M7" s="95"/>
      <c r="N7" s="95"/>
      <c r="O7" s="95"/>
      <c r="P7" s="44"/>
      <c r="Q7" s="44"/>
      <c r="R7" s="2"/>
      <c r="S7" s="2"/>
      <c r="T7" s="2"/>
      <c r="U7" s="2"/>
      <c r="V7" s="2"/>
      <c r="W7" s="2"/>
      <c r="X7" s="2"/>
    </row>
    <row r="8" spans="1:24" x14ac:dyDescent="0.2">
      <c r="A8" s="95"/>
      <c r="B8" s="23" t="s">
        <v>17</v>
      </c>
      <c r="C8" s="31" t="s">
        <v>65</v>
      </c>
      <c r="D8" s="51">
        <f t="shared" si="0"/>
        <v>41877</v>
      </c>
      <c r="E8" s="51">
        <f>_xll.qlInterestRateIndexValueDate(K8,D8,Trigger)</f>
        <v>41877</v>
      </c>
      <c r="F8" s="51">
        <f>_xll.qlInterestRateIndexMaturity(K8,E8,Trigger)</f>
        <v>41891</v>
      </c>
      <c r="G8" s="50">
        <f>_xll.qlIndexFixing(K8,D8,TRUE,InterestRatesTrigger)</f>
        <v>2.7158959668256273E-2</v>
      </c>
      <c r="H8" s="41" t="str">
        <f>Contribution!V8</f>
        <v>AUD6M2WD=</v>
      </c>
      <c r="I8" s="41"/>
      <c r="J8" s="44"/>
      <c r="K8" s="32" t="str">
        <f>_xll.qlIborIndex(,"BBSW",IF(B8="ON","1D",IF(B8="SW","1W",B8)),0,Currency,Calendar,BDayConvention,EndOfMonth,DayCounter,YieldCurve,,Trigger)</f>
        <v>obj_003db#0010</v>
      </c>
      <c r="L8" s="4"/>
      <c r="M8" s="95"/>
      <c r="N8" s="95"/>
      <c r="O8" s="95"/>
      <c r="P8" s="44"/>
      <c r="Q8" s="44"/>
      <c r="R8" s="2"/>
      <c r="S8" s="2"/>
      <c r="T8" s="2"/>
      <c r="U8" s="2"/>
      <c r="V8" s="2"/>
      <c r="W8" s="2"/>
      <c r="X8" s="2"/>
    </row>
    <row r="9" spans="1:24" x14ac:dyDescent="0.2">
      <c r="A9" s="95"/>
      <c r="B9" s="23" t="s">
        <v>18</v>
      </c>
      <c r="C9" s="31" t="s">
        <v>65</v>
      </c>
      <c r="D9" s="51">
        <f t="shared" si="0"/>
        <v>41877</v>
      </c>
      <c r="E9" s="51">
        <f>_xll.qlInterestRateIndexValueDate(K9,D9,Trigger)</f>
        <v>41877</v>
      </c>
      <c r="F9" s="51">
        <f>_xll.qlInterestRateIndexMaturity(K9,E9,Trigger)</f>
        <v>41898</v>
      </c>
      <c r="G9" s="50">
        <f>_xll.qlIndexFixing(K9,D9,TRUE,InterestRatesTrigger)</f>
        <v>2.7165446062128135E-2</v>
      </c>
      <c r="H9" s="41" t="str">
        <f>Contribution!V9</f>
        <v>AUD6M3WD=</v>
      </c>
      <c r="I9" s="41"/>
      <c r="J9" s="44"/>
      <c r="K9" s="32" t="str">
        <f>_xll.qlIborIndex(,"BBSW",IF(B9="ON","1D",IF(B9="SW","1W",B9)),0,Currency,Calendar,BDayConvention,EndOfMonth,DayCounter,YieldCurve,,Trigger)</f>
        <v>obj_003ec#0010</v>
      </c>
      <c r="L9" s="4"/>
      <c r="M9" s="95"/>
      <c r="N9" s="95"/>
      <c r="O9" s="95"/>
      <c r="P9" s="44"/>
      <c r="Q9" s="44"/>
      <c r="R9" s="2"/>
      <c r="S9" s="2"/>
      <c r="T9" s="2"/>
      <c r="U9" s="2"/>
      <c r="V9" s="2"/>
      <c r="W9" s="2"/>
      <c r="X9" s="2"/>
    </row>
    <row r="10" spans="1:24" x14ac:dyDescent="0.2">
      <c r="A10" s="95"/>
      <c r="B10" s="23" t="s">
        <v>19</v>
      </c>
      <c r="C10" s="31" t="s">
        <v>65</v>
      </c>
      <c r="D10" s="51">
        <f t="shared" si="0"/>
        <v>41877</v>
      </c>
      <c r="E10" s="51">
        <f>_xll.qlInterestRateIndexValueDate(K10,D10,Trigger)</f>
        <v>41877</v>
      </c>
      <c r="F10" s="51">
        <f>_xll.qlInterestRateIndexMaturity(K10,E10,Trigger)</f>
        <v>41908</v>
      </c>
      <c r="G10" s="50">
        <f>_xll.qlIndexFixing(K10,D10,TRUE,InterestRatesTrigger)</f>
        <v>2.7174309082423048E-2</v>
      </c>
      <c r="H10" s="41" t="str">
        <f>Contribution!V10</f>
        <v>AUD6M1MD=</v>
      </c>
      <c r="I10" s="41"/>
      <c r="J10" s="44"/>
      <c r="K10" s="32" t="str">
        <f>_xll.qlIborIndex(,"BBSW",IF(B10="ON","1D",IF(B10="SW","1W",B10)),0,Currency,Calendar,BDayConvention,EndOfMonth,DayCounter,YieldCurve,,Trigger)</f>
        <v>obj_003af#0010</v>
      </c>
      <c r="L10" s="4"/>
      <c r="M10" s="95"/>
      <c r="N10" s="95"/>
      <c r="O10" s="95"/>
      <c r="P10" s="44"/>
      <c r="Q10" s="44"/>
      <c r="R10" s="2"/>
      <c r="S10" s="2"/>
      <c r="T10" s="2"/>
      <c r="U10" s="2"/>
      <c r="V10" s="2"/>
      <c r="W10" s="2"/>
      <c r="X10" s="2"/>
    </row>
    <row r="11" spans="1:24" x14ac:dyDescent="0.2">
      <c r="A11" s="95"/>
      <c r="B11" s="23" t="s">
        <v>20</v>
      </c>
      <c r="C11" s="31" t="s">
        <v>65</v>
      </c>
      <c r="D11" s="51">
        <f t="shared" si="0"/>
        <v>41877</v>
      </c>
      <c r="E11" s="51">
        <f>_xll.qlInterestRateIndexValueDate(K11,D11,Trigger)</f>
        <v>41877</v>
      </c>
      <c r="F11" s="51">
        <f>_xll.qlInterestRateIndexMaturity(K11,E11,Trigger)</f>
        <v>41939</v>
      </c>
      <c r="G11" s="50">
        <f>_xll.qlIndexFixing(K11,D11,TRUE,InterestRatesTrigger)</f>
        <v>2.7198758667565347E-2</v>
      </c>
      <c r="H11" s="41" t="str">
        <f>Contribution!V11</f>
        <v>AUD6M2MD=</v>
      </c>
      <c r="I11" s="41"/>
      <c r="J11" s="44"/>
      <c r="K11" s="32" t="str">
        <f>_xll.qlIborIndex(,"BBSW",IF(B11="ON","1D",IF(B11="SW","1W",B11)),0,Currency,Calendar,BDayConvention,EndOfMonth,DayCounter,YieldCurve,,Trigger)</f>
        <v>obj_003e2#0010</v>
      </c>
      <c r="L11" s="4"/>
      <c r="M11" s="60"/>
      <c r="N11" s="60"/>
      <c r="O11" s="60"/>
      <c r="P11" s="44"/>
      <c r="Q11" s="44"/>
      <c r="R11" s="2"/>
      <c r="S11" s="2"/>
      <c r="T11" s="2"/>
      <c r="U11" s="2"/>
      <c r="V11" s="2"/>
      <c r="W11" s="2"/>
      <c r="X11" s="2"/>
    </row>
    <row r="12" spans="1:24" x14ac:dyDescent="0.2">
      <c r="A12" s="95"/>
      <c r="B12" s="23" t="s">
        <v>21</v>
      </c>
      <c r="C12" s="31" t="s">
        <v>65</v>
      </c>
      <c r="D12" s="51">
        <f t="shared" si="0"/>
        <v>41877</v>
      </c>
      <c r="E12" s="51">
        <f>_xll.qlInterestRateIndexValueDate(K12,D12,Trigger)</f>
        <v>41877</v>
      </c>
      <c r="F12" s="51">
        <f>_xll.qlInterestRateIndexMaturity(K12,E12,Trigger)</f>
        <v>41969</v>
      </c>
      <c r="G12" s="50">
        <f>_xll.qlIndexFixing(K12,D12,TRUE,InterestRatesTrigger)</f>
        <v>2.7218039869612513E-2</v>
      </c>
      <c r="H12" s="41" t="str">
        <f>Contribution!V12</f>
        <v>AUD6M3MD=</v>
      </c>
      <c r="I12" s="41"/>
      <c r="J12" s="44"/>
      <c r="K12" s="32" t="str">
        <f>_xll.qlIborIndex(,"BBSW",IF(B12="ON","1D",IF(B12="SW","1W",B12)),0,Currency,Calendar,BDayConvention,EndOfMonth,DayCounter,YieldCurve,,Trigger)</f>
        <v>obj_003a2#0010</v>
      </c>
      <c r="L12" s="4"/>
      <c r="M12" s="60"/>
      <c r="N12" s="60"/>
      <c r="O12" s="60"/>
      <c r="P12" s="44"/>
      <c r="Q12" s="44"/>
      <c r="R12" s="2"/>
      <c r="S12" s="2"/>
      <c r="T12" s="2"/>
      <c r="U12" s="2"/>
      <c r="V12" s="2"/>
      <c r="W12" s="2"/>
      <c r="X12" s="2"/>
    </row>
    <row r="13" spans="1:24" x14ac:dyDescent="0.2">
      <c r="A13" s="95"/>
      <c r="B13" s="23" t="s">
        <v>22</v>
      </c>
      <c r="C13" s="31" t="s">
        <v>65</v>
      </c>
      <c r="D13" s="51">
        <f t="shared" si="0"/>
        <v>41877</v>
      </c>
      <c r="E13" s="51">
        <f>_xll.qlInterestRateIndexValueDate(K13,D13,Trigger)</f>
        <v>41877</v>
      </c>
      <c r="F13" s="51">
        <f>_xll.qlInterestRateIndexMaturity(K13,E13,Trigger)</f>
        <v>42002</v>
      </c>
      <c r="G13" s="50">
        <f>_xll.qlIndexFixing(K13,D13,TRUE,InterestRatesTrigger)</f>
        <v>2.7234238696875714E-2</v>
      </c>
      <c r="H13" s="41" t="str">
        <f>Contribution!V13</f>
        <v>AUD6M4MD=</v>
      </c>
      <c r="I13" s="41"/>
      <c r="J13" s="44"/>
      <c r="K13" s="32" t="str">
        <f>_xll.qlIborIndex(,"BBSW",IF(B13="ON","1D",IF(B13="SW","1W",B13)),0,Currency,Calendar,BDayConvention,EndOfMonth,DayCounter,YieldCurve,,Trigger)</f>
        <v>obj_0039c#0010</v>
      </c>
      <c r="L13" s="4"/>
      <c r="M13" s="60"/>
      <c r="N13" s="60"/>
      <c r="O13" s="60"/>
      <c r="P13" s="44"/>
      <c r="Q13" s="44"/>
      <c r="R13" s="2"/>
      <c r="S13" s="2"/>
      <c r="T13" s="2"/>
      <c r="U13" s="2"/>
      <c r="V13" s="2"/>
      <c r="W13" s="2"/>
      <c r="X13" s="2"/>
    </row>
    <row r="14" spans="1:24" x14ac:dyDescent="0.2">
      <c r="A14" s="95"/>
      <c r="B14" s="23" t="s">
        <v>23</v>
      </c>
      <c r="C14" s="31" t="s">
        <v>65</v>
      </c>
      <c r="D14" s="51">
        <f t="shared" si="0"/>
        <v>41877</v>
      </c>
      <c r="E14" s="51">
        <f>_xll.qlInterestRateIndexValueDate(K14,D14,Trigger)</f>
        <v>41877</v>
      </c>
      <c r="F14" s="51">
        <f>_xll.qlInterestRateIndexMaturity(K14,E14,Trigger)</f>
        <v>42031</v>
      </c>
      <c r="G14" s="50">
        <f>_xll.qlIndexFixing(K14,D14,TRUE,InterestRatesTrigger)</f>
        <v>2.7244111171876813E-2</v>
      </c>
      <c r="H14" s="41" t="str">
        <f>Contribution!V14</f>
        <v>AUD6M5MD=</v>
      </c>
      <c r="I14" s="41"/>
      <c r="J14" s="44"/>
      <c r="K14" s="32" t="str">
        <f>_xll.qlIborIndex(,"BBSW",IF(B14="ON","1D",IF(B14="SW","1W",B14)),0,Currency,Calendar,BDayConvention,EndOfMonth,DayCounter,YieldCurve,,Trigger)</f>
        <v>obj_003c1#0020</v>
      </c>
      <c r="L14" s="4"/>
      <c r="M14" s="60"/>
      <c r="N14" s="60"/>
      <c r="O14" s="60"/>
      <c r="P14" s="44"/>
      <c r="Q14" s="44"/>
      <c r="R14" s="2"/>
      <c r="S14" s="2"/>
      <c r="T14" s="2"/>
      <c r="U14" s="2"/>
      <c r="V14" s="2"/>
      <c r="W14" s="2"/>
      <c r="X14" s="2"/>
    </row>
    <row r="15" spans="1:24" x14ac:dyDescent="0.2">
      <c r="A15" s="95"/>
      <c r="B15" s="23" t="s">
        <v>14</v>
      </c>
      <c r="C15" s="31" t="s">
        <v>65</v>
      </c>
      <c r="D15" s="51">
        <f t="shared" si="0"/>
        <v>41877</v>
      </c>
      <c r="E15" s="51">
        <f>_xll.qlInterestRateIndexValueDate(K15,D15,Trigger)</f>
        <v>41877</v>
      </c>
      <c r="F15" s="51">
        <f>_xll.qlInterestRateIndexMaturity(K15,E15,Trigger)</f>
        <v>42061</v>
      </c>
      <c r="G15" s="50">
        <f>_xll.qlIndexFixing(K15,D15,TRUE,InterestRatesTrigger)</f>
        <v>2.7250000000000031E-2</v>
      </c>
      <c r="H15" s="41" t="str">
        <f>Contribution!V15</f>
        <v>AUD6M6MD=</v>
      </c>
      <c r="I15" s="41" t="str">
        <f>"AU"&amp;CurveTenor&amp;"BA"&amp;"="</f>
        <v>AU6MBA=</v>
      </c>
      <c r="J15" s="44"/>
      <c r="K15" s="98" t="str">
        <f>IborIndexFamily&amp;CurveTenor</f>
        <v>AudBBSW6M</v>
      </c>
      <c r="L15" s="4"/>
      <c r="M15" s="60"/>
      <c r="N15" s="60"/>
      <c r="O15" s="60"/>
      <c r="P15" s="44"/>
      <c r="Q15" s="44"/>
      <c r="R15" s="2"/>
      <c r="S15" s="2"/>
      <c r="T15" s="2"/>
      <c r="U15" s="2"/>
      <c r="V15" s="2"/>
      <c r="W15" s="2"/>
      <c r="X15" s="2"/>
    </row>
    <row r="16" spans="1:24" x14ac:dyDescent="0.2">
      <c r="A16" s="95"/>
      <c r="B16" s="23"/>
      <c r="C16" s="31"/>
      <c r="D16" s="51"/>
      <c r="E16" s="51"/>
      <c r="F16" s="51"/>
      <c r="G16" s="50"/>
      <c r="H16" s="41"/>
      <c r="I16" s="41"/>
      <c r="J16" s="44"/>
      <c r="K16" s="95"/>
      <c r="L16" s="4"/>
      <c r="M16" s="60"/>
      <c r="N16" s="60"/>
      <c r="O16" s="60"/>
      <c r="P16" s="44"/>
      <c r="Q16" s="44"/>
      <c r="R16" s="2"/>
      <c r="S16" s="2"/>
      <c r="T16" s="2"/>
      <c r="U16" s="2"/>
      <c r="V16" s="2"/>
      <c r="W16" s="2"/>
      <c r="X16" s="2"/>
    </row>
    <row r="17" spans="1:24" x14ac:dyDescent="0.2">
      <c r="A17" s="95"/>
      <c r="B17" s="22"/>
      <c r="C17" s="30"/>
      <c r="D17" s="48"/>
      <c r="E17" s="48"/>
      <c r="F17" s="48"/>
      <c r="G17" s="115"/>
      <c r="H17" s="42"/>
      <c r="I17" s="42"/>
      <c r="J17" s="44"/>
      <c r="K17" s="95"/>
      <c r="L17" s="4"/>
      <c r="M17" s="60"/>
      <c r="N17" s="60"/>
      <c r="O17" s="60"/>
      <c r="P17" s="44"/>
      <c r="Q17" s="44"/>
      <c r="R17" s="2"/>
      <c r="S17" s="2"/>
      <c r="T17" s="2"/>
      <c r="U17" s="2"/>
      <c r="V17" s="2"/>
      <c r="W17" s="2"/>
      <c r="X17" s="2"/>
    </row>
    <row r="18" spans="1:24" x14ac:dyDescent="0.2">
      <c r="A18" s="95"/>
      <c r="B18" s="23"/>
      <c r="C18" s="31"/>
      <c r="D18" s="51"/>
      <c r="E18" s="51"/>
      <c r="F18" s="51"/>
      <c r="G18" s="116"/>
      <c r="H18" s="41"/>
      <c r="I18" s="41"/>
      <c r="J18" s="44"/>
      <c r="K18" s="95"/>
      <c r="L18" s="89"/>
      <c r="M18" s="95"/>
      <c r="N18" s="95"/>
      <c r="O18" s="95"/>
      <c r="P18" s="44"/>
      <c r="Q18" s="44"/>
      <c r="R18" s="2"/>
      <c r="S18" s="2"/>
      <c r="T18" s="2"/>
      <c r="U18" s="2"/>
      <c r="V18" s="2"/>
      <c r="W18" s="2"/>
      <c r="X18" s="2"/>
    </row>
    <row r="19" spans="1:24" x14ac:dyDescent="0.2">
      <c r="A19" s="95"/>
      <c r="B19" s="23"/>
      <c r="C19" s="31"/>
      <c r="D19" s="51"/>
      <c r="E19" s="51"/>
      <c r="F19" s="51"/>
      <c r="G19" s="116"/>
      <c r="H19" s="41"/>
      <c r="I19" s="41"/>
      <c r="J19" s="44"/>
      <c r="K19" s="95"/>
      <c r="L19" s="89"/>
      <c r="M19" s="95"/>
      <c r="N19" s="95"/>
      <c r="O19" s="95"/>
      <c r="P19" s="44"/>
      <c r="Q19" s="44"/>
      <c r="R19" s="2"/>
      <c r="S19" s="2"/>
      <c r="T19" s="2"/>
      <c r="U19" s="2"/>
      <c r="V19" s="2"/>
      <c r="W19" s="2"/>
      <c r="X19" s="2"/>
    </row>
    <row r="20" spans="1:24" x14ac:dyDescent="0.2">
      <c r="A20" s="95"/>
      <c r="B20" s="23"/>
      <c r="C20" s="31"/>
      <c r="D20" s="51"/>
      <c r="E20" s="51"/>
      <c r="F20" s="51"/>
      <c r="G20" s="116"/>
      <c r="H20" s="41"/>
      <c r="I20" s="41"/>
      <c r="J20" s="44"/>
      <c r="K20" s="95"/>
      <c r="L20" s="89"/>
      <c r="M20" s="95"/>
      <c r="N20" s="95"/>
      <c r="O20" s="95"/>
      <c r="P20" s="44"/>
      <c r="Q20" s="44"/>
      <c r="R20" s="2"/>
      <c r="S20" s="2"/>
      <c r="T20" s="2"/>
      <c r="U20" s="2"/>
      <c r="V20" s="2"/>
      <c r="W20" s="2"/>
      <c r="X20" s="2"/>
    </row>
    <row r="21" spans="1:24" x14ac:dyDescent="0.2">
      <c r="A21" s="95"/>
      <c r="B21" s="23"/>
      <c r="C21" s="31"/>
      <c r="D21" s="51"/>
      <c r="E21" s="51"/>
      <c r="F21" s="51"/>
      <c r="G21" s="116"/>
      <c r="H21" s="41"/>
      <c r="I21" s="41"/>
      <c r="J21" s="44"/>
      <c r="K21" s="95"/>
      <c r="L21" s="89"/>
      <c r="M21" s="95"/>
      <c r="N21" s="95"/>
      <c r="O21" s="95"/>
      <c r="P21" s="44"/>
      <c r="Q21" s="44"/>
      <c r="R21" s="2"/>
      <c r="S21" s="2"/>
      <c r="T21" s="2"/>
      <c r="U21" s="2"/>
      <c r="V21" s="2"/>
      <c r="W21" s="2"/>
      <c r="X21" s="2"/>
    </row>
    <row r="22" spans="1:24" x14ac:dyDescent="0.2">
      <c r="A22" s="95"/>
      <c r="B22" s="24"/>
      <c r="C22" s="33"/>
      <c r="D22" s="52"/>
      <c r="E22" s="52"/>
      <c r="F22" s="52"/>
      <c r="G22" s="117"/>
      <c r="H22" s="43"/>
      <c r="I22" s="43"/>
      <c r="J22" s="44"/>
      <c r="K22" s="94" t="s">
        <v>46</v>
      </c>
      <c r="L22" s="96"/>
      <c r="M22" s="90" t="s">
        <v>41</v>
      </c>
      <c r="N22" s="90" t="s">
        <v>78</v>
      </c>
      <c r="O22" s="90" t="s">
        <v>42</v>
      </c>
      <c r="P22" s="44"/>
      <c r="Q22" s="44"/>
      <c r="R22" s="2"/>
      <c r="S22" s="2"/>
      <c r="T22" s="2"/>
      <c r="U22" s="2"/>
      <c r="V22" s="2"/>
      <c r="W22" s="2"/>
      <c r="X22" s="2"/>
    </row>
    <row r="23" spans="1:24" x14ac:dyDescent="0.2">
      <c r="A23" s="95"/>
      <c r="B23" s="22" t="s">
        <v>21</v>
      </c>
      <c r="C23" s="30" t="s">
        <v>64</v>
      </c>
      <c r="D23" s="48">
        <f t="shared" ref="D23:D25" si="1">EvaluationDate</f>
        <v>41877</v>
      </c>
      <c r="E23" s="48">
        <f>_xll.qlInterestRateIndexValueDate(K23,D23,Trigger)</f>
        <v>41878</v>
      </c>
      <c r="F23" s="48">
        <f>_xll.qlInterestRateIndexMaturity(K23,E23,Trigger)</f>
        <v>41970</v>
      </c>
      <c r="G23" s="49">
        <f>_xll.qlIndexFixing(K23,D23,TRUE,InterestRatesTrigger)</f>
        <v>2.7217369770334975E-2</v>
      </c>
      <c r="H23" s="42"/>
      <c r="I23" s="42"/>
      <c r="J23" s="44"/>
      <c r="K23" s="92" t="str">
        <f>_xll.qlSwapIndex(,"BBSW",B23,SettlementDays,Currency,Calendar,FixedLegTenor,FixedLegBDC,FixedLegDayCounter,IborIndex,DiscountingCurve,,Trigger)</f>
        <v>obj_00387#0019</v>
      </c>
      <c r="L23" s="4"/>
      <c r="M23" s="91" t="s">
        <v>14</v>
      </c>
      <c r="N23" s="91" t="s">
        <v>60</v>
      </c>
      <c r="O23" s="91" t="s">
        <v>43</v>
      </c>
      <c r="P23" s="44"/>
      <c r="Q23" s="44"/>
      <c r="R23" s="2"/>
      <c r="S23" s="2"/>
      <c r="T23" s="2"/>
      <c r="U23" s="2"/>
      <c r="V23" s="2"/>
      <c r="W23" s="2"/>
      <c r="X23" s="2"/>
    </row>
    <row r="24" spans="1:24" x14ac:dyDescent="0.2">
      <c r="A24" s="95"/>
      <c r="B24" s="23" t="s">
        <v>14</v>
      </c>
      <c r="C24" s="31" t="s">
        <v>64</v>
      </c>
      <c r="D24" s="51">
        <f t="shared" si="1"/>
        <v>41877</v>
      </c>
      <c r="E24" s="51">
        <f>_xll.qlInterestRateIndexValueDate(K24,D24,Trigger)</f>
        <v>41878</v>
      </c>
      <c r="F24" s="51">
        <f>_xll.qlInterestRateIndexMaturity(K24,E24,Trigger)</f>
        <v>42062</v>
      </c>
      <c r="G24" s="50">
        <f>_xll.qlIndexFixing(K24,D24,TRUE,InterestRatesTrigger)</f>
        <v>2.7248657976493691E-2</v>
      </c>
      <c r="H24" s="41"/>
      <c r="I24" s="41"/>
      <c r="J24" s="44"/>
      <c r="K24" s="32" t="str">
        <f>_xll.qlSwapIndex(,"BBSW",B24,SettlementDays,Currency,Calendar,FixedLegTenor,FixedLegBDC,FixedLegDayCounter,IborIndex,DiscountingCurve,,Trigger)</f>
        <v>obj_0038b#0008</v>
      </c>
      <c r="L24" s="89"/>
      <c r="M24" s="95"/>
      <c r="N24" s="89"/>
      <c r="O24" s="95"/>
      <c r="P24" s="44"/>
      <c r="Q24" s="44"/>
      <c r="R24" s="2"/>
      <c r="S24" s="2"/>
      <c r="T24" s="2"/>
      <c r="U24" s="2"/>
      <c r="V24" s="2"/>
      <c r="W24" s="2"/>
      <c r="X24" s="2"/>
    </row>
    <row r="25" spans="1:24" x14ac:dyDescent="0.2">
      <c r="A25" s="95"/>
      <c r="B25" s="23" t="s">
        <v>24</v>
      </c>
      <c r="C25" s="31" t="s">
        <v>64</v>
      </c>
      <c r="D25" s="51">
        <f t="shared" si="1"/>
        <v>41877</v>
      </c>
      <c r="E25" s="51">
        <f>_xll.qlInterestRateIndexValueDate(K25,D25,Trigger)</f>
        <v>41878</v>
      </c>
      <c r="F25" s="51">
        <f>_xll.qlInterestRateIndexMaturity(K25,E25,Trigger)</f>
        <v>42151</v>
      </c>
      <c r="G25" s="50">
        <f>_xll.qlIndexFixing(K25,D25,TRUE,InterestRatesTrigger)</f>
        <v>2.7152476965213355E-2</v>
      </c>
      <c r="H25" s="41"/>
      <c r="I25" s="41"/>
      <c r="J25" s="44"/>
      <c r="K25" s="32" t="str">
        <f>_xll.qlSwapIndex(,"BBSW",B25,SettlementDays,Currency,Calendar,FixedLegTenor,FixedLegBDC,FixedLegDayCounter,IborIndex,DiscountingCurve,,Trigger)</f>
        <v>obj_00389#0019</v>
      </c>
      <c r="L25" s="89"/>
      <c r="M25" s="95"/>
      <c r="N25" s="89"/>
      <c r="O25" s="95"/>
      <c r="P25" s="44"/>
      <c r="Q25" s="44"/>
      <c r="R25" s="2"/>
      <c r="S25" s="2"/>
      <c r="T25" s="2"/>
      <c r="U25" s="2"/>
      <c r="V25" s="2"/>
      <c r="W25" s="2"/>
      <c r="X25" s="2"/>
    </row>
    <row r="26" spans="1:24" x14ac:dyDescent="0.2">
      <c r="A26" s="95"/>
      <c r="B26" s="23" t="s">
        <v>25</v>
      </c>
      <c r="C26" s="31" t="s">
        <v>64</v>
      </c>
      <c r="D26" s="51">
        <f t="shared" ref="D26:D27" si="2">EvaluationDate</f>
        <v>41877</v>
      </c>
      <c r="E26" s="51">
        <f>_xll.qlInterestRateIndexValueDate(K26,D26,Trigger)</f>
        <v>41878</v>
      </c>
      <c r="F26" s="51">
        <f>_xll.qlInterestRateIndexMaturity(K26,E26,Trigger)</f>
        <v>42243</v>
      </c>
      <c r="G26" s="50">
        <f>_xll.qlIndexFixing(K26,D26,TRUE,InterestRatesTrigger)</f>
        <v>2.7228379355335459E-2</v>
      </c>
      <c r="H26" s="41" t="str">
        <f>Contribution!V26</f>
        <v>AUD6M1Y=</v>
      </c>
      <c r="I26" s="58"/>
      <c r="J26" s="44"/>
      <c r="K26" s="32" t="str">
        <f>_xll.qlSwapIndex(,"BBSW",B26,SettlementDays,Currency,Calendar,FixedLegTenor,FixedLegBDC,FixedLegDayCounter,IborIndex,DiscountingCurve,,Trigger)</f>
        <v>obj_003cf#0008</v>
      </c>
      <c r="L26" s="89"/>
      <c r="M26" s="60"/>
      <c r="N26" s="4"/>
      <c r="O26" s="60"/>
      <c r="P26" s="44"/>
      <c r="Q26" s="44"/>
      <c r="R26" s="2"/>
      <c r="S26" s="2"/>
      <c r="T26" s="2"/>
      <c r="U26" s="2"/>
      <c r="V26" s="2"/>
      <c r="W26" s="2"/>
      <c r="X26" s="2"/>
    </row>
    <row r="27" spans="1:24" x14ac:dyDescent="0.2">
      <c r="A27" s="95"/>
      <c r="B27" s="23" t="s">
        <v>67</v>
      </c>
      <c r="C27" s="31" t="s">
        <v>64</v>
      </c>
      <c r="D27" s="51">
        <f t="shared" si="2"/>
        <v>41877</v>
      </c>
      <c r="E27" s="51">
        <f>_xll.qlInterestRateIndexValueDate(K27,D27,Trigger)</f>
        <v>41878</v>
      </c>
      <c r="F27" s="51">
        <f>_xll.qlInterestRateIndexMaturity(K27,E27,Trigger)</f>
        <v>42429</v>
      </c>
      <c r="G27" s="50">
        <f>_xll.qlIndexFixing(K27,D27,TRUE,InterestRatesTrigger)</f>
        <v>2.7705505226741079E-2</v>
      </c>
      <c r="H27" s="41"/>
      <c r="I27" s="58"/>
      <c r="J27" s="44"/>
      <c r="K27" s="32" t="str">
        <f>_xll.qlSwapIndex(,"BBSW",B27,SettlementDays,Currency,Calendar,FixedLegTenor,FixedLegBDC,FixedLegDayCounter,IborIndex,DiscountingCurve,,Trigger)</f>
        <v>obj_00391#0008</v>
      </c>
      <c r="L27" s="89"/>
      <c r="M27" s="60"/>
      <c r="N27" s="4"/>
      <c r="O27" s="60"/>
      <c r="P27" s="44"/>
      <c r="Q27" s="44"/>
      <c r="R27" s="2"/>
      <c r="S27" s="2"/>
      <c r="T27" s="2"/>
      <c r="U27" s="2"/>
      <c r="V27" s="2"/>
      <c r="W27" s="2"/>
      <c r="X27" s="2"/>
    </row>
    <row r="28" spans="1:24" x14ac:dyDescent="0.2">
      <c r="A28" s="95"/>
      <c r="B28" s="23" t="s">
        <v>26</v>
      </c>
      <c r="C28" s="31" t="s">
        <v>64</v>
      </c>
      <c r="D28" s="51">
        <f t="shared" ref="D28:D41" si="3">EvaluationDate</f>
        <v>41877</v>
      </c>
      <c r="E28" s="51">
        <f>_xll.qlInterestRateIndexValueDate(K28,D28,Trigger)</f>
        <v>41878</v>
      </c>
      <c r="F28" s="51">
        <f>_xll.qlInterestRateIndexMaturity(K28,E28,Trigger)</f>
        <v>42611</v>
      </c>
      <c r="G28" s="50">
        <f>_xll.qlIndexFixing(K28,D28,TRUE,InterestRatesTrigger)</f>
        <v>2.8476364660638621E-2</v>
      </c>
      <c r="H28" s="41" t="str">
        <f>Contribution!V28</f>
        <v>AUD6M2Y=</v>
      </c>
      <c r="I28" s="58"/>
      <c r="J28" s="44"/>
      <c r="K28" s="32" t="str">
        <f>_xll.qlSwapIndex(,"BBSW",B28,SettlementDays,Currency,Calendar,FixedLegTenor,FixedLegBDC,FixedLegDayCounter,IborIndex,DiscountingCurve,,Trigger)</f>
        <v>obj_003a7#0008</v>
      </c>
      <c r="L28" s="89"/>
      <c r="M28" s="60"/>
      <c r="N28" s="4"/>
      <c r="O28" s="60"/>
      <c r="P28" s="44"/>
      <c r="Q28" s="44"/>
      <c r="R28" s="2"/>
      <c r="S28" s="2"/>
      <c r="T28" s="2"/>
      <c r="U28" s="2"/>
      <c r="V28" s="2"/>
      <c r="W28" s="2"/>
      <c r="X28" s="2"/>
    </row>
    <row r="29" spans="1:24" x14ac:dyDescent="0.2">
      <c r="A29" s="95"/>
      <c r="B29" s="23" t="s">
        <v>27</v>
      </c>
      <c r="C29" s="31" t="s">
        <v>64</v>
      </c>
      <c r="D29" s="51">
        <f t="shared" si="3"/>
        <v>41877</v>
      </c>
      <c r="E29" s="51">
        <f>_xll.qlInterestRateIndexValueDate(K29,D29,Trigger)</f>
        <v>41878</v>
      </c>
      <c r="F29" s="51">
        <f>_xll.qlInterestRateIndexMaturity(K29,E29,Trigger)</f>
        <v>42975</v>
      </c>
      <c r="G29" s="50">
        <f>_xll.qlIndexFixing(K29,D29,TRUE,InterestRatesTrigger)</f>
        <v>3.0039843636971677E-2</v>
      </c>
      <c r="H29" s="41" t="str">
        <f>Contribution!V29</f>
        <v>AUD6M3Y=</v>
      </c>
      <c r="I29" s="58"/>
      <c r="J29" s="44"/>
      <c r="K29" s="32" t="str">
        <f>_xll.qlSwapIndex(,"BBSW",B29,SettlementDays,Currency,Calendar,FixedLegTenor,FixedLegBDC,FixedLegDayCounter,IborIndex,DiscountingCurve,,Trigger)</f>
        <v>obj_003dc#0008</v>
      </c>
      <c r="L29" s="89"/>
      <c r="M29" s="60"/>
      <c r="N29" s="4"/>
      <c r="O29" s="60"/>
      <c r="P29" s="44"/>
      <c r="Q29" s="44"/>
      <c r="R29" s="2"/>
      <c r="S29" s="2"/>
      <c r="T29" s="2"/>
      <c r="U29" s="2"/>
      <c r="V29" s="2"/>
      <c r="W29" s="2"/>
      <c r="X29" s="2"/>
    </row>
    <row r="30" spans="1:24" x14ac:dyDescent="0.2">
      <c r="A30" s="95"/>
      <c r="B30" s="23" t="s">
        <v>28</v>
      </c>
      <c r="C30" s="31" t="s">
        <v>64</v>
      </c>
      <c r="D30" s="51">
        <f t="shared" si="3"/>
        <v>41877</v>
      </c>
      <c r="E30" s="51">
        <f>_xll.qlInterestRateIndexValueDate(K30,D30,Trigger)</f>
        <v>41878</v>
      </c>
      <c r="F30" s="51">
        <f>_xll.qlInterestRateIndexMaturity(K30,E30,Trigger)</f>
        <v>43339</v>
      </c>
      <c r="G30" s="50">
        <f>_xll.qlIndexFixing(K30,D30,TRUE,InterestRatesTrigger)</f>
        <v>3.0800000000078428E-2</v>
      </c>
      <c r="H30" s="41" t="str">
        <f>Contribution!V30</f>
        <v>AUD6M4Y=</v>
      </c>
      <c r="I30" s="58" t="str">
        <f t="shared" ref="I30:I41" si="4">Currency&amp;"SM6AB"&amp;B30&amp;"=ICAA"</f>
        <v>AUDSM6AB4Y=ICAA</v>
      </c>
      <c r="J30" s="44"/>
      <c r="K30" s="32" t="str">
        <f>_xll.qlSwapIndex(,"BBSW",B30,SettlementDays,Currency,Calendar,FixedLegTenor,FixedLegBDC,FixedLegDayCounter,IborIndex,DiscountingCurve,,Trigger)</f>
        <v>obj_003c4#0008</v>
      </c>
      <c r="L30" s="89"/>
      <c r="M30" s="60"/>
      <c r="N30" s="4"/>
      <c r="O30" s="60"/>
      <c r="P30" s="44"/>
      <c r="Q30" s="44"/>
      <c r="R30" s="2"/>
      <c r="S30" s="2"/>
      <c r="T30" s="2"/>
      <c r="U30" s="2"/>
      <c r="V30" s="2"/>
      <c r="W30" s="2"/>
      <c r="X30" s="2"/>
    </row>
    <row r="31" spans="1:24" x14ac:dyDescent="0.2">
      <c r="A31" s="95"/>
      <c r="B31" s="23" t="s">
        <v>29</v>
      </c>
      <c r="C31" s="31" t="s">
        <v>64</v>
      </c>
      <c r="D31" s="51">
        <f t="shared" si="3"/>
        <v>41877</v>
      </c>
      <c r="E31" s="51">
        <f>_xll.qlInterestRateIndexValueDate(K31,D31,Trigger)</f>
        <v>41878</v>
      </c>
      <c r="F31" s="51">
        <f>_xll.qlInterestRateIndexMaturity(K31,E31,Trigger)</f>
        <v>43704</v>
      </c>
      <c r="G31" s="50">
        <f>_xll.qlIndexFixing(K31,D31,TRUE,InterestRatesTrigger)</f>
        <v>3.2199999999956555E-2</v>
      </c>
      <c r="H31" s="41" t="str">
        <f>Contribution!V31</f>
        <v>AUD6M5Y=</v>
      </c>
      <c r="I31" s="41" t="str">
        <f t="shared" si="4"/>
        <v>AUDSM6AB5Y=ICAA</v>
      </c>
      <c r="J31" s="44"/>
      <c r="K31" s="32" t="str">
        <f>_xll.qlSwapIndex(,"BBSW",B31,SettlementDays,Currency,Calendar,FixedLegTenor,FixedLegBDC,FixedLegDayCounter,IborIndex,DiscountingCurve,,Trigger)</f>
        <v>obj_003aa#0008</v>
      </c>
      <c r="L31" s="89"/>
      <c r="M31" s="60"/>
      <c r="N31" s="4"/>
      <c r="O31" s="60"/>
      <c r="P31" s="44"/>
      <c r="Q31" s="44"/>
      <c r="R31" s="2"/>
      <c r="S31" s="2"/>
      <c r="T31" s="2"/>
      <c r="U31" s="2"/>
      <c r="V31" s="2"/>
      <c r="W31" s="2"/>
      <c r="X31" s="2"/>
    </row>
    <row r="32" spans="1:24" x14ac:dyDescent="0.2">
      <c r="A32" s="95"/>
      <c r="B32" s="23" t="s">
        <v>30</v>
      </c>
      <c r="C32" s="31" t="s">
        <v>64</v>
      </c>
      <c r="D32" s="51">
        <f t="shared" si="3"/>
        <v>41877</v>
      </c>
      <c r="E32" s="51">
        <f>_xll.qlInterestRateIndexValueDate(K32,D32,Trigger)</f>
        <v>41878</v>
      </c>
      <c r="F32" s="51">
        <f>_xll.qlInterestRateIndexMaturity(K32,E32,Trigger)</f>
        <v>44070</v>
      </c>
      <c r="G32" s="50">
        <f>_xll.qlIndexFixing(K32,D32,TRUE,InterestRatesTrigger)</f>
        <v>3.3525000000003323E-2</v>
      </c>
      <c r="H32" s="41"/>
      <c r="I32" s="41" t="str">
        <f t="shared" si="4"/>
        <v>AUDSM6AB6Y=ICAA</v>
      </c>
      <c r="J32" s="44"/>
      <c r="K32" s="32" t="str">
        <f>_xll.qlSwapIndex(,"BBSW",B32,SettlementDays,Currency,Calendar,FixedLegTenor,FixedLegBDC,FixedLegDayCounter,IborIndex,DiscountingCurve,,Trigger)</f>
        <v>obj_003e9#0008</v>
      </c>
      <c r="L32" s="89"/>
      <c r="M32" s="60"/>
      <c r="N32" s="4"/>
      <c r="O32" s="60"/>
      <c r="P32" s="44"/>
      <c r="Q32" s="44"/>
      <c r="R32" s="2"/>
      <c r="S32" s="2"/>
      <c r="T32" s="2"/>
      <c r="U32" s="2"/>
      <c r="V32" s="2"/>
      <c r="W32" s="2"/>
      <c r="X32" s="2"/>
    </row>
    <row r="33" spans="1:24" x14ac:dyDescent="0.2">
      <c r="A33" s="95"/>
      <c r="B33" s="23" t="s">
        <v>31</v>
      </c>
      <c r="C33" s="31" t="s">
        <v>64</v>
      </c>
      <c r="D33" s="51">
        <f t="shared" si="3"/>
        <v>41877</v>
      </c>
      <c r="E33" s="51">
        <f>_xll.qlInterestRateIndexValueDate(K33,D33,Trigger)</f>
        <v>41878</v>
      </c>
      <c r="F33" s="51">
        <f>_xll.qlInterestRateIndexMaturity(K33,E33,Trigger)</f>
        <v>44435</v>
      </c>
      <c r="G33" s="50">
        <f>_xll.qlIndexFixing(K33,D33,TRUE,InterestRatesTrigger)</f>
        <v>3.4724999999621399E-2</v>
      </c>
      <c r="H33" s="41" t="str">
        <f>Contribution!V33</f>
        <v>AUD6M7Y=</v>
      </c>
      <c r="I33" s="41" t="str">
        <f t="shared" si="4"/>
        <v>AUDSM6AB7Y=ICAA</v>
      </c>
      <c r="J33" s="44"/>
      <c r="K33" s="32" t="str">
        <f>_xll.qlSwapIndex(,"BBSW",B33,SettlementDays,Currency,Calendar,FixedLegTenor,FixedLegBDC,FixedLegDayCounter,IborIndex,DiscountingCurve,,Trigger)</f>
        <v>obj_0039f#0008</v>
      </c>
      <c r="L33" s="89"/>
      <c r="M33" s="60"/>
      <c r="N33" s="4"/>
      <c r="O33" s="60"/>
      <c r="P33" s="44"/>
      <c r="Q33" s="44"/>
      <c r="R33" s="2"/>
      <c r="S33" s="2"/>
      <c r="T33" s="2"/>
      <c r="U33" s="2"/>
      <c r="V33" s="2"/>
      <c r="W33" s="2"/>
      <c r="X33" s="2"/>
    </row>
    <row r="34" spans="1:24" x14ac:dyDescent="0.2">
      <c r="A34" s="95"/>
      <c r="B34" s="23" t="s">
        <v>32</v>
      </c>
      <c r="C34" s="31" t="s">
        <v>64</v>
      </c>
      <c r="D34" s="51">
        <f t="shared" si="3"/>
        <v>41877</v>
      </c>
      <c r="E34" s="51">
        <f>_xll.qlInterestRateIndexValueDate(K34,D34,Trigger)</f>
        <v>41878</v>
      </c>
      <c r="F34" s="51">
        <f>_xll.qlInterestRateIndexMaturity(K34,E34,Trigger)</f>
        <v>44802</v>
      </c>
      <c r="G34" s="50">
        <f>_xll.qlIndexFixing(K34,D34,TRUE,InterestRatesTrigger)</f>
        <v>3.5700000000137247E-2</v>
      </c>
      <c r="H34" s="41"/>
      <c r="I34" s="41" t="str">
        <f t="shared" si="4"/>
        <v>AUDSM6AB8Y=ICAA</v>
      </c>
      <c r="J34" s="44"/>
      <c r="K34" s="32" t="str">
        <f>_xll.qlSwapIndex(,"BBSW",B34,SettlementDays,Currency,Calendar,FixedLegTenor,FixedLegBDC,FixedLegDayCounter,IborIndex,DiscountingCurve,,Trigger)</f>
        <v>obj_003a3#0008</v>
      </c>
      <c r="L34" s="89"/>
      <c r="M34" s="60"/>
      <c r="N34" s="4"/>
      <c r="O34" s="60"/>
      <c r="P34" s="44"/>
      <c r="Q34" s="44"/>
      <c r="R34" s="2"/>
      <c r="S34" s="2"/>
      <c r="T34" s="2"/>
      <c r="U34" s="2"/>
      <c r="V34" s="2"/>
      <c r="W34" s="2"/>
      <c r="X34" s="2"/>
    </row>
    <row r="35" spans="1:24" x14ac:dyDescent="0.2">
      <c r="A35" s="95"/>
      <c r="B35" s="23" t="s">
        <v>33</v>
      </c>
      <c r="C35" s="31" t="s">
        <v>64</v>
      </c>
      <c r="D35" s="51">
        <f t="shared" si="3"/>
        <v>41877</v>
      </c>
      <c r="E35" s="51">
        <f>_xll.qlInterestRateIndexValueDate(K35,D35,Trigger)</f>
        <v>41878</v>
      </c>
      <c r="F35" s="51">
        <f>_xll.qlInterestRateIndexMaturity(K35,E35,Trigger)</f>
        <v>45166</v>
      </c>
      <c r="G35" s="50">
        <f>_xll.qlIndexFixing(K35,D35,TRUE,InterestRatesTrigger)</f>
        <v>3.6575000000000794E-2</v>
      </c>
      <c r="H35" s="41"/>
      <c r="I35" s="41" t="str">
        <f t="shared" si="4"/>
        <v>AUDSM6AB9Y=ICAA</v>
      </c>
      <c r="J35" s="44"/>
      <c r="K35" s="32" t="str">
        <f>_xll.qlSwapIndex(,"BBSW",B35,SettlementDays,Currency,Calendar,FixedLegTenor,FixedLegBDC,FixedLegDayCounter,IborIndex,DiscountingCurve,,Trigger)</f>
        <v>obj_003ba#0008</v>
      </c>
      <c r="L35" s="89"/>
      <c r="M35" s="60"/>
      <c r="N35" s="88"/>
      <c r="O35" s="87"/>
      <c r="P35" s="44"/>
      <c r="Q35" s="44"/>
      <c r="R35" s="2"/>
      <c r="S35" s="2"/>
      <c r="T35" s="2"/>
      <c r="U35" s="2"/>
      <c r="V35" s="2"/>
      <c r="W35" s="2"/>
      <c r="X35" s="2"/>
    </row>
    <row r="36" spans="1:24" x14ac:dyDescent="0.2">
      <c r="A36" s="95"/>
      <c r="B36" s="23" t="s">
        <v>34</v>
      </c>
      <c r="C36" s="31" t="s">
        <v>64</v>
      </c>
      <c r="D36" s="51">
        <f t="shared" si="3"/>
        <v>41877</v>
      </c>
      <c r="E36" s="51">
        <f>_xll.qlInterestRateIndexValueDate(K36,D36,Trigger)</f>
        <v>41878</v>
      </c>
      <c r="F36" s="51">
        <f>_xll.qlInterestRateIndexMaturity(K36,E36,Trigger)</f>
        <v>45531</v>
      </c>
      <c r="G36" s="50">
        <f>_xll.qlIndexFixing(K36,D36,TRUE,InterestRatesTrigger)</f>
        <v>3.7375000000359739E-2</v>
      </c>
      <c r="H36" s="41" t="str">
        <f>Contribution!V36</f>
        <v>AUD6M10Y=</v>
      </c>
      <c r="I36" s="41" t="str">
        <f t="shared" si="4"/>
        <v>AUDSM6AB10Y=ICAA</v>
      </c>
      <c r="J36" s="44"/>
      <c r="K36" s="32" t="str">
        <f>_xll.qlSwapIndex(,"BBSW",B36,SettlementDays,Currency,Calendar,FixedLegTenor,FixedLegBDC,FixedLegDayCounter,IborIndex,DiscountingCurve,,Trigger)</f>
        <v>obj_003ac#0008</v>
      </c>
      <c r="L36" s="89"/>
      <c r="M36" s="60"/>
      <c r="N36" s="4"/>
      <c r="O36" s="60"/>
      <c r="P36" s="44"/>
      <c r="Q36" s="44"/>
      <c r="R36" s="2"/>
      <c r="S36" s="2"/>
      <c r="T36" s="2"/>
      <c r="U36" s="2"/>
      <c r="V36" s="2"/>
      <c r="W36" s="2"/>
      <c r="X36" s="2"/>
    </row>
    <row r="37" spans="1:24" x14ac:dyDescent="0.2">
      <c r="A37" s="95"/>
      <c r="B37" s="23" t="s">
        <v>35</v>
      </c>
      <c r="C37" s="31" t="s">
        <v>64</v>
      </c>
      <c r="D37" s="51">
        <f t="shared" si="3"/>
        <v>41877</v>
      </c>
      <c r="E37" s="51">
        <f>_xll.qlInterestRateIndexValueDate(K37,D37,Trigger)</f>
        <v>41878</v>
      </c>
      <c r="F37" s="51">
        <f>_xll.qlInterestRateIndexMaturity(K37,E37,Trigger)</f>
        <v>46261</v>
      </c>
      <c r="G37" s="50">
        <f>_xll.qlIndexFixing(K37,D37,TRUE,InterestRatesTrigger)</f>
        <v>3.8800000000004227E-2</v>
      </c>
      <c r="H37" s="41" t="str">
        <f>Contribution!V37</f>
        <v>AUD6M12Y=</v>
      </c>
      <c r="I37" s="41" t="str">
        <f t="shared" si="4"/>
        <v>AUDSM6AB12Y=ICAA</v>
      </c>
      <c r="J37" s="44"/>
      <c r="K37" s="32" t="str">
        <f>_xll.qlSwapIndex(,"BBSW",B37,SettlementDays,Currency,Calendar,FixedLegTenor,FixedLegBDC,FixedLegDayCounter,IborIndex,DiscountingCurve,,Trigger)</f>
        <v>obj_003c9#0008</v>
      </c>
      <c r="L37" s="89"/>
      <c r="M37" s="60"/>
      <c r="N37" s="4"/>
      <c r="O37" s="60"/>
      <c r="P37" s="88"/>
      <c r="Q37" s="88"/>
      <c r="R37" s="88"/>
      <c r="S37" s="2"/>
      <c r="T37" s="2"/>
      <c r="U37" s="2"/>
      <c r="V37" s="2"/>
      <c r="W37" s="2"/>
      <c r="X37" s="2"/>
    </row>
    <row r="38" spans="1:24" x14ac:dyDescent="0.2">
      <c r="A38" s="95"/>
      <c r="B38" s="23" t="s">
        <v>36</v>
      </c>
      <c r="C38" s="31" t="s">
        <v>64</v>
      </c>
      <c r="D38" s="51">
        <f t="shared" si="3"/>
        <v>41877</v>
      </c>
      <c r="E38" s="51">
        <f>_xll.qlInterestRateIndexValueDate(K38,D38,Trigger)</f>
        <v>41878</v>
      </c>
      <c r="F38" s="51">
        <f>_xll.qlInterestRateIndexMaturity(K38,E38,Trigger)</f>
        <v>47357</v>
      </c>
      <c r="G38" s="50">
        <f>_xll.qlIndexFixing(K38,D38,TRUE,InterestRatesTrigger)</f>
        <v>4.0274999999998534E-2</v>
      </c>
      <c r="H38" s="41" t="str">
        <f>Contribution!V38</f>
        <v>AUD6M15Y=</v>
      </c>
      <c r="I38" s="41" t="str">
        <f t="shared" si="4"/>
        <v>AUDSM6AB15Y=ICAA</v>
      </c>
      <c r="J38" s="44"/>
      <c r="K38" s="32" t="str">
        <f>_xll.qlSwapIndex(,"BBSW",B38,SettlementDays,Currency,Calendar,FixedLegTenor,FixedLegBDC,FixedLegDayCounter,IborIndex,DiscountingCurve,,Trigger)</f>
        <v>obj_00395#0008</v>
      </c>
      <c r="L38" s="89"/>
      <c r="M38" s="60"/>
      <c r="N38" s="4"/>
      <c r="O38" s="60"/>
      <c r="P38" s="44"/>
      <c r="Q38" s="44"/>
      <c r="R38" s="2"/>
      <c r="S38" s="2"/>
      <c r="T38" s="2"/>
      <c r="U38" s="2"/>
      <c r="V38" s="2"/>
      <c r="W38" s="2"/>
      <c r="X38" s="2"/>
    </row>
    <row r="39" spans="1:24" x14ac:dyDescent="0.2">
      <c r="A39" s="95"/>
      <c r="B39" s="23" t="s">
        <v>37</v>
      </c>
      <c r="C39" s="31" t="s">
        <v>64</v>
      </c>
      <c r="D39" s="51">
        <f t="shared" si="3"/>
        <v>41877</v>
      </c>
      <c r="E39" s="51">
        <f>_xll.qlInterestRateIndexValueDate(K39,D39,Trigger)</f>
        <v>41878</v>
      </c>
      <c r="F39" s="51">
        <f>_xll.qlInterestRateIndexMaturity(K39,E39,Trigger)</f>
        <v>49184</v>
      </c>
      <c r="G39" s="50">
        <f>_xll.qlIndexFixing(K39,D39,TRUE,InterestRatesTrigger)</f>
        <v>4.1800000000050679E-2</v>
      </c>
      <c r="H39" s="41" t="str">
        <f>Contribution!V39</f>
        <v>AUD6M20Y=</v>
      </c>
      <c r="I39" s="41" t="str">
        <f t="shared" si="4"/>
        <v>AUDSM6AB20Y=ICAA</v>
      </c>
      <c r="J39" s="44"/>
      <c r="K39" s="32" t="str">
        <f>_xll.qlSwapIndex(,"BBSW",B39,SettlementDays,Currency,Calendar,FixedLegTenor,FixedLegBDC,FixedLegDayCounter,IborIndex,DiscountingCurve,,Trigger)</f>
        <v>obj_003e4#0008</v>
      </c>
      <c r="L39" s="60"/>
      <c r="M39" s="60"/>
      <c r="N39" s="44"/>
      <c r="O39" s="60"/>
      <c r="P39" s="44"/>
      <c r="Q39" s="44"/>
      <c r="R39" s="2"/>
      <c r="S39" s="2"/>
      <c r="T39" s="2"/>
      <c r="U39" s="2"/>
      <c r="V39" s="2"/>
      <c r="W39" s="2"/>
      <c r="X39" s="2"/>
    </row>
    <row r="40" spans="1:24" x14ac:dyDescent="0.2">
      <c r="A40" s="95"/>
      <c r="B40" s="23" t="s">
        <v>38</v>
      </c>
      <c r="C40" s="31" t="s">
        <v>64</v>
      </c>
      <c r="D40" s="51">
        <f t="shared" si="3"/>
        <v>41877</v>
      </c>
      <c r="E40" s="51">
        <f>_xll.qlInterestRateIndexValueDate(K40,D40,Trigger)</f>
        <v>41878</v>
      </c>
      <c r="F40" s="51">
        <f>_xll.qlInterestRateIndexMaturity(K40,E40,Trigger)</f>
        <v>51011</v>
      </c>
      <c r="G40" s="50">
        <f>_xll.qlIndexFixing(K40,D40,TRUE,InterestRatesTrigger)</f>
        <v>4.2325000000026883E-2</v>
      </c>
      <c r="H40" s="41" t="str">
        <f>Contribution!V40</f>
        <v>AUD6M25Y=</v>
      </c>
      <c r="I40" s="41" t="str">
        <f t="shared" si="4"/>
        <v>AUDSM6AB25Y=ICAA</v>
      </c>
      <c r="J40" s="44"/>
      <c r="K40" s="32" t="str">
        <f>_xll.qlSwapIndex(,"BBSW",B40,SettlementDays,Currency,Calendar,FixedLegTenor,FixedLegBDC,FixedLegDayCounter,IborIndex,DiscountingCurve,,Trigger)</f>
        <v>obj_003e5#0008</v>
      </c>
      <c r="L40" s="60"/>
      <c r="M40" s="60"/>
      <c r="N40" s="44"/>
      <c r="O40" s="44"/>
      <c r="P40" s="44"/>
      <c r="Q40" s="44"/>
      <c r="R40" s="2"/>
      <c r="S40" s="2"/>
      <c r="T40" s="2"/>
      <c r="U40" s="2"/>
      <c r="V40" s="2"/>
      <c r="W40" s="2"/>
      <c r="X40" s="2"/>
    </row>
    <row r="41" spans="1:24" x14ac:dyDescent="0.2">
      <c r="A41" s="95"/>
      <c r="B41" s="24" t="s">
        <v>39</v>
      </c>
      <c r="C41" s="33" t="s">
        <v>64</v>
      </c>
      <c r="D41" s="52">
        <f t="shared" si="3"/>
        <v>41877</v>
      </c>
      <c r="E41" s="52">
        <f>_xll.qlInterestRateIndexValueDate(K41,D41,Trigger)</f>
        <v>41878</v>
      </c>
      <c r="F41" s="52">
        <f>_xll.qlInterestRateIndexMaturity(K41,E41,Trigger)</f>
        <v>52838</v>
      </c>
      <c r="G41" s="53">
        <f>_xll.qlIndexFixing(K41,D41,TRUE,InterestRatesTrigger)</f>
        <v>4.2524999999991965E-2</v>
      </c>
      <c r="H41" s="43" t="str">
        <f>Contribution!V41</f>
        <v>AUD6M30Y=</v>
      </c>
      <c r="I41" s="43" t="str">
        <f t="shared" si="4"/>
        <v>AUDSM6AB30Y=ICAA</v>
      </c>
      <c r="J41" s="44"/>
      <c r="K41" s="34" t="str">
        <f>_xll.qlSwapIndex(,"BBSW",B41,SettlementDays,Currency,Calendar,FixedLegTenor,FixedLegBDC,FixedLegDayCounter,IborIndex,DiscountingCurve,,Trigger)</f>
        <v>obj_003c5#0009</v>
      </c>
      <c r="L41" s="6"/>
      <c r="M41" s="6"/>
      <c r="N41" s="2"/>
      <c r="O41" s="2"/>
      <c r="P41" s="60"/>
      <c r="Q41" s="44"/>
      <c r="R41" s="2"/>
      <c r="S41" s="2"/>
      <c r="T41" s="2"/>
      <c r="U41" s="2"/>
      <c r="V41" s="2"/>
      <c r="W41" s="2"/>
      <c r="X41" s="2"/>
    </row>
    <row r="42" spans="1:24" x14ac:dyDescent="0.2">
      <c r="A42" s="95"/>
      <c r="B42" s="3"/>
      <c r="C42" s="6"/>
      <c r="D42" s="6"/>
      <c r="E42" s="6"/>
      <c r="F42" s="6"/>
      <c r="G42" s="6"/>
      <c r="H42" s="6"/>
      <c r="I42" s="6"/>
      <c r="J42" s="44"/>
      <c r="K42" s="6"/>
      <c r="L42" s="6"/>
      <c r="M42" s="6"/>
      <c r="N42" s="2"/>
      <c r="O42" s="2"/>
      <c r="P42" s="2"/>
      <c r="Q42" s="44"/>
      <c r="R42" s="2"/>
      <c r="S42" s="2"/>
      <c r="T42" s="2"/>
      <c r="U42" s="2"/>
      <c r="V42" s="2"/>
      <c r="W42" s="2"/>
      <c r="X42" s="2"/>
    </row>
    <row r="43" spans="1:24" x14ac:dyDescent="0.2">
      <c r="A43" s="95"/>
      <c r="B43" s="3"/>
      <c r="C43" s="6"/>
      <c r="D43" s="6"/>
      <c r="E43" s="6"/>
      <c r="F43" s="6"/>
      <c r="G43" s="6"/>
      <c r="H43" s="6"/>
      <c r="I43" s="6"/>
      <c r="J43" s="44"/>
      <c r="K43" s="6"/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95"/>
      <c r="B44" s="3"/>
      <c r="C44" s="6"/>
      <c r="D44" s="6"/>
      <c r="E44" s="6"/>
      <c r="F44" s="6"/>
      <c r="G44" s="6"/>
      <c r="H44" s="6"/>
      <c r="I44" s="6"/>
      <c r="J44" s="60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6"/>
      <c r="B45" s="3"/>
      <c r="C45" s="6"/>
      <c r="D45" s="6"/>
      <c r="E45" s="6"/>
      <c r="F45" s="6"/>
      <c r="G45" s="6"/>
      <c r="H45" s="6"/>
      <c r="I45" s="6"/>
      <c r="J45" s="60"/>
      <c r="K45" s="60"/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6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6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6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6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6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6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6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6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6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6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6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6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6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6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6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6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6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6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6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6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6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6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6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6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6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6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6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6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6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6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6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6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6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6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6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6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6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6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32" x14ac:dyDescent="0.2">
      <c r="A97" s="6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32" x14ac:dyDescent="0.2">
      <c r="A98" s="6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32" x14ac:dyDescent="0.2">
      <c r="A99" s="6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32" x14ac:dyDescent="0.2">
      <c r="A100" s="6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32" x14ac:dyDescent="0.2">
      <c r="A101" s="160"/>
      <c r="B101" s="162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AC101" s="11"/>
      <c r="AD101" s="11"/>
      <c r="AE101" s="11"/>
      <c r="AF101" s="11"/>
    </row>
    <row r="102" spans="1:32" x14ac:dyDescent="0.2">
      <c r="A102" s="160"/>
      <c r="B102" s="162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AC102" s="11"/>
      <c r="AD102" s="11"/>
      <c r="AE102" s="11"/>
      <c r="AF102" s="11"/>
    </row>
    <row r="103" spans="1:32" x14ac:dyDescent="0.2">
      <c r="A103" s="160"/>
      <c r="B103" s="162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C103" s="11"/>
      <c r="AD103" s="11"/>
      <c r="AE103" s="11"/>
      <c r="AF103" s="11"/>
    </row>
    <row r="104" spans="1:32" x14ac:dyDescent="0.2">
      <c r="A104" s="160"/>
      <c r="B104" s="162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C104" s="11"/>
      <c r="AD104" s="11"/>
      <c r="AE104" s="11"/>
      <c r="AF104" s="11"/>
    </row>
    <row r="105" spans="1:32" x14ac:dyDescent="0.2">
      <c r="A105" s="160"/>
      <c r="B105" s="162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C105" s="11"/>
      <c r="AD105" s="11"/>
      <c r="AE105" s="11"/>
      <c r="AF105" s="11"/>
    </row>
    <row r="106" spans="1:32" x14ac:dyDescent="0.2">
      <c r="A106" s="160"/>
      <c r="B106" s="162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C106" s="11"/>
      <c r="AD106" s="11"/>
      <c r="AE106" s="11"/>
      <c r="AF106" s="11"/>
    </row>
    <row r="107" spans="1:32" x14ac:dyDescent="0.2">
      <c r="A107" s="160"/>
      <c r="B107" s="162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C107" s="11"/>
      <c r="AD107" s="11"/>
      <c r="AE107" s="11"/>
      <c r="AF107" s="11"/>
    </row>
    <row r="108" spans="1:32" x14ac:dyDescent="0.2">
      <c r="A108" s="160"/>
      <c r="B108" s="162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C108" s="11"/>
      <c r="AD108" s="11"/>
      <c r="AE108" s="11"/>
      <c r="AF108" s="11"/>
    </row>
  </sheetData>
  <dataValidations count="2">
    <dataValidation type="list" allowBlank="1" showInputMessage="1" showErrorMessage="1" sqref="N23 N6">
      <formula1>"Following,Modified Following,Preceding,Modified Preceding,Unadjusted,Half-Month Modified Following"</formula1>
    </dataValidation>
    <dataValidation type="list" allowBlank="1" showInputMessage="1" showErrorMessage="1" sqref="O23 O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11"/>
  <sheetViews>
    <sheetView showGridLines="0" workbookViewId="0">
      <selection activeCell="D2" sqref="D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15.140625" style="7" bestFit="1" customWidth="1"/>
    <col min="4" max="6" width="17.28515625" style="7" customWidth="1"/>
    <col min="7" max="7" width="8" style="7" bestFit="1" customWidth="1"/>
    <col min="8" max="8" width="13.140625" style="7" bestFit="1" customWidth="1"/>
    <col min="9" max="9" width="17.28515625" style="10" bestFit="1" customWidth="1"/>
    <col min="10" max="10" width="2.7109375" style="7" hidden="1" customWidth="1" outlineLevel="1"/>
    <col min="11" max="11" width="15.140625" style="7" hidden="1" customWidth="1" outlineLevel="1"/>
    <col min="12" max="12" width="2.7109375" style="1" hidden="1" customWidth="1" outlineLevel="1"/>
    <col min="13" max="13" width="17.28515625" style="1" hidden="1" customWidth="1" outlineLevel="1"/>
    <col min="14" max="15" width="19.28515625" style="1" hidden="1" customWidth="1" outlineLevel="1"/>
    <col min="16" max="16" width="2.7109375" style="1" customWidth="1" collapsed="1"/>
    <col min="17" max="24" width="14.85546875" style="1" customWidth="1"/>
    <col min="25" max="28" width="14.85546875" style="11" customWidth="1"/>
    <col min="29" max="145" width="14.85546875" style="1" customWidth="1"/>
    <col min="146" max="16384" width="2.85546875" style="1"/>
  </cols>
  <sheetData>
    <row r="1" spans="1:24" x14ac:dyDescent="0.2">
      <c r="A1" s="6"/>
      <c r="B1" s="6"/>
      <c r="C1" s="6"/>
      <c r="D1" s="6"/>
      <c r="E1" s="6"/>
      <c r="F1" s="6"/>
      <c r="G1" s="6"/>
      <c r="H1" s="6"/>
      <c r="I1" s="9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95"/>
      <c r="B2" s="60"/>
      <c r="C2" s="8" t="s">
        <v>76</v>
      </c>
      <c r="D2" s="21" t="s">
        <v>15</v>
      </c>
      <c r="E2" s="60"/>
      <c r="F2" s="60"/>
      <c r="G2" s="60"/>
      <c r="H2" s="60"/>
      <c r="I2" s="62"/>
      <c r="J2" s="60"/>
      <c r="K2" s="60"/>
      <c r="L2" s="44"/>
      <c r="M2" s="44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95"/>
      <c r="B3" s="6"/>
      <c r="C3" s="54" t="s">
        <v>77</v>
      </c>
      <c r="D3" s="21" t="str">
        <f>Currency&amp;CurveTenor</f>
        <v>AUDON</v>
      </c>
      <c r="E3" s="60"/>
      <c r="F3" s="60"/>
      <c r="G3" s="60"/>
      <c r="H3" s="60"/>
      <c r="I3" s="62"/>
      <c r="J3" s="60"/>
      <c r="K3" s="8" t="s">
        <v>69</v>
      </c>
      <c r="L3" s="44"/>
      <c r="M3" s="44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95"/>
      <c r="B4" s="60"/>
      <c r="C4" s="6"/>
      <c r="D4" s="60"/>
      <c r="E4" s="60"/>
      <c r="F4" s="60"/>
      <c r="G4" s="60"/>
      <c r="H4" s="60"/>
      <c r="I4" s="62"/>
      <c r="J4" s="60"/>
      <c r="K4" s="100" t="s">
        <v>90</v>
      </c>
      <c r="L4" s="44"/>
      <c r="M4" s="44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95"/>
      <c r="B5" s="28"/>
      <c r="C5" s="28" t="s">
        <v>47</v>
      </c>
      <c r="D5" s="28" t="s">
        <v>63</v>
      </c>
      <c r="E5" s="28" t="s">
        <v>73</v>
      </c>
      <c r="F5" s="28" t="s">
        <v>45</v>
      </c>
      <c r="G5" s="29" t="s">
        <v>44</v>
      </c>
      <c r="H5" s="29" t="s">
        <v>74</v>
      </c>
      <c r="I5" s="29" t="s">
        <v>75</v>
      </c>
      <c r="J5" s="64"/>
      <c r="K5" s="65"/>
      <c r="L5" s="44"/>
      <c r="M5" s="44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95"/>
      <c r="B6" s="30" t="s">
        <v>15</v>
      </c>
      <c r="C6" s="30" t="s">
        <v>65</v>
      </c>
      <c r="D6" s="48">
        <f t="shared" ref="D6" si="0">EvaluationDate</f>
        <v>41877</v>
      </c>
      <c r="E6" s="48">
        <f>_xll.qlInterestRateIndexValueDate(OvernightIndex,D6)</f>
        <v>41877</v>
      </c>
      <c r="F6" s="48">
        <f>_xll.qlInterestRateIndexMaturity(OvernightIndex,E6)</f>
        <v>41878</v>
      </c>
      <c r="G6" s="49">
        <f>_xll.qlIndexFixing(OvernightIndex,D6,TRUE,InterestRatesTrigger)</f>
        <v>2.4998800164998114E-2</v>
      </c>
      <c r="H6" s="41" t="str">
        <f>Contribution!AB6</f>
        <v>AUDONOND=</v>
      </c>
      <c r="I6" s="58" t="str">
        <f>"AU"&amp;"CASH"&amp;"="&amp;"RBAA"</f>
        <v>AUCASH=RBAA</v>
      </c>
      <c r="J6" s="63"/>
      <c r="K6" s="90" t="s">
        <v>46</v>
      </c>
      <c r="L6" s="44"/>
      <c r="M6" s="90" t="s">
        <v>41</v>
      </c>
      <c r="N6" s="90" t="s">
        <v>78</v>
      </c>
      <c r="O6" s="90" t="s">
        <v>42</v>
      </c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95"/>
      <c r="B7" s="31" t="s">
        <v>16</v>
      </c>
      <c r="C7" s="31" t="s">
        <v>59</v>
      </c>
      <c r="D7" s="51">
        <f t="shared" ref="D7:D41" si="1">EvaluationDate</f>
        <v>41877</v>
      </c>
      <c r="E7" s="51">
        <f>_xll.qlInterestRateIndexValueDate(K7,D7)</f>
        <v>41878</v>
      </c>
      <c r="F7" s="51">
        <f>_xll.qlInterestRateIndexMaturity(K7,E7)</f>
        <v>41885</v>
      </c>
      <c r="G7" s="50">
        <f>_xll.qlIndexFixing(K7,D7,TRUE,InterestRatesTrigger)</f>
        <v>2.4999999990978839E-2</v>
      </c>
      <c r="H7" s="41" t="str">
        <f>Contribution!AB7</f>
        <v>AUDONSWD=</v>
      </c>
      <c r="I7" s="41" t="str">
        <f>Currency&amp;B7&amp;"OIS=ICAA"</f>
        <v>AUDSWOIS=ICAA</v>
      </c>
      <c r="J7" s="64"/>
      <c r="K7" s="31" t="str">
        <f>_xll.qlSwapIndex(,"Aonia",IF(B7="SW","1W",B7),SettlementDays,Currency,Calendar,FixedLegTenor,FixedLegBDC,FixedLegDayCounter,OvernightIndex,YieldCurve,,Trigger)</f>
        <v>obj_003da#0008</v>
      </c>
      <c r="L7" s="44"/>
      <c r="M7" s="91" t="s">
        <v>25</v>
      </c>
      <c r="N7" s="97" t="s">
        <v>60</v>
      </c>
      <c r="O7" s="91" t="s">
        <v>43</v>
      </c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95"/>
      <c r="B8" s="31" t="s">
        <v>17</v>
      </c>
      <c r="C8" s="31" t="s">
        <v>59</v>
      </c>
      <c r="D8" s="51">
        <f t="shared" si="1"/>
        <v>41877</v>
      </c>
      <c r="E8" s="51">
        <f>_xll.qlInterestRateIndexValueDate(K8,D8)</f>
        <v>41878</v>
      </c>
      <c r="F8" s="51">
        <f>_xll.qlInterestRateIndexMaturity(K8,E8)</f>
        <v>41892</v>
      </c>
      <c r="G8" s="50">
        <f>_xll.qlIndexFixing(K8,D8,TRUE,InterestRatesTrigger)</f>
        <v>2.4998132972421712E-2</v>
      </c>
      <c r="H8" s="41"/>
      <c r="I8" s="41"/>
      <c r="J8" s="63"/>
      <c r="K8" s="31" t="str">
        <f>_xll.qlSwapIndex(,"Aonia",IF(B8="SW","1W",B8),SettlementDays,Currency,Calendar,FixedLegTenor,FixedLegBDC,FixedLegDayCounter,OvernightIndex,YieldCurve,,Trigger)</f>
        <v>obj_003b9#0008</v>
      </c>
      <c r="L8" s="96"/>
      <c r="M8" s="44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95"/>
      <c r="B9" s="31" t="s">
        <v>18</v>
      </c>
      <c r="C9" s="31" t="s">
        <v>59</v>
      </c>
      <c r="D9" s="51">
        <f t="shared" si="1"/>
        <v>41877</v>
      </c>
      <c r="E9" s="51">
        <f>_xll.qlInterestRateIndexValueDate(K9,D9)</f>
        <v>41878</v>
      </c>
      <c r="F9" s="51">
        <f>_xll.qlInterestRateIndexMaturity(K9,E9)</f>
        <v>41899</v>
      </c>
      <c r="G9" s="50">
        <f>_xll.qlIndexFixing(K9,D9,TRUE,InterestRatesTrigger)</f>
        <v>2.4995335482720347E-2</v>
      </c>
      <c r="H9" s="41"/>
      <c r="I9" s="41"/>
      <c r="J9" s="63"/>
      <c r="K9" s="31" t="str">
        <f>_xll.qlSwapIndex(,"Aonia",IF(B9="SW","1W",B9),SettlementDays,Currency,Calendar,FixedLegTenor,FixedLegBDC,FixedLegDayCounter,OvernightIndex,YieldCurve,,Trigger)</f>
        <v>obj_003a5#0008</v>
      </c>
      <c r="L9" s="44"/>
      <c r="M9" s="44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95"/>
      <c r="B10" s="31" t="s">
        <v>19</v>
      </c>
      <c r="C10" s="31" t="s">
        <v>59</v>
      </c>
      <c r="D10" s="51">
        <f t="shared" si="1"/>
        <v>41877</v>
      </c>
      <c r="E10" s="51">
        <f>_xll.qlInterestRateIndexValueDate(K10,D10)</f>
        <v>41878</v>
      </c>
      <c r="F10" s="51">
        <f>_xll.qlInterestRateIndexMaturity(K10,E10)</f>
        <v>41911</v>
      </c>
      <c r="G10" s="50">
        <f>_xll.qlIndexFixing(K10,D10,TRUE,InterestRatesTrigger)</f>
        <v>2.499000000029732E-2</v>
      </c>
      <c r="H10" s="41" t="str">
        <f>Contribution!AB10</f>
        <v>AUDON1MD=</v>
      </c>
      <c r="I10" s="41" t="str">
        <f t="shared" ref="I10:I15" si="2">Currency&amp;B10&amp;"OIS=ICAA"</f>
        <v>AUD1MOIS=ICAA</v>
      </c>
      <c r="J10" s="63"/>
      <c r="K10" s="31" t="str">
        <f>_xll.qlSwapIndex(,"Aonia",IF(B10="SW","1W",B10),SettlementDays,Currency,Calendar,FixedLegTenor,FixedLegBDC,FixedLegDayCounter,OvernightIndex,YieldCurve,,Trigger)</f>
        <v>obj_003e7#0008</v>
      </c>
      <c r="L10" s="44"/>
      <c r="M10" s="4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95"/>
      <c r="B11" s="31" t="s">
        <v>20</v>
      </c>
      <c r="C11" s="31" t="s">
        <v>59</v>
      </c>
      <c r="D11" s="51">
        <f t="shared" si="1"/>
        <v>41877</v>
      </c>
      <c r="E11" s="51">
        <f>_xll.qlInterestRateIndexValueDate(K11,D11)</f>
        <v>41878</v>
      </c>
      <c r="F11" s="51">
        <f>_xll.qlInterestRateIndexMaturity(K11,E11)</f>
        <v>41939</v>
      </c>
      <c r="G11" s="50">
        <f>_xll.qlIndexFixing(K11,D11,TRUE,InterestRatesTrigger)</f>
        <v>2.4974999999965618E-2</v>
      </c>
      <c r="H11" s="41" t="str">
        <f>Contribution!AB11</f>
        <v>AUDON2MD=</v>
      </c>
      <c r="I11" s="41" t="str">
        <f t="shared" si="2"/>
        <v>AUD2MOIS=ICAA</v>
      </c>
      <c r="J11" s="63"/>
      <c r="K11" s="31" t="str">
        <f>_xll.qlSwapIndex(,"Aonia",IF(B11="SW","1W",B11),SettlementDays,Currency,Calendar,FixedLegTenor,FixedLegBDC,FixedLegDayCounter,OvernightIndex,YieldCurve,,Trigger)</f>
        <v>obj_003df#0008</v>
      </c>
      <c r="L11" s="44"/>
      <c r="M11" s="4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95"/>
      <c r="B12" s="31" t="s">
        <v>21</v>
      </c>
      <c r="C12" s="31" t="s">
        <v>59</v>
      </c>
      <c r="D12" s="51">
        <f t="shared" si="1"/>
        <v>41877</v>
      </c>
      <c r="E12" s="51">
        <f>_xll.qlInterestRateIndexValueDate(K12,D12)</f>
        <v>41878</v>
      </c>
      <c r="F12" s="51">
        <f>_xll.qlInterestRateIndexMaturity(K12,E12)</f>
        <v>41970</v>
      </c>
      <c r="G12" s="50">
        <f>_xll.qlIndexFixing(K12,D12,TRUE,InterestRatesTrigger)</f>
        <v>2.4950000000004066E-2</v>
      </c>
      <c r="H12" s="41" t="str">
        <f>Contribution!AB12</f>
        <v>AUDON3MD=</v>
      </c>
      <c r="I12" s="41" t="str">
        <f t="shared" si="2"/>
        <v>AUD3MOIS=ICAA</v>
      </c>
      <c r="J12" s="63"/>
      <c r="K12" s="31" t="str">
        <f>_xll.qlSwapIndex(,"Aonia",IF(B12="SW","1W",B12),SettlementDays,Currency,Calendar,FixedLegTenor,FixedLegBDC,FixedLegDayCounter,OvernightIndex,YieldCurve,,Trigger)</f>
        <v>obj_003ce#0008</v>
      </c>
      <c r="L12" s="44"/>
      <c r="M12" s="4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95"/>
      <c r="B13" s="31" t="s">
        <v>22</v>
      </c>
      <c r="C13" s="31" t="s">
        <v>59</v>
      </c>
      <c r="D13" s="51">
        <f t="shared" si="1"/>
        <v>41877</v>
      </c>
      <c r="E13" s="51">
        <f>_xll.qlInterestRateIndexValueDate(K13,D13)</f>
        <v>41878</v>
      </c>
      <c r="F13" s="51">
        <f>_xll.qlInterestRateIndexMaturity(K13,E13)</f>
        <v>42002</v>
      </c>
      <c r="G13" s="50">
        <f>_xll.qlIndexFixing(K13,D13,TRUE,InterestRatesTrigger)</f>
        <v>2.4924999999997189E-2</v>
      </c>
      <c r="H13" s="41" t="str">
        <f>Contribution!AB13</f>
        <v>AUDON4MD=</v>
      </c>
      <c r="I13" s="41" t="str">
        <f t="shared" si="2"/>
        <v>AUD4MOIS=ICAA</v>
      </c>
      <c r="J13" s="63"/>
      <c r="K13" s="31" t="str">
        <f>_xll.qlSwapIndex(,"Aonia",IF(B13="SW","1W",B13),SettlementDays,Currency,Calendar,FixedLegTenor,FixedLegBDC,FixedLegDayCounter,OvernightIndex,YieldCurve,,Trigger)</f>
        <v>obj_003b2#0008</v>
      </c>
      <c r="L13" s="44"/>
      <c r="M13" s="4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95"/>
      <c r="B14" s="31" t="s">
        <v>23</v>
      </c>
      <c r="C14" s="31" t="s">
        <v>59</v>
      </c>
      <c r="D14" s="51">
        <f t="shared" si="1"/>
        <v>41877</v>
      </c>
      <c r="E14" s="51">
        <f>_xll.qlInterestRateIndexValueDate(K14,D14)</f>
        <v>41878</v>
      </c>
      <c r="F14" s="51">
        <f>_xll.qlInterestRateIndexMaturity(K14,E14)</f>
        <v>42031</v>
      </c>
      <c r="G14" s="50">
        <f>_xll.qlIndexFixing(K14,D14,TRUE,InterestRatesTrigger)</f>
        <v>2.4924999999999392E-2</v>
      </c>
      <c r="H14" s="41" t="str">
        <f>Contribution!AB14</f>
        <v>AUDON5MD=</v>
      </c>
      <c r="I14" s="41" t="str">
        <f t="shared" si="2"/>
        <v>AUD5MOIS=ICAA</v>
      </c>
      <c r="J14" s="63"/>
      <c r="K14" s="31" t="str">
        <f>_xll.qlSwapIndex(,"Aonia",IF(B14="SW","1W",B14),SettlementDays,Currency,Calendar,FixedLegTenor,FixedLegBDC,FixedLegDayCounter,OvernightIndex,YieldCurve,,Trigger)</f>
        <v>obj_003b4#0008</v>
      </c>
      <c r="L14" s="44"/>
      <c r="M14" s="4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95"/>
      <c r="B15" s="31" t="s">
        <v>14</v>
      </c>
      <c r="C15" s="31" t="s">
        <v>59</v>
      </c>
      <c r="D15" s="51">
        <f t="shared" si="1"/>
        <v>41877</v>
      </c>
      <c r="E15" s="51">
        <f>_xll.qlInterestRateIndexValueDate(K15,D15)</f>
        <v>41878</v>
      </c>
      <c r="F15" s="51">
        <f>_xll.qlInterestRateIndexMaturity(K15,E15)</f>
        <v>42062</v>
      </c>
      <c r="G15" s="50">
        <f>_xll.qlIndexFixing(K15,D15,TRUE,InterestRatesTrigger)</f>
        <v>2.4909999999998846E-2</v>
      </c>
      <c r="H15" s="41" t="str">
        <f>Contribution!AB15</f>
        <v>AUDON6MD=</v>
      </c>
      <c r="I15" s="41" t="str">
        <f t="shared" si="2"/>
        <v>AUD6MOIS=ICAA</v>
      </c>
      <c r="J15" s="63"/>
      <c r="K15" s="31" t="str">
        <f>_xll.qlSwapIndex(,"Aonia",IF(B15="SW","1W",B15),SettlementDays,Currency,Calendar,FixedLegTenor,FixedLegBDC,FixedLegDayCounter,OvernightIndex,YieldCurve,,Trigger)</f>
        <v>obj_003d5#0008</v>
      </c>
      <c r="L15" s="44"/>
      <c r="M15" s="4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95"/>
      <c r="B16" s="31" t="s">
        <v>24</v>
      </c>
      <c r="C16" s="31" t="s">
        <v>59</v>
      </c>
      <c r="D16" s="51">
        <f t="shared" si="1"/>
        <v>41877</v>
      </c>
      <c r="E16" s="51">
        <f>_xll.qlInterestRateIndexValueDate(K16,D16)</f>
        <v>41878</v>
      </c>
      <c r="F16" s="51">
        <f>_xll.qlInterestRateIndexMaturity(K16,E16)</f>
        <v>42151</v>
      </c>
      <c r="G16" s="50">
        <f>_xll.qlIndexFixing(K16,D16,TRUE,InterestRatesTrigger)</f>
        <v>2.4899999999999336E-2</v>
      </c>
      <c r="H16" s="41" t="str">
        <f>Contribution!AB16</f>
        <v>AUDON9MD=</v>
      </c>
      <c r="I16" s="41" t="str">
        <f>Currency&amp;B16&amp;"OIS=ICAA"</f>
        <v>AUD9MOIS=ICAA</v>
      </c>
      <c r="J16" s="63"/>
      <c r="K16" s="31" t="str">
        <f>_xll.qlSwapIndex(,"Aonia",IF(B16="SW","1W",B16),SettlementDays,Currency,Calendar,FixedLegTenor,FixedLegBDC,FixedLegDayCounter,OvernightIndex,YieldCurve,,Trigger)</f>
        <v>obj_003d3#0008</v>
      </c>
      <c r="L16" s="44"/>
      <c r="M16" s="4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95"/>
      <c r="B17" s="30"/>
      <c r="C17" s="30"/>
      <c r="D17" s="48"/>
      <c r="E17" s="48"/>
      <c r="F17" s="48"/>
      <c r="G17" s="49"/>
      <c r="H17" s="42"/>
      <c r="I17" s="42"/>
      <c r="J17" s="63"/>
      <c r="K17" s="31"/>
      <c r="L17" s="44"/>
      <c r="M17" s="4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95"/>
      <c r="B18" s="31"/>
      <c r="C18" s="31"/>
      <c r="D18" s="51"/>
      <c r="E18" s="51"/>
      <c r="F18" s="51"/>
      <c r="G18" s="50"/>
      <c r="H18" s="41"/>
      <c r="I18" s="41"/>
      <c r="J18" s="63"/>
      <c r="K18" s="31"/>
      <c r="L18" s="44"/>
      <c r="M18" s="4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95"/>
      <c r="B19" s="31"/>
      <c r="C19" s="31"/>
      <c r="D19" s="51"/>
      <c r="E19" s="51"/>
      <c r="F19" s="51"/>
      <c r="G19" s="50"/>
      <c r="H19" s="41"/>
      <c r="I19" s="41"/>
      <c r="J19" s="63"/>
      <c r="K19" s="31"/>
      <c r="L19" s="44"/>
      <c r="M19" s="4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95"/>
      <c r="B20" s="31"/>
      <c r="C20" s="31"/>
      <c r="D20" s="51"/>
      <c r="E20" s="51"/>
      <c r="F20" s="51"/>
      <c r="G20" s="50"/>
      <c r="H20" s="41"/>
      <c r="I20" s="41"/>
      <c r="J20" s="63"/>
      <c r="K20" s="31"/>
      <c r="L20" s="44"/>
      <c r="M20" s="4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95"/>
      <c r="B21" s="31"/>
      <c r="C21" s="31"/>
      <c r="D21" s="51"/>
      <c r="E21" s="51"/>
      <c r="F21" s="51"/>
      <c r="G21" s="50"/>
      <c r="H21" s="41"/>
      <c r="I21" s="41"/>
      <c r="J21" s="63"/>
      <c r="K21" s="31"/>
      <c r="L21" s="44"/>
      <c r="M21" s="4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95"/>
      <c r="B22" s="33"/>
      <c r="C22" s="33"/>
      <c r="D22" s="52"/>
      <c r="E22" s="52"/>
      <c r="F22" s="52"/>
      <c r="G22" s="53"/>
      <c r="H22" s="43"/>
      <c r="I22" s="43"/>
      <c r="J22" s="63"/>
      <c r="K22" s="31"/>
      <c r="L22" s="44"/>
      <c r="M22" s="4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95"/>
      <c r="B23" s="31"/>
      <c r="C23" s="31"/>
      <c r="D23" s="51"/>
      <c r="E23" s="51"/>
      <c r="F23" s="51"/>
      <c r="G23" s="50"/>
      <c r="H23" s="41"/>
      <c r="I23" s="41"/>
      <c r="J23" s="63"/>
      <c r="K23" s="31"/>
      <c r="L23" s="44"/>
      <c r="M23" s="4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95"/>
      <c r="B24" s="31"/>
      <c r="C24" s="31"/>
      <c r="D24" s="51"/>
      <c r="E24" s="51"/>
      <c r="F24" s="51"/>
      <c r="G24" s="50"/>
      <c r="H24" s="41"/>
      <c r="I24" s="41"/>
      <c r="J24" s="63"/>
      <c r="K24" s="31"/>
      <c r="L24" s="44"/>
      <c r="M24" s="4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95"/>
      <c r="B25" s="31"/>
      <c r="C25" s="31"/>
      <c r="D25" s="51"/>
      <c r="E25" s="51"/>
      <c r="F25" s="51"/>
      <c r="G25" s="50"/>
      <c r="H25" s="41"/>
      <c r="I25" s="41"/>
      <c r="J25" s="63"/>
      <c r="K25" s="31"/>
      <c r="L25" s="44"/>
      <c r="M25" s="4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95"/>
      <c r="B26" s="31" t="s">
        <v>25</v>
      </c>
      <c r="C26" s="31" t="s">
        <v>59</v>
      </c>
      <c r="D26" s="51">
        <f t="shared" si="1"/>
        <v>41877</v>
      </c>
      <c r="E26" s="51">
        <f>_xll.qlInterestRateIndexValueDate(K26,D26)</f>
        <v>41878</v>
      </c>
      <c r="F26" s="51">
        <f>_xll.qlInterestRateIndexMaturity(K26,E26)</f>
        <v>42243</v>
      </c>
      <c r="G26" s="50">
        <f>_xll.qlIndexFixing(K26,D26,TRUE,InterestRatesTrigger)</f>
        <v>2.5079999999998714E-2</v>
      </c>
      <c r="H26" s="41" t="str">
        <f>Contribution!AB26</f>
        <v>AUDON1YD=</v>
      </c>
      <c r="I26" s="41" t="str">
        <f t="shared" ref="I26:I41" si="3">Currency&amp;B26&amp;"MTOIS=ICAA"</f>
        <v>AUD1YMTOIS=ICAA</v>
      </c>
      <c r="J26" s="63"/>
      <c r="K26" s="31" t="str">
        <f>_xll.qlSwapIndex(,"Aonia",IF(B26="SW","1W",B26),SettlementDays,Currency,Calendar,FixedLegTenor,FixedLegBDC,FixedLegDayCounter,OvernightIndex,YieldCurve,,Trigger)</f>
        <v>obj_00397#0008</v>
      </c>
      <c r="L26" s="44"/>
      <c r="M26" s="4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95"/>
      <c r="B27" s="23" t="s">
        <v>67</v>
      </c>
      <c r="C27" s="31" t="s">
        <v>59</v>
      </c>
      <c r="D27" s="51">
        <f t="shared" si="1"/>
        <v>41877</v>
      </c>
      <c r="E27" s="51">
        <f>_xll.qlInterestRateIndexValueDate(K27,D27)</f>
        <v>41878</v>
      </c>
      <c r="F27" s="51">
        <f>_xll.qlInterestRateIndexMaturity(K27,E27)</f>
        <v>42429</v>
      </c>
      <c r="G27" s="50">
        <f>_xll.qlIndexFixing(K27,D27,TRUE,InterestRatesTrigger)</f>
        <v>2.5455005461132572E-2</v>
      </c>
      <c r="H27" s="41" t="str">
        <f>Contribution!AB27</f>
        <v>AUDON1Y6MD=</v>
      </c>
      <c r="I27" s="41" t="str">
        <f t="shared" si="3"/>
        <v>AUD18MMTOIS=ICAA</v>
      </c>
      <c r="J27" s="63"/>
      <c r="K27" s="31" t="str">
        <f>_xll.qlSwapIndex(,"Aonia",IF(B27="SW","1W",B27),SettlementDays,Currency,Calendar,FixedLegTenor,FixedLegBDC,FixedLegDayCounter,OvernightIndex,YieldCurve,,Trigger)</f>
        <v>obj_003d1#0008</v>
      </c>
      <c r="L27" s="44"/>
      <c r="M27" s="4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95"/>
      <c r="B28" s="31" t="s">
        <v>26</v>
      </c>
      <c r="C28" s="31" t="s">
        <v>59</v>
      </c>
      <c r="D28" s="51">
        <f t="shared" si="1"/>
        <v>41877</v>
      </c>
      <c r="E28" s="51">
        <f>_xll.qlInterestRateIndexValueDate(K28,D28)</f>
        <v>41878</v>
      </c>
      <c r="F28" s="51">
        <f>_xll.qlInterestRateIndexMaturity(K28,E28)</f>
        <v>42611</v>
      </c>
      <c r="G28" s="50">
        <f>_xll.qlIndexFixing(K28,D28,TRUE,InterestRatesTrigger)</f>
        <v>2.6199999999999789E-2</v>
      </c>
      <c r="H28" s="41" t="str">
        <f>Contribution!AB28</f>
        <v>AUDON2YD=</v>
      </c>
      <c r="I28" s="41" t="str">
        <f t="shared" si="3"/>
        <v>AUD2YMTOIS=ICAA</v>
      </c>
      <c r="J28" s="63"/>
      <c r="K28" s="31" t="str">
        <f>_xll.qlSwapIndex(,"Aonia",IF(B28="SW","1W",B28),SettlementDays,Currency,Calendar,FixedLegTenor,FixedLegBDC,FixedLegDayCounter,OvernightIndex,YieldCurve,,Trigger)</f>
        <v>obj_003ca#0008</v>
      </c>
      <c r="L28" s="44"/>
      <c r="M28" s="4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95"/>
      <c r="B29" s="31" t="s">
        <v>27</v>
      </c>
      <c r="C29" s="31" t="s">
        <v>59</v>
      </c>
      <c r="D29" s="51">
        <f t="shared" si="1"/>
        <v>41877</v>
      </c>
      <c r="E29" s="51">
        <f>_xll.qlInterestRateIndexValueDate(K29,D29)</f>
        <v>41878</v>
      </c>
      <c r="F29" s="51">
        <f>_xll.qlInterestRateIndexMaturity(K29,E29)</f>
        <v>42975</v>
      </c>
      <c r="G29" s="50">
        <f>_xll.qlIndexFixing(K29,D29,TRUE,InterestRatesTrigger)</f>
        <v>2.7749999999999678E-2</v>
      </c>
      <c r="H29" s="41" t="str">
        <f>Contribution!AB29</f>
        <v>AUDON3YD=</v>
      </c>
      <c r="I29" s="41" t="str">
        <f t="shared" si="3"/>
        <v>AUD3YMTOIS=ICAA</v>
      </c>
      <c r="J29" s="63"/>
      <c r="K29" s="31" t="str">
        <f>_xll.qlSwapIndex(,"Aonia",IF(B29="SW","1W",B29),SettlementDays,Currency,Calendar,FixedLegTenor,FixedLegBDC,FixedLegDayCounter,OvernightIndex,YieldCurve,,Trigger)</f>
        <v>obj_0039e#0008</v>
      </c>
      <c r="L29" s="44"/>
      <c r="M29" s="4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95"/>
      <c r="B30" s="31" t="s">
        <v>28</v>
      </c>
      <c r="C30" s="31" t="s">
        <v>59</v>
      </c>
      <c r="D30" s="51">
        <f t="shared" si="1"/>
        <v>41877</v>
      </c>
      <c r="E30" s="51">
        <f>_xll.qlInterestRateIndexValueDate(K30,D30)</f>
        <v>41878</v>
      </c>
      <c r="F30" s="51">
        <f>_xll.qlInterestRateIndexMaturity(K30,E30)</f>
        <v>43339</v>
      </c>
      <c r="G30" s="50">
        <f>_xll.qlIndexFixing(K30,D30,TRUE,InterestRatesTrigger)</f>
        <v>2.9199999999999157E-2</v>
      </c>
      <c r="H30" s="41" t="str">
        <f>Contribution!AB30</f>
        <v>AUDON4YD=</v>
      </c>
      <c r="I30" s="41" t="str">
        <f t="shared" si="3"/>
        <v>AUD4YMTOIS=ICAA</v>
      </c>
      <c r="J30" s="63"/>
      <c r="K30" s="31" t="str">
        <f>_xll.qlSwapIndex(,"Aonia",IF(B30="SW","1W",B30),SettlementDays,Currency,Calendar,FixedLegTenor,FixedLegBDC,FixedLegDayCounter,OvernightIndex,YieldCurve,,Trigger)</f>
        <v>obj_003dd#0008</v>
      </c>
      <c r="L30" s="44"/>
      <c r="M30" s="4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95"/>
      <c r="B31" s="31" t="s">
        <v>29</v>
      </c>
      <c r="C31" s="31" t="s">
        <v>59</v>
      </c>
      <c r="D31" s="51">
        <f t="shared" si="1"/>
        <v>41877</v>
      </c>
      <c r="E31" s="51">
        <f>_xll.qlInterestRateIndexValueDate(K31,D31)</f>
        <v>41878</v>
      </c>
      <c r="F31" s="51">
        <f>_xll.qlInterestRateIndexMaturity(K31,E31)</f>
        <v>43704</v>
      </c>
      <c r="G31" s="50">
        <f>_xll.qlIndexFixing(K31,D31,TRUE,InterestRatesTrigger)</f>
        <v>3.0779999999998989E-2</v>
      </c>
      <c r="H31" s="41" t="str">
        <f>Contribution!AB31</f>
        <v>AUDON5YD=</v>
      </c>
      <c r="I31" s="41" t="str">
        <f t="shared" si="3"/>
        <v>AUD5YMTOIS=ICAA</v>
      </c>
      <c r="J31" s="63"/>
      <c r="K31" s="31" t="str">
        <f>_xll.qlSwapIndex(,"Aonia",IF(B31="SW","1W",B31),SettlementDays,Currency,Calendar,FixedLegTenor,FixedLegBDC,FixedLegDayCounter,OvernightIndex,YieldCurve,,Trigger)</f>
        <v>obj_003b0#0008</v>
      </c>
      <c r="L31" s="44"/>
      <c r="M31" s="4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95"/>
      <c r="B32" s="31" t="s">
        <v>30</v>
      </c>
      <c r="C32" s="31" t="s">
        <v>59</v>
      </c>
      <c r="D32" s="51">
        <f t="shared" si="1"/>
        <v>41877</v>
      </c>
      <c r="E32" s="51">
        <f>_xll.qlInterestRateIndexValueDate(K32,D32)</f>
        <v>41878</v>
      </c>
      <c r="F32" s="51">
        <f>_xll.qlInterestRateIndexMaturity(K32,E32)</f>
        <v>44070</v>
      </c>
      <c r="G32" s="50">
        <f>_xll.qlIndexFixing(K32,D32,TRUE,InterestRatesTrigger)</f>
        <v>3.2379999999998875E-2</v>
      </c>
      <c r="H32" s="41" t="str">
        <f>Contribution!AB32</f>
        <v>AUDON6YD=</v>
      </c>
      <c r="I32" s="41" t="str">
        <f t="shared" si="3"/>
        <v>AUD6YMTOIS=ICAA</v>
      </c>
      <c r="J32" s="63"/>
      <c r="K32" s="31" t="str">
        <f>_xll.qlSwapIndex(,"Aonia",IF(B32="SW","1W",B32),SettlementDays,Currency,Calendar,FixedLegTenor,FixedLegBDC,FixedLegDayCounter,OvernightIndex,YieldCurve,,Trigger)</f>
        <v>obj_003b6#0008</v>
      </c>
      <c r="L32" s="44"/>
      <c r="M32" s="4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95"/>
      <c r="B33" s="31" t="s">
        <v>31</v>
      </c>
      <c r="C33" s="31" t="s">
        <v>59</v>
      </c>
      <c r="D33" s="51">
        <f t="shared" si="1"/>
        <v>41877</v>
      </c>
      <c r="E33" s="51">
        <f>_xll.qlInterestRateIndexValueDate(K33,D33)</f>
        <v>41878</v>
      </c>
      <c r="F33" s="51">
        <f>_xll.qlInterestRateIndexMaturity(K33,E33)</f>
        <v>44435</v>
      </c>
      <c r="G33" s="50">
        <f>_xll.qlIndexFixing(K33,D33,TRUE,InterestRatesTrigger)</f>
        <v>3.3979999999999129E-2</v>
      </c>
      <c r="H33" s="41" t="str">
        <f>Contribution!AB33</f>
        <v>AUDON7YD=</v>
      </c>
      <c r="I33" s="41" t="str">
        <f t="shared" si="3"/>
        <v>AUD7YMTOIS=ICAA</v>
      </c>
      <c r="J33" s="63"/>
      <c r="K33" s="31" t="str">
        <f>_xll.qlSwapIndex(,"Aonia",IF(B33="SW","1W",B33),SettlementDays,Currency,Calendar,FixedLegTenor,FixedLegBDC,FixedLegDayCounter,OvernightIndex,YieldCurve,,Trigger)</f>
        <v>obj_00393#0008</v>
      </c>
      <c r="L33" s="44"/>
      <c r="M33" s="4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95"/>
      <c r="B34" s="31" t="s">
        <v>32</v>
      </c>
      <c r="C34" s="31" t="s">
        <v>59</v>
      </c>
      <c r="D34" s="51">
        <f t="shared" si="1"/>
        <v>41877</v>
      </c>
      <c r="E34" s="51">
        <f>_xll.qlInterestRateIndexValueDate(K34,D34)</f>
        <v>41878</v>
      </c>
      <c r="F34" s="51">
        <f>_xll.qlInterestRateIndexMaturity(K34,E34)</f>
        <v>44802</v>
      </c>
      <c r="G34" s="50">
        <f>_xll.qlIndexFixing(K34,D34,TRUE,InterestRatesTrigger)</f>
        <v>3.5049999999999096E-2</v>
      </c>
      <c r="H34" s="41" t="str">
        <f>Contribution!AB34</f>
        <v>AUDON8YD=</v>
      </c>
      <c r="I34" s="41" t="str">
        <f t="shared" si="3"/>
        <v>AUD8YMTOIS=ICAA</v>
      </c>
      <c r="J34" s="63"/>
      <c r="K34" s="31" t="str">
        <f>_xll.qlSwapIndex(,"Aonia",IF(B34="SW","1W",B34),SettlementDays,Currency,Calendar,FixedLegTenor,FixedLegBDC,FixedLegDayCounter,OvernightIndex,YieldCurve,,Trigger)</f>
        <v>obj_003c3#0008</v>
      </c>
      <c r="L34" s="44"/>
      <c r="M34" s="4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95"/>
      <c r="B35" s="31" t="s">
        <v>33</v>
      </c>
      <c r="C35" s="31" t="s">
        <v>59</v>
      </c>
      <c r="D35" s="51">
        <f t="shared" si="1"/>
        <v>41877</v>
      </c>
      <c r="E35" s="51">
        <f>_xll.qlInterestRateIndexValueDate(K35,D35)</f>
        <v>41878</v>
      </c>
      <c r="F35" s="51">
        <f>_xll.qlInterestRateIndexMaturity(K35,E35)</f>
        <v>45166</v>
      </c>
      <c r="G35" s="50">
        <f>_xll.qlIndexFixing(K35,D35,TRUE,InterestRatesTrigger)</f>
        <v>3.6100000000114763E-2</v>
      </c>
      <c r="H35" s="41" t="str">
        <f>Contribution!AB35</f>
        <v>AUDON9YD=</v>
      </c>
      <c r="I35" s="41" t="str">
        <f t="shared" si="3"/>
        <v>AUD9YMTOIS=ICAA</v>
      </c>
      <c r="J35" s="63"/>
      <c r="K35" s="31" t="str">
        <f>_xll.qlSwapIndex(,"Aonia",IF(B35="SW","1W",B35),SettlementDays,Currency,Calendar,FixedLegTenor,FixedLegBDC,FixedLegDayCounter,OvernightIndex,YieldCurve,,Trigger)</f>
        <v>obj_00399#0008</v>
      </c>
      <c r="L35" s="44"/>
      <c r="M35" s="4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95"/>
      <c r="B36" s="31" t="s">
        <v>34</v>
      </c>
      <c r="C36" s="31" t="s">
        <v>59</v>
      </c>
      <c r="D36" s="51">
        <f t="shared" si="1"/>
        <v>41877</v>
      </c>
      <c r="E36" s="51">
        <f>_xll.qlInterestRateIndexValueDate(K36,D36)</f>
        <v>41878</v>
      </c>
      <c r="F36" s="51">
        <f>_xll.qlInterestRateIndexMaturity(K36,E36)</f>
        <v>45531</v>
      </c>
      <c r="G36" s="50">
        <f>_xll.qlIndexFixing(K36,D36,TRUE,InterestRatesTrigger)</f>
        <v>3.7180000000087178E-2</v>
      </c>
      <c r="H36" s="41" t="str">
        <f>Contribution!AB36</f>
        <v>AUDON10YD=</v>
      </c>
      <c r="I36" s="41" t="str">
        <f t="shared" si="3"/>
        <v>AUD10YMTOIS=ICAA</v>
      </c>
      <c r="J36" s="63"/>
      <c r="K36" s="31" t="str">
        <f>_xll.qlSwapIndex(,"Aonia",IF(B36="SW","1W",B36),SettlementDays,Currency,Calendar,FixedLegTenor,FixedLegBDC,FixedLegDayCounter,OvernightIndex,YieldCurve,,Trigger)</f>
        <v>obj_003c0#0008</v>
      </c>
      <c r="L36" s="44"/>
      <c r="M36" s="4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95"/>
      <c r="B37" s="31" t="s">
        <v>35</v>
      </c>
      <c r="C37" s="31" t="s">
        <v>59</v>
      </c>
      <c r="D37" s="51">
        <f t="shared" si="1"/>
        <v>41877</v>
      </c>
      <c r="E37" s="51">
        <f>_xll.qlInterestRateIndexValueDate(K37,D37)</f>
        <v>41878</v>
      </c>
      <c r="F37" s="51">
        <f>_xll.qlInterestRateIndexMaturity(K37,E37)</f>
        <v>46261</v>
      </c>
      <c r="G37" s="50">
        <f>_xll.qlIndexFixing(K37,D37,TRUE,InterestRatesTrigger)</f>
        <v>3.8650000000024422E-2</v>
      </c>
      <c r="H37" s="41" t="str">
        <f>Contribution!AB37</f>
        <v>AUDON12YD=</v>
      </c>
      <c r="I37" s="41" t="str">
        <f t="shared" si="3"/>
        <v>AUD12YMTOIS=ICAA</v>
      </c>
      <c r="J37" s="63"/>
      <c r="K37" s="31" t="str">
        <f>_xll.qlSwapIndex(,"Aonia",IF(B37="SW","1W",B37),SettlementDays,Currency,Calendar,FixedLegTenor,FixedLegBDC,FixedLegDayCounter,OvernightIndex,YieldCurve,,Trigger)</f>
        <v>obj_003de#0008</v>
      </c>
      <c r="L37" s="44"/>
      <c r="M37" s="4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95"/>
      <c r="B38" s="31" t="s">
        <v>36</v>
      </c>
      <c r="C38" s="31" t="s">
        <v>59</v>
      </c>
      <c r="D38" s="51">
        <f t="shared" si="1"/>
        <v>41877</v>
      </c>
      <c r="E38" s="51">
        <f>_xll.qlInterestRateIndexValueDate(K38,D38)</f>
        <v>41878</v>
      </c>
      <c r="F38" s="51">
        <f>_xll.qlInterestRateIndexMaturity(K38,E38)</f>
        <v>47357</v>
      </c>
      <c r="G38" s="50">
        <f>_xll.qlIndexFixing(K38,D38,TRUE,InterestRatesTrigger)</f>
        <v>4.0079999999994863E-2</v>
      </c>
      <c r="H38" s="41" t="str">
        <f>Contribution!AB38</f>
        <v>AUDON15YD=</v>
      </c>
      <c r="I38" s="41" t="str">
        <f t="shared" si="3"/>
        <v>AUD15YMTOIS=ICAA</v>
      </c>
      <c r="J38" s="63"/>
      <c r="K38" s="31" t="str">
        <f>_xll.qlSwapIndex(,"Aonia",IF(B38="SW","1W",B38),SettlementDays,Currency,Calendar,FixedLegTenor,FixedLegBDC,FixedLegDayCounter,OvernightIndex,YieldCurve,,Trigger)</f>
        <v>obj_003d7#0008</v>
      </c>
      <c r="L38" s="44"/>
      <c r="M38" s="4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95"/>
      <c r="B39" s="31" t="s">
        <v>37</v>
      </c>
      <c r="C39" s="31" t="s">
        <v>59</v>
      </c>
      <c r="D39" s="51">
        <f t="shared" si="1"/>
        <v>41877</v>
      </c>
      <c r="E39" s="51">
        <f>_xll.qlInterestRateIndexValueDate(K39,D39)</f>
        <v>41878</v>
      </c>
      <c r="F39" s="51">
        <f>_xll.qlInterestRateIndexMaturity(K39,E39)</f>
        <v>49184</v>
      </c>
      <c r="G39" s="50">
        <f>_xll.qlIndexFixing(K39,D39,TRUE,InterestRatesTrigger)</f>
        <v>4.1379999999959463E-2</v>
      </c>
      <c r="H39" s="41" t="str">
        <f>Contribution!AB39</f>
        <v>AUDON20YD=</v>
      </c>
      <c r="I39" s="41" t="str">
        <f t="shared" si="3"/>
        <v>AUD20YMTOIS=ICAA</v>
      </c>
      <c r="J39" s="63"/>
      <c r="K39" s="31" t="str">
        <f>_xll.qlSwapIndex(,"Aonia",IF(B39="SW","1W",B39),SettlementDays,Currency,Calendar,FixedLegTenor,FixedLegBDC,FixedLegDayCounter,OvernightIndex,YieldCurve,,Trigger)</f>
        <v>obj_003be#0008</v>
      </c>
      <c r="L39" s="44"/>
      <c r="M39" s="4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95"/>
      <c r="B40" s="31" t="s">
        <v>38</v>
      </c>
      <c r="C40" s="31" t="s">
        <v>59</v>
      </c>
      <c r="D40" s="51">
        <f t="shared" si="1"/>
        <v>41877</v>
      </c>
      <c r="E40" s="51">
        <f>_xll.qlInterestRateIndexValueDate(K40,D40)</f>
        <v>41878</v>
      </c>
      <c r="F40" s="51">
        <f>_xll.qlInterestRateIndexMaturity(K40,E40)</f>
        <v>51011</v>
      </c>
      <c r="G40" s="50">
        <f>_xll.qlIndexFixing(K40,D40,TRUE,InterestRatesTrigger)</f>
        <v>4.1929999999997566E-2</v>
      </c>
      <c r="H40" s="41" t="str">
        <f>Contribution!AB40</f>
        <v>AUDON25YD=</v>
      </c>
      <c r="I40" s="41" t="str">
        <f t="shared" si="3"/>
        <v>AUD25YMTOIS=ICAA</v>
      </c>
      <c r="J40" s="63"/>
      <c r="K40" s="31" t="str">
        <f>_xll.qlSwapIndex(,"Aonia",IF(B40="SW","1W",B40),SettlementDays,Currency,Calendar,FixedLegTenor,FixedLegBDC,FixedLegDayCounter,OvernightIndex,YieldCurve,,Trigger)</f>
        <v>obj_00392#0008</v>
      </c>
      <c r="L40" s="44"/>
      <c r="M40" s="4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95"/>
      <c r="B41" s="33" t="s">
        <v>39</v>
      </c>
      <c r="C41" s="31" t="s">
        <v>59</v>
      </c>
      <c r="D41" s="51">
        <f t="shared" si="1"/>
        <v>41877</v>
      </c>
      <c r="E41" s="51">
        <f>_xll.qlInterestRateIndexValueDate(K41,D41)</f>
        <v>41878</v>
      </c>
      <c r="F41" s="51">
        <f>_xll.qlInterestRateIndexMaturity(K41,E41)</f>
        <v>52838</v>
      </c>
      <c r="G41" s="50">
        <f>_xll.qlIndexFixing(K41,D41,TRUE,InterestRatesTrigger)</f>
        <v>4.2149999999993089E-2</v>
      </c>
      <c r="H41" s="43" t="str">
        <f>Contribution!AB41</f>
        <v>AUDON30YD=</v>
      </c>
      <c r="I41" s="43" t="str">
        <f t="shared" si="3"/>
        <v>AUD30YMTOIS=ICAA</v>
      </c>
      <c r="J41" s="63"/>
      <c r="K41" s="33" t="str">
        <f>_xll.qlSwapIndex(,"Aonia",IF(B41="SW","1W",B41),SettlementDays,Currency,Calendar,FixedLegTenor,FixedLegBDC,FixedLegDayCounter,OvernightIndex,YieldCurve,,Trigger)</f>
        <v>obj_003c7#0008</v>
      </c>
      <c r="L41" s="44"/>
      <c r="M41" s="4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95"/>
      <c r="B42" s="61"/>
      <c r="C42" s="61"/>
      <c r="D42" s="61"/>
      <c r="E42" s="61"/>
      <c r="F42" s="61"/>
      <c r="G42" s="61"/>
      <c r="H42" s="61"/>
      <c r="I42" s="9"/>
      <c r="J42" s="6"/>
      <c r="K42" s="6"/>
      <c r="L42" s="44"/>
      <c r="M42" s="4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95"/>
      <c r="B43" s="60"/>
      <c r="C43" s="60"/>
      <c r="D43" s="60"/>
      <c r="E43" s="60"/>
      <c r="F43" s="60"/>
      <c r="G43" s="60"/>
      <c r="H43" s="60"/>
      <c r="I43" s="9"/>
      <c r="J43" s="95"/>
      <c r="K43" s="95"/>
      <c r="L43" s="44"/>
      <c r="M43" s="4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95"/>
      <c r="B44" s="6"/>
      <c r="C44" s="6"/>
      <c r="D44" s="6"/>
      <c r="E44" s="6"/>
      <c r="F44" s="6"/>
      <c r="G44" s="6"/>
      <c r="H44" s="6"/>
      <c r="I44" s="9"/>
      <c r="J44" s="6"/>
      <c r="K44" s="6"/>
      <c r="L44" s="44"/>
      <c r="M44" s="4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95"/>
      <c r="B45" s="6"/>
      <c r="C45" s="6"/>
      <c r="D45" s="6"/>
      <c r="E45" s="6"/>
      <c r="F45" s="6"/>
      <c r="G45" s="6"/>
      <c r="H45" s="6"/>
      <c r="I45" s="9"/>
      <c r="J45" s="60"/>
      <c r="K45" s="60"/>
      <c r="L45" s="4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95"/>
      <c r="B46" s="6"/>
      <c r="C46" s="6"/>
      <c r="D46" s="6"/>
      <c r="E46" s="6"/>
      <c r="F46" s="6"/>
      <c r="G46" s="6"/>
      <c r="H46" s="6"/>
      <c r="I46" s="9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95"/>
      <c r="B47" s="6"/>
      <c r="C47" s="6"/>
      <c r="D47" s="6"/>
      <c r="E47" s="6"/>
      <c r="F47" s="6"/>
      <c r="G47" s="6"/>
      <c r="H47" s="6"/>
      <c r="I47" s="9"/>
      <c r="J47" s="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6"/>
      <c r="B48" s="6"/>
      <c r="C48" s="6"/>
      <c r="D48" s="6"/>
      <c r="E48" s="6"/>
      <c r="F48" s="6"/>
      <c r="G48" s="6"/>
      <c r="H48" s="6"/>
      <c r="I48" s="9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6"/>
      <c r="B49" s="6"/>
      <c r="C49" s="6"/>
      <c r="D49" s="6"/>
      <c r="E49" s="6"/>
      <c r="F49" s="6"/>
      <c r="G49" s="99"/>
      <c r="H49" s="6"/>
      <c r="I49" s="9"/>
      <c r="J49" s="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6"/>
      <c r="B50" s="6"/>
      <c r="C50" s="6"/>
      <c r="D50" s="6"/>
      <c r="E50" s="6"/>
      <c r="F50" s="6"/>
      <c r="G50" s="99"/>
      <c r="H50" s="6"/>
      <c r="I50" s="9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6"/>
      <c r="B51" s="6"/>
      <c r="C51" s="6"/>
      <c r="D51" s="6"/>
      <c r="E51" s="6"/>
      <c r="F51" s="6"/>
      <c r="G51" s="99"/>
      <c r="H51" s="6"/>
      <c r="I51" s="9"/>
      <c r="J51" s="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6"/>
      <c r="B52" s="6"/>
      <c r="C52" s="6"/>
      <c r="D52" s="6"/>
      <c r="E52" s="6"/>
      <c r="F52" s="6"/>
      <c r="G52" s="6"/>
      <c r="H52" s="6"/>
      <c r="I52" s="9"/>
      <c r="J52" s="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6"/>
      <c r="B53" s="6"/>
      <c r="C53" s="6"/>
      <c r="D53" s="6"/>
      <c r="E53" s="6"/>
      <c r="F53" s="6"/>
      <c r="G53" s="6"/>
      <c r="H53" s="6"/>
      <c r="I53" s="9"/>
      <c r="J53" s="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6"/>
      <c r="B54" s="6"/>
      <c r="C54" s="6"/>
      <c r="D54" s="6"/>
      <c r="E54" s="6"/>
      <c r="F54" s="6"/>
      <c r="G54" s="6"/>
      <c r="H54" s="6"/>
      <c r="I54" s="9"/>
      <c r="J54" s="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6"/>
      <c r="B55" s="6"/>
      <c r="C55" s="6"/>
      <c r="D55" s="6"/>
      <c r="E55" s="6"/>
      <c r="F55" s="6"/>
      <c r="G55" s="6"/>
      <c r="H55" s="6"/>
      <c r="I55" s="9"/>
      <c r="J55" s="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6"/>
      <c r="B56" s="6"/>
      <c r="C56" s="6"/>
      <c r="D56" s="6"/>
      <c r="E56" s="6"/>
      <c r="F56" s="6"/>
      <c r="G56" s="6"/>
      <c r="H56" s="6"/>
      <c r="I56" s="9"/>
      <c r="J56" s="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6"/>
      <c r="B57" s="6"/>
      <c r="C57" s="6"/>
      <c r="D57" s="6"/>
      <c r="E57" s="6"/>
      <c r="F57" s="6"/>
      <c r="G57" s="6"/>
      <c r="H57" s="6"/>
      <c r="I57" s="9"/>
      <c r="J57" s="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6"/>
      <c r="B58" s="6"/>
      <c r="C58" s="6"/>
      <c r="D58" s="6"/>
      <c r="E58" s="6"/>
      <c r="F58" s="6"/>
      <c r="G58" s="6"/>
      <c r="H58" s="6"/>
      <c r="I58" s="9"/>
      <c r="J58" s="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6"/>
      <c r="B59" s="6"/>
      <c r="C59" s="6"/>
      <c r="D59" s="6"/>
      <c r="E59" s="6"/>
      <c r="F59" s="6"/>
      <c r="G59" s="6"/>
      <c r="H59" s="6"/>
      <c r="I59" s="9"/>
      <c r="J59" s="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6"/>
      <c r="B60" s="6"/>
      <c r="C60" s="6"/>
      <c r="D60" s="6"/>
      <c r="E60" s="6"/>
      <c r="F60" s="6"/>
      <c r="G60" s="6"/>
      <c r="H60" s="6"/>
      <c r="I60" s="9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6"/>
      <c r="B61" s="6"/>
      <c r="C61" s="6"/>
      <c r="D61" s="6"/>
      <c r="E61" s="6"/>
      <c r="F61" s="6"/>
      <c r="G61" s="6"/>
      <c r="H61" s="6"/>
      <c r="I61" s="9"/>
      <c r="J61" s="6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9"/>
      <c r="J62" s="6"/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6"/>
      <c r="B63" s="6"/>
      <c r="C63" s="6"/>
      <c r="D63" s="6"/>
      <c r="E63" s="6"/>
      <c r="F63" s="6"/>
      <c r="G63" s="6"/>
      <c r="H63" s="6"/>
      <c r="I63" s="9"/>
      <c r="J63" s="6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9"/>
      <c r="J64" s="6"/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6"/>
      <c r="B65" s="6"/>
      <c r="C65" s="6"/>
      <c r="D65" s="6"/>
      <c r="E65" s="6"/>
      <c r="F65" s="6"/>
      <c r="G65" s="6"/>
      <c r="H65" s="6"/>
      <c r="I65" s="9"/>
      <c r="J65" s="6"/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6"/>
      <c r="B66" s="6"/>
      <c r="C66" s="6"/>
      <c r="D66" s="6"/>
      <c r="E66" s="6"/>
      <c r="F66" s="6"/>
      <c r="G66" s="6"/>
      <c r="H66" s="6"/>
      <c r="I66" s="9"/>
      <c r="J66" s="6"/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6"/>
      <c r="B67" s="6"/>
      <c r="C67" s="6"/>
      <c r="D67" s="6"/>
      <c r="E67" s="6"/>
      <c r="F67" s="6"/>
      <c r="G67" s="6"/>
      <c r="H67" s="6"/>
      <c r="I67" s="9"/>
      <c r="J67" s="6"/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6"/>
      <c r="B68" s="6"/>
      <c r="C68" s="6"/>
      <c r="D68" s="6"/>
      <c r="E68" s="6"/>
      <c r="F68" s="6"/>
      <c r="G68" s="6"/>
      <c r="H68" s="6"/>
      <c r="I68" s="9"/>
      <c r="J68" s="6"/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6"/>
      <c r="B69" s="6"/>
      <c r="C69" s="6"/>
      <c r="D69" s="6"/>
      <c r="E69" s="6"/>
      <c r="F69" s="6"/>
      <c r="G69" s="6"/>
      <c r="H69" s="6"/>
      <c r="I69" s="9"/>
      <c r="J69" s="6"/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6"/>
      <c r="B70" s="6"/>
      <c r="C70" s="6"/>
      <c r="D70" s="6"/>
      <c r="E70" s="6"/>
      <c r="F70" s="6"/>
      <c r="G70" s="6"/>
      <c r="H70" s="6"/>
      <c r="I70" s="9"/>
      <c r="J70" s="6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6"/>
      <c r="B71" s="6"/>
      <c r="C71" s="6"/>
      <c r="D71" s="6"/>
      <c r="E71" s="6"/>
      <c r="F71" s="6"/>
      <c r="G71" s="6"/>
      <c r="H71" s="6"/>
      <c r="I71" s="9"/>
      <c r="J71" s="6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6"/>
      <c r="B72" s="6"/>
      <c r="C72" s="6"/>
      <c r="D72" s="6"/>
      <c r="E72" s="6"/>
      <c r="F72" s="6"/>
      <c r="G72" s="6"/>
      <c r="H72" s="6"/>
      <c r="I72" s="9"/>
      <c r="J72" s="6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6"/>
      <c r="B73" s="6"/>
      <c r="C73" s="6"/>
      <c r="D73" s="6"/>
      <c r="E73" s="6"/>
      <c r="F73" s="6"/>
      <c r="G73" s="6"/>
      <c r="H73" s="6"/>
      <c r="I73" s="9"/>
      <c r="J73" s="6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6"/>
      <c r="B74" s="6"/>
      <c r="C74" s="6"/>
      <c r="D74" s="6"/>
      <c r="E74" s="6"/>
      <c r="F74" s="6"/>
      <c r="G74" s="6"/>
      <c r="H74" s="6"/>
      <c r="I74" s="9"/>
      <c r="J74" s="6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6"/>
      <c r="B75" s="6"/>
      <c r="C75" s="6"/>
      <c r="D75" s="6"/>
      <c r="E75" s="6"/>
      <c r="F75" s="6"/>
      <c r="G75" s="6"/>
      <c r="H75" s="6"/>
      <c r="I75" s="9"/>
      <c r="J75" s="6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6"/>
      <c r="B76" s="6"/>
      <c r="C76" s="6"/>
      <c r="D76" s="6"/>
      <c r="E76" s="6"/>
      <c r="F76" s="6"/>
      <c r="G76" s="6"/>
      <c r="H76" s="6"/>
      <c r="I76" s="9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6"/>
      <c r="B77" s="6"/>
      <c r="C77" s="6"/>
      <c r="D77" s="6"/>
      <c r="E77" s="6"/>
      <c r="F77" s="6"/>
      <c r="G77" s="6"/>
      <c r="H77" s="6"/>
      <c r="I77" s="9"/>
      <c r="J77" s="6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6"/>
      <c r="B78" s="6"/>
      <c r="C78" s="6"/>
      <c r="D78" s="6"/>
      <c r="E78" s="6"/>
      <c r="F78" s="6"/>
      <c r="G78" s="6"/>
      <c r="H78" s="6"/>
      <c r="I78" s="9"/>
      <c r="J78" s="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6"/>
      <c r="B79" s="6"/>
      <c r="C79" s="6"/>
      <c r="D79" s="6"/>
      <c r="E79" s="6"/>
      <c r="F79" s="6"/>
      <c r="G79" s="6"/>
      <c r="H79" s="6"/>
      <c r="I79" s="9"/>
      <c r="J79" s="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6"/>
      <c r="B80" s="6"/>
      <c r="C80" s="6"/>
      <c r="D80" s="6"/>
      <c r="E80" s="6"/>
      <c r="F80" s="6"/>
      <c r="G80" s="6"/>
      <c r="H80" s="6"/>
      <c r="I80" s="9"/>
      <c r="J80" s="6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6"/>
      <c r="B81" s="6"/>
      <c r="C81" s="6"/>
      <c r="D81" s="6"/>
      <c r="E81" s="6"/>
      <c r="F81" s="6"/>
      <c r="G81" s="6"/>
      <c r="H81" s="6"/>
      <c r="I81" s="9"/>
      <c r="J81" s="6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6"/>
      <c r="B82" s="6"/>
      <c r="C82" s="6"/>
      <c r="D82" s="6"/>
      <c r="E82" s="6"/>
      <c r="F82" s="6"/>
      <c r="G82" s="6"/>
      <c r="H82" s="6"/>
      <c r="I82" s="9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6"/>
      <c r="B83" s="6"/>
      <c r="C83" s="6"/>
      <c r="D83" s="6"/>
      <c r="E83" s="6"/>
      <c r="F83" s="6"/>
      <c r="G83" s="6"/>
      <c r="H83" s="6"/>
      <c r="I83" s="9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6"/>
      <c r="B84" s="6"/>
      <c r="C84" s="6"/>
      <c r="D84" s="6"/>
      <c r="E84" s="6"/>
      <c r="F84" s="6"/>
      <c r="G84" s="6"/>
      <c r="H84" s="6"/>
      <c r="I84" s="9"/>
      <c r="J84" s="6"/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6"/>
      <c r="B85" s="6"/>
      <c r="C85" s="6"/>
      <c r="D85" s="6"/>
      <c r="E85" s="6"/>
      <c r="F85" s="6"/>
      <c r="G85" s="6"/>
      <c r="H85" s="6"/>
      <c r="I85" s="9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6"/>
      <c r="B86" s="6"/>
      <c r="C86" s="6"/>
      <c r="D86" s="6"/>
      <c r="E86" s="6"/>
      <c r="F86" s="6"/>
      <c r="G86" s="6"/>
      <c r="H86" s="6"/>
      <c r="I86" s="9"/>
      <c r="J86" s="6"/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6"/>
      <c r="B87" s="6"/>
      <c r="C87" s="6"/>
      <c r="D87" s="6"/>
      <c r="E87" s="6"/>
      <c r="F87" s="6"/>
      <c r="G87" s="6"/>
      <c r="H87" s="6"/>
      <c r="I87" s="9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6"/>
      <c r="B88" s="6"/>
      <c r="C88" s="6"/>
      <c r="D88" s="6"/>
      <c r="E88" s="6"/>
      <c r="F88" s="6"/>
      <c r="G88" s="6"/>
      <c r="H88" s="6"/>
      <c r="I88" s="9"/>
      <c r="J88" s="6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6"/>
      <c r="B89" s="6"/>
      <c r="C89" s="6"/>
      <c r="D89" s="6"/>
      <c r="E89" s="6"/>
      <c r="F89" s="6"/>
      <c r="G89" s="6"/>
      <c r="H89" s="6"/>
      <c r="I89" s="9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6"/>
      <c r="B90" s="6"/>
      <c r="C90" s="6"/>
      <c r="D90" s="6"/>
      <c r="E90" s="6"/>
      <c r="F90" s="6"/>
      <c r="G90" s="6"/>
      <c r="H90" s="6"/>
      <c r="I90" s="9"/>
      <c r="J90" s="6"/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6"/>
      <c r="B91" s="6"/>
      <c r="C91" s="6"/>
      <c r="D91" s="6"/>
      <c r="E91" s="6"/>
      <c r="F91" s="6"/>
      <c r="G91" s="6"/>
      <c r="H91" s="6"/>
      <c r="I91" s="9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6"/>
      <c r="B92" s="6"/>
      <c r="C92" s="6"/>
      <c r="D92" s="6"/>
      <c r="E92" s="6"/>
      <c r="F92" s="6"/>
      <c r="G92" s="6"/>
      <c r="H92" s="6"/>
      <c r="I92" s="9"/>
      <c r="J92" s="6"/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6"/>
      <c r="B93" s="6"/>
      <c r="C93" s="6"/>
      <c r="D93" s="6"/>
      <c r="E93" s="6"/>
      <c r="F93" s="6"/>
      <c r="G93" s="6"/>
      <c r="H93" s="6"/>
      <c r="I93" s="9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6"/>
      <c r="B94" s="6"/>
      <c r="C94" s="6"/>
      <c r="D94" s="6"/>
      <c r="E94" s="6"/>
      <c r="F94" s="6"/>
      <c r="G94" s="6"/>
      <c r="H94" s="6"/>
      <c r="I94" s="9"/>
      <c r="J94" s="6"/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6"/>
      <c r="B95" s="6"/>
      <c r="C95" s="6"/>
      <c r="D95" s="6"/>
      <c r="E95" s="6"/>
      <c r="F95" s="6"/>
      <c r="G95" s="6"/>
      <c r="H95" s="6"/>
      <c r="I95" s="9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6"/>
      <c r="B96" s="6"/>
      <c r="C96" s="6"/>
      <c r="D96" s="6"/>
      <c r="E96" s="6"/>
      <c r="F96" s="6"/>
      <c r="G96" s="6"/>
      <c r="H96" s="6"/>
      <c r="I96" s="9"/>
      <c r="J96" s="6"/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42" x14ac:dyDescent="0.2">
      <c r="A97" s="6"/>
      <c r="B97" s="6"/>
      <c r="C97" s="6"/>
      <c r="D97" s="6"/>
      <c r="E97" s="6"/>
      <c r="F97" s="6"/>
      <c r="G97" s="6"/>
      <c r="H97" s="6"/>
      <c r="I97" s="9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42" x14ac:dyDescent="0.2">
      <c r="A98" s="6"/>
      <c r="B98" s="6"/>
      <c r="C98" s="6"/>
      <c r="D98" s="6"/>
      <c r="E98" s="6"/>
      <c r="F98" s="6"/>
      <c r="G98" s="6"/>
      <c r="H98" s="6"/>
      <c r="I98" s="9"/>
      <c r="J98" s="6"/>
      <c r="K98" s="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42" x14ac:dyDescent="0.2">
      <c r="A99" s="6"/>
      <c r="B99" s="6"/>
      <c r="C99" s="6"/>
      <c r="D99" s="6"/>
      <c r="E99" s="6"/>
      <c r="F99" s="6"/>
      <c r="G99" s="6"/>
      <c r="H99" s="6"/>
      <c r="I99" s="9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42" x14ac:dyDescent="0.2">
      <c r="A100" s="6"/>
      <c r="B100" s="6"/>
      <c r="C100" s="6"/>
      <c r="D100" s="6"/>
      <c r="E100" s="6"/>
      <c r="F100" s="6"/>
      <c r="G100" s="6"/>
      <c r="H100" s="6"/>
      <c r="I100" s="9"/>
      <c r="J100" s="6"/>
      <c r="K100" s="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42" x14ac:dyDescent="0.2">
      <c r="A101" s="160"/>
      <c r="B101" s="160"/>
      <c r="C101" s="160"/>
      <c r="D101" s="160"/>
      <c r="E101" s="160"/>
      <c r="F101" s="160"/>
      <c r="G101" s="160"/>
      <c r="H101" s="160"/>
      <c r="I101" s="161"/>
      <c r="J101" s="160"/>
      <c r="K101" s="16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1:42" x14ac:dyDescent="0.2">
      <c r="A102" s="160"/>
      <c r="B102" s="160"/>
      <c r="C102" s="160"/>
      <c r="D102" s="160"/>
      <c r="E102" s="160"/>
      <c r="F102" s="160"/>
      <c r="G102" s="160"/>
      <c r="H102" s="160"/>
      <c r="I102" s="161"/>
      <c r="J102" s="160"/>
      <c r="K102" s="16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1:42" x14ac:dyDescent="0.2">
      <c r="A103" s="160"/>
      <c r="B103" s="160"/>
      <c r="C103" s="160"/>
      <c r="D103" s="160"/>
      <c r="E103" s="160"/>
      <c r="F103" s="160"/>
      <c r="G103" s="160"/>
      <c r="H103" s="160"/>
      <c r="I103" s="161"/>
      <c r="J103" s="160"/>
      <c r="K103" s="16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1:42" x14ac:dyDescent="0.2">
      <c r="A104" s="160"/>
      <c r="B104" s="160"/>
      <c r="C104" s="160"/>
      <c r="D104" s="160"/>
      <c r="E104" s="160"/>
      <c r="F104" s="160"/>
      <c r="G104" s="160"/>
      <c r="H104" s="160"/>
      <c r="I104" s="161"/>
      <c r="J104" s="160"/>
      <c r="K104" s="16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 spans="1:42" x14ac:dyDescent="0.2">
      <c r="A105" s="160"/>
      <c r="B105" s="160"/>
      <c r="C105" s="160"/>
      <c r="D105" s="160"/>
      <c r="E105" s="160"/>
      <c r="F105" s="160"/>
      <c r="G105" s="160"/>
      <c r="H105" s="160"/>
      <c r="I105" s="161"/>
      <c r="J105" s="160"/>
      <c r="K105" s="16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 spans="1:42" x14ac:dyDescent="0.2">
      <c r="A106" s="160"/>
      <c r="B106" s="160"/>
      <c r="C106" s="160"/>
      <c r="D106" s="160"/>
      <c r="E106" s="160"/>
      <c r="F106" s="160"/>
      <c r="G106" s="160"/>
      <c r="H106" s="160"/>
      <c r="I106" s="161"/>
      <c r="J106" s="160"/>
      <c r="K106" s="16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 spans="1:42" x14ac:dyDescent="0.2">
      <c r="A107" s="160"/>
      <c r="B107" s="160"/>
      <c r="C107" s="160"/>
      <c r="D107" s="160"/>
      <c r="E107" s="160"/>
      <c r="F107" s="160"/>
      <c r="G107" s="160"/>
      <c r="H107" s="160"/>
      <c r="I107" s="161"/>
      <c r="J107" s="160"/>
      <c r="K107" s="16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 spans="1:42" x14ac:dyDescent="0.2">
      <c r="A108" s="160"/>
      <c r="B108" s="160"/>
      <c r="C108" s="160"/>
      <c r="D108" s="160"/>
      <c r="E108" s="160"/>
      <c r="F108" s="160"/>
      <c r="G108" s="160"/>
      <c r="H108" s="160"/>
      <c r="I108" s="161"/>
      <c r="J108" s="160"/>
      <c r="K108" s="16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1:42" x14ac:dyDescent="0.2">
      <c r="A109" s="160"/>
      <c r="B109" s="160"/>
      <c r="C109" s="160"/>
      <c r="D109" s="160"/>
      <c r="E109" s="160"/>
      <c r="F109" s="160"/>
      <c r="G109" s="160"/>
      <c r="H109" s="160"/>
      <c r="I109" s="161"/>
      <c r="J109" s="160"/>
      <c r="K109" s="16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1:42" x14ac:dyDescent="0.2">
      <c r="A110" s="160"/>
      <c r="B110" s="160"/>
      <c r="C110" s="160"/>
      <c r="D110" s="160"/>
      <c r="E110" s="160"/>
      <c r="F110" s="160"/>
      <c r="G110" s="160"/>
      <c r="H110" s="160"/>
      <c r="I110" s="161"/>
      <c r="J110" s="160"/>
      <c r="K110" s="16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1:42" x14ac:dyDescent="0.2">
      <c r="A111" s="160"/>
      <c r="B111" s="160"/>
      <c r="C111" s="160"/>
      <c r="D111" s="160"/>
      <c r="E111" s="160"/>
      <c r="F111" s="160"/>
      <c r="G111" s="160"/>
      <c r="H111" s="160"/>
      <c r="I111" s="161"/>
      <c r="J111" s="160"/>
      <c r="K111" s="16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</sheetData>
  <dataValidations count="2">
    <dataValidation type="list" allowBlank="1" showInputMessage="1" showErrorMessage="1" sqref="O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7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Contribution</vt:lpstr>
      <vt:lpstr>1M Pricing</vt:lpstr>
      <vt:lpstr>3M Pricing</vt:lpstr>
      <vt:lpstr>6M Pricing</vt:lpstr>
      <vt:lpstr>ON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2014-08-26T14:45:11Z</dcterms:modified>
</cp:coreProperties>
</file>