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2845" yWindow="-15" windowWidth="7650" windowHeight="7815" firstSheet="1" activeTab="6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1Y Delta" sheetId="47" r:id="rId11"/>
  </sheets>
  <externalReferences>
    <externalReference r:id="rId12"/>
  </externalReferences>
  <definedNames>
    <definedName name="Accuracy">'General Settings'!$D$30</definedName>
    <definedName name="AllTriggers">'General Settings'!$I$17:$I$21</definedName>
    <definedName name="B3Minterpolation">'Delta 3M'!$N$1</definedName>
    <definedName name="B6Minterpolation">'Delta 6M '!$N$1</definedName>
    <definedName name="basis3Minterpolation">'Delta 3M'!#REF!</definedName>
    <definedName name="BasisInterpolation">'General Settings'!$D$40</definedName>
    <definedName name="BasisInterpolator">'General Settings'!$D$41</definedName>
    <definedName name="Calendar">'General Settings'!$D$5</definedName>
    <definedName name="Conventions" localSheetId="10">'1Y Delta'!$T$3:$T$4</definedName>
    <definedName name="Conventions" localSheetId="7">'Delta 1M'!$T$3:$T$4</definedName>
    <definedName name="Currency">'General Settings'!$D$4</definedName>
    <definedName name="DayCounter">'General Settings'!$D$9</definedName>
    <definedName name="Delta1M">'Delta 1M'!$X$26:$X$29</definedName>
    <definedName name="Delta1Y">'1Y Delta'!$X$31:$X$36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Settings'!$I$28</definedName>
    <definedName name="IborIndex1Y">'General Settings'!$D$28</definedName>
    <definedName name="IborTenor">'General Settings'!$D$26</definedName>
    <definedName name="IborTenor1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'Delta 6M '!$N$3</definedName>
    <definedName name="interpolator3M" localSheetId="1">'1MSynthDepo'!$D$11</definedName>
    <definedName name="interpolator3M" localSheetId="4">'1YSynthDepo'!$D$11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Contribution!$L$3:$L$84</definedName>
    <definedName name="QuoteLive" localSheetId="6">Contribution!$H$3:$H$84</definedName>
    <definedName name="QuoteStatic" localSheetId="6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Settings'!$D$31</definedName>
    <definedName name="Trigger">'General Settings'!$I$17</definedName>
    <definedName name="TriggerCounter">'General Settings'!$I$21</definedName>
    <definedName name="YieldCurve">'General Settings'!$D$34</definedName>
  </definedNames>
  <calcPr calcId="145621"/>
</workbook>
</file>

<file path=xl/calcChain.xml><?xml version="1.0" encoding="utf-8"?>
<calcChain xmlns="http://schemas.openxmlformats.org/spreadsheetml/2006/main">
  <c r="I20" i="29" l="1"/>
  <c r="I19" i="29"/>
  <c r="L3" i="33" l="1" a="1"/>
  <c r="L3" i="33" s="1"/>
  <c r="L7" i="33"/>
  <c r="L8" i="33"/>
  <c r="L9" i="33"/>
  <c r="L10" i="33"/>
  <c r="L15" i="33"/>
  <c r="L16" i="33"/>
  <c r="L17" i="33"/>
  <c r="L18" i="33"/>
  <c r="L23" i="33"/>
  <c r="L24" i="33"/>
  <c r="L25" i="33"/>
  <c r="L26" i="33"/>
  <c r="L31" i="33"/>
  <c r="L32" i="33"/>
  <c r="L33" i="33"/>
  <c r="L34" i="33"/>
  <c r="L39" i="33"/>
  <c r="L40" i="33"/>
  <c r="L41" i="33"/>
  <c r="L42" i="33"/>
  <c r="L47" i="33"/>
  <c r="L48" i="33"/>
  <c r="L49" i="33"/>
  <c r="L50" i="33"/>
  <c r="L56" i="33"/>
  <c r="L57" i="33"/>
  <c r="L58" i="33"/>
  <c r="L64" i="33"/>
  <c r="L66" i="33"/>
  <c r="L72" i="33"/>
  <c r="L74" i="33"/>
  <c r="L82" i="33"/>
  <c r="L81" i="33" l="1"/>
  <c r="L73" i="33"/>
  <c r="L65" i="33"/>
  <c r="L80" i="33"/>
  <c r="L14" i="33"/>
  <c r="L63" i="33"/>
  <c r="L71" i="33"/>
  <c r="L79" i="33"/>
  <c r="L55" i="33"/>
  <c r="L78" i="33"/>
  <c r="L70" i="33"/>
  <c r="L62" i="33"/>
  <c r="L54" i="33"/>
  <c r="L46" i="33"/>
  <c r="L38" i="33"/>
  <c r="L30" i="33"/>
  <c r="L22" i="33"/>
  <c r="L6" i="33"/>
  <c r="L77" i="33"/>
  <c r="L69" i="33"/>
  <c r="L61" i="33"/>
  <c r="L53" i="33"/>
  <c r="L45" i="33"/>
  <c r="L37" i="33"/>
  <c r="L29" i="33"/>
  <c r="L21" i="33"/>
  <c r="L13" i="33"/>
  <c r="L5" i="33"/>
  <c r="L84" i="33"/>
  <c r="L76" i="33"/>
  <c r="L68" i="33"/>
  <c r="L60" i="33"/>
  <c r="L52" i="33"/>
  <c r="L44" i="33"/>
  <c r="L36" i="33"/>
  <c r="L28" i="33"/>
  <c r="L20" i="33"/>
  <c r="L12" i="33"/>
  <c r="L4" i="33"/>
  <c r="L83" i="33"/>
  <c r="L75" i="33"/>
  <c r="L67" i="33"/>
  <c r="L59" i="33"/>
  <c r="L51" i="33"/>
  <c r="L43" i="33"/>
  <c r="L35" i="33"/>
  <c r="L27" i="33"/>
  <c r="L19" i="33"/>
  <c r="L11" i="33"/>
  <c r="C6" i="42"/>
  <c r="D6" i="42" s="1"/>
  <c r="C5" i="42"/>
  <c r="D5" i="42" s="1"/>
  <c r="C4" i="42"/>
  <c r="D4" i="42" s="1"/>
  <c r="J13" i="49" l="1"/>
  <c r="N13" i="39"/>
  <c r="B5" i="39"/>
  <c r="B6" i="39"/>
  <c r="B7" i="39"/>
  <c r="B4" i="39"/>
  <c r="N13" i="43"/>
  <c r="B5" i="48"/>
  <c r="B6" i="48"/>
  <c r="B7" i="48"/>
  <c r="B4" i="48"/>
  <c r="J13" i="48"/>
  <c r="P30" i="47"/>
  <c r="O31" i="47"/>
  <c r="P31" i="47" s="1"/>
  <c r="T30" i="47"/>
  <c r="P29" i="47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G24" i="29"/>
  <c r="B24" i="29"/>
  <c r="L1" i="45"/>
  <c r="L8" i="45"/>
  <c r="L9" i="45"/>
  <c r="L4" i="45"/>
  <c r="L5" i="45"/>
  <c r="L6" i="45"/>
  <c r="L7" i="45"/>
  <c r="B5" i="49" l="1"/>
  <c r="C5" i="49" s="1"/>
  <c r="B6" i="49"/>
  <c r="C6" i="49" s="1"/>
  <c r="B7" i="49"/>
  <c r="C7" i="49" s="1"/>
  <c r="B4" i="49"/>
  <c r="C4" i="49" s="1"/>
  <c r="L4" i="49"/>
  <c r="L3" i="49"/>
  <c r="N32" i="47"/>
  <c r="C5" i="48"/>
  <c r="C6" i="48"/>
  <c r="C7" i="48"/>
  <c r="C4" i="48"/>
  <c r="L4" i="48"/>
  <c r="L3" i="48"/>
  <c r="P4" i="39"/>
  <c r="P3" i="39"/>
  <c r="P4" i="43"/>
  <c r="P3" i="43"/>
  <c r="C4" i="39"/>
  <c r="N33" i="47" l="1"/>
  <c r="O32" i="47"/>
  <c r="P32" i="47" s="1"/>
  <c r="R3" i="45"/>
  <c r="N34" i="47" l="1"/>
  <c r="O33" i="47"/>
  <c r="P33" i="47"/>
  <c r="R4" i="47"/>
  <c r="R3" i="47"/>
  <c r="K6" i="47"/>
  <c r="K7" i="47"/>
  <c r="K8" i="47"/>
  <c r="K9" i="47"/>
  <c r="K10" i="47"/>
  <c r="K5" i="47"/>
  <c r="K4" i="47"/>
  <c r="L1" i="47"/>
  <c r="L6" i="47" s="1"/>
  <c r="L4" i="47"/>
  <c r="T4" i="47"/>
  <c r="L7" i="47"/>
  <c r="L10" i="47"/>
  <c r="M1" i="47"/>
  <c r="M4" i="47"/>
  <c r="L8" i="47"/>
  <c r="L9" i="47"/>
  <c r="P4" i="47"/>
  <c r="L5" i="47"/>
  <c r="N35" i="47" l="1"/>
  <c r="O34" i="47"/>
  <c r="P34" i="47"/>
  <c r="K5" i="45"/>
  <c r="K6" i="45"/>
  <c r="K7" i="45"/>
  <c r="K8" i="45"/>
  <c r="K9" i="45"/>
  <c r="K4" i="45"/>
  <c r="M8" i="47"/>
  <c r="U5" i="47"/>
  <c r="P7" i="47"/>
  <c r="M5" i="47"/>
  <c r="M1" i="45"/>
  <c r="U8" i="47"/>
  <c r="P9" i="47"/>
  <c r="M10" i="47"/>
  <c r="M4" i="45"/>
  <c r="T4" i="45"/>
  <c r="T5" i="47"/>
  <c r="T7" i="47"/>
  <c r="P5" i="45"/>
  <c r="M9" i="45"/>
  <c r="U6" i="47"/>
  <c r="T8" i="47"/>
  <c r="P8" i="47"/>
  <c r="P5" i="47"/>
  <c r="M7" i="47"/>
  <c r="U7" i="47"/>
  <c r="T9" i="47"/>
  <c r="P6" i="47"/>
  <c r="U5" i="45"/>
  <c r="T7" i="45"/>
  <c r="U9" i="47"/>
  <c r="M5" i="45"/>
  <c r="P9" i="45"/>
  <c r="U4" i="47"/>
  <c r="N36" i="47" l="1"/>
  <c r="O35" i="47"/>
  <c r="P35" i="47"/>
  <c r="C6" i="39"/>
  <c r="C7" i="39"/>
  <c r="C5" i="39"/>
  <c r="T10" i="47"/>
  <c r="T9" i="45"/>
  <c r="P8" i="45"/>
  <c r="M9" i="47"/>
  <c r="U8" i="45"/>
  <c r="U7" i="45"/>
  <c r="P10" i="47"/>
  <c r="M8" i="45"/>
  <c r="T8" i="45"/>
  <c r="M7" i="45"/>
  <c r="P6" i="45"/>
  <c r="U4" i="45"/>
  <c r="T5" i="45"/>
  <c r="M6" i="45"/>
  <c r="P7" i="45"/>
  <c r="P4" i="45"/>
  <c r="U6" i="45"/>
  <c r="U10" i="47"/>
  <c r="T6" i="45"/>
  <c r="U9" i="45"/>
  <c r="T6" i="47"/>
  <c r="M6" i="47"/>
  <c r="O36" i="47" l="1"/>
  <c r="P36" i="47"/>
  <c r="D5" i="40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I21" i="29"/>
  <c r="I18" i="29"/>
  <c r="C13" i="40" l="1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C14" i="40" l="1"/>
  <c r="D14" i="40" s="1"/>
  <c r="A15" i="40"/>
  <c r="C2" i="33"/>
  <c r="A9" i="33"/>
  <c r="C15" i="40" l="1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6" i="40" l="1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44" i="33"/>
  <c r="D78" i="33"/>
  <c r="D64" i="33"/>
  <c r="D54" i="33"/>
  <c r="D61" i="33"/>
  <c r="D73" i="33"/>
  <c r="D82" i="33"/>
  <c r="D83" i="33"/>
  <c r="D53" i="33"/>
  <c r="D70" i="33"/>
  <c r="D52" i="33"/>
  <c r="D57" i="33"/>
  <c r="D56" i="33"/>
  <c r="D59" i="33"/>
  <c r="D60" i="33"/>
  <c r="D81" i="33"/>
  <c r="D63" i="33"/>
  <c r="D47" i="33"/>
  <c r="D46" i="33"/>
  <c r="D74" i="33"/>
  <c r="D72" i="33"/>
  <c r="D41" i="33"/>
  <c r="D58" i="33"/>
  <c r="D49" i="33"/>
  <c r="D77" i="33"/>
  <c r="D45" i="33"/>
  <c r="D62" i="33"/>
  <c r="D68" i="33"/>
  <c r="D67" i="33"/>
  <c r="D80" i="33"/>
  <c r="D75" i="33"/>
  <c r="D43" i="33"/>
  <c r="D71" i="33"/>
  <c r="D69" i="33"/>
  <c r="D76" i="33"/>
  <c r="D65" i="33"/>
  <c r="D79" i="33"/>
  <c r="D50" i="33"/>
  <c r="D51" i="33"/>
  <c r="D42" i="33"/>
  <c r="D55" i="33"/>
  <c r="D84" i="33"/>
  <c r="D66" i="33"/>
  <c r="D48" i="33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E55" i="33"/>
  <c r="E57" i="33"/>
  <c r="E78" i="33"/>
  <c r="E65" i="33"/>
  <c r="E54" i="33"/>
  <c r="E59" i="33"/>
  <c r="E61" i="33"/>
  <c r="E56" i="33"/>
  <c r="E53" i="33"/>
  <c r="E67" i="33"/>
  <c r="E74" i="33"/>
  <c r="E52" i="33"/>
  <c r="E77" i="33"/>
  <c r="E49" i="33"/>
  <c r="E46" i="33"/>
  <c r="E69" i="33"/>
  <c r="E60" i="33"/>
  <c r="E80" i="33"/>
  <c r="E66" i="33"/>
  <c r="E71" i="33"/>
  <c r="E76" i="33"/>
  <c r="E42" i="33"/>
  <c r="E51" i="33"/>
  <c r="E83" i="33"/>
  <c r="E73" i="33"/>
  <c r="E68" i="33"/>
  <c r="E58" i="33"/>
  <c r="E81" i="33"/>
  <c r="E84" i="33"/>
  <c r="E45" i="33"/>
  <c r="E64" i="33"/>
  <c r="E62" i="33"/>
  <c r="E82" i="33"/>
  <c r="E41" i="33"/>
  <c r="E48" i="33"/>
  <c r="E50" i="33"/>
  <c r="E44" i="33"/>
  <c r="E63" i="33"/>
  <c r="E72" i="33"/>
  <c r="E79" i="33"/>
  <c r="E43" i="33"/>
  <c r="E47" i="33"/>
  <c r="E75" i="33"/>
  <c r="E70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23" i="33"/>
  <c r="D22" i="33"/>
  <c r="D34" i="33"/>
  <c r="B1" i="29"/>
  <c r="D3" i="33"/>
  <c r="D33" i="33"/>
  <c r="D7" i="33"/>
  <c r="D15" i="33"/>
  <c r="D28" i="33"/>
  <c r="D31" i="33"/>
  <c r="D19" i="33"/>
  <c r="D5" i="33"/>
  <c r="D27" i="33"/>
  <c r="D29" i="33"/>
  <c r="D37" i="33"/>
  <c r="D18" i="29"/>
  <c r="D17" i="33"/>
  <c r="D13" i="33"/>
  <c r="D17" i="29"/>
  <c r="D38" i="33"/>
  <c r="D5" i="35"/>
  <c r="D16" i="35"/>
  <c r="E20" i="49"/>
  <c r="D33" i="35"/>
  <c r="D44" i="35"/>
  <c r="E20" i="43"/>
  <c r="D9" i="33"/>
  <c r="D26" i="33"/>
  <c r="D21" i="33"/>
  <c r="D26" i="35"/>
  <c r="E19" i="49"/>
  <c r="D22" i="35"/>
  <c r="D49" i="35"/>
  <c r="D35" i="35"/>
  <c r="D14" i="35"/>
  <c r="D12" i="33"/>
  <c r="E16" i="48"/>
  <c r="D25" i="35"/>
  <c r="D24" i="35"/>
  <c r="D5" i="49"/>
  <c r="E18" i="48"/>
  <c r="E22" i="49"/>
  <c r="D43" i="35"/>
  <c r="D13" i="35"/>
  <c r="D40" i="33"/>
  <c r="D24" i="33"/>
  <c r="D41" i="35"/>
  <c r="D3" i="35"/>
  <c r="D29" i="35"/>
  <c r="E29" i="49"/>
  <c r="D6" i="35"/>
  <c r="E16" i="39"/>
  <c r="D16" i="33"/>
  <c r="D35" i="33"/>
  <c r="D36" i="35"/>
  <c r="D23" i="35"/>
  <c r="D19" i="35"/>
  <c r="E15" i="43"/>
  <c r="E19" i="43"/>
  <c r="D42" i="35"/>
  <c r="D10" i="35"/>
  <c r="D25" i="33"/>
  <c r="D36" i="33"/>
  <c r="D9" i="35"/>
  <c r="E19" i="48"/>
  <c r="D32" i="35"/>
  <c r="E27" i="49"/>
  <c r="E19" i="39"/>
  <c r="D18" i="35"/>
  <c r="D11" i="33"/>
  <c r="D6" i="33"/>
  <c r="D34" i="35"/>
  <c r="D4" i="33"/>
  <c r="D30" i="35"/>
  <c r="D46" i="35"/>
  <c r="D45" i="35"/>
  <c r="E15" i="48"/>
  <c r="D21" i="35"/>
  <c r="D18" i="33"/>
  <c r="D10" i="33"/>
  <c r="Q36" i="47"/>
  <c r="D30" i="33"/>
  <c r="D50" i="35"/>
  <c r="E25" i="49"/>
  <c r="D48" i="35"/>
  <c r="E20" i="39"/>
  <c r="D20" i="33"/>
  <c r="D32" i="33"/>
  <c r="D8" i="33"/>
  <c r="Q33" i="47"/>
  <c r="D4" i="35"/>
  <c r="D8" i="35"/>
  <c r="D39" i="35"/>
  <c r="D7" i="49"/>
  <c r="D14" i="33"/>
  <c r="D39" i="33"/>
  <c r="E30" i="49"/>
  <c r="E18" i="49"/>
  <c r="Q35" i="47"/>
  <c r="E16" i="43"/>
  <c r="D20" i="35"/>
  <c r="D27" i="35"/>
  <c r="E18" i="43"/>
  <c r="D38" i="35"/>
  <c r="D12" i="35"/>
  <c r="E23" i="49"/>
  <c r="D15" i="35"/>
  <c r="D7" i="48"/>
  <c r="E24" i="49"/>
  <c r="D28" i="35"/>
  <c r="E23" i="39"/>
  <c r="Q32" i="47"/>
  <c r="D7" i="35"/>
  <c r="E16" i="49"/>
  <c r="E21" i="39"/>
  <c r="E17" i="43"/>
  <c r="D7" i="39"/>
  <c r="E15" i="49"/>
  <c r="D47" i="35"/>
  <c r="D2" i="35"/>
  <c r="E24" i="39"/>
  <c r="E18" i="39"/>
  <c r="D6" i="49"/>
  <c r="E28" i="49"/>
  <c r="D6" i="39"/>
  <c r="Q34" i="47"/>
  <c r="E26" i="49"/>
  <c r="E17" i="39"/>
  <c r="D37" i="35"/>
  <c r="D40" i="35"/>
  <c r="E17" i="49"/>
  <c r="D11" i="35"/>
  <c r="E15" i="39"/>
  <c r="E22" i="39"/>
  <c r="C7" i="42"/>
  <c r="D31" i="35"/>
  <c r="E17" i="48"/>
  <c r="D5" i="39"/>
  <c r="D6" i="48"/>
  <c r="E21" i="49"/>
  <c r="E21" i="43"/>
  <c r="D5" i="48"/>
  <c r="D17" i="35"/>
  <c r="Q31" i="47"/>
  <c r="E3" i="40" l="1"/>
  <c r="E3" i="42"/>
  <c r="C19" i="40"/>
  <c r="D19" i="40" s="1"/>
  <c r="A20" i="40"/>
  <c r="D3" i="40"/>
  <c r="P11" i="45"/>
  <c r="D3" i="42"/>
  <c r="D10" i="49"/>
  <c r="C3" i="49" s="1"/>
  <c r="D10" i="39"/>
  <c r="C3" i="39" s="1"/>
  <c r="D10" i="43"/>
  <c r="C3" i="43" s="1"/>
  <c r="D10" i="48"/>
  <c r="C3" i="48" s="1"/>
  <c r="P12" i="47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B3" i="49"/>
  <c r="D15" i="49"/>
  <c r="D16" i="49"/>
  <c r="Q26" i="45"/>
  <c r="D17" i="49"/>
  <c r="D19" i="48"/>
  <c r="D15" i="48"/>
  <c r="D17" i="48"/>
  <c r="D16" i="48"/>
  <c r="D4" i="48"/>
  <c r="D18" i="48"/>
  <c r="AB3" i="48"/>
  <c r="K3" i="45"/>
  <c r="K3" i="47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E6" i="48"/>
  <c r="G7" i="49"/>
  <c r="G5" i="48"/>
  <c r="G7" i="48"/>
  <c r="G6" i="48"/>
  <c r="E5" i="48"/>
  <c r="D4" i="43"/>
  <c r="D5" i="43" s="1"/>
  <c r="K4" i="43"/>
  <c r="G6" i="49"/>
  <c r="G5" i="49"/>
  <c r="K5" i="43"/>
  <c r="E5" i="43"/>
  <c r="B5" i="43" l="1"/>
  <c r="A5" i="43"/>
  <c r="C5" i="43" s="1"/>
  <c r="C20" i="40"/>
  <c r="D20" i="40" s="1"/>
  <c r="A21" i="40"/>
  <c r="A4" i="43"/>
  <c r="H5" i="43"/>
  <c r="L5" i="43"/>
  <c r="D6" i="43"/>
  <c r="D7" i="43"/>
  <c r="E6" i="43"/>
  <c r="K6" i="43"/>
  <c r="E7" i="43"/>
  <c r="K7" i="43"/>
  <c r="B4" i="43" l="1"/>
  <c r="C4" i="43"/>
  <c r="M5" i="43"/>
  <c r="B7" i="43"/>
  <c r="A7" i="43"/>
  <c r="C7" i="43" s="1"/>
  <c r="B6" i="43"/>
  <c r="A6" i="43"/>
  <c r="C6" i="43" s="1"/>
  <c r="C21" i="40"/>
  <c r="D21" i="40" s="1"/>
  <c r="D2" i="33"/>
  <c r="D7" i="42" l="1"/>
  <c r="J19" i="43"/>
  <c r="F26" i="49"/>
  <c r="K6" i="39"/>
  <c r="L3" i="45"/>
  <c r="F18" i="49"/>
  <c r="J23" i="39"/>
  <c r="E4" i="49"/>
  <c r="J18" i="43"/>
  <c r="AC3" i="48"/>
  <c r="J24" i="39"/>
  <c r="AB4" i="49"/>
  <c r="AB4" i="48"/>
  <c r="T3" i="45"/>
  <c r="F18" i="48"/>
  <c r="J15" i="43"/>
  <c r="L3" i="47"/>
  <c r="J18" i="39"/>
  <c r="F25" i="49"/>
  <c r="F19" i="49"/>
  <c r="F16" i="48"/>
  <c r="F21" i="49"/>
  <c r="J22" i="39"/>
  <c r="F15" i="48"/>
  <c r="E5" i="39"/>
  <c r="M13" i="45" a="1"/>
  <c r="J15" i="39"/>
  <c r="H6" i="48"/>
  <c r="G4" i="49"/>
  <c r="F15" i="49"/>
  <c r="J16" i="43"/>
  <c r="E6" i="39"/>
  <c r="J20" i="43"/>
  <c r="J21" i="43"/>
  <c r="K7" i="39"/>
  <c r="AC3" i="49"/>
  <c r="E4" i="43"/>
  <c r="F16" i="49"/>
  <c r="F29" i="49"/>
  <c r="J17" i="39"/>
  <c r="E7" i="39"/>
  <c r="F19" i="48"/>
  <c r="F17" i="48"/>
  <c r="J20" i="39"/>
  <c r="F20" i="49"/>
  <c r="E4" i="39"/>
  <c r="AG3" i="43"/>
  <c r="U3" i="45"/>
  <c r="F27" i="49"/>
  <c r="J16" i="39"/>
  <c r="G4" i="48"/>
  <c r="E6" i="49"/>
  <c r="F28" i="49"/>
  <c r="AF4" i="43"/>
  <c r="E4" i="48"/>
  <c r="AG3" i="39"/>
  <c r="E7" i="49"/>
  <c r="J19" i="39"/>
  <c r="E5" i="49"/>
  <c r="F22" i="49"/>
  <c r="K5" i="39"/>
  <c r="K4" i="39"/>
  <c r="E7" i="48"/>
  <c r="J21" i="39"/>
  <c r="F30" i="49"/>
  <c r="F24" i="49"/>
  <c r="AF4" i="39"/>
  <c r="H5" i="48"/>
  <c r="F17" i="49"/>
  <c r="F23" i="49"/>
  <c r="M3" i="45"/>
  <c r="J17" i="43"/>
  <c r="M19" i="45" l="1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M3" i="47"/>
  <c r="AB5" i="48"/>
  <c r="H7" i="48"/>
  <c r="L7" i="43"/>
  <c r="H7" i="39"/>
  <c r="AB5" i="49"/>
  <c r="L4" i="39"/>
  <c r="H6" i="43"/>
  <c r="AG4" i="43"/>
  <c r="H4" i="48"/>
  <c r="P3" i="47"/>
  <c r="U3" i="47"/>
  <c r="L6" i="39"/>
  <c r="P3" i="45"/>
  <c r="AC4" i="48"/>
  <c r="AG4" i="39"/>
  <c r="L7" i="39"/>
  <c r="T3" i="47"/>
  <c r="H5" i="49"/>
  <c r="L4" i="43"/>
  <c r="AC4" i="49"/>
  <c r="L6" i="43"/>
  <c r="H4" i="43"/>
  <c r="H6" i="39"/>
  <c r="H5" i="39"/>
  <c r="H6" i="49"/>
  <c r="L5" i="39"/>
  <c r="H7" i="49"/>
  <c r="H7" i="43"/>
  <c r="H4" i="49"/>
  <c r="H4" i="39"/>
  <c r="M6" i="43" l="1"/>
  <c r="M7" i="43"/>
  <c r="M4" i="43"/>
  <c r="K4" i="48"/>
  <c r="J4" i="48"/>
  <c r="I4" i="48"/>
  <c r="O6" i="39"/>
  <c r="N6" i="39"/>
  <c r="M6" i="39"/>
  <c r="I7" i="49"/>
  <c r="J7" i="49"/>
  <c r="K7" i="49"/>
  <c r="J5" i="49"/>
  <c r="I5" i="49"/>
  <c r="K5" i="49"/>
  <c r="O7" i="39"/>
  <c r="N7" i="39"/>
  <c r="M7" i="39"/>
  <c r="J7" i="48"/>
  <c r="I7" i="48"/>
  <c r="K7" i="48"/>
  <c r="K6" i="49"/>
  <c r="J6" i="49"/>
  <c r="I6" i="49"/>
  <c r="K4" i="49"/>
  <c r="J4" i="49"/>
  <c r="I4" i="49"/>
  <c r="N4" i="39"/>
  <c r="M4" i="39"/>
  <c r="O4" i="39"/>
  <c r="O5" i="39"/>
  <c r="N5" i="39"/>
  <c r="M5" i="39"/>
  <c r="N4" i="43"/>
  <c r="O4" i="43"/>
  <c r="E16" i="33"/>
  <c r="E34" i="33"/>
  <c r="E38" i="33"/>
  <c r="E6" i="33"/>
  <c r="AB6" i="49"/>
  <c r="AC5" i="49"/>
  <c r="E30" i="33"/>
  <c r="E5" i="33"/>
  <c r="E31" i="33"/>
  <c r="S14" i="47" a="1"/>
  <c r="AF5" i="39"/>
  <c r="E24" i="33"/>
  <c r="E26" i="33"/>
  <c r="E25" i="33"/>
  <c r="I34" i="29"/>
  <c r="I28" i="29"/>
  <c r="E33" i="33"/>
  <c r="S13" i="45" a="1"/>
  <c r="E4" i="33"/>
  <c r="AC5" i="48"/>
  <c r="E27" i="33"/>
  <c r="P14" i="47" a="1"/>
  <c r="M14" i="47" a="1"/>
  <c r="E37" i="33"/>
  <c r="E28" i="33"/>
  <c r="E39" i="33"/>
  <c r="E21" i="33"/>
  <c r="E3" i="33"/>
  <c r="E19" i="33"/>
  <c r="P13" i="45" a="1"/>
  <c r="E32" i="33"/>
  <c r="E29" i="33"/>
  <c r="E36" i="33"/>
  <c r="E23" i="33"/>
  <c r="E17" i="33"/>
  <c r="E22" i="33"/>
  <c r="T13" i="45" a="1"/>
  <c r="E20" i="33"/>
  <c r="T14" i="47" a="1"/>
  <c r="AF5" i="43"/>
  <c r="E18" i="33"/>
  <c r="E15" i="33"/>
  <c r="E40" i="33"/>
  <c r="E35" i="33"/>
  <c r="AB6" i="48"/>
  <c r="E7" i="33"/>
  <c r="H37" i="29"/>
  <c r="H38" i="29"/>
  <c r="O6" i="43" l="1"/>
  <c r="N6" i="43"/>
  <c r="M14" i="47"/>
  <c r="M19" i="47"/>
  <c r="M26" i="47"/>
  <c r="M24" i="47"/>
  <c r="M25" i="47"/>
  <c r="M20" i="47"/>
  <c r="M17" i="47"/>
  <c r="M23" i="47"/>
  <c r="M21" i="47"/>
  <c r="M18" i="47"/>
  <c r="M27" i="47"/>
  <c r="M16" i="47"/>
  <c r="M15" i="47"/>
  <c r="M22" i="47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P21" i="47"/>
  <c r="P15" i="47"/>
  <c r="P27" i="47"/>
  <c r="P23" i="47"/>
  <c r="P22" i="47"/>
  <c r="P16" i="47"/>
  <c r="P19" i="47"/>
  <c r="P17" i="47"/>
  <c r="P25" i="47"/>
  <c r="P20" i="47"/>
  <c r="P26" i="47"/>
  <c r="P24" i="47"/>
  <c r="P14" i="47"/>
  <c r="P18" i="47"/>
  <c r="T24" i="47"/>
  <c r="T15" i="47"/>
  <c r="T20" i="47"/>
  <c r="T23" i="47"/>
  <c r="T25" i="47"/>
  <c r="T26" i="47"/>
  <c r="T17" i="47"/>
  <c r="T14" i="47"/>
  <c r="T19" i="47"/>
  <c r="T22" i="47"/>
  <c r="T27" i="47"/>
  <c r="T18" i="47"/>
  <c r="T21" i="47"/>
  <c r="T16" i="47"/>
  <c r="S16" i="47"/>
  <c r="S21" i="47"/>
  <c r="S25" i="47"/>
  <c r="S24" i="47"/>
  <c r="S20" i="47"/>
  <c r="S22" i="47"/>
  <c r="S27" i="47"/>
  <c r="S18" i="47"/>
  <c r="S23" i="47"/>
  <c r="S19" i="47"/>
  <c r="S17" i="47"/>
  <c r="S15" i="47"/>
  <c r="S14" i="47"/>
  <c r="S26" i="47"/>
  <c r="N5" i="43"/>
  <c r="O5" i="43"/>
  <c r="AB7" i="48"/>
  <c r="I37" i="29"/>
  <c r="AB8" i="48"/>
  <c r="AC6" i="49"/>
  <c r="AC6" i="48"/>
  <c r="AG5" i="39"/>
  <c r="AB7" i="49"/>
  <c r="AC7" i="49" s="1"/>
  <c r="AB8" i="49"/>
  <c r="I38" i="29"/>
  <c r="R26" i="45"/>
  <c r="AG5" i="43"/>
  <c r="AF6" i="39"/>
  <c r="AF6" i="43"/>
  <c r="AC7" i="48"/>
  <c r="Q27" i="45" l="1"/>
  <c r="R3" i="42" l="1"/>
  <c r="R3" i="40"/>
  <c r="F4" i="48" l="1" a="1"/>
  <c r="AB9" i="48"/>
  <c r="AG6" i="43"/>
  <c r="E5" i="40"/>
  <c r="E18" i="40"/>
  <c r="E5" i="42"/>
  <c r="F5" i="42" s="1"/>
  <c r="E13" i="40"/>
  <c r="E12" i="40"/>
  <c r="S3" i="40"/>
  <c r="T3" i="40" s="1"/>
  <c r="R4" i="42"/>
  <c r="R4" i="40"/>
  <c r="R5" i="40" s="1"/>
  <c r="S26" i="45"/>
  <c r="E6" i="42"/>
  <c r="E16" i="40"/>
  <c r="F16" i="40" s="1"/>
  <c r="AF7" i="39"/>
  <c r="E7" i="40"/>
  <c r="F3" i="40"/>
  <c r="S3" i="42"/>
  <c r="S4" i="40"/>
  <c r="F3" i="42"/>
  <c r="E15" i="40"/>
  <c r="AF7" i="43"/>
  <c r="AG7" i="43" s="1"/>
  <c r="AF8" i="39"/>
  <c r="AC9" i="48"/>
  <c r="S5" i="40"/>
  <c r="E7" i="42"/>
  <c r="F7" i="42" s="1"/>
  <c r="AC8" i="49"/>
  <c r="E21" i="40"/>
  <c r="F18" i="40"/>
  <c r="G3" i="42"/>
  <c r="G3" i="40"/>
  <c r="AF8" i="43"/>
  <c r="E9" i="40"/>
  <c r="E10" i="40"/>
  <c r="E4" i="40"/>
  <c r="E6" i="40"/>
  <c r="E20" i="40"/>
  <c r="G18" i="40"/>
  <c r="T3" i="42"/>
  <c r="AB9" i="49"/>
  <c r="R27" i="45"/>
  <c r="F6" i="42"/>
  <c r="G6" i="42" s="1"/>
  <c r="F7" i="40"/>
  <c r="AG6" i="39"/>
  <c r="AC8" i="48"/>
  <c r="T4" i="40"/>
  <c r="AF9" i="43"/>
  <c r="R5" i="42"/>
  <c r="E11" i="40"/>
  <c r="E4" i="42"/>
  <c r="E19" i="40"/>
  <c r="F21" i="40"/>
  <c r="G21" i="40" s="1"/>
  <c r="S4" i="42"/>
  <c r="D34" i="29"/>
  <c r="D33" i="29"/>
  <c r="E17" i="40"/>
  <c r="F17" i="40" s="1"/>
  <c r="G7" i="42"/>
  <c r="C37" i="29"/>
  <c r="E14" i="40"/>
  <c r="F14" i="40" s="1"/>
  <c r="AG8" i="43"/>
  <c r="E8" i="40"/>
  <c r="G14" i="40"/>
  <c r="I35" i="29"/>
  <c r="R6" i="40"/>
  <c r="S6" i="40"/>
  <c r="F4" i="42"/>
  <c r="C8" i="42"/>
  <c r="E8" i="42" s="1"/>
  <c r="F8" i="40"/>
  <c r="G5" i="42"/>
  <c r="F15" i="40"/>
  <c r="AB10" i="48"/>
  <c r="G16" i="40"/>
  <c r="T4" i="42"/>
  <c r="F5" i="40"/>
  <c r="G7" i="40"/>
  <c r="AC10" i="48"/>
  <c r="F4" i="40"/>
  <c r="R7" i="40"/>
  <c r="R8" i="40" s="1"/>
  <c r="T6" i="40"/>
  <c r="F12" i="40"/>
  <c r="AB11" i="48"/>
  <c r="F6" i="40"/>
  <c r="S7" i="40"/>
  <c r="AF9" i="39"/>
  <c r="F9" i="40"/>
  <c r="G9" i="40" s="1"/>
  <c r="AC9" i="49"/>
  <c r="AB10" i="49"/>
  <c r="S27" i="45"/>
  <c r="AF10" i="43"/>
  <c r="AG9" i="43"/>
  <c r="S5" i="42"/>
  <c r="T5" i="42" s="1"/>
  <c r="R6" i="42"/>
  <c r="C38" i="29"/>
  <c r="D28" i="29"/>
  <c r="D35" i="29"/>
  <c r="C9" i="42"/>
  <c r="E9" i="42" s="1"/>
  <c r="F8" i="42"/>
  <c r="S8" i="40"/>
  <c r="R9" i="40"/>
  <c r="T8" i="40"/>
  <c r="AC11" i="48"/>
  <c r="AB12" i="48"/>
  <c r="AG9" i="39"/>
  <c r="AC10" i="49"/>
  <c r="AB11" i="49"/>
  <c r="AG10" i="43"/>
  <c r="AF11" i="43"/>
  <c r="S6" i="42"/>
  <c r="T6" i="42" s="1"/>
  <c r="R7" i="42"/>
  <c r="B20" i="35"/>
  <c r="E45" i="35"/>
  <c r="B41" i="35"/>
  <c r="E47" i="35"/>
  <c r="B7" i="35"/>
  <c r="E14" i="35"/>
  <c r="B14" i="35"/>
  <c r="E41" i="35"/>
  <c r="B48" i="35"/>
  <c r="E30" i="35"/>
  <c r="C30" i="35" s="1"/>
  <c r="E20" i="35"/>
  <c r="C20" i="35" s="1"/>
  <c r="R34" i="47"/>
  <c r="E29" i="35"/>
  <c r="E42" i="35"/>
  <c r="B21" i="35"/>
  <c r="E12" i="35"/>
  <c r="C12" i="35" s="1"/>
  <c r="B50" i="35"/>
  <c r="E43" i="35"/>
  <c r="C43" i="35" s="1"/>
  <c r="B47" i="35"/>
  <c r="E3" i="35"/>
  <c r="C3" i="35" s="1"/>
  <c r="B3" i="35"/>
  <c r="E11" i="35"/>
  <c r="C11" i="35" s="1"/>
  <c r="E23" i="35"/>
  <c r="E6" i="35"/>
  <c r="E19" i="35"/>
  <c r="E49" i="35"/>
  <c r="B25" i="35"/>
  <c r="E44" i="35"/>
  <c r="C44" i="35" s="1"/>
  <c r="E36" i="35"/>
  <c r="C36" i="35" s="1"/>
  <c r="B6" i="35"/>
  <c r="B43" i="35"/>
  <c r="B9" i="35"/>
  <c r="E10" i="35"/>
  <c r="B16" i="35"/>
  <c r="B18" i="35"/>
  <c r="E16" i="35"/>
  <c r="C16" i="35" s="1"/>
  <c r="E7" i="35"/>
  <c r="C7" i="35" s="1"/>
  <c r="E37" i="35"/>
  <c r="C37" i="35" s="1"/>
  <c r="B2" i="35"/>
  <c r="B4" i="35"/>
  <c r="B19" i="35"/>
  <c r="B28" i="35"/>
  <c r="E39" i="35"/>
  <c r="E8" i="35"/>
  <c r="B40" i="35"/>
  <c r="B26" i="35"/>
  <c r="B30" i="35"/>
  <c r="E28" i="35"/>
  <c r="C28" i="35" s="1"/>
  <c r="B8" i="35"/>
  <c r="B38" i="35"/>
  <c r="B49" i="35"/>
  <c r="E17" i="35"/>
  <c r="E21" i="35"/>
  <c r="B39" i="35"/>
  <c r="B17" i="35"/>
  <c r="B13" i="35"/>
  <c r="B35" i="35"/>
  <c r="B15" i="35"/>
  <c r="B11" i="35"/>
  <c r="E24" i="35"/>
  <c r="B24" i="35"/>
  <c r="E50" i="35"/>
  <c r="C50" i="35" s="1"/>
  <c r="E31" i="35"/>
  <c r="C31" i="35" s="1"/>
  <c r="E35" i="35"/>
  <c r="E46" i="35"/>
  <c r="E13" i="35"/>
  <c r="B23" i="35"/>
  <c r="E48" i="35"/>
  <c r="E9" i="35"/>
  <c r="C9" i="35" s="1"/>
  <c r="E22" i="35"/>
  <c r="C22" i="35" s="1"/>
  <c r="B29" i="35"/>
  <c r="B5" i="35"/>
  <c r="E40" i="35"/>
  <c r="C40" i="35" s="1"/>
  <c r="B31" i="35"/>
  <c r="E38" i="35"/>
  <c r="C38" i="35" s="1"/>
  <c r="R33" i="47"/>
  <c r="R35" i="47"/>
  <c r="B44" i="35"/>
  <c r="E32" i="35"/>
  <c r="C32" i="35" s="1"/>
  <c r="B27" i="35"/>
  <c r="E4" i="35"/>
  <c r="C4" i="35" s="1"/>
  <c r="E5" i="35"/>
  <c r="C5" i="35" s="1"/>
  <c r="B45" i="35"/>
  <c r="B37" i="35"/>
  <c r="B34" i="35"/>
  <c r="E15" i="35"/>
  <c r="R32" i="47"/>
  <c r="E26" i="35"/>
  <c r="B36" i="35"/>
  <c r="B12" i="35"/>
  <c r="B22" i="35"/>
  <c r="R36" i="47"/>
  <c r="S36" i="47" s="1"/>
  <c r="E27" i="35"/>
  <c r="E25" i="35"/>
  <c r="B46" i="35"/>
  <c r="E33" i="35"/>
  <c r="E34" i="35"/>
  <c r="B32" i="35"/>
  <c r="E18" i="35"/>
  <c r="C18" i="35" s="1"/>
  <c r="B33" i="35"/>
  <c r="E2" i="35"/>
  <c r="C2" i="35" s="1"/>
  <c r="B42" i="35"/>
  <c r="R31" i="47"/>
  <c r="S31" i="47" s="1"/>
  <c r="B10" i="35"/>
  <c r="C10" i="42"/>
  <c r="E10" i="42" s="1"/>
  <c r="F9" i="42"/>
  <c r="G9" i="42"/>
  <c r="R10" i="40"/>
  <c r="S9" i="40"/>
  <c r="T9" i="40"/>
  <c r="AB13" i="48"/>
  <c r="AC12" i="48"/>
  <c r="AB12" i="49"/>
  <c r="AC11" i="49"/>
  <c r="AG11" i="43"/>
  <c r="AF12" i="43"/>
  <c r="S7" i="42"/>
  <c r="R8" i="42"/>
  <c r="T7" i="42"/>
  <c r="C11" i="42"/>
  <c r="E11" i="42" s="1"/>
  <c r="F10" i="42"/>
  <c r="G10" i="42"/>
  <c r="S10" i="40"/>
  <c r="T10" i="40"/>
  <c r="R11" i="40"/>
  <c r="AC13" i="48"/>
  <c r="AB14" i="48"/>
  <c r="AC12" i="49"/>
  <c r="AB13" i="49"/>
  <c r="AG12" i="43"/>
  <c r="AF13" i="43"/>
  <c r="R9" i="42"/>
  <c r="S8" i="42"/>
  <c r="C12" i="42"/>
  <c r="E12" i="42" s="1"/>
  <c r="F11" i="42"/>
  <c r="G11" i="42" s="1"/>
  <c r="R12" i="40"/>
  <c r="S11" i="40"/>
  <c r="T11" i="40" s="1"/>
  <c r="AB15" i="48"/>
  <c r="AC14" i="48"/>
  <c r="AC13" i="49"/>
  <c r="AB14" i="49"/>
  <c r="AG13" i="43"/>
  <c r="AF14" i="43"/>
  <c r="S9" i="42"/>
  <c r="T9" i="42" s="1"/>
  <c r="R10" i="42"/>
  <c r="C13" i="42"/>
  <c r="E13" i="42" s="1"/>
  <c r="F12" i="42"/>
  <c r="G12" i="42"/>
  <c r="S12" i="40"/>
  <c r="R13" i="40"/>
  <c r="AC15" i="48"/>
  <c r="AB16" i="48"/>
  <c r="AC14" i="49"/>
  <c r="AB15" i="49"/>
  <c r="AG14" i="43"/>
  <c r="AF15" i="43"/>
  <c r="S10" i="42"/>
  <c r="R11" i="42"/>
  <c r="F13" i="42"/>
  <c r="C14" i="42"/>
  <c r="E14" i="42" s="1"/>
  <c r="G13" i="42"/>
  <c r="S13" i="40"/>
  <c r="T13" i="40"/>
  <c r="R14" i="40"/>
  <c r="AB17" i="48"/>
  <c r="AC16" i="48"/>
  <c r="AB16" i="49"/>
  <c r="AC15" i="49"/>
  <c r="AG15" i="43"/>
  <c r="AF16" i="43"/>
  <c r="R12" i="42"/>
  <c r="S11" i="42"/>
  <c r="C15" i="42"/>
  <c r="E15" i="42" s="1"/>
  <c r="F14" i="42"/>
  <c r="G14" i="42" s="1"/>
  <c r="S14" i="40"/>
  <c r="T14" i="40" s="1"/>
  <c r="R15" i="40"/>
  <c r="AB18" i="48"/>
  <c r="AC17" i="48"/>
  <c r="AB17" i="49"/>
  <c r="AC16" i="49"/>
  <c r="AG16" i="43"/>
  <c r="AF17" i="43"/>
  <c r="R13" i="42"/>
  <c r="S12" i="42"/>
  <c r="F15" i="42"/>
  <c r="G15" i="42" s="1"/>
  <c r="R16" i="40"/>
  <c r="S15" i="40"/>
  <c r="AB19" i="48"/>
  <c r="AC18" i="48"/>
  <c r="AC17" i="49"/>
  <c r="AB18" i="49"/>
  <c r="AG17" i="43"/>
  <c r="AF18" i="43"/>
  <c r="R14" i="42"/>
  <c r="S13" i="42"/>
  <c r="T13" i="42" s="1"/>
  <c r="R17" i="40"/>
  <c r="S16" i="40"/>
  <c r="T16" i="40" s="1"/>
  <c r="AB20" i="48"/>
  <c r="AC19" i="48"/>
  <c r="AC18" i="49"/>
  <c r="AB19" i="49"/>
  <c r="AG18" i="43"/>
  <c r="AF19" i="43"/>
  <c r="S14" i="42"/>
  <c r="T14" i="42" s="1"/>
  <c r="R15" i="42"/>
  <c r="R18" i="40"/>
  <c r="S17" i="40"/>
  <c r="AB21" i="48"/>
  <c r="AC20" i="48"/>
  <c r="AB20" i="49"/>
  <c r="AC19" i="49"/>
  <c r="AF20" i="43"/>
  <c r="AG19" i="43"/>
  <c r="S15" i="42"/>
  <c r="R16" i="42"/>
  <c r="S18" i="40"/>
  <c r="R19" i="40"/>
  <c r="T18" i="40"/>
  <c r="AC21" i="48"/>
  <c r="AB22" i="48"/>
  <c r="AC20" i="49"/>
  <c r="AB21" i="49"/>
  <c r="AG20" i="43"/>
  <c r="AF21" i="43"/>
  <c r="S16" i="42"/>
  <c r="R17" i="42"/>
  <c r="S19" i="40"/>
  <c r="T19" i="40"/>
  <c r="R20" i="40"/>
  <c r="AB23" i="48"/>
  <c r="AC22" i="48"/>
  <c r="AB22" i="49"/>
  <c r="AC21" i="49"/>
  <c r="AF22" i="43"/>
  <c r="AG21" i="43"/>
  <c r="S17" i="42"/>
  <c r="R18" i="42"/>
  <c r="S20" i="40"/>
  <c r="T20" i="40" s="1"/>
  <c r="R21" i="40"/>
  <c r="AC23" i="48"/>
  <c r="AB24" i="48"/>
  <c r="AC22" i="49"/>
  <c r="AB23" i="49"/>
  <c r="AG22" i="43"/>
  <c r="AF23" i="43"/>
  <c r="R19" i="42"/>
  <c r="S18" i="42"/>
  <c r="R22" i="40"/>
  <c r="S21" i="40"/>
  <c r="AB25" i="48"/>
  <c r="AC24" i="48"/>
  <c r="AC23" i="49"/>
  <c r="AB24" i="49"/>
  <c r="AG23" i="43"/>
  <c r="AF24" i="43"/>
  <c r="S19" i="42"/>
  <c r="R20" i="42"/>
  <c r="R23" i="40"/>
  <c r="S22" i="40"/>
  <c r="T22" i="40" s="1"/>
  <c r="AB26" i="48"/>
  <c r="AC25" i="48"/>
  <c r="AC24" i="49"/>
  <c r="AB25" i="49"/>
  <c r="AF25" i="43"/>
  <c r="AG24" i="43"/>
  <c r="R21" i="42"/>
  <c r="S20" i="42"/>
  <c r="S23" i="40"/>
  <c r="T23" i="40" s="1"/>
  <c r="R24" i="40"/>
  <c r="AB26" i="49"/>
  <c r="AC25" i="49"/>
  <c r="AF26" i="43"/>
  <c r="AG25" i="43"/>
  <c r="R22" i="42"/>
  <c r="S21" i="42"/>
  <c r="T21" i="42" s="1"/>
  <c r="R25" i="40"/>
  <c r="S24" i="40"/>
  <c r="AC26" i="49"/>
  <c r="AB27" i="49"/>
  <c r="AF27" i="43"/>
  <c r="AG26" i="43"/>
  <c r="R23" i="42"/>
  <c r="S22" i="42"/>
  <c r="T22" i="42" s="1"/>
  <c r="S25" i="40"/>
  <c r="T25" i="40"/>
  <c r="R26" i="40"/>
  <c r="AC27" i="49"/>
  <c r="AB28" i="49"/>
  <c r="AF28" i="43"/>
  <c r="AG27" i="43"/>
  <c r="R24" i="42"/>
  <c r="S23" i="42"/>
  <c r="S26" i="40"/>
  <c r="T26" i="40" s="1"/>
  <c r="R27" i="40"/>
  <c r="AB29" i="49"/>
  <c r="AC28" i="49"/>
  <c r="AG28" i="43"/>
  <c r="AF29" i="43"/>
  <c r="S24" i="42"/>
  <c r="R25" i="42"/>
  <c r="R28" i="40"/>
  <c r="S27" i="40"/>
  <c r="T27" i="40" s="1"/>
  <c r="AB30" i="49"/>
  <c r="AC29" i="49"/>
  <c r="AG29" i="43"/>
  <c r="AF30" i="43"/>
  <c r="S25" i="42"/>
  <c r="R26" i="42"/>
  <c r="R29" i="40"/>
  <c r="S28" i="40"/>
  <c r="T28" i="40" s="1"/>
  <c r="AC30" i="49"/>
  <c r="AB31" i="49"/>
  <c r="AG30" i="43"/>
  <c r="AF31" i="43"/>
  <c r="S26" i="42"/>
  <c r="T26" i="42" s="1"/>
  <c r="R27" i="42"/>
  <c r="R30" i="40"/>
  <c r="S29" i="40"/>
  <c r="T29" i="40" s="1"/>
  <c r="AB32" i="49"/>
  <c r="AC31" i="49"/>
  <c r="AG31" i="43"/>
  <c r="AF32" i="43"/>
  <c r="R28" i="42"/>
  <c r="S27" i="42"/>
  <c r="S30" i="40"/>
  <c r="R31" i="40"/>
  <c r="T30" i="40"/>
  <c r="AC32" i="49"/>
  <c r="AB33" i="49"/>
  <c r="AF33" i="43"/>
  <c r="AG32" i="43"/>
  <c r="S28" i="42"/>
  <c r="R29" i="42"/>
  <c r="R32" i="40"/>
  <c r="S31" i="40"/>
  <c r="T31" i="40" s="1"/>
  <c r="AB34" i="49"/>
  <c r="AC33" i="49"/>
  <c r="AG33" i="43"/>
  <c r="AF34" i="43"/>
  <c r="R30" i="42"/>
  <c r="S29" i="42"/>
  <c r="T29" i="42" s="1"/>
  <c r="S32" i="40"/>
  <c r="R33" i="40"/>
  <c r="T32" i="40"/>
  <c r="AB35" i="49"/>
  <c r="AC34" i="49"/>
  <c r="AG34" i="43"/>
  <c r="AF35" i="43"/>
  <c r="R31" i="42"/>
  <c r="S30" i="42"/>
  <c r="T30" i="42" s="1"/>
  <c r="R34" i="40"/>
  <c r="S33" i="40"/>
  <c r="T33" i="40"/>
  <c r="AC35" i="49"/>
  <c r="AB36" i="49"/>
  <c r="AF36" i="43"/>
  <c r="AG35" i="43"/>
  <c r="R32" i="42"/>
  <c r="S31" i="42"/>
  <c r="R35" i="40"/>
  <c r="S34" i="40"/>
  <c r="AC36" i="49"/>
  <c r="AB37" i="49"/>
  <c r="AF37" i="43"/>
  <c r="AG36" i="43"/>
  <c r="R33" i="42"/>
  <c r="S32" i="42"/>
  <c r="R36" i="40"/>
  <c r="S35" i="40"/>
  <c r="AB38" i="49"/>
  <c r="AC37" i="49"/>
  <c r="AF38" i="43"/>
  <c r="AG37" i="43"/>
  <c r="R34" i="42"/>
  <c r="S33" i="42"/>
  <c r="T33" i="42" s="1"/>
  <c r="R37" i="40"/>
  <c r="S36" i="40"/>
  <c r="T36" i="40"/>
  <c r="AC38" i="49"/>
  <c r="AB39" i="49"/>
  <c r="AF39" i="43"/>
  <c r="AG38" i="43"/>
  <c r="R35" i="42"/>
  <c r="S34" i="42"/>
  <c r="R38" i="40"/>
  <c r="S37" i="40"/>
  <c r="T37" i="40" s="1"/>
  <c r="AC39" i="49"/>
  <c r="AB40" i="49"/>
  <c r="AG39" i="43"/>
  <c r="AF40" i="43"/>
  <c r="S35" i="42"/>
  <c r="R36" i="42"/>
  <c r="S38" i="40"/>
  <c r="R39" i="40"/>
  <c r="AB41" i="49"/>
  <c r="AC40" i="49"/>
  <c r="AF41" i="43"/>
  <c r="AG40" i="43"/>
  <c r="R37" i="42"/>
  <c r="S36" i="42"/>
  <c r="S39" i="40"/>
  <c r="R40" i="40"/>
  <c r="AB42" i="49"/>
  <c r="AC41" i="49"/>
  <c r="AF42" i="43"/>
  <c r="AG41" i="43"/>
  <c r="S37" i="42"/>
  <c r="T37" i="42" s="1"/>
  <c r="R38" i="42"/>
  <c r="S40" i="40"/>
  <c r="T40" i="40" s="1"/>
  <c r="R41" i="40"/>
  <c r="AB43" i="49"/>
  <c r="AC42" i="49"/>
  <c r="AG42" i="43"/>
  <c r="AF43" i="43"/>
  <c r="R39" i="42"/>
  <c r="S38" i="42"/>
  <c r="S41" i="40"/>
  <c r="T41" i="40" s="1"/>
  <c r="R42" i="40"/>
  <c r="AB44" i="49"/>
  <c r="AC43" i="49"/>
  <c r="AF44" i="43"/>
  <c r="AG43" i="43"/>
  <c r="R40" i="42"/>
  <c r="S39" i="42"/>
  <c r="S42" i="40"/>
  <c r="R43" i="40"/>
  <c r="T42" i="40"/>
  <c r="AB45" i="49"/>
  <c r="AC44" i="49"/>
  <c r="AG44" i="43"/>
  <c r="AF45" i="43"/>
  <c r="R41" i="42"/>
  <c r="S40" i="42"/>
  <c r="S43" i="40"/>
  <c r="T43" i="40" s="1"/>
  <c r="R44" i="40"/>
  <c r="AB46" i="49"/>
  <c r="AC45" i="49"/>
  <c r="AF46" i="43"/>
  <c r="AG45" i="43"/>
  <c r="R42" i="42"/>
  <c r="S41" i="42"/>
  <c r="T41" i="42" s="1"/>
  <c r="S44" i="40"/>
  <c r="R45" i="40"/>
  <c r="T44" i="40"/>
  <c r="AC46" i="49"/>
  <c r="AB47" i="49"/>
  <c r="AG46" i="43"/>
  <c r="AF47" i="43"/>
  <c r="R43" i="42"/>
  <c r="S42" i="42"/>
  <c r="T42" i="42" s="1"/>
  <c r="S45" i="40"/>
  <c r="R46" i="40"/>
  <c r="AB48" i="49"/>
  <c r="AC47" i="49"/>
  <c r="AG47" i="43"/>
  <c r="AF48" i="43"/>
  <c r="S43" i="42"/>
  <c r="T43" i="42" s="1"/>
  <c r="R44" i="42"/>
  <c r="S46" i="40"/>
  <c r="T46" i="40" s="1"/>
  <c r="R47" i="40"/>
  <c r="AC48" i="49"/>
  <c r="AB49" i="49"/>
  <c r="AF49" i="43"/>
  <c r="AG48" i="43"/>
  <c r="R45" i="42"/>
  <c r="S44" i="42"/>
  <c r="S47" i="40"/>
  <c r="R48" i="40"/>
  <c r="T47" i="40"/>
  <c r="AB50" i="49"/>
  <c r="AC49" i="49"/>
  <c r="AF50" i="43"/>
  <c r="AG49" i="43"/>
  <c r="S45" i="42"/>
  <c r="T45" i="42" s="1"/>
  <c r="R46" i="42"/>
  <c r="R49" i="40"/>
  <c r="S48" i="40"/>
  <c r="AB51" i="49"/>
  <c r="AC50" i="49"/>
  <c r="AF51" i="43"/>
  <c r="AG50" i="43"/>
  <c r="S46" i="42"/>
  <c r="R47" i="42"/>
  <c r="S49" i="40"/>
  <c r="T49" i="40" s="1"/>
  <c r="R50" i="40"/>
  <c r="AC51" i="49"/>
  <c r="AB52" i="49"/>
  <c r="AG51" i="43"/>
  <c r="AF52" i="43"/>
  <c r="R48" i="42"/>
  <c r="S47" i="42"/>
  <c r="S50" i="40"/>
  <c r="R51" i="40"/>
  <c r="T50" i="40"/>
  <c r="AB53" i="49"/>
  <c r="AC52" i="49"/>
  <c r="AF53" i="43"/>
  <c r="AG52" i="43"/>
  <c r="R49" i="42"/>
  <c r="S48" i="42"/>
  <c r="S51" i="40"/>
  <c r="R52" i="40"/>
  <c r="T51" i="40"/>
  <c r="AC53" i="49"/>
  <c r="AB54" i="49"/>
  <c r="AF54" i="43"/>
  <c r="AG53" i="43"/>
  <c r="R50" i="42"/>
  <c r="S49" i="42"/>
  <c r="T49" i="42" s="1"/>
  <c r="R53" i="40"/>
  <c r="S52" i="40"/>
  <c r="AC54" i="49"/>
  <c r="AB55" i="49"/>
  <c r="AG54" i="43"/>
  <c r="AF55" i="43"/>
  <c r="R51" i="42"/>
  <c r="S50" i="42"/>
  <c r="R54" i="40"/>
  <c r="S53" i="40"/>
  <c r="T53" i="40" s="1"/>
  <c r="AC55" i="49"/>
  <c r="AB56" i="49"/>
  <c r="AF56" i="43"/>
  <c r="AG55" i="43"/>
  <c r="S51" i="42"/>
  <c r="R52" i="42"/>
  <c r="S54" i="40"/>
  <c r="T54" i="40"/>
  <c r="R55" i="40"/>
  <c r="AB57" i="49"/>
  <c r="AC56" i="49"/>
  <c r="AG56" i="43"/>
  <c r="AF57" i="43"/>
  <c r="R53" i="42"/>
  <c r="S52" i="42"/>
  <c r="S55" i="40"/>
  <c r="T55" i="40" s="1"/>
  <c r="R56" i="40"/>
  <c r="AC57" i="49"/>
  <c r="AB58" i="49"/>
  <c r="AG57" i="43"/>
  <c r="AF58" i="43"/>
  <c r="S53" i="42"/>
  <c r="R54" i="42"/>
  <c r="R57" i="40"/>
  <c r="S56" i="40"/>
  <c r="T56" i="40" s="1"/>
  <c r="AC58" i="49"/>
  <c r="AB59" i="49"/>
  <c r="AG58" i="43"/>
  <c r="AF59" i="43"/>
  <c r="R55" i="42"/>
  <c r="S54" i="42"/>
  <c r="S57" i="40"/>
  <c r="T57" i="40" s="1"/>
  <c r="R58" i="40"/>
  <c r="AC59" i="49"/>
  <c r="AB60" i="49"/>
  <c r="AF60" i="43"/>
  <c r="AG59" i="43"/>
  <c r="S55" i="42"/>
  <c r="R56" i="42"/>
  <c r="R59" i="40"/>
  <c r="S58" i="40"/>
  <c r="T58" i="40" s="1"/>
  <c r="AC60" i="49"/>
  <c r="AB61" i="49"/>
  <c r="AG60" i="43"/>
  <c r="AF61" i="43"/>
  <c r="R57" i="42"/>
  <c r="S56" i="42"/>
  <c r="S59" i="40"/>
  <c r="R60" i="40"/>
  <c r="T59" i="40"/>
  <c r="AB62" i="49"/>
  <c r="AC61" i="49"/>
  <c r="AF62" i="43"/>
  <c r="AG61" i="43"/>
  <c r="S57" i="42"/>
  <c r="R58" i="42"/>
  <c r="R61" i="40"/>
  <c r="S60" i="40"/>
  <c r="T60" i="40" s="1"/>
  <c r="AB63" i="49"/>
  <c r="AC62" i="49"/>
  <c r="AG62" i="43"/>
  <c r="AF63" i="43"/>
  <c r="S58" i="42"/>
  <c r="T58" i="42" s="1"/>
  <c r="R59" i="42"/>
  <c r="S61" i="40"/>
  <c r="R62" i="40"/>
  <c r="T61" i="40"/>
  <c r="AB64" i="49"/>
  <c r="AC63" i="49"/>
  <c r="AF64" i="43"/>
  <c r="AG63" i="43"/>
  <c r="R60" i="42"/>
  <c r="S59" i="42"/>
  <c r="R63" i="40"/>
  <c r="S62" i="40"/>
  <c r="T62" i="40"/>
  <c r="AB65" i="49"/>
  <c r="AC64" i="49"/>
  <c r="AG64" i="43"/>
  <c r="AF65" i="43"/>
  <c r="R61" i="42"/>
  <c r="S60" i="42"/>
  <c r="S63" i="40"/>
  <c r="T63" i="40" s="1"/>
  <c r="R64" i="40"/>
  <c r="AB66" i="49"/>
  <c r="AC65" i="49"/>
  <c r="S61" i="42"/>
  <c r="R62" i="42"/>
  <c r="S64" i="40"/>
  <c r="R65" i="40"/>
  <c r="T64" i="40"/>
  <c r="AB67" i="49"/>
  <c r="AC66" i="49"/>
  <c r="S62" i="42"/>
  <c r="T62" i="42" s="1"/>
  <c r="R63" i="42"/>
  <c r="S65" i="40"/>
  <c r="T65" i="40"/>
  <c r="R66" i="40"/>
  <c r="AC67" i="49"/>
  <c r="AB68" i="49"/>
  <c r="R64" i="42"/>
  <c r="S63" i="42"/>
  <c r="R67" i="40"/>
  <c r="S66" i="40"/>
  <c r="T66" i="40" s="1"/>
  <c r="AC68" i="49"/>
  <c r="AB69" i="49"/>
  <c r="R65" i="42"/>
  <c r="S64" i="42"/>
  <c r="S67" i="40"/>
  <c r="R68" i="40"/>
  <c r="T67" i="40"/>
  <c r="AB70" i="49"/>
  <c r="AC69" i="49"/>
  <c r="R66" i="42"/>
  <c r="S65" i="42"/>
  <c r="T65" i="42" s="1"/>
  <c r="S68" i="40"/>
  <c r="T68" i="40" s="1"/>
  <c r="R69" i="40"/>
  <c r="AB71" i="49"/>
  <c r="AC70" i="49"/>
  <c r="R67" i="42"/>
  <c r="S66" i="42"/>
  <c r="S69" i="40"/>
  <c r="R70" i="40"/>
  <c r="T69" i="40"/>
  <c r="AC71" i="49"/>
  <c r="AB72" i="49"/>
  <c r="R68" i="42"/>
  <c r="S67" i="42"/>
  <c r="T67" i="42" s="1"/>
  <c r="R71" i="40"/>
  <c r="S70" i="40"/>
  <c r="T70" i="40"/>
  <c r="AC72" i="49"/>
  <c r="AB73" i="49"/>
  <c r="S68" i="42"/>
  <c r="R69" i="42"/>
  <c r="S71" i="40"/>
  <c r="T71" i="40" s="1"/>
  <c r="R72" i="40"/>
  <c r="AC73" i="49"/>
  <c r="AB74" i="49"/>
  <c r="R70" i="42"/>
  <c r="S69" i="42"/>
  <c r="S72" i="40"/>
  <c r="R73" i="40"/>
  <c r="T72" i="40"/>
  <c r="AC74" i="49"/>
  <c r="AB75" i="49"/>
  <c r="S70" i="42"/>
  <c r="T70" i="42" s="1"/>
  <c r="R71" i="42"/>
  <c r="R74" i="40"/>
  <c r="S73" i="40"/>
  <c r="T73" i="40" s="1"/>
  <c r="AB76" i="49"/>
  <c r="AC75" i="49"/>
  <c r="S71" i="42"/>
  <c r="R72" i="42"/>
  <c r="S74" i="40"/>
  <c r="T74" i="40" s="1"/>
  <c r="R75" i="40"/>
  <c r="AB77" i="49"/>
  <c r="AC76" i="49"/>
  <c r="S72" i="42"/>
  <c r="R73" i="42"/>
  <c r="R76" i="40"/>
  <c r="S75" i="40"/>
  <c r="AB78" i="49"/>
  <c r="AC77" i="49"/>
  <c r="R74" i="42"/>
  <c r="S73" i="42"/>
  <c r="S76" i="40"/>
  <c r="T76" i="40" s="1"/>
  <c r="R77" i="40"/>
  <c r="AC78" i="49"/>
  <c r="AB79" i="49"/>
  <c r="R75" i="42"/>
  <c r="S74" i="42"/>
  <c r="S77" i="40"/>
  <c r="R78" i="40"/>
  <c r="AC79" i="49"/>
  <c r="AB80" i="49"/>
  <c r="R76" i="42"/>
  <c r="S75" i="42"/>
  <c r="S78" i="40"/>
  <c r="R79" i="40"/>
  <c r="T78" i="40"/>
  <c r="AC80" i="49"/>
  <c r="AB81" i="49"/>
  <c r="R77" i="42"/>
  <c r="S76" i="42"/>
  <c r="S79" i="40"/>
  <c r="R80" i="40"/>
  <c r="AC81" i="49"/>
  <c r="AB82" i="49"/>
  <c r="R78" i="42"/>
  <c r="S77" i="42"/>
  <c r="T77" i="42" s="1"/>
  <c r="S80" i="40"/>
  <c r="T80" i="40" s="1"/>
  <c r="R81" i="40"/>
  <c r="AB83" i="49"/>
  <c r="AC82" i="49"/>
  <c r="S78" i="42"/>
  <c r="R79" i="42"/>
  <c r="T78" i="42"/>
  <c r="S81" i="40"/>
  <c r="R82" i="40"/>
  <c r="T81" i="40"/>
  <c r="AB84" i="49"/>
  <c r="AC83" i="49"/>
  <c r="R80" i="42"/>
  <c r="S79" i="42"/>
  <c r="S82" i="40"/>
  <c r="T82" i="40"/>
  <c r="R83" i="40"/>
  <c r="AC84" i="49"/>
  <c r="AB85" i="49"/>
  <c r="S80" i="42"/>
  <c r="R81" i="42"/>
  <c r="S83" i="40"/>
  <c r="T83" i="40" s="1"/>
  <c r="R84" i="40"/>
  <c r="AB86" i="49"/>
  <c r="AC85" i="49"/>
  <c r="S81" i="42"/>
  <c r="T81" i="42" s="1"/>
  <c r="R82" i="42"/>
  <c r="R85" i="40"/>
  <c r="S84" i="40"/>
  <c r="T84" i="40"/>
  <c r="AC86" i="49"/>
  <c r="AB87" i="49"/>
  <c r="S82" i="42"/>
  <c r="R83" i="42"/>
  <c r="S85" i="40"/>
  <c r="R86" i="40"/>
  <c r="AC87" i="49"/>
  <c r="AB88" i="49"/>
  <c r="R84" i="42"/>
  <c r="S83" i="42"/>
  <c r="R87" i="40"/>
  <c r="S86" i="40"/>
  <c r="T86" i="40" s="1"/>
  <c r="AC88" i="49"/>
  <c r="AB89" i="49"/>
  <c r="R85" i="42"/>
  <c r="S84" i="42"/>
  <c r="R88" i="40"/>
  <c r="S87" i="40"/>
  <c r="T87" i="40"/>
  <c r="AC89" i="49"/>
  <c r="AB90" i="49"/>
  <c r="R86" i="42"/>
  <c r="S85" i="42"/>
  <c r="T85" i="42"/>
  <c r="S88" i="40"/>
  <c r="T88" i="40" s="1"/>
  <c r="R89" i="40"/>
  <c r="AB91" i="49"/>
  <c r="AC90" i="49"/>
  <c r="S86" i="42"/>
  <c r="R87" i="42"/>
  <c r="R90" i="40"/>
  <c r="S89" i="40"/>
  <c r="T89" i="40" s="1"/>
  <c r="AB92" i="49"/>
  <c r="AC91" i="49"/>
  <c r="S87" i="42"/>
  <c r="R88" i="42"/>
  <c r="S90" i="40"/>
  <c r="T90" i="40"/>
  <c r="R91" i="40"/>
  <c r="AB93" i="49"/>
  <c r="AC92" i="49"/>
  <c r="S88" i="42"/>
  <c r="R89" i="42"/>
  <c r="S91" i="40"/>
  <c r="T91" i="40" s="1"/>
  <c r="R92" i="40"/>
  <c r="AB94" i="49"/>
  <c r="AC93" i="49"/>
  <c r="S89" i="42"/>
  <c r="T89" i="42" s="1"/>
  <c r="R90" i="42"/>
  <c r="R93" i="40"/>
  <c r="S92" i="40"/>
  <c r="AC94" i="49"/>
  <c r="AB95" i="49"/>
  <c r="R91" i="42"/>
  <c r="S90" i="42"/>
  <c r="T90" i="42" s="1"/>
  <c r="S93" i="40"/>
  <c r="T93" i="40"/>
  <c r="R94" i="40"/>
  <c r="AC95" i="49"/>
  <c r="AB96" i="49"/>
  <c r="S91" i="42"/>
  <c r="R92" i="42"/>
  <c r="S94" i="40"/>
  <c r="T94" i="40" s="1"/>
  <c r="R95" i="40"/>
  <c r="AC96" i="49"/>
  <c r="AB97" i="49"/>
  <c r="R93" i="42"/>
  <c r="S92" i="42"/>
  <c r="R96" i="40"/>
  <c r="S95" i="40"/>
  <c r="T95" i="40" s="1"/>
  <c r="AC97" i="49"/>
  <c r="AB98" i="49"/>
  <c r="S93" i="42"/>
  <c r="R94" i="42"/>
  <c r="R97" i="40"/>
  <c r="S96" i="40"/>
  <c r="AC98" i="49"/>
  <c r="AB99" i="49"/>
  <c r="S94" i="42"/>
  <c r="T94" i="42" s="1"/>
  <c r="R95" i="42"/>
  <c r="R98" i="40"/>
  <c r="S97" i="40"/>
  <c r="T97" i="40" s="1"/>
  <c r="AC99" i="49"/>
  <c r="AB100" i="49"/>
  <c r="S95" i="42"/>
  <c r="R96" i="42"/>
  <c r="R99" i="40"/>
  <c r="S98" i="40"/>
  <c r="T98" i="40" s="1"/>
  <c r="AB101" i="49"/>
  <c r="AC100" i="49"/>
  <c r="S96" i="42"/>
  <c r="R97" i="42"/>
  <c r="S99" i="40"/>
  <c r="R100" i="40"/>
  <c r="AB102" i="49"/>
  <c r="AC101" i="49"/>
  <c r="R98" i="42"/>
  <c r="S97" i="42"/>
  <c r="R101" i="40"/>
  <c r="S100" i="40"/>
  <c r="T100" i="40" s="1"/>
  <c r="AB103" i="49"/>
  <c r="AC102" i="49"/>
  <c r="S98" i="42"/>
  <c r="R99" i="42"/>
  <c r="S101" i="40"/>
  <c r="R102" i="40"/>
  <c r="T101" i="40"/>
  <c r="AC103" i="49"/>
  <c r="AB104" i="49"/>
  <c r="S99" i="42"/>
  <c r="R100" i="42"/>
  <c r="S102" i="40"/>
  <c r="R103" i="40"/>
  <c r="AC104" i="49"/>
  <c r="AB105" i="49"/>
  <c r="R101" i="42"/>
  <c r="S100" i="42"/>
  <c r="S103" i="40"/>
  <c r="T103" i="40" s="1"/>
  <c r="R104" i="40"/>
  <c r="AB106" i="49"/>
  <c r="AC105" i="49"/>
  <c r="R102" i="42"/>
  <c r="S101" i="42"/>
  <c r="R105" i="40"/>
  <c r="S104" i="40"/>
  <c r="T104" i="40" s="1"/>
  <c r="AB107" i="49"/>
  <c r="AC106" i="49"/>
  <c r="R103" i="42"/>
  <c r="S102" i="42"/>
  <c r="R106" i="40"/>
  <c r="S105" i="40"/>
  <c r="T105" i="40" s="1"/>
  <c r="AB108" i="49"/>
  <c r="AC107" i="49"/>
  <c r="S103" i="42"/>
  <c r="R104" i="42"/>
  <c r="S106" i="40"/>
  <c r="T106" i="40" s="1"/>
  <c r="R107" i="40"/>
  <c r="AC108" i="49"/>
  <c r="AB109" i="49"/>
  <c r="S104" i="42"/>
  <c r="R105" i="42"/>
  <c r="S107" i="40"/>
  <c r="R108" i="40"/>
  <c r="T107" i="40"/>
  <c r="AB110" i="49"/>
  <c r="AC109" i="49"/>
  <c r="S105" i="42"/>
  <c r="R106" i="42"/>
  <c r="S108" i="40"/>
  <c r="T108" i="40" s="1"/>
  <c r="R109" i="40"/>
  <c r="AC110" i="49"/>
  <c r="AB111" i="49"/>
  <c r="R107" i="42"/>
  <c r="S106" i="42"/>
  <c r="R110" i="40"/>
  <c r="S109" i="40"/>
  <c r="AC111" i="49"/>
  <c r="AB112" i="49"/>
  <c r="S107" i="42"/>
  <c r="T107" i="42" s="1"/>
  <c r="R108" i="42"/>
  <c r="S110" i="40"/>
  <c r="R111" i="40"/>
  <c r="T110" i="40"/>
  <c r="AB113" i="49"/>
  <c r="AC112" i="49"/>
  <c r="R109" i="42"/>
  <c r="S108" i="42"/>
  <c r="T108" i="42" s="1"/>
  <c r="S111" i="40"/>
  <c r="T111" i="40" s="1"/>
  <c r="R112" i="40"/>
  <c r="AB114" i="49"/>
  <c r="AC113" i="49"/>
  <c r="S109" i="42"/>
  <c r="T109" i="42" s="1"/>
  <c r="R110" i="42"/>
  <c r="S112" i="40"/>
  <c r="R113" i="40"/>
  <c r="T112" i="40"/>
  <c r="AB115" i="49"/>
  <c r="AC114" i="49"/>
  <c r="R111" i="42"/>
  <c r="S110" i="42"/>
  <c r="T110" i="42" s="1"/>
  <c r="R114" i="40"/>
  <c r="S113" i="40"/>
  <c r="AB116" i="49"/>
  <c r="AC115" i="49"/>
  <c r="R112" i="42"/>
  <c r="S111" i="42"/>
  <c r="S114" i="40"/>
  <c r="T114" i="40" s="1"/>
  <c r="R115" i="40"/>
  <c r="AC116" i="49"/>
  <c r="AB117" i="49"/>
  <c r="R113" i="42"/>
  <c r="S112" i="42"/>
  <c r="R116" i="40"/>
  <c r="S115" i="40"/>
  <c r="T115" i="40"/>
  <c r="AB118" i="49"/>
  <c r="AC117" i="49"/>
  <c r="S113" i="42"/>
  <c r="R114" i="42"/>
  <c r="R117" i="40"/>
  <c r="S116" i="40"/>
  <c r="T116" i="40"/>
  <c r="AB119" i="49"/>
  <c r="AC118" i="49"/>
  <c r="R115" i="42"/>
  <c r="S114" i="42"/>
  <c r="S117" i="40"/>
  <c r="T117" i="40" s="1"/>
  <c r="R118" i="40"/>
  <c r="AC119" i="49"/>
  <c r="AB120" i="49"/>
  <c r="S115" i="42"/>
  <c r="R116" i="42"/>
  <c r="R119" i="40"/>
  <c r="S118" i="40"/>
  <c r="AC120" i="49"/>
  <c r="AB121" i="49"/>
  <c r="S116" i="42"/>
  <c r="R117" i="42"/>
  <c r="R120" i="40"/>
  <c r="S119" i="40"/>
  <c r="T119" i="40" s="1"/>
  <c r="AB122" i="49"/>
  <c r="AC121" i="49"/>
  <c r="R118" i="42"/>
  <c r="S117" i="42"/>
  <c r="T117" i="42" s="1"/>
  <c r="R121" i="40"/>
  <c r="S120" i="40"/>
  <c r="T120" i="40" s="1"/>
  <c r="AB123" i="49"/>
  <c r="AC122" i="49"/>
  <c r="R119" i="42"/>
  <c r="S118" i="42"/>
  <c r="R122" i="40"/>
  <c r="S121" i="40"/>
  <c r="T121" i="40" s="1"/>
  <c r="AB124" i="49"/>
  <c r="AC123" i="49"/>
  <c r="R120" i="42"/>
  <c r="S119" i="42"/>
  <c r="R123" i="40"/>
  <c r="S122" i="40"/>
  <c r="T122" i="40" s="1"/>
  <c r="AB125" i="49"/>
  <c r="AC124" i="49"/>
  <c r="S120" i="42"/>
  <c r="R121" i="42"/>
  <c r="S123" i="40"/>
  <c r="T123" i="40" s="1"/>
  <c r="R124" i="40"/>
  <c r="AC125" i="49"/>
  <c r="AB126" i="49"/>
  <c r="R122" i="42"/>
  <c r="S121" i="42"/>
  <c r="T121" i="42" s="1"/>
  <c r="S124" i="40"/>
  <c r="R125" i="40"/>
  <c r="T124" i="40"/>
  <c r="AB127" i="49"/>
  <c r="AC126" i="49"/>
  <c r="R123" i="42"/>
  <c r="S122" i="42"/>
  <c r="R126" i="40"/>
  <c r="S125" i="40"/>
  <c r="T125" i="40" s="1"/>
  <c r="AC127" i="49"/>
  <c r="AB128" i="49"/>
  <c r="S123" i="42"/>
  <c r="T123" i="42" s="1"/>
  <c r="R124" i="42"/>
  <c r="R127" i="40"/>
  <c r="S126" i="40"/>
  <c r="T126" i="40" s="1"/>
  <c r="AC128" i="49"/>
  <c r="AB129" i="49"/>
  <c r="R125" i="42"/>
  <c r="S124" i="42"/>
  <c r="R128" i="40"/>
  <c r="S127" i="40"/>
  <c r="T127" i="40" s="1"/>
  <c r="AC129" i="49"/>
  <c r="AB130" i="49"/>
  <c r="R126" i="42"/>
  <c r="S125" i="42"/>
  <c r="T125" i="42" s="1"/>
  <c r="S128" i="40"/>
  <c r="T128" i="40" s="1"/>
  <c r="R129" i="40"/>
  <c r="AC130" i="49"/>
  <c r="AB131" i="49"/>
  <c r="R127" i="42"/>
  <c r="S126" i="42"/>
  <c r="S129" i="40"/>
  <c r="R130" i="40"/>
  <c r="T129" i="40"/>
  <c r="AB132" i="49"/>
  <c r="AC131" i="49"/>
  <c r="R128" i="42"/>
  <c r="S127" i="42"/>
  <c r="R131" i="40"/>
  <c r="S130" i="40"/>
  <c r="T130" i="40" s="1"/>
  <c r="AC132" i="49"/>
  <c r="AB133" i="49"/>
  <c r="S128" i="42"/>
  <c r="T128" i="42" s="1"/>
  <c r="R129" i="42"/>
  <c r="S131" i="40"/>
  <c r="T131" i="40" s="1"/>
  <c r="R132" i="40"/>
  <c r="AC133" i="49"/>
  <c r="AB134" i="49"/>
  <c r="S129" i="42"/>
  <c r="R130" i="42"/>
  <c r="R133" i="40"/>
  <c r="S132" i="40"/>
  <c r="AB135" i="49"/>
  <c r="AC134" i="49"/>
  <c r="R131" i="42"/>
  <c r="S130" i="42"/>
  <c r="T130" i="42" s="1"/>
  <c r="R134" i="40"/>
  <c r="S133" i="40"/>
  <c r="T133" i="40" s="1"/>
  <c r="AC135" i="49"/>
  <c r="AB136" i="49"/>
  <c r="R132" i="42"/>
  <c r="S131" i="42"/>
  <c r="R135" i="40"/>
  <c r="S134" i="40"/>
  <c r="T134" i="40" s="1"/>
  <c r="AC136" i="49"/>
  <c r="AB137" i="49"/>
  <c r="S132" i="42"/>
  <c r="R133" i="42"/>
  <c r="R136" i="40"/>
  <c r="S135" i="40"/>
  <c r="T135" i="40"/>
  <c r="AB138" i="49"/>
  <c r="AC137" i="49"/>
  <c r="R134" i="42"/>
  <c r="S133" i="42"/>
  <c r="T133" i="42" s="1"/>
  <c r="S136" i="40"/>
  <c r="R137" i="40"/>
  <c r="AC138" i="49"/>
  <c r="AB139" i="49"/>
  <c r="R135" i="42"/>
  <c r="S134" i="42"/>
  <c r="R138" i="40"/>
  <c r="S137" i="40"/>
  <c r="T137" i="40" s="1"/>
  <c r="AB140" i="49"/>
  <c r="AC139" i="49"/>
  <c r="S135" i="42"/>
  <c r="T135" i="42" s="1"/>
  <c r="R136" i="42"/>
  <c r="S138" i="40"/>
  <c r="R139" i="40"/>
  <c r="T138" i="40"/>
  <c r="AB141" i="49"/>
  <c r="AC140" i="49"/>
  <c r="S136" i="42"/>
  <c r="R137" i="42"/>
  <c r="R140" i="40"/>
  <c r="S139" i="40"/>
  <c r="AB142" i="49"/>
  <c r="AC141" i="49"/>
  <c r="S137" i="42"/>
  <c r="T137" i="42" s="1"/>
  <c r="R138" i="42"/>
  <c r="S140" i="40"/>
  <c r="T140" i="40" s="1"/>
  <c r="R141" i="40"/>
  <c r="AB143" i="49"/>
  <c r="AC142" i="49"/>
  <c r="S138" i="42"/>
  <c r="R139" i="42"/>
  <c r="S141" i="40"/>
  <c r="R142" i="40"/>
  <c r="T141" i="40"/>
  <c r="AB144" i="49"/>
  <c r="AC143" i="49"/>
  <c r="S139" i="42"/>
  <c r="R140" i="42"/>
  <c r="S142" i="40"/>
  <c r="T142" i="40" s="1"/>
  <c r="R143" i="40"/>
  <c r="AC144" i="49"/>
  <c r="AB145" i="49"/>
  <c r="S140" i="42"/>
  <c r="R141" i="42"/>
  <c r="S143" i="40"/>
  <c r="R144" i="40"/>
  <c r="T143" i="40"/>
  <c r="AB146" i="49"/>
  <c r="AC145" i="49"/>
  <c r="R142" i="42"/>
  <c r="S141" i="42"/>
  <c r="S144" i="40"/>
  <c r="R145" i="40"/>
  <c r="AB147" i="49"/>
  <c r="AC146" i="49"/>
  <c r="S142" i="42"/>
  <c r="T142" i="42" s="1"/>
  <c r="R143" i="42"/>
  <c r="R146" i="40"/>
  <c r="S145" i="40"/>
  <c r="AB148" i="49"/>
  <c r="AC147" i="49"/>
  <c r="S143" i="42"/>
  <c r="T143" i="42" s="1"/>
  <c r="R144" i="42"/>
  <c r="S146" i="40"/>
  <c r="R147" i="40"/>
  <c r="AC148" i="49"/>
  <c r="AB149" i="49"/>
  <c r="R145" i="42"/>
  <c r="S144" i="42"/>
  <c r="S147" i="40"/>
  <c r="R148" i="40"/>
  <c r="T147" i="40"/>
  <c r="AC149" i="49"/>
  <c r="AB150" i="49"/>
  <c r="R146" i="42"/>
  <c r="S145" i="42"/>
  <c r="S148" i="40"/>
  <c r="R149" i="40"/>
  <c r="AB151" i="49"/>
  <c r="AC150" i="49"/>
  <c r="S146" i="42"/>
  <c r="R147" i="42"/>
  <c r="R150" i="40"/>
  <c r="S149" i="40"/>
  <c r="T149" i="40" s="1"/>
  <c r="AC151" i="49"/>
  <c r="AB152" i="49"/>
  <c r="S147" i="42"/>
  <c r="R148" i="42"/>
  <c r="S150" i="40"/>
  <c r="R151" i="40"/>
  <c r="T150" i="40"/>
  <c r="AC152" i="49"/>
  <c r="AB153" i="49"/>
  <c r="R149" i="42"/>
  <c r="S148" i="42"/>
  <c r="T148" i="42" s="1"/>
  <c r="S151" i="40"/>
  <c r="T151" i="40"/>
  <c r="R152" i="40"/>
  <c r="AC153" i="49"/>
  <c r="AB154" i="49"/>
  <c r="S149" i="42"/>
  <c r="R150" i="42"/>
  <c r="S152" i="40"/>
  <c r="T152" i="40" s="1"/>
  <c r="R153" i="40"/>
  <c r="AB155" i="49"/>
  <c r="AC154" i="49"/>
  <c r="R151" i="42"/>
  <c r="S150" i="42"/>
  <c r="S153" i="40"/>
  <c r="R154" i="40"/>
  <c r="T153" i="40"/>
  <c r="AB156" i="49"/>
  <c r="AC155" i="49"/>
  <c r="S151" i="42"/>
  <c r="R152" i="42"/>
  <c r="S154" i="40"/>
  <c r="T154" i="40" s="1"/>
  <c r="R155" i="40"/>
  <c r="AC156" i="49"/>
  <c r="AB157" i="49"/>
  <c r="S152" i="42"/>
  <c r="R153" i="42"/>
  <c r="S155" i="40"/>
  <c r="R156" i="40"/>
  <c r="AC157" i="49"/>
  <c r="AB158" i="49"/>
  <c r="S153" i="42"/>
  <c r="R154" i="42"/>
  <c r="S156" i="40"/>
  <c r="R157" i="40"/>
  <c r="T156" i="40"/>
  <c r="AB159" i="49"/>
  <c r="AC158" i="49"/>
  <c r="R155" i="42"/>
  <c r="S154" i="42"/>
  <c r="R158" i="40"/>
  <c r="S157" i="40"/>
  <c r="T157" i="40" s="1"/>
  <c r="AC159" i="49"/>
  <c r="AB160" i="49"/>
  <c r="S155" i="42"/>
  <c r="T155" i="42" s="1"/>
  <c r="R156" i="42"/>
  <c r="R159" i="40"/>
  <c r="S158" i="40"/>
  <c r="T158" i="40" s="1"/>
  <c r="AB161" i="49"/>
  <c r="AC160" i="49"/>
  <c r="S156" i="42"/>
  <c r="R157" i="42"/>
  <c r="S159" i="40"/>
  <c r="T159" i="40"/>
  <c r="R160" i="40"/>
  <c r="AB162" i="49"/>
  <c r="AC161" i="49"/>
  <c r="R158" i="42"/>
  <c r="S157" i="42"/>
  <c r="S160" i="40"/>
  <c r="T160" i="40"/>
  <c r="R161" i="40"/>
  <c r="AB163" i="49"/>
  <c r="AC162" i="49"/>
  <c r="R159" i="42"/>
  <c r="S158" i="42"/>
  <c r="S161" i="40"/>
  <c r="R162" i="40"/>
  <c r="T161" i="40"/>
  <c r="AC163" i="49"/>
  <c r="AB164" i="49"/>
  <c r="S159" i="42"/>
  <c r="R160" i="42"/>
  <c r="R163" i="40"/>
  <c r="S162" i="40"/>
  <c r="T162" i="40" s="1"/>
  <c r="AC164" i="49"/>
  <c r="AB165" i="49"/>
  <c r="S160" i="42"/>
  <c r="T160" i="42" s="1"/>
  <c r="R161" i="42"/>
  <c r="R164" i="40"/>
  <c r="S163" i="40"/>
  <c r="AC165" i="49"/>
  <c r="AB166" i="49"/>
  <c r="S161" i="42"/>
  <c r="R162" i="42"/>
  <c r="R165" i="40"/>
  <c r="S164" i="40"/>
  <c r="T164" i="40" s="1"/>
  <c r="AB167" i="49"/>
  <c r="AC166" i="49"/>
  <c r="R163" i="42"/>
  <c r="S162" i="42"/>
  <c r="T162" i="42"/>
  <c r="S165" i="40"/>
  <c r="T165" i="40" s="1"/>
  <c r="R166" i="40"/>
  <c r="AC167" i="49"/>
  <c r="AB168" i="49"/>
  <c r="S163" i="42"/>
  <c r="R164" i="42"/>
  <c r="S166" i="40"/>
  <c r="T166" i="40" s="1"/>
  <c r="R167" i="40"/>
  <c r="AB169" i="49"/>
  <c r="AC168" i="49"/>
  <c r="S164" i="42"/>
  <c r="T164" i="42" s="1"/>
  <c r="R165" i="42"/>
  <c r="R168" i="40"/>
  <c r="S167" i="40"/>
  <c r="AC169" i="49"/>
  <c r="AB170" i="49"/>
  <c r="R166" i="42"/>
  <c r="S165" i="42"/>
  <c r="R169" i="40"/>
  <c r="S168" i="40"/>
  <c r="AB171" i="49"/>
  <c r="AC170" i="49"/>
  <c r="R167" i="42"/>
  <c r="S166" i="42"/>
  <c r="S169" i="40"/>
  <c r="T169" i="40" s="1"/>
  <c r="R170" i="40"/>
  <c r="AB172" i="49"/>
  <c r="AC171" i="49"/>
  <c r="R168" i="42"/>
  <c r="S167" i="42"/>
  <c r="S170" i="40"/>
  <c r="R171" i="40"/>
  <c r="T170" i="40"/>
  <c r="AC172" i="49"/>
  <c r="AB173" i="49"/>
  <c r="S168" i="42"/>
  <c r="R169" i="42"/>
  <c r="R172" i="40"/>
  <c r="S171" i="40"/>
  <c r="T171" i="40" s="1"/>
  <c r="AB174" i="49"/>
  <c r="AC173" i="49"/>
  <c r="R170" i="42"/>
  <c r="S169" i="42"/>
  <c r="R173" i="40"/>
  <c r="S172" i="40"/>
  <c r="AC174" i="49"/>
  <c r="AB175" i="49"/>
  <c r="R171" i="42"/>
  <c r="S170" i="42"/>
  <c r="R174" i="40"/>
  <c r="S173" i="40"/>
  <c r="AB176" i="49"/>
  <c r="AC175" i="49"/>
  <c r="S171" i="42"/>
  <c r="R172" i="42"/>
  <c r="R175" i="40"/>
  <c r="S174" i="40"/>
  <c r="T174" i="40" s="1"/>
  <c r="AC176" i="49"/>
  <c r="AB177" i="49"/>
  <c r="R173" i="42"/>
  <c r="S172" i="42"/>
  <c r="S175" i="40"/>
  <c r="T175" i="40" s="1"/>
  <c r="R176" i="40"/>
  <c r="AB178" i="49"/>
  <c r="AC177" i="49"/>
  <c r="R174" i="42"/>
  <c r="S173" i="42"/>
  <c r="T173" i="42" s="1"/>
  <c r="R177" i="40"/>
  <c r="S176" i="40"/>
  <c r="T176" i="40" s="1"/>
  <c r="AB179" i="49"/>
  <c r="AC178" i="49"/>
  <c r="S174" i="42"/>
  <c r="R175" i="42"/>
  <c r="R178" i="40"/>
  <c r="S177" i="40"/>
  <c r="T177" i="40" s="1"/>
  <c r="AB180" i="49"/>
  <c r="AC179" i="49"/>
  <c r="R176" i="42"/>
  <c r="S175" i="42"/>
  <c r="R179" i="40"/>
  <c r="S178" i="40"/>
  <c r="T178" i="40" s="1"/>
  <c r="AB181" i="49"/>
  <c r="AC180" i="49"/>
  <c r="S176" i="42"/>
  <c r="R177" i="42"/>
  <c r="S179" i="40"/>
  <c r="R180" i="40"/>
  <c r="T179" i="40"/>
  <c r="AC181" i="49"/>
  <c r="AB182" i="49"/>
  <c r="R178" i="42"/>
  <c r="S177" i="42"/>
  <c r="S180" i="40"/>
  <c r="T180" i="40" s="1"/>
  <c r="R181" i="40"/>
  <c r="AB183" i="49"/>
  <c r="AC182" i="49"/>
  <c r="R179" i="42"/>
  <c r="S178" i="42"/>
  <c r="S181" i="40"/>
  <c r="R182" i="40"/>
  <c r="T181" i="40"/>
  <c r="AC183" i="49"/>
  <c r="AB184" i="49"/>
  <c r="S179" i="42"/>
  <c r="R180" i="42"/>
  <c r="R183" i="40"/>
  <c r="S182" i="40"/>
  <c r="T182" i="40" s="1"/>
  <c r="AB185" i="49"/>
  <c r="AC184" i="49"/>
  <c r="R181" i="42"/>
  <c r="S180" i="42"/>
  <c r="R184" i="40"/>
  <c r="S183" i="40"/>
  <c r="T183" i="40" s="1"/>
  <c r="AC185" i="49"/>
  <c r="AB186" i="49"/>
  <c r="S181" i="42"/>
  <c r="T181" i="42" s="1"/>
  <c r="R182" i="42"/>
  <c r="S184" i="40"/>
  <c r="R185" i="40"/>
  <c r="T184" i="40"/>
  <c r="AB187" i="49"/>
  <c r="AC186" i="49"/>
  <c r="R183" i="42"/>
  <c r="S182" i="42"/>
  <c r="R186" i="40"/>
  <c r="S185" i="40"/>
  <c r="T185" i="40" s="1"/>
  <c r="AC187" i="49"/>
  <c r="AB188" i="49"/>
  <c r="S183" i="42"/>
  <c r="T183" i="42" s="1"/>
  <c r="R184" i="42"/>
  <c r="S186" i="40"/>
  <c r="T186" i="40" s="1"/>
  <c r="R187" i="40"/>
  <c r="AC188" i="49"/>
  <c r="AB189" i="49"/>
  <c r="R185" i="42"/>
  <c r="S184" i="42"/>
  <c r="R188" i="40"/>
  <c r="S187" i="40"/>
  <c r="T187" i="40"/>
  <c r="AB190" i="49"/>
  <c r="AC189" i="49"/>
  <c r="S185" i="42"/>
  <c r="R186" i="42"/>
  <c r="S188" i="40"/>
  <c r="T188" i="40" s="1"/>
  <c r="R189" i="40"/>
  <c r="AC190" i="49"/>
  <c r="AB191" i="49"/>
  <c r="S186" i="42"/>
  <c r="R187" i="42"/>
  <c r="S189" i="40"/>
  <c r="R190" i="40"/>
  <c r="AB192" i="49"/>
  <c r="AC191" i="49"/>
  <c r="R188" i="42"/>
  <c r="S187" i="42"/>
  <c r="R191" i="40"/>
  <c r="S190" i="40"/>
  <c r="T190" i="40"/>
  <c r="AB193" i="49"/>
  <c r="AC192" i="49"/>
  <c r="R189" i="42"/>
  <c r="S188" i="42"/>
  <c r="S191" i="40"/>
  <c r="T191" i="40" s="1"/>
  <c r="R192" i="40"/>
  <c r="AB194" i="49"/>
  <c r="AC193" i="49"/>
  <c r="S189" i="42"/>
  <c r="T189" i="42" s="1"/>
  <c r="R190" i="42"/>
  <c r="S192" i="40"/>
  <c r="T192" i="40" s="1"/>
  <c r="R193" i="40"/>
  <c r="AB195" i="49"/>
  <c r="AC194" i="49"/>
  <c r="S190" i="42"/>
  <c r="R191" i="42"/>
  <c r="S193" i="40"/>
  <c r="T193" i="40"/>
  <c r="R194" i="40"/>
  <c r="AC195" i="49"/>
  <c r="AB196" i="49"/>
  <c r="R192" i="42"/>
  <c r="S191" i="42"/>
  <c r="R195" i="40"/>
  <c r="S194" i="40"/>
  <c r="AB197" i="49"/>
  <c r="AC196" i="49"/>
  <c r="S192" i="42"/>
  <c r="R193" i="42"/>
  <c r="S195" i="40"/>
  <c r="R196" i="40"/>
  <c r="T195" i="40"/>
  <c r="AB198" i="49"/>
  <c r="AC197" i="49"/>
  <c r="R194" i="42"/>
  <c r="S193" i="42"/>
  <c r="S196" i="40"/>
  <c r="R197" i="40"/>
  <c r="AC198" i="49"/>
  <c r="AB199" i="49"/>
  <c r="S194" i="42"/>
  <c r="T194" i="42" s="1"/>
  <c r="R195" i="42"/>
  <c r="S197" i="40"/>
  <c r="T197" i="40" s="1"/>
  <c r="R198" i="40"/>
  <c r="AB200" i="49"/>
  <c r="AC199" i="49"/>
  <c r="R196" i="42"/>
  <c r="S195" i="42"/>
  <c r="T195" i="42" s="1"/>
  <c r="S198" i="40"/>
  <c r="T198" i="40" s="1"/>
  <c r="R199" i="40"/>
  <c r="AB201" i="49"/>
  <c r="AC200" i="49"/>
  <c r="S196" i="42"/>
  <c r="R197" i="42"/>
  <c r="S199" i="40"/>
  <c r="R200" i="40"/>
  <c r="AC201" i="49"/>
  <c r="AB202" i="49"/>
  <c r="R198" i="42"/>
  <c r="S197" i="42"/>
  <c r="T197" i="42"/>
  <c r="S200" i="40"/>
  <c r="T200" i="40" s="1"/>
  <c r="R201" i="40"/>
  <c r="AC202" i="49"/>
  <c r="AB203" i="49"/>
  <c r="S198" i="42"/>
  <c r="R199" i="42"/>
  <c r="R202" i="40"/>
  <c r="S201" i="40"/>
  <c r="T201" i="40"/>
  <c r="AC203" i="49"/>
  <c r="AB204" i="49"/>
  <c r="R200" i="42"/>
  <c r="S199" i="42"/>
  <c r="S202" i="40"/>
  <c r="T202" i="40"/>
  <c r="R203" i="40"/>
  <c r="AC204" i="49"/>
  <c r="AB205" i="49"/>
  <c r="S200" i="42"/>
  <c r="R201" i="42"/>
  <c r="R204" i="40"/>
  <c r="S203" i="40"/>
  <c r="T203" i="40" s="1"/>
  <c r="AB206" i="49"/>
  <c r="AC205" i="49"/>
  <c r="S201" i="42"/>
  <c r="T201" i="42" s="1"/>
  <c r="R202" i="42"/>
  <c r="S204" i="40"/>
  <c r="R205" i="40"/>
  <c r="AB207" i="49"/>
  <c r="AC206" i="49"/>
  <c r="S202" i="42"/>
  <c r="R203" i="42"/>
  <c r="S205" i="40"/>
  <c r="R206" i="40"/>
  <c r="AC207" i="49"/>
  <c r="AB208" i="49"/>
  <c r="S203" i="42"/>
  <c r="R204" i="42"/>
  <c r="S206" i="40"/>
  <c r="R207" i="40"/>
  <c r="AC208" i="49"/>
  <c r="AB209" i="49"/>
  <c r="S204" i="42"/>
  <c r="R205" i="42"/>
  <c r="R208" i="40"/>
  <c r="S207" i="40"/>
  <c r="T207" i="40" s="1"/>
  <c r="AB210" i="49"/>
  <c r="AC209" i="49"/>
  <c r="R206" i="42"/>
  <c r="S205" i="42"/>
  <c r="S208" i="40"/>
  <c r="R209" i="40"/>
  <c r="T208" i="40"/>
  <c r="AC210" i="49"/>
  <c r="AB211" i="49"/>
  <c r="R207" i="42"/>
  <c r="S206" i="42"/>
  <c r="S209" i="40"/>
  <c r="T209" i="40" s="1"/>
  <c r="R210" i="40"/>
  <c r="AB212" i="49"/>
  <c r="AC211" i="49"/>
  <c r="S207" i="42"/>
  <c r="T207" i="42" s="1"/>
  <c r="R208" i="42"/>
  <c r="S210" i="40"/>
  <c r="T210" i="40" s="1"/>
  <c r="R211" i="40"/>
  <c r="AB213" i="49"/>
  <c r="AC212" i="49"/>
  <c r="R209" i="42"/>
  <c r="S208" i="42"/>
  <c r="R212" i="40"/>
  <c r="S211" i="40"/>
  <c r="T211" i="40" s="1"/>
  <c r="AB214" i="49"/>
  <c r="AC213" i="49"/>
  <c r="R210" i="42"/>
  <c r="S209" i="42"/>
  <c r="T209" i="42" s="1"/>
  <c r="S212" i="40"/>
  <c r="T212" i="40" s="1"/>
  <c r="R213" i="40"/>
  <c r="AC214" i="49"/>
  <c r="AB215" i="49"/>
  <c r="S210" i="42"/>
  <c r="T210" i="42" s="1"/>
  <c r="R211" i="42"/>
  <c r="R214" i="40"/>
  <c r="S213" i="40"/>
  <c r="T213" i="40" s="1"/>
  <c r="AB216" i="49"/>
  <c r="AC215" i="49"/>
  <c r="R212" i="42"/>
  <c r="S211" i="42"/>
  <c r="S214" i="40"/>
  <c r="R215" i="40"/>
  <c r="AB217" i="49"/>
  <c r="AC216" i="49"/>
  <c r="R213" i="42"/>
  <c r="S212" i="42"/>
  <c r="S215" i="40"/>
  <c r="T215" i="40" s="1"/>
  <c r="R216" i="40"/>
  <c r="AB218" i="49"/>
  <c r="AC217" i="49"/>
  <c r="R214" i="42"/>
  <c r="S213" i="42"/>
  <c r="T213" i="42" s="1"/>
  <c r="R217" i="40"/>
  <c r="S216" i="40"/>
  <c r="AC218" i="49"/>
  <c r="AB219" i="49"/>
  <c r="R215" i="42"/>
  <c r="S214" i="42"/>
  <c r="S217" i="40"/>
  <c r="R218" i="40"/>
  <c r="AC219" i="49"/>
  <c r="AB220" i="49"/>
  <c r="S215" i="42"/>
  <c r="T215" i="42" s="1"/>
  <c r="R216" i="42"/>
  <c r="S218" i="40"/>
  <c r="T218" i="40" s="1"/>
  <c r="R219" i="40"/>
  <c r="AC220" i="49"/>
  <c r="AB221" i="49"/>
  <c r="R217" i="42"/>
  <c r="S216" i="42"/>
  <c r="S219" i="40"/>
  <c r="T219" i="40" s="1"/>
  <c r="R220" i="40"/>
  <c r="AB222" i="49"/>
  <c r="AC221" i="49"/>
  <c r="S217" i="42"/>
  <c r="R218" i="42"/>
  <c r="S220" i="40"/>
  <c r="R221" i="40"/>
  <c r="AC222" i="49"/>
  <c r="AB223" i="49"/>
  <c r="R219" i="42"/>
  <c r="S218" i="42"/>
  <c r="S221" i="40"/>
  <c r="T221" i="40" s="1"/>
  <c r="R222" i="40"/>
  <c r="AC223" i="49"/>
  <c r="AB224" i="49"/>
  <c r="R220" i="42"/>
  <c r="S219" i="42"/>
  <c r="T219" i="42" s="1"/>
  <c r="R223" i="40"/>
  <c r="S222" i="40"/>
  <c r="T222" i="40" s="1"/>
  <c r="AB225" i="49"/>
  <c r="AC224" i="49"/>
  <c r="R221" i="42"/>
  <c r="S220" i="42"/>
  <c r="R224" i="40"/>
  <c r="S223" i="40"/>
  <c r="T223" i="40" s="1"/>
  <c r="AB226" i="49"/>
  <c r="AC225" i="49"/>
  <c r="S221" i="42"/>
  <c r="R222" i="42"/>
  <c r="S224" i="40"/>
  <c r="T224" i="40" s="1"/>
  <c r="R225" i="40"/>
  <c r="AB227" i="49"/>
  <c r="AC226" i="49"/>
  <c r="S222" i="42"/>
  <c r="R223" i="42"/>
  <c r="S225" i="40"/>
  <c r="R226" i="40"/>
  <c r="T225" i="40"/>
  <c r="AB228" i="49"/>
  <c r="AC227" i="49"/>
  <c r="S223" i="42"/>
  <c r="R224" i="42"/>
  <c r="R227" i="40"/>
  <c r="S226" i="40"/>
  <c r="T226" i="40" s="1"/>
  <c r="AC228" i="49"/>
  <c r="AB229" i="49"/>
  <c r="R225" i="42"/>
  <c r="S224" i="42"/>
  <c r="R228" i="40"/>
  <c r="S227" i="40"/>
  <c r="T227" i="40" s="1"/>
  <c r="AB230" i="49"/>
  <c r="AC229" i="49"/>
  <c r="R226" i="42"/>
  <c r="S225" i="42"/>
  <c r="T225" i="42" s="1"/>
  <c r="S228" i="40"/>
  <c r="R229" i="40"/>
  <c r="T228" i="40"/>
  <c r="AB231" i="49"/>
  <c r="AC230" i="49"/>
  <c r="S226" i="42"/>
  <c r="R227" i="42"/>
  <c r="S229" i="40"/>
  <c r="T229" i="40" s="1"/>
  <c r="R230" i="40"/>
  <c r="AB232" i="49"/>
  <c r="AC231" i="49"/>
  <c r="S227" i="42"/>
  <c r="R228" i="42"/>
  <c r="R231" i="40"/>
  <c r="S230" i="40"/>
  <c r="T230" i="40"/>
  <c r="AC232" i="49"/>
  <c r="AB233" i="49"/>
  <c r="S228" i="42"/>
  <c r="T228" i="42" s="1"/>
  <c r="R229" i="42"/>
  <c r="R232" i="40"/>
  <c r="S231" i="40"/>
  <c r="T231" i="40"/>
  <c r="AB234" i="49"/>
  <c r="AC233" i="49"/>
  <c r="R230" i="42"/>
  <c r="S229" i="42"/>
  <c r="R233" i="40"/>
  <c r="S232" i="40"/>
  <c r="T232" i="40"/>
  <c r="AB235" i="49"/>
  <c r="AC234" i="49"/>
  <c r="S230" i="42"/>
  <c r="R231" i="42"/>
  <c r="R234" i="40"/>
  <c r="S233" i="40"/>
  <c r="T233" i="40"/>
  <c r="AC235" i="49"/>
  <c r="AB236" i="49"/>
  <c r="S231" i="42"/>
  <c r="T231" i="42" s="1"/>
  <c r="R232" i="42"/>
  <c r="S234" i="40"/>
  <c r="R235" i="40"/>
  <c r="AB237" i="49"/>
  <c r="AC236" i="49"/>
  <c r="S232" i="42"/>
  <c r="R233" i="42"/>
  <c r="R236" i="40"/>
  <c r="S235" i="40"/>
  <c r="T235" i="40"/>
  <c r="AB238" i="49"/>
  <c r="AC237" i="49"/>
  <c r="R234" i="42"/>
  <c r="S233" i="42"/>
  <c r="S236" i="40"/>
  <c r="R237" i="40"/>
  <c r="T236" i="40"/>
  <c r="AC238" i="49"/>
  <c r="AB239" i="49"/>
  <c r="R235" i="42"/>
  <c r="S234" i="42"/>
  <c r="S237" i="40"/>
  <c r="T237" i="40"/>
  <c r="R238" i="40"/>
  <c r="AC239" i="49"/>
  <c r="AB240" i="49"/>
  <c r="R236" i="42"/>
  <c r="S235" i="42"/>
  <c r="T235" i="42" s="1"/>
  <c r="R239" i="40"/>
  <c r="S238" i="40"/>
  <c r="T238" i="40" s="1"/>
  <c r="AB241" i="49"/>
  <c r="AC240" i="49"/>
  <c r="R237" i="42"/>
  <c r="S236" i="42"/>
  <c r="S239" i="40"/>
  <c r="R240" i="40"/>
  <c r="T239" i="40"/>
  <c r="AB242" i="49"/>
  <c r="AC241" i="49"/>
  <c r="R238" i="42"/>
  <c r="S237" i="42"/>
  <c r="S240" i="40"/>
  <c r="T240" i="40" s="1"/>
  <c r="R241" i="40"/>
  <c r="AB243" i="49"/>
  <c r="AC242" i="49"/>
  <c r="R239" i="42"/>
  <c r="S238" i="42"/>
  <c r="S241" i="40"/>
  <c r="R242" i="40"/>
  <c r="T241" i="40"/>
  <c r="AB244" i="49"/>
  <c r="AC243" i="49"/>
  <c r="R240" i="42"/>
  <c r="S239" i="42"/>
  <c r="T239" i="42" s="1"/>
  <c r="S242" i="40"/>
  <c r="R243" i="40"/>
  <c r="T242" i="40"/>
  <c r="AB245" i="49"/>
  <c r="AC244" i="49"/>
  <c r="S240" i="42"/>
  <c r="T240" i="42" s="1"/>
  <c r="R241" i="42"/>
  <c r="R244" i="40"/>
  <c r="S243" i="40"/>
  <c r="T243" i="40" s="1"/>
  <c r="AC245" i="49"/>
  <c r="AB246" i="49"/>
  <c r="S241" i="42"/>
  <c r="R242" i="42"/>
  <c r="S244" i="40"/>
  <c r="R245" i="40"/>
  <c r="T244" i="40"/>
  <c r="AC246" i="49"/>
  <c r="AB247" i="49"/>
  <c r="S242" i="42"/>
  <c r="T242" i="42" s="1"/>
  <c r="R243" i="42"/>
  <c r="R246" i="40"/>
  <c r="S245" i="40"/>
  <c r="T245" i="40" s="1"/>
  <c r="AC247" i="49"/>
  <c r="AB248" i="49"/>
  <c r="R244" i="42"/>
  <c r="S243" i="42"/>
  <c r="T243" i="42" s="1"/>
  <c r="R247" i="40"/>
  <c r="S246" i="40"/>
  <c r="AB249" i="49"/>
  <c r="AC248" i="49"/>
  <c r="R245" i="42"/>
  <c r="S244" i="42"/>
  <c r="S247" i="40"/>
  <c r="R248" i="40"/>
  <c r="T247" i="40"/>
  <c r="AB250" i="49"/>
  <c r="AC249" i="49"/>
  <c r="R246" i="42"/>
  <c r="S245" i="42"/>
  <c r="S248" i="40"/>
  <c r="R249" i="40"/>
  <c r="AC250" i="49"/>
  <c r="AB251" i="49"/>
  <c r="S246" i="42"/>
  <c r="T246" i="42" s="1"/>
  <c r="R247" i="42"/>
  <c r="R250" i="40"/>
  <c r="S249" i="40"/>
  <c r="T249" i="40"/>
  <c r="AC251" i="49"/>
  <c r="AB252" i="49"/>
  <c r="R248" i="42"/>
  <c r="S247" i="42"/>
  <c r="R251" i="40"/>
  <c r="S250" i="40"/>
  <c r="T250" i="40"/>
  <c r="AB253" i="49"/>
  <c r="AC252" i="49"/>
  <c r="S248" i="42"/>
  <c r="R249" i="42"/>
  <c r="S251" i="40"/>
  <c r="R252" i="40"/>
  <c r="AB254" i="49"/>
  <c r="AC253" i="49"/>
  <c r="S249" i="42"/>
  <c r="T249" i="42" s="1"/>
  <c r="R250" i="42"/>
  <c r="R253" i="40"/>
  <c r="S252" i="40"/>
  <c r="T252" i="40" s="1"/>
  <c r="AC254" i="49"/>
  <c r="AB255" i="49"/>
  <c r="S250" i="42"/>
  <c r="T250" i="42" s="1"/>
  <c r="R251" i="42"/>
  <c r="R254" i="40"/>
  <c r="S253" i="40"/>
  <c r="T253" i="40"/>
  <c r="AB256" i="49"/>
  <c r="AC255" i="49"/>
  <c r="S251" i="42"/>
  <c r="R252" i="42"/>
  <c r="R255" i="40"/>
  <c r="S254" i="40"/>
  <c r="T254" i="40" s="1"/>
  <c r="AC256" i="49"/>
  <c r="AB257" i="49"/>
  <c r="S252" i="42"/>
  <c r="R253" i="42"/>
  <c r="S255" i="40"/>
  <c r="R256" i="40"/>
  <c r="T255" i="40"/>
  <c r="R254" i="42"/>
  <c r="S253" i="42"/>
  <c r="S256" i="40"/>
  <c r="R257" i="40"/>
  <c r="T256" i="40"/>
  <c r="R255" i="42"/>
  <c r="S254" i="42"/>
  <c r="R258" i="40"/>
  <c r="S257" i="40"/>
  <c r="T257" i="40" s="1"/>
  <c r="R256" i="42"/>
  <c r="S255" i="42"/>
  <c r="S258" i="40"/>
  <c r="R259" i="40"/>
  <c r="T258" i="40"/>
  <c r="S256" i="42"/>
  <c r="R257" i="42"/>
  <c r="S259" i="40"/>
  <c r="R260" i="40"/>
  <c r="T259" i="40"/>
  <c r="R258" i="42"/>
  <c r="S257" i="42"/>
  <c r="T257" i="42" s="1"/>
  <c r="S260" i="40"/>
  <c r="T260" i="40" s="1"/>
  <c r="R261" i="40"/>
  <c r="S258" i="42"/>
  <c r="R259" i="42"/>
  <c r="S261" i="40"/>
  <c r="R262" i="40"/>
  <c r="T261" i="40"/>
  <c r="S259" i="42"/>
  <c r="T259" i="42" s="1"/>
  <c r="R260" i="42"/>
  <c r="S260" i="42"/>
  <c r="T260" i="42"/>
  <c r="R261" i="42"/>
  <c r="S261" i="42" s="1"/>
  <c r="Q28" i="45" l="1"/>
  <c r="D15" i="42"/>
  <c r="D14" i="42"/>
  <c r="D13" i="42"/>
  <c r="D12" i="42"/>
  <c r="D11" i="42"/>
  <c r="D10" i="42"/>
  <c r="D9" i="42"/>
  <c r="D8" i="42"/>
  <c r="F4" i="49" a="1"/>
  <c r="T261" i="42"/>
  <c r="T251" i="42"/>
  <c r="T236" i="42"/>
  <c r="T224" i="42"/>
  <c r="T214" i="42"/>
  <c r="T202" i="42"/>
  <c r="T190" i="42"/>
  <c r="T179" i="42"/>
  <c r="T170" i="42"/>
  <c r="T159" i="42"/>
  <c r="T150" i="42"/>
  <c r="T139" i="42"/>
  <c r="T126" i="42"/>
  <c r="T114" i="42"/>
  <c r="T102" i="42"/>
  <c r="T93" i="42"/>
  <c r="T82" i="42"/>
  <c r="T71" i="42"/>
  <c r="AG65" i="43"/>
  <c r="T51" i="42"/>
  <c r="T38" i="42"/>
  <c r="T25" i="42"/>
  <c r="T15" i="42"/>
  <c r="C27" i="35"/>
  <c r="C46" i="35"/>
  <c r="C49" i="35"/>
  <c r="C14" i="35"/>
  <c r="G5" i="40"/>
  <c r="R28" i="45"/>
  <c r="S28" i="45"/>
  <c r="T12" i="40"/>
  <c r="T248" i="40"/>
  <c r="T196" i="40"/>
  <c r="T96" i="40"/>
  <c r="T155" i="40"/>
  <c r="T39" i="40"/>
  <c r="T75" i="40"/>
  <c r="T258" i="42"/>
  <c r="T248" i="42"/>
  <c r="T234" i="42"/>
  <c r="T212" i="42"/>
  <c r="T200" i="42"/>
  <c r="T188" i="42"/>
  <c r="T178" i="42"/>
  <c r="T169" i="42"/>
  <c r="T158" i="42"/>
  <c r="T149" i="42"/>
  <c r="T138" i="42"/>
  <c r="T113" i="42"/>
  <c r="T101" i="42"/>
  <c r="T92" i="42"/>
  <c r="T69" i="42"/>
  <c r="T59" i="42"/>
  <c r="T36" i="42"/>
  <c r="T24" i="42"/>
  <c r="C26" i="35"/>
  <c r="C19" i="35"/>
  <c r="C47" i="35"/>
  <c r="F20" i="40"/>
  <c r="G20" i="40" s="1"/>
  <c r="T168" i="40"/>
  <c r="T199" i="40"/>
  <c r="T220" i="40"/>
  <c r="T247" i="42"/>
  <c r="T233" i="42"/>
  <c r="T211" i="42"/>
  <c r="T187" i="42"/>
  <c r="T168" i="42"/>
  <c r="T147" i="42"/>
  <c r="T122" i="42"/>
  <c r="T100" i="42"/>
  <c r="T91" i="42"/>
  <c r="T68" i="42"/>
  <c r="T48" i="42"/>
  <c r="T23" i="42"/>
  <c r="S32" i="47"/>
  <c r="C6" i="35"/>
  <c r="G8" i="40"/>
  <c r="T206" i="40"/>
  <c r="T35" i="40"/>
  <c r="T189" i="40"/>
  <c r="T245" i="42"/>
  <c r="T232" i="42"/>
  <c r="T208" i="42"/>
  <c r="T198" i="42"/>
  <c r="T176" i="42"/>
  <c r="T156" i="42"/>
  <c r="T134" i="42"/>
  <c r="T111" i="42"/>
  <c r="T88" i="42"/>
  <c r="T66" i="42"/>
  <c r="T47" i="42"/>
  <c r="T20" i="42"/>
  <c r="C15" i="35"/>
  <c r="C23" i="35"/>
  <c r="G4" i="42"/>
  <c r="T5" i="40"/>
  <c r="T172" i="40"/>
  <c r="T7" i="40"/>
  <c r="G8" i="42"/>
  <c r="T77" i="40"/>
  <c r="T244" i="42"/>
  <c r="T230" i="42"/>
  <c r="T206" i="42"/>
  <c r="T185" i="42"/>
  <c r="T166" i="42"/>
  <c r="T145" i="42"/>
  <c r="T119" i="42"/>
  <c r="T98" i="42"/>
  <c r="T75" i="42"/>
  <c r="T46" i="42"/>
  <c r="T8" i="42"/>
  <c r="C17" i="35"/>
  <c r="D37" i="29"/>
  <c r="T194" i="40"/>
  <c r="T34" i="40"/>
  <c r="T241" i="42"/>
  <c r="T218" i="42"/>
  <c r="T184" i="42"/>
  <c r="T153" i="42"/>
  <c r="T131" i="42"/>
  <c r="T97" i="42"/>
  <c r="T74" i="42"/>
  <c r="T44" i="42"/>
  <c r="C34" i="35"/>
  <c r="C29" i="35"/>
  <c r="AG7" i="39"/>
  <c r="T99" i="40"/>
  <c r="T15" i="40"/>
  <c r="T238" i="42"/>
  <c r="T204" i="42"/>
  <c r="T172" i="42"/>
  <c r="T141" i="42"/>
  <c r="T104" i="42"/>
  <c r="T73" i="42"/>
  <c r="T40" i="42"/>
  <c r="C33" i="35"/>
  <c r="S34" i="47"/>
  <c r="F13" i="40"/>
  <c r="G13" i="40" s="1"/>
  <c r="T48" i="40"/>
  <c r="T146" i="40"/>
  <c r="AC257" i="49"/>
  <c r="T216" i="42"/>
  <c r="T180" i="42"/>
  <c r="T140" i="42"/>
  <c r="T103" i="42"/>
  <c r="T72" i="42"/>
  <c r="T39" i="42"/>
  <c r="C25" i="35"/>
  <c r="C10" i="35"/>
  <c r="F11" i="40"/>
  <c r="G11" i="40" s="1"/>
  <c r="T17" i="40"/>
  <c r="T163" i="40"/>
  <c r="T223" i="42"/>
  <c r="T124" i="42"/>
  <c r="T80" i="42"/>
  <c r="T50" i="42"/>
  <c r="T12" i="42"/>
  <c r="C35" i="35"/>
  <c r="G15" i="40"/>
  <c r="S262" i="40"/>
  <c r="T262" i="40" s="1"/>
  <c r="T251" i="40"/>
  <c r="T79" i="40"/>
  <c r="T148" i="40"/>
  <c r="T256" i="42"/>
  <c r="T222" i="42"/>
  <c r="T199" i="42"/>
  <c r="T177" i="42"/>
  <c r="T157" i="42"/>
  <c r="T136" i="42"/>
  <c r="T112" i="42"/>
  <c r="T79" i="42"/>
  <c r="T57" i="42"/>
  <c r="T35" i="42"/>
  <c r="T11" i="42"/>
  <c r="C24" i="35"/>
  <c r="C45" i="35"/>
  <c r="F10" i="40"/>
  <c r="G10" i="40" s="1"/>
  <c r="T214" i="40"/>
  <c r="T139" i="40"/>
  <c r="T38" i="40"/>
  <c r="T113" i="40"/>
  <c r="T255" i="42"/>
  <c r="T221" i="42"/>
  <c r="T186" i="42"/>
  <c r="T167" i="42"/>
  <c r="T146" i="42"/>
  <c r="T120" i="42"/>
  <c r="T99" i="42"/>
  <c r="T76" i="42"/>
  <c r="T56" i="42"/>
  <c r="T34" i="42"/>
  <c r="T10" i="42"/>
  <c r="C21" i="35"/>
  <c r="D38" i="29"/>
  <c r="T173" i="40"/>
  <c r="T45" i="40"/>
  <c r="T246" i="40"/>
  <c r="T254" i="42"/>
  <c r="T220" i="42"/>
  <c r="T175" i="42"/>
  <c r="T154" i="42"/>
  <c r="T132" i="42"/>
  <c r="T106" i="42"/>
  <c r="T87" i="42"/>
  <c r="T55" i="42"/>
  <c r="T32" i="42"/>
  <c r="S35" i="47"/>
  <c r="AF10" i="39"/>
  <c r="T145" i="40"/>
  <c r="T234" i="40"/>
  <c r="T204" i="40"/>
  <c r="T229" i="42"/>
  <c r="T193" i="42"/>
  <c r="T165" i="42"/>
  <c r="T118" i="42"/>
  <c r="T86" i="42"/>
  <c r="T54" i="42"/>
  <c r="T18" i="42"/>
  <c r="C8" i="35"/>
  <c r="G17" i="40"/>
  <c r="T102" i="40"/>
  <c r="T132" i="40"/>
  <c r="T167" i="40"/>
  <c r="T252" i="42"/>
  <c r="T182" i="42"/>
  <c r="T152" i="42"/>
  <c r="T116" i="42"/>
  <c r="T84" i="42"/>
  <c r="T53" i="42"/>
  <c r="T17" i="42"/>
  <c r="C39" i="35"/>
  <c r="F19" i="40"/>
  <c r="G19" i="40" s="1"/>
  <c r="T85" i="40"/>
  <c r="T109" i="40"/>
  <c r="T226" i="42"/>
  <c r="T203" i="42"/>
  <c r="T171" i="42"/>
  <c r="T127" i="42"/>
  <c r="T95" i="42"/>
  <c r="T60" i="42"/>
  <c r="T27" i="42"/>
  <c r="C41" i="35"/>
  <c r="T24" i="40"/>
  <c r="T196" i="42"/>
  <c r="T64" i="42"/>
  <c r="T19" i="42"/>
  <c r="C42" i="35"/>
  <c r="AG8" i="39"/>
  <c r="T144" i="40"/>
  <c r="T118" i="40"/>
  <c r="T253" i="42"/>
  <c r="T205" i="42"/>
  <c r="T174" i="42"/>
  <c r="T144" i="42"/>
  <c r="T105" i="42"/>
  <c r="T63" i="42"/>
  <c r="T31" i="42"/>
  <c r="S33" i="47"/>
  <c r="G6" i="40"/>
  <c r="T217" i="40"/>
  <c r="T227" i="42"/>
  <c r="T217" i="42"/>
  <c r="T192" i="42"/>
  <c r="T163" i="42"/>
  <c r="T129" i="42"/>
  <c r="T96" i="42"/>
  <c r="T61" i="42"/>
  <c r="T28" i="42"/>
  <c r="C48" i="35"/>
  <c r="G12" i="40"/>
  <c r="T52" i="40"/>
  <c r="T216" i="40"/>
  <c r="T136" i="40"/>
  <c r="T237" i="42"/>
  <c r="T191" i="42"/>
  <c r="T151" i="42"/>
  <c r="T115" i="42"/>
  <c r="T83" i="42"/>
  <c r="T52" i="42"/>
  <c r="T16" i="42"/>
  <c r="C13" i="35"/>
  <c r="G4" i="40"/>
  <c r="T21" i="40"/>
  <c r="AC26" i="48"/>
  <c r="T205" i="40"/>
  <c r="T92" i="40"/>
  <c r="T161" i="42"/>
  <c r="AG10" i="39"/>
  <c r="AF11" i="39"/>
  <c r="AG11" i="39"/>
  <c r="AF12" i="39"/>
  <c r="AG12" i="39"/>
  <c r="AF13" i="39"/>
  <c r="AF14" i="39"/>
  <c r="AG13" i="39"/>
  <c r="AG14" i="39"/>
  <c r="AF15" i="39"/>
  <c r="AF16" i="39"/>
  <c r="AG15" i="39"/>
  <c r="AG16" i="39"/>
  <c r="AF17" i="39"/>
  <c r="AG17" i="39"/>
  <c r="AF18" i="39"/>
  <c r="AG18" i="39"/>
  <c r="AF19" i="39"/>
  <c r="AF20" i="39"/>
  <c r="AG19" i="39"/>
  <c r="AG20" i="39"/>
  <c r="AF21" i="39"/>
  <c r="AF22" i="39"/>
  <c r="AG21" i="39"/>
  <c r="AG22" i="39"/>
  <c r="AF23" i="39"/>
  <c r="AF24" i="39"/>
  <c r="AG23" i="39"/>
  <c r="AF25" i="39"/>
  <c r="AG24" i="39"/>
  <c r="AF26" i="39"/>
  <c r="AG25" i="39"/>
  <c r="AF27" i="39"/>
  <c r="AG26" i="39"/>
  <c r="AG27" i="39"/>
  <c r="AF28" i="39"/>
  <c r="AF29" i="39"/>
  <c r="AG28" i="39"/>
  <c r="AF30" i="39"/>
  <c r="AG29" i="39"/>
  <c r="AF31" i="39"/>
  <c r="AG30" i="39"/>
  <c r="AG31" i="39"/>
  <c r="AF32" i="39"/>
  <c r="AF33" i="39"/>
  <c r="AG32" i="39"/>
  <c r="AG33" i="39"/>
  <c r="AF34" i="39"/>
  <c r="AG34" i="39"/>
  <c r="AF35" i="39"/>
  <c r="AF36" i="39"/>
  <c r="AG35" i="39"/>
  <c r="AG36" i="39"/>
  <c r="AF37" i="39"/>
  <c r="AG37" i="39"/>
  <c r="AF38" i="39"/>
  <c r="AG38" i="39"/>
  <c r="AF39" i="39"/>
  <c r="AG39" i="39"/>
  <c r="AF40" i="39"/>
  <c r="AF41" i="39"/>
  <c r="AG40" i="39"/>
  <c r="AF42" i="39"/>
  <c r="AG41" i="39"/>
  <c r="AG42" i="39"/>
  <c r="AF43" i="39"/>
  <c r="AF44" i="39"/>
  <c r="AG43" i="39"/>
  <c r="AF45" i="39"/>
  <c r="AG44" i="39"/>
  <c r="AF46" i="39"/>
  <c r="AG45" i="39"/>
  <c r="AG46" i="39"/>
  <c r="AF47" i="39"/>
  <c r="AF48" i="39"/>
  <c r="AG47" i="39"/>
  <c r="AG48" i="39"/>
  <c r="AF49" i="39"/>
  <c r="AG49" i="39"/>
  <c r="AF50" i="39"/>
  <c r="AG50" i="39"/>
  <c r="AF51" i="39"/>
  <c r="AF52" i="39"/>
  <c r="AG51" i="39"/>
  <c r="AF53" i="39"/>
  <c r="AG52" i="39"/>
  <c r="AG53" i="39"/>
  <c r="AF54" i="39"/>
  <c r="AG54" i="39"/>
  <c r="AF55" i="39"/>
  <c r="AF56" i="39"/>
  <c r="AG55" i="39"/>
  <c r="AF57" i="39"/>
  <c r="AG56" i="39"/>
  <c r="AF58" i="39"/>
  <c r="AG57" i="39"/>
  <c r="AF59" i="39"/>
  <c r="AG58" i="39"/>
  <c r="AG59" i="39"/>
  <c r="AF60" i="39"/>
  <c r="AF61" i="39"/>
  <c r="AG60" i="39"/>
  <c r="AG61" i="39"/>
  <c r="AF62" i="39"/>
  <c r="AF63" i="39"/>
  <c r="AG62" i="39"/>
  <c r="AG63" i="39"/>
  <c r="AF64" i="39"/>
  <c r="AF65" i="39"/>
  <c r="AG64" i="39"/>
  <c r="AF66" i="39"/>
  <c r="AG65" i="39"/>
  <c r="AG66" i="39"/>
  <c r="AF67" i="39"/>
  <c r="AF68" i="39"/>
  <c r="AG67" i="39"/>
  <c r="AF69" i="39"/>
  <c r="AG68" i="39"/>
  <c r="AG69" i="39"/>
  <c r="AF70" i="39"/>
  <c r="AF71" i="39"/>
  <c r="AG70" i="39"/>
  <c r="AF72" i="39"/>
  <c r="AG71" i="39"/>
  <c r="AF73" i="39"/>
  <c r="AG72" i="39"/>
  <c r="AG73" i="39"/>
  <c r="AF74" i="39"/>
  <c r="AG74" i="39"/>
  <c r="AF75" i="39"/>
  <c r="AG75" i="39"/>
  <c r="AF76" i="39"/>
  <c r="AF77" i="39"/>
  <c r="AG76" i="39"/>
  <c r="AG77" i="39"/>
  <c r="AF78" i="39"/>
  <c r="AG78" i="39"/>
  <c r="AF79" i="39"/>
  <c r="AG79" i="39"/>
  <c r="AF80" i="39"/>
  <c r="AG80" i="39"/>
  <c r="AF81" i="39"/>
  <c r="AF82" i="39"/>
  <c r="AG81" i="39"/>
  <c r="AG82" i="39"/>
  <c r="AF83" i="39"/>
  <c r="AG83" i="39"/>
  <c r="AF84" i="39"/>
  <c r="AF85" i="39"/>
  <c r="AG84" i="39"/>
  <c r="AG85" i="39"/>
  <c r="AF86" i="39"/>
  <c r="AF87" i="39"/>
  <c r="AG86" i="39"/>
  <c r="AF88" i="39"/>
  <c r="AG87" i="39"/>
  <c r="AG88" i="39"/>
  <c r="AF89" i="39"/>
  <c r="AF90" i="39"/>
  <c r="AG89" i="39"/>
  <c r="AF91" i="39"/>
  <c r="AG90" i="39"/>
  <c r="AG91" i="39"/>
  <c r="AF92" i="39"/>
  <c r="AF93" i="39"/>
  <c r="AG92" i="39"/>
  <c r="AF94" i="39"/>
  <c r="AG93" i="39"/>
  <c r="AG94" i="39"/>
  <c r="AF95" i="39"/>
  <c r="AG95" i="39"/>
  <c r="AF96" i="39"/>
  <c r="AG96" i="39"/>
  <c r="AF97" i="39"/>
  <c r="AG97" i="39"/>
  <c r="AF98" i="39"/>
  <c r="AG98" i="39"/>
  <c r="AF99" i="39"/>
  <c r="AF100" i="39"/>
  <c r="AG99" i="39"/>
  <c r="AG100" i="39"/>
  <c r="AF101" i="39"/>
  <c r="AF102" i="39"/>
  <c r="AG101" i="39"/>
  <c r="AG102" i="39"/>
  <c r="AF103" i="39"/>
  <c r="AG103" i="39"/>
  <c r="AF104" i="39"/>
  <c r="AF105" i="39"/>
  <c r="AG104" i="39"/>
  <c r="AF106" i="39"/>
  <c r="AG105" i="39"/>
  <c r="AG106" i="39"/>
  <c r="AF107" i="39"/>
  <c r="AF108" i="39"/>
  <c r="AG107" i="39"/>
  <c r="AF109" i="39"/>
  <c r="AG108" i="39"/>
  <c r="AG109" i="39"/>
  <c r="AF110" i="39"/>
  <c r="AG110" i="39"/>
  <c r="AF111" i="39"/>
  <c r="AF112" i="39"/>
  <c r="AG111" i="39"/>
  <c r="AF113" i="39"/>
  <c r="AG112" i="39"/>
  <c r="AF114" i="39"/>
  <c r="AG113" i="39"/>
  <c r="AF115" i="39"/>
  <c r="AG114" i="39"/>
  <c r="AG115" i="39"/>
  <c r="AF116" i="39"/>
  <c r="AG116" i="39"/>
  <c r="AF117" i="39"/>
  <c r="AG117" i="39"/>
  <c r="AF118" i="39"/>
  <c r="AF119" i="39"/>
  <c r="AG118" i="39"/>
  <c r="AF120" i="39"/>
  <c r="AG119" i="39"/>
  <c r="AF121" i="39"/>
  <c r="AG120" i="39"/>
  <c r="AG121" i="39"/>
  <c r="AF122" i="39"/>
  <c r="AF123" i="39"/>
  <c r="AG122" i="39"/>
  <c r="AG123" i="39"/>
  <c r="AF124" i="39"/>
  <c r="AG124" i="39"/>
  <c r="AF125" i="39"/>
  <c r="AG125" i="39"/>
  <c r="AF126" i="39"/>
  <c r="AF127" i="39"/>
  <c r="AG126" i="39"/>
  <c r="AG127" i="39"/>
  <c r="AF128" i="39"/>
  <c r="AF129" i="39"/>
  <c r="AG128" i="39"/>
  <c r="AF130" i="39"/>
  <c r="AG129" i="39"/>
  <c r="AG130" i="39"/>
  <c r="AF131" i="39"/>
  <c r="AG131" i="39"/>
  <c r="AF132" i="39"/>
  <c r="Q29" i="45" l="1"/>
  <c r="AG132" i="39"/>
  <c r="R29" i="45"/>
  <c r="S29" i="45"/>
  <c r="W29" i="45"/>
  <c r="V29" i="45"/>
  <c r="V260" i="40"/>
  <c r="W255" i="40"/>
  <c r="W251" i="40"/>
  <c r="W247" i="40"/>
  <c r="V244" i="40"/>
  <c r="W239" i="40"/>
  <c r="V236" i="40"/>
  <c r="W232" i="40"/>
  <c r="W227" i="40"/>
  <c r="W223" i="40"/>
  <c r="V220" i="40"/>
  <c r="V216" i="40"/>
  <c r="W211" i="40"/>
  <c r="V208" i="40"/>
  <c r="W203" i="40"/>
  <c r="V200" i="40"/>
  <c r="W195" i="40"/>
  <c r="W191" i="40"/>
  <c r="W187" i="40"/>
  <c r="V184" i="40"/>
  <c r="V180" i="40"/>
  <c r="W175" i="40"/>
  <c r="W171" i="40"/>
  <c r="W167" i="40"/>
  <c r="V164" i="40"/>
  <c r="V160" i="40"/>
  <c r="W155" i="40"/>
  <c r="V152" i="40"/>
  <c r="W147" i="40"/>
  <c r="W143" i="40"/>
  <c r="V140" i="40"/>
  <c r="W135" i="40"/>
  <c r="W131" i="40"/>
  <c r="W127" i="40"/>
  <c r="W123" i="40"/>
  <c r="W119" i="40"/>
  <c r="W115" i="40"/>
  <c r="W111" i="40"/>
  <c r="V108" i="40"/>
  <c r="W103" i="40"/>
  <c r="W99" i="40"/>
  <c r="V96" i="40"/>
  <c r="W91" i="40"/>
  <c r="W87" i="40"/>
  <c r="W83" i="40"/>
  <c r="V80" i="40"/>
  <c r="V76" i="40"/>
  <c r="W71" i="40"/>
  <c r="V68" i="40"/>
  <c r="W63" i="40"/>
  <c r="V60" i="40"/>
  <c r="W55" i="40"/>
  <c r="V52" i="40"/>
  <c r="W47" i="40"/>
  <c r="W43" i="40"/>
  <c r="V40" i="40"/>
  <c r="V36" i="40"/>
  <c r="V32" i="40"/>
  <c r="V28" i="40"/>
  <c r="W23" i="40"/>
  <c r="W20" i="40"/>
  <c r="J13" i="42"/>
  <c r="W15" i="40"/>
  <c r="V13" i="40"/>
  <c r="J9" i="42"/>
  <c r="V8" i="40"/>
  <c r="F16" i="35"/>
  <c r="W36" i="47"/>
  <c r="H18" i="40"/>
  <c r="F26" i="35"/>
  <c r="F48" i="35"/>
  <c r="V25" i="42"/>
  <c r="F41" i="35"/>
  <c r="W143" i="42"/>
  <c r="H4" i="40"/>
  <c r="W121" i="42"/>
  <c r="V84" i="42"/>
  <c r="V73" i="42"/>
  <c r="V243" i="42"/>
  <c r="W20" i="42"/>
  <c r="V173" i="42"/>
  <c r="W60" i="42"/>
  <c r="W247" i="42"/>
  <c r="W81" i="42"/>
  <c r="W35" i="47"/>
  <c r="W7" i="42"/>
  <c r="V118" i="42"/>
  <c r="V235" i="42"/>
  <c r="G29" i="49"/>
  <c r="W192" i="42"/>
  <c r="H17" i="49"/>
  <c r="H29" i="49"/>
  <c r="W58" i="42"/>
  <c r="W79" i="42"/>
  <c r="V223" i="42"/>
  <c r="W28" i="42"/>
  <c r="V131" i="42"/>
  <c r="W207" i="42"/>
  <c r="V222" i="42"/>
  <c r="J19" i="40"/>
  <c r="W256" i="42"/>
  <c r="H17" i="40"/>
  <c r="F40" i="35"/>
  <c r="V27" i="42"/>
  <c r="V217" i="42"/>
  <c r="H6" i="42"/>
  <c r="W32" i="47"/>
  <c r="W196" i="42"/>
  <c r="J5" i="40"/>
  <c r="F47" i="35"/>
  <c r="F29" i="35"/>
  <c r="W70" i="42"/>
  <c r="L17" i="39"/>
  <c r="K19" i="39"/>
  <c r="I16" i="40"/>
  <c r="V183" i="42"/>
  <c r="V149" i="42"/>
  <c r="W216" i="42"/>
  <c r="H26" i="49"/>
  <c r="V181" i="42"/>
  <c r="W27" i="45"/>
  <c r="W161" i="42"/>
  <c r="W210" i="42"/>
  <c r="W241" i="42"/>
  <c r="V245" i="42"/>
  <c r="W262" i="40"/>
  <c r="H13" i="42"/>
  <c r="W259" i="40"/>
  <c r="V256" i="40"/>
  <c r="V252" i="40"/>
  <c r="V248" i="40"/>
  <c r="W243" i="40"/>
  <c r="V240" i="40"/>
  <c r="W235" i="40"/>
  <c r="V232" i="40"/>
  <c r="V228" i="40"/>
  <c r="V224" i="40"/>
  <c r="W219" i="40"/>
  <c r="W215" i="40"/>
  <c r="V212" i="40"/>
  <c r="W207" i="40"/>
  <c r="V204" i="40"/>
  <c r="W199" i="40"/>
  <c r="V196" i="40"/>
  <c r="V192" i="40"/>
  <c r="V188" i="40"/>
  <c r="W182" i="40"/>
  <c r="W179" i="40"/>
  <c r="V176" i="40"/>
  <c r="V172" i="40"/>
  <c r="V168" i="40"/>
  <c r="W163" i="40"/>
  <c r="W159" i="40"/>
  <c r="V156" i="40"/>
  <c r="W151" i="40"/>
  <c r="V148" i="40"/>
  <c r="V144" i="40"/>
  <c r="W139" i="40"/>
  <c r="V136" i="40"/>
  <c r="V132" i="40"/>
  <c r="V128" i="40"/>
  <c r="V124" i="40"/>
  <c r="V120" i="40"/>
  <c r="V116" i="40"/>
  <c r="V112" i="40"/>
  <c r="W107" i="40"/>
  <c r="V104" i="40"/>
  <c r="V100" i="40"/>
  <c r="W94" i="40"/>
  <c r="V92" i="40"/>
  <c r="V88" i="40"/>
  <c r="V84" i="40"/>
  <c r="W79" i="40"/>
  <c r="W75" i="40"/>
  <c r="V72" i="40"/>
  <c r="W67" i="40"/>
  <c r="V64" i="40"/>
  <c r="W59" i="40"/>
  <c r="V56" i="40"/>
  <c r="W51" i="40"/>
  <c r="V48" i="40"/>
  <c r="V44" i="40"/>
  <c r="W39" i="40"/>
  <c r="W35" i="40"/>
  <c r="W31" i="40"/>
  <c r="W27" i="40"/>
  <c r="V24" i="40"/>
  <c r="V21" i="40"/>
  <c r="V18" i="40"/>
  <c r="I12" i="42"/>
  <c r="W12" i="40"/>
  <c r="V10" i="40"/>
  <c r="I8" i="42"/>
  <c r="V193" i="42"/>
  <c r="V143" i="42"/>
  <c r="V31" i="47"/>
  <c r="K22" i="39"/>
  <c r="V179" i="42"/>
  <c r="I15" i="40"/>
  <c r="W68" i="42"/>
  <c r="W232" i="42"/>
  <c r="W45" i="42"/>
  <c r="F8" i="35"/>
  <c r="W114" i="42"/>
  <c r="W233" i="42"/>
  <c r="V67" i="42"/>
  <c r="V59" i="42"/>
  <c r="H16" i="40"/>
  <c r="G17" i="49"/>
  <c r="F25" i="35"/>
  <c r="Q5" i="47"/>
  <c r="V19" i="42"/>
  <c r="F33" i="35"/>
  <c r="W142" i="42"/>
  <c r="W9" i="42"/>
  <c r="J8" i="40"/>
  <c r="W3" i="42"/>
  <c r="W51" i="42"/>
  <c r="W87" i="42"/>
  <c r="J3" i="40"/>
  <c r="V33" i="47"/>
  <c r="V194" i="42"/>
  <c r="W144" i="42"/>
  <c r="V159" i="42"/>
  <c r="V8" i="42"/>
  <c r="W119" i="42"/>
  <c r="W72" i="42"/>
  <c r="W67" i="42"/>
  <c r="T32" i="47"/>
  <c r="I5" i="42"/>
  <c r="W32" i="42"/>
  <c r="D3" i="48"/>
  <c r="H12" i="42"/>
  <c r="H10" i="42"/>
  <c r="W258" i="40"/>
  <c r="V255" i="40"/>
  <c r="V251" i="40"/>
  <c r="W246" i="40"/>
  <c r="V243" i="40"/>
  <c r="W238" i="40"/>
  <c r="W234" i="40"/>
  <c r="W230" i="40"/>
  <c r="W226" i="40"/>
  <c r="V223" i="40"/>
  <c r="W218" i="40"/>
  <c r="W214" i="40"/>
  <c r="V211" i="40"/>
  <c r="W206" i="40"/>
  <c r="V203" i="40"/>
  <c r="V199" i="40"/>
  <c r="W194" i="40"/>
  <c r="W190" i="40"/>
  <c r="V187" i="40"/>
  <c r="W183" i="40"/>
  <c r="V179" i="40"/>
  <c r="W174" i="40"/>
  <c r="W170" i="40"/>
  <c r="V167" i="40"/>
  <c r="W162" i="40"/>
  <c r="V159" i="40"/>
  <c r="W154" i="40"/>
  <c r="W150" i="40"/>
  <c r="V147" i="40"/>
  <c r="W142" i="40"/>
  <c r="V139" i="40"/>
  <c r="V135" i="40"/>
  <c r="W130" i="40"/>
  <c r="V127" i="40"/>
  <c r="V123" i="40"/>
  <c r="V119" i="40"/>
  <c r="W114" i="40"/>
  <c r="V111" i="40"/>
  <c r="V107" i="40"/>
  <c r="V103" i="40"/>
  <c r="V99" i="40"/>
  <c r="W95" i="40"/>
  <c r="V91" i="40"/>
  <c r="V87" i="40"/>
  <c r="V83" i="40"/>
  <c r="W78" i="40"/>
  <c r="W74" i="40"/>
  <c r="W70" i="40"/>
  <c r="V67" i="40"/>
  <c r="W62" i="40"/>
  <c r="V59" i="40"/>
  <c r="V55" i="40"/>
  <c r="W50" i="40"/>
  <c r="W46" i="40"/>
  <c r="W42" i="40"/>
  <c r="W38" i="40"/>
  <c r="V35" i="40"/>
  <c r="V31" i="40"/>
  <c r="W26" i="40"/>
  <c r="W22" i="40"/>
  <c r="J14" i="42"/>
  <c r="W17" i="40"/>
  <c r="W14" i="40"/>
  <c r="J10" i="42"/>
  <c r="W9" i="40"/>
  <c r="W6" i="40"/>
  <c r="K20" i="43"/>
  <c r="W30" i="42"/>
  <c r="G28" i="49"/>
  <c r="V26" i="42"/>
  <c r="G18" i="48"/>
  <c r="W33" i="47"/>
  <c r="W35" i="42"/>
  <c r="V230" i="42"/>
  <c r="F6" i="35"/>
  <c r="L23" i="39"/>
  <c r="W198" i="42"/>
  <c r="W160" i="42"/>
  <c r="W174" i="42"/>
  <c r="G24" i="49"/>
  <c r="K23" i="39"/>
  <c r="L15" i="43"/>
  <c r="V5" i="40"/>
  <c r="W34" i="47"/>
  <c r="I3" i="42"/>
  <c r="V237" i="42"/>
  <c r="H5" i="40"/>
  <c r="V247" i="42"/>
  <c r="V115" i="42"/>
  <c r="W150" i="42"/>
  <c r="V69" i="42"/>
  <c r="H15" i="49"/>
  <c r="V147" i="42"/>
  <c r="V225" i="42"/>
  <c r="V27" i="45"/>
  <c r="I12" i="40"/>
  <c r="W59" i="42"/>
  <c r="W6" i="42"/>
  <c r="W125" i="42"/>
  <c r="V171" i="42"/>
  <c r="W24" i="42"/>
  <c r="H19" i="40"/>
  <c r="U12" i="45" a="1"/>
  <c r="G4" i="43"/>
  <c r="Q8" i="47"/>
  <c r="I19" i="40"/>
  <c r="W48" i="42"/>
  <c r="W166" i="42"/>
  <c r="H11" i="40"/>
  <c r="Q9" i="45"/>
  <c r="W214" i="42"/>
  <c r="W126" i="42"/>
  <c r="W76" i="42"/>
  <c r="V35" i="42"/>
  <c r="L19" i="39"/>
  <c r="K19" i="43"/>
  <c r="V174" i="42"/>
  <c r="V144" i="42"/>
  <c r="V253" i="42"/>
  <c r="V3" i="40"/>
  <c r="H3" i="42"/>
  <c r="H9" i="42"/>
  <c r="H11" i="42"/>
  <c r="V259" i="40"/>
  <c r="W254" i="40"/>
  <c r="W250" i="40"/>
  <c r="V247" i="40"/>
  <c r="W242" i="40"/>
  <c r="V239" i="40"/>
  <c r="V235" i="40"/>
  <c r="V231" i="40"/>
  <c r="V227" i="40"/>
  <c r="W222" i="40"/>
  <c r="V219" i="40"/>
  <c r="V215" i="40"/>
  <c r="W210" i="40"/>
  <c r="V207" i="40"/>
  <c r="W202" i="40"/>
  <c r="W198" i="40"/>
  <c r="V195" i="40"/>
  <c r="V191" i="40"/>
  <c r="W186" i="40"/>
  <c r="V183" i="40"/>
  <c r="W178" i="40"/>
  <c r="V175" i="40"/>
  <c r="V171" i="40"/>
  <c r="W166" i="40"/>
  <c r="V163" i="40"/>
  <c r="W158" i="40"/>
  <c r="V155" i="40"/>
  <c r="V151" i="40"/>
  <c r="W146" i="40"/>
  <c r="V143" i="40"/>
  <c r="W138" i="40"/>
  <c r="W134" i="40"/>
  <c r="V131" i="40"/>
  <c r="W126" i="40"/>
  <c r="W122" i="40"/>
  <c r="W118" i="40"/>
  <c r="V115" i="40"/>
  <c r="W110" i="40"/>
  <c r="W106" i="40"/>
  <c r="W102" i="40"/>
  <c r="W98" i="40"/>
  <c r="V95" i="40"/>
  <c r="W90" i="40"/>
  <c r="W86" i="40"/>
  <c r="W82" i="40"/>
  <c r="D3" i="49"/>
  <c r="H14" i="42"/>
  <c r="W261" i="40"/>
  <c r="V258" i="40"/>
  <c r="V254" i="40"/>
  <c r="V250" i="40"/>
  <c r="W245" i="40"/>
  <c r="W241" i="40"/>
  <c r="V238" i="40"/>
  <c r="V234" i="40"/>
  <c r="W229" i="40"/>
  <c r="W225" i="40"/>
  <c r="W221" i="40"/>
  <c r="V218" i="40"/>
  <c r="V214" i="40"/>
  <c r="W209" i="40"/>
  <c r="V206" i="40"/>
  <c r="V202" i="40"/>
  <c r="W197" i="40"/>
  <c r="V194" i="40"/>
  <c r="W189" i="40"/>
  <c r="W185" i="40"/>
  <c r="W181" i="40"/>
  <c r="V178" i="40"/>
  <c r="V174" i="40"/>
  <c r="V170" i="40"/>
  <c r="W165" i="40"/>
  <c r="W161" i="40"/>
  <c r="V158" i="40"/>
  <c r="W153" i="40"/>
  <c r="W149" i="40"/>
  <c r="V146" i="40"/>
  <c r="W141" i="40"/>
  <c r="V138" i="40"/>
  <c r="V134" i="40"/>
  <c r="W129" i="40"/>
  <c r="V126" i="40"/>
  <c r="V122" i="40"/>
  <c r="W117" i="40"/>
  <c r="W113" i="40"/>
  <c r="V110" i="40"/>
  <c r="V106" i="40"/>
  <c r="H3" i="40"/>
  <c r="H15" i="42"/>
  <c r="V262" i="40"/>
  <c r="W257" i="40"/>
  <c r="W252" i="40"/>
  <c r="W249" i="40"/>
  <c r="V246" i="40"/>
  <c r="V242" i="40"/>
  <c r="W237" i="40"/>
  <c r="W233" i="40"/>
  <c r="V230" i="40"/>
  <c r="V226" i="40"/>
  <c r="V222" i="40"/>
  <c r="W217" i="40"/>
  <c r="W213" i="40"/>
  <c r="V210" i="40"/>
  <c r="W205" i="40"/>
  <c r="W200" i="40"/>
  <c r="V198" i="40"/>
  <c r="W193" i="40"/>
  <c r="V190" i="40"/>
  <c r="V186" i="40"/>
  <c r="V182" i="40"/>
  <c r="W177" i="40"/>
  <c r="W173" i="40"/>
  <c r="W169" i="40"/>
  <c r="V166" i="40"/>
  <c r="V162" i="40"/>
  <c r="W157" i="40"/>
  <c r="V154" i="40"/>
  <c r="V150" i="40"/>
  <c r="W145" i="40"/>
  <c r="V142" i="40"/>
  <c r="W136" i="40"/>
  <c r="W133" i="40"/>
  <c r="V130" i="40"/>
  <c r="W125" i="40"/>
  <c r="D3" i="43"/>
  <c r="H8" i="42"/>
  <c r="V261" i="40"/>
  <c r="W256" i="40"/>
  <c r="W253" i="40"/>
  <c r="V249" i="40"/>
  <c r="W244" i="40"/>
  <c r="W240" i="40"/>
  <c r="W236" i="40"/>
  <c r="V233" i="40"/>
  <c r="W228" i="40"/>
  <c r="D3" i="39"/>
  <c r="T29" i="45"/>
  <c r="W260" i="40"/>
  <c r="V257" i="40"/>
  <c r="V253" i="40"/>
  <c r="W248" i="40"/>
  <c r="V245" i="40"/>
  <c r="V241" i="40"/>
  <c r="V237" i="40"/>
  <c r="W231" i="40"/>
  <c r="V229" i="40"/>
  <c r="V225" i="40"/>
  <c r="W220" i="40"/>
  <c r="W224" i="40"/>
  <c r="W204" i="40"/>
  <c r="W188" i="40"/>
  <c r="V173" i="40"/>
  <c r="V157" i="40"/>
  <c r="W140" i="40"/>
  <c r="W124" i="40"/>
  <c r="V114" i="40"/>
  <c r="W104" i="40"/>
  <c r="W96" i="40"/>
  <c r="V89" i="40"/>
  <c r="V81" i="40"/>
  <c r="V74" i="40"/>
  <c r="W66" i="40"/>
  <c r="V61" i="40"/>
  <c r="V54" i="40"/>
  <c r="V49" i="40"/>
  <c r="V42" i="40"/>
  <c r="W34" i="40"/>
  <c r="V29" i="40"/>
  <c r="V22" i="40"/>
  <c r="W18" i="40"/>
  <c r="W13" i="40"/>
  <c r="I9" i="42"/>
  <c r="V65" i="42"/>
  <c r="V82" i="42"/>
  <c r="V49" i="42"/>
  <c r="K21" i="39"/>
  <c r="V190" i="42"/>
  <c r="V36" i="47"/>
  <c r="W78" i="42"/>
  <c r="H16" i="48"/>
  <c r="W225" i="42"/>
  <c r="V15" i="42"/>
  <c r="K18" i="39"/>
  <c r="V37" i="42"/>
  <c r="V90" i="42"/>
  <c r="G6" i="43"/>
  <c r="I6" i="40"/>
  <c r="W33" i="42"/>
  <c r="G4" i="39"/>
  <c r="W34" i="42"/>
  <c r="W4" i="42"/>
  <c r="W39" i="42"/>
  <c r="V38" i="42"/>
  <c r="W62" i="42"/>
  <c r="V12" i="42"/>
  <c r="L16" i="39"/>
  <c r="W16" i="42"/>
  <c r="W103" i="42"/>
  <c r="W99" i="42"/>
  <c r="H14" i="40"/>
  <c r="W128" i="42"/>
  <c r="J3" i="42"/>
  <c r="H15" i="48"/>
  <c r="W80" i="42"/>
  <c r="L18" i="39"/>
  <c r="V184" i="42"/>
  <c r="W223" i="42"/>
  <c r="G5" i="43"/>
  <c r="V137" i="42"/>
  <c r="W141" i="42"/>
  <c r="W234" i="42"/>
  <c r="K21" i="43"/>
  <c r="F10" i="35"/>
  <c r="V242" i="42"/>
  <c r="W218" i="42"/>
  <c r="W40" i="42"/>
  <c r="W184" i="42"/>
  <c r="V226" i="42"/>
  <c r="Q5" i="45"/>
  <c r="W89" i="42"/>
  <c r="W204" i="42"/>
  <c r="V162" i="42"/>
  <c r="W191" i="42"/>
  <c r="V88" i="42"/>
  <c r="F4" i="35"/>
  <c r="W228" i="42"/>
  <c r="J12" i="40"/>
  <c r="J18" i="40"/>
  <c r="F30" i="35"/>
  <c r="W88" i="42"/>
  <c r="V175" i="42"/>
  <c r="W242" i="42"/>
  <c r="W155" i="42"/>
  <c r="V32" i="42"/>
  <c r="F32" i="35"/>
  <c r="F13" i="35"/>
  <c r="J4" i="40"/>
  <c r="V252" i="42"/>
  <c r="W25" i="42"/>
  <c r="W193" i="42"/>
  <c r="V57" i="42"/>
  <c r="V248" i="42"/>
  <c r="V124" i="42"/>
  <c r="J13" i="40"/>
  <c r="W86" i="42"/>
  <c r="F27" i="35"/>
  <c r="G25" i="49"/>
  <c r="V231" i="42"/>
  <c r="V85" i="42"/>
  <c r="W96" i="42"/>
  <c r="T27" i="45"/>
  <c r="R9" i="47"/>
  <c r="R6" i="45"/>
  <c r="E3" i="39"/>
  <c r="V51" i="42"/>
  <c r="R8" i="47"/>
  <c r="V205" i="42"/>
  <c r="W17" i="42"/>
  <c r="L22" i="39"/>
  <c r="W28" i="45"/>
  <c r="H21" i="49"/>
  <c r="V66" i="42"/>
  <c r="F37" i="35"/>
  <c r="J6" i="42"/>
  <c r="H19" i="49"/>
  <c r="W107" i="42"/>
  <c r="W116" i="42"/>
  <c r="W240" i="42"/>
  <c r="V212" i="42"/>
  <c r="V72" i="42"/>
  <c r="V107" i="42"/>
  <c r="W219" i="42"/>
  <c r="W26" i="42"/>
  <c r="W138" i="42"/>
  <c r="W108" i="42"/>
  <c r="F7" i="43"/>
  <c r="V41" i="42"/>
  <c r="V170" i="42"/>
  <c r="V221" i="40"/>
  <c r="V205" i="40"/>
  <c r="V189" i="40"/>
  <c r="W172" i="40"/>
  <c r="W156" i="40"/>
  <c r="V141" i="40"/>
  <c r="V125" i="40"/>
  <c r="W112" i="40"/>
  <c r="W101" i="40"/>
  <c r="V94" i="40"/>
  <c r="W85" i="40"/>
  <c r="V79" i="40"/>
  <c r="W72" i="40"/>
  <c r="V66" i="40"/>
  <c r="W60" i="40"/>
  <c r="W53" i="40"/>
  <c r="V47" i="40"/>
  <c r="W40" i="40"/>
  <c r="W33" i="40"/>
  <c r="W28" i="40"/>
  <c r="W21" i="40"/>
  <c r="I13" i="42"/>
  <c r="V14" i="40"/>
  <c r="W8" i="40"/>
  <c r="J7" i="42"/>
  <c r="I21" i="40"/>
  <c r="V74" i="42"/>
  <c r="V34" i="47"/>
  <c r="W215" i="42"/>
  <c r="H18" i="48"/>
  <c r="G15" i="48"/>
  <c r="W248" i="42"/>
  <c r="F7" i="39"/>
  <c r="K15" i="43"/>
  <c r="V259" i="42"/>
  <c r="H7" i="40"/>
  <c r="I8" i="40"/>
  <c r="G26" i="49"/>
  <c r="F11" i="35"/>
  <c r="H17" i="48"/>
  <c r="V197" i="42"/>
  <c r="H8" i="40"/>
  <c r="V30" i="42"/>
  <c r="W64" i="42"/>
  <c r="W251" i="42"/>
  <c r="W46" i="42"/>
  <c r="W162" i="42"/>
  <c r="L20" i="43"/>
  <c r="V16" i="42"/>
  <c r="W29" i="42"/>
  <c r="V158" i="42"/>
  <c r="F6" i="39"/>
  <c r="W134" i="42"/>
  <c r="Q4" i="47"/>
  <c r="J14" i="40"/>
  <c r="F3" i="35"/>
  <c r="H21" i="40"/>
  <c r="V244" i="42"/>
  <c r="W183" i="42"/>
  <c r="G6" i="39"/>
  <c r="V152" i="42"/>
  <c r="W229" i="42"/>
  <c r="H15" i="40"/>
  <c r="W110" i="42"/>
  <c r="W245" i="42"/>
  <c r="W178" i="42"/>
  <c r="W220" i="42"/>
  <c r="G16" i="48"/>
  <c r="V18" i="42"/>
  <c r="W244" i="42"/>
  <c r="W11" i="42"/>
  <c r="W179" i="42"/>
  <c r="W180" i="42"/>
  <c r="W122" i="42"/>
  <c r="J4" i="42"/>
  <c r="V216" i="42"/>
  <c r="V140" i="42"/>
  <c r="W83" i="42"/>
  <c r="K16" i="43"/>
  <c r="H28" i="49"/>
  <c r="V221" i="42"/>
  <c r="W253" i="42"/>
  <c r="W181" i="42"/>
  <c r="W43" i="42"/>
  <c r="V104" i="42"/>
  <c r="V63" i="42"/>
  <c r="Q6" i="45"/>
  <c r="G15" i="49"/>
  <c r="H20" i="40"/>
  <c r="H4" i="42"/>
  <c r="V180" i="42"/>
  <c r="V172" i="42"/>
  <c r="V17" i="42"/>
  <c r="V62" i="42"/>
  <c r="V148" i="42"/>
  <c r="I4" i="42"/>
  <c r="V68" i="42"/>
  <c r="W42" i="42"/>
  <c r="V229" i="42"/>
  <c r="V210" i="42"/>
  <c r="V141" i="42"/>
  <c r="W118" i="42"/>
  <c r="G3" i="48"/>
  <c r="V251" i="42"/>
  <c r="W239" i="42"/>
  <c r="T31" i="47"/>
  <c r="G17" i="48"/>
  <c r="W129" i="42"/>
  <c r="V7" i="42"/>
  <c r="W112" i="42"/>
  <c r="W254" i="42"/>
  <c r="I6" i="42"/>
  <c r="V20" i="42"/>
  <c r="W65" i="42"/>
  <c r="W106" i="42"/>
  <c r="V110" i="42"/>
  <c r="Q6" i="47"/>
  <c r="F19" i="35"/>
  <c r="W136" i="42"/>
  <c r="J10" i="40"/>
  <c r="G7" i="43"/>
  <c r="W190" i="42"/>
  <c r="V217" i="40"/>
  <c r="W201" i="40"/>
  <c r="W184" i="40"/>
  <c r="V169" i="40"/>
  <c r="W152" i="40"/>
  <c r="W137" i="40"/>
  <c r="W121" i="40"/>
  <c r="V113" i="40"/>
  <c r="V102" i="40"/>
  <c r="W93" i="40"/>
  <c r="V86" i="40"/>
  <c r="W77" i="40"/>
  <c r="V73" i="40"/>
  <c r="W65" i="40"/>
  <c r="W58" i="40"/>
  <c r="V53" i="40"/>
  <c r="V46" i="40"/>
  <c r="V41" i="40"/>
  <c r="V34" i="40"/>
  <c r="V27" i="40"/>
  <c r="J15" i="42"/>
  <c r="V17" i="40"/>
  <c r="I11" i="42"/>
  <c r="V9" i="40"/>
  <c r="W14" i="42"/>
  <c r="V103" i="42"/>
  <c r="F49" i="35"/>
  <c r="W151" i="42"/>
  <c r="W124" i="42"/>
  <c r="J16" i="40"/>
  <c r="H10" i="40"/>
  <c r="V256" i="42"/>
  <c r="V55" i="42"/>
  <c r="W21" i="42"/>
  <c r="V101" i="42"/>
  <c r="W12" i="42"/>
  <c r="V56" i="42"/>
  <c r="V11" i="42"/>
  <c r="W98" i="42"/>
  <c r="V52" i="42"/>
  <c r="W206" i="42"/>
  <c r="G23" i="49"/>
  <c r="Q10" i="47"/>
  <c r="V167" i="42"/>
  <c r="W212" i="42"/>
  <c r="W15" i="42"/>
  <c r="V119" i="42"/>
  <c r="V201" i="42"/>
  <c r="V77" i="42"/>
  <c r="F44" i="35"/>
  <c r="F43" i="35"/>
  <c r="G27" i="49"/>
  <c r="V61" i="42"/>
  <c r="V199" i="42"/>
  <c r="V177" i="42"/>
  <c r="W163" i="42"/>
  <c r="V50" i="42"/>
  <c r="V246" i="42"/>
  <c r="W186" i="42"/>
  <c r="V233" i="42"/>
  <c r="W111" i="42"/>
  <c r="V156" i="42"/>
  <c r="W75" i="42"/>
  <c r="G19" i="49"/>
  <c r="V218" i="42"/>
  <c r="V220" i="42"/>
  <c r="V132" i="42"/>
  <c r="V257" i="42"/>
  <c r="W260" i="42"/>
  <c r="W84" i="42"/>
  <c r="V112" i="42"/>
  <c r="V122" i="42"/>
  <c r="W148" i="42"/>
  <c r="W250" i="42"/>
  <c r="F31" i="35"/>
  <c r="W176" i="42"/>
  <c r="V92" i="42"/>
  <c r="V36" i="42"/>
  <c r="W135" i="42"/>
  <c r="F24" i="35"/>
  <c r="V206" i="42"/>
  <c r="V176" i="42"/>
  <c r="V178" i="42"/>
  <c r="V155" i="42"/>
  <c r="V232" i="42"/>
  <c r="V160" i="42"/>
  <c r="V189" i="42"/>
  <c r="W31" i="47"/>
  <c r="V195" i="42"/>
  <c r="F14" i="35"/>
  <c r="V238" i="42"/>
  <c r="W188" i="42"/>
  <c r="V157" i="42"/>
  <c r="W167" i="42"/>
  <c r="W85" i="42"/>
  <c r="V45" i="42"/>
  <c r="I11" i="40"/>
  <c r="W71" i="42"/>
  <c r="W123" i="42"/>
  <c r="W170" i="42"/>
  <c r="V185" i="42"/>
  <c r="V163" i="42"/>
  <c r="W140" i="42"/>
  <c r="R9" i="45"/>
  <c r="E3" i="48"/>
  <c r="K18" i="43"/>
  <c r="K24" i="39"/>
  <c r="T36" i="47"/>
  <c r="T33" i="47"/>
  <c r="V26" i="45"/>
  <c r="W147" i="42"/>
  <c r="V150" i="42"/>
  <c r="F35" i="35"/>
  <c r="V48" i="42"/>
  <c r="V89" i="42"/>
  <c r="W169" i="42"/>
  <c r="W261" i="42"/>
  <c r="H5" i="42"/>
  <c r="V250" i="42"/>
  <c r="W252" i="42"/>
  <c r="V13" i="42"/>
  <c r="V166" i="42"/>
  <c r="H16" i="49"/>
  <c r="G30" i="49"/>
  <c r="W194" i="42"/>
  <c r="V70" i="42"/>
  <c r="W216" i="40"/>
  <c r="V201" i="40"/>
  <c r="V185" i="40"/>
  <c r="W168" i="40"/>
  <c r="V153" i="40"/>
  <c r="V137" i="40"/>
  <c r="V121" i="40"/>
  <c r="W109" i="40"/>
  <c r="V101" i="40"/>
  <c r="V93" i="40"/>
  <c r="V85" i="40"/>
  <c r="V78" i="40"/>
  <c r="V71" i="40"/>
  <c r="W64" i="40"/>
  <c r="W57" i="40"/>
  <c r="W52" i="40"/>
  <c r="W45" i="40"/>
  <c r="V39" i="40"/>
  <c r="W32" i="40"/>
  <c r="V26" i="40"/>
  <c r="I15" i="42"/>
  <c r="W16" i="40"/>
  <c r="W11" i="40"/>
  <c r="J8" i="42"/>
  <c r="V125" i="42"/>
  <c r="V28" i="42"/>
  <c r="W56" i="42"/>
  <c r="V126" i="42"/>
  <c r="W105" i="42"/>
  <c r="W23" i="42"/>
  <c r="W246" i="42"/>
  <c r="W212" i="40"/>
  <c r="V197" i="40"/>
  <c r="W180" i="40"/>
  <c r="V165" i="40"/>
  <c r="V149" i="40"/>
  <c r="V133" i="40"/>
  <c r="W120" i="40"/>
  <c r="W108" i="40"/>
  <c r="W100" i="40"/>
  <c r="W92" i="40"/>
  <c r="W84" i="40"/>
  <c r="W76" i="40"/>
  <c r="W69" i="40"/>
  <c r="V65" i="40"/>
  <c r="V58" i="40"/>
  <c r="V51" i="40"/>
  <c r="W44" i="40"/>
  <c r="V38" i="40"/>
  <c r="V33" i="40"/>
  <c r="W25" i="40"/>
  <c r="W19" i="40"/>
  <c r="J12" i="42"/>
  <c r="V12" i="40"/>
  <c r="W7" i="40"/>
  <c r="F12" i="35"/>
  <c r="W117" i="42"/>
  <c r="F50" i="35"/>
  <c r="V75" i="42"/>
  <c r="J9" i="40"/>
  <c r="V3" i="42"/>
  <c r="W231" i="42"/>
  <c r="V227" i="42"/>
  <c r="V213" i="40"/>
  <c r="V209" i="40"/>
  <c r="W164" i="40"/>
  <c r="V129" i="40"/>
  <c r="W97" i="40"/>
  <c r="V77" i="40"/>
  <c r="V62" i="40"/>
  <c r="V43" i="40"/>
  <c r="V25" i="40"/>
  <c r="J11" i="42"/>
  <c r="W13" i="42"/>
  <c r="Q7" i="47"/>
  <c r="F18" i="35"/>
  <c r="W226" i="42"/>
  <c r="J21" i="40"/>
  <c r="W209" i="42"/>
  <c r="V204" i="42"/>
  <c r="F5" i="39"/>
  <c r="G18" i="49"/>
  <c r="F28" i="35"/>
  <c r="L21" i="43"/>
  <c r="V34" i="42"/>
  <c r="V187" i="42"/>
  <c r="V83" i="42"/>
  <c r="V29" i="42"/>
  <c r="T26" i="45"/>
  <c r="W97" i="42"/>
  <c r="W115" i="42"/>
  <c r="V214" i="42"/>
  <c r="V169" i="42"/>
  <c r="W50" i="42"/>
  <c r="I14" i="40"/>
  <c r="V200" i="42"/>
  <c r="W66" i="42"/>
  <c r="I13" i="40"/>
  <c r="W243" i="42"/>
  <c r="F46" i="35"/>
  <c r="V108" i="42"/>
  <c r="W236" i="42"/>
  <c r="W132" i="42"/>
  <c r="W63" i="42"/>
  <c r="I7" i="42"/>
  <c r="V81" i="42"/>
  <c r="I17" i="40"/>
  <c r="L17" i="43"/>
  <c r="V6" i="42"/>
  <c r="V198" i="42"/>
  <c r="V165" i="42"/>
  <c r="V109" i="42"/>
  <c r="W100" i="42"/>
  <c r="R10" i="47"/>
  <c r="H3" i="39"/>
  <c r="V196" i="42"/>
  <c r="R6" i="47"/>
  <c r="H7" i="42"/>
  <c r="G21" i="49"/>
  <c r="V91" i="42"/>
  <c r="H18" i="49"/>
  <c r="W77" i="42"/>
  <c r="V153" i="42"/>
  <c r="H12" i="40"/>
  <c r="W113" i="42"/>
  <c r="W259" i="42"/>
  <c r="W92" i="42"/>
  <c r="V134" i="42"/>
  <c r="E3" i="49"/>
  <c r="V109" i="40"/>
  <c r="W68" i="40"/>
  <c r="V7" i="40"/>
  <c r="J17" i="40"/>
  <c r="W109" i="42"/>
  <c r="F42" i="35"/>
  <c r="H9" i="40"/>
  <c r="H6" i="40"/>
  <c r="W213" i="42"/>
  <c r="V35" i="47"/>
  <c r="V161" i="42"/>
  <c r="V6" i="40"/>
  <c r="I4" i="40"/>
  <c r="F17" i="35"/>
  <c r="W105" i="40"/>
  <c r="V50" i="40"/>
  <c r="V46" i="42"/>
  <c r="V28" i="45"/>
  <c r="W82" i="42"/>
  <c r="H30" i="49"/>
  <c r="V142" i="42"/>
  <c r="W165" i="42"/>
  <c r="W205" i="42"/>
  <c r="W154" i="42"/>
  <c r="W195" i="42"/>
  <c r="T34" i="47"/>
  <c r="Q3" i="47"/>
  <c r="E3" i="43"/>
  <c r="V177" i="40"/>
  <c r="V16" i="40"/>
  <c r="I18" i="40"/>
  <c r="V24" i="42"/>
  <c r="V127" i="42"/>
  <c r="V121" i="42"/>
  <c r="V71" i="42"/>
  <c r="W101" i="42"/>
  <c r="V120" i="42"/>
  <c r="V138" i="42"/>
  <c r="W173" i="42"/>
  <c r="V22" i="42"/>
  <c r="W94" i="42"/>
  <c r="L24" i="39"/>
  <c r="K3" i="39"/>
  <c r="V98" i="40"/>
  <c r="V45" i="40"/>
  <c r="V215" i="42"/>
  <c r="I7" i="40"/>
  <c r="W133" i="42"/>
  <c r="L16" i="43"/>
  <c r="F4" i="43"/>
  <c r="V114" i="42"/>
  <c r="G20" i="49"/>
  <c r="W146" i="42"/>
  <c r="L15" i="39"/>
  <c r="V224" i="42"/>
  <c r="V228" i="42"/>
  <c r="R7" i="47"/>
  <c r="W208" i="40"/>
  <c r="V161" i="40"/>
  <c r="V118" i="40"/>
  <c r="V97" i="40"/>
  <c r="V75" i="40"/>
  <c r="V57" i="40"/>
  <c r="W41" i="40"/>
  <c r="W24" i="40"/>
  <c r="I10" i="42"/>
  <c r="H24" i="49"/>
  <c r="W53" i="42"/>
  <c r="W171" i="42"/>
  <c r="Q4" i="45"/>
  <c r="V234" i="42"/>
  <c r="V123" i="42"/>
  <c r="W104" i="42"/>
  <c r="W73" i="42"/>
  <c r="W10" i="42"/>
  <c r="V102" i="42"/>
  <c r="V111" i="42"/>
  <c r="V60" i="42"/>
  <c r="J20" i="40"/>
  <c r="W238" i="42"/>
  <c r="J15" i="40"/>
  <c r="L19" i="43"/>
  <c r="V186" i="42"/>
  <c r="V202" i="42"/>
  <c r="W208" i="42"/>
  <c r="W249" i="42"/>
  <c r="J11" i="40"/>
  <c r="W197" i="42"/>
  <c r="W159" i="42"/>
  <c r="G5" i="39"/>
  <c r="W5" i="40"/>
  <c r="W258" i="42"/>
  <c r="H20" i="49"/>
  <c r="W203" i="42"/>
  <c r="W139" i="42"/>
  <c r="V139" i="42"/>
  <c r="W36" i="42"/>
  <c r="V249" i="42"/>
  <c r="V203" i="42"/>
  <c r="J7" i="40"/>
  <c r="F38" i="35"/>
  <c r="V4" i="42"/>
  <c r="V100" i="42"/>
  <c r="W44" i="42"/>
  <c r="W227" i="42"/>
  <c r="G3" i="39"/>
  <c r="H19" i="48"/>
  <c r="V191" i="42"/>
  <c r="W3" i="40"/>
  <c r="W222" i="42"/>
  <c r="V98" i="42"/>
  <c r="W54" i="42"/>
  <c r="V188" i="42"/>
  <c r="W237" i="42"/>
  <c r="V254" i="42"/>
  <c r="W221" i="42"/>
  <c r="W74" i="42"/>
  <c r="W57" i="42"/>
  <c r="W192" i="40"/>
  <c r="I14" i="42"/>
  <c r="W145" i="42"/>
  <c r="F23" i="35"/>
  <c r="V211" i="42"/>
  <c r="T28" i="45"/>
  <c r="W18" i="42"/>
  <c r="K17" i="39"/>
  <c r="F21" i="35"/>
  <c r="W235" i="42"/>
  <c r="I5" i="40"/>
  <c r="R8" i="45"/>
  <c r="W81" i="40"/>
  <c r="V19" i="40"/>
  <c r="L18" i="43"/>
  <c r="F20" i="35"/>
  <c r="V151" i="42"/>
  <c r="H23" i="49"/>
  <c r="V240" i="42"/>
  <c r="V54" i="42"/>
  <c r="V117" i="42"/>
  <c r="W157" i="42"/>
  <c r="W41" i="42"/>
  <c r="Q8" i="45"/>
  <c r="R5" i="47"/>
  <c r="V105" i="40"/>
  <c r="V30" i="40"/>
  <c r="F15" i="35"/>
  <c r="I3" i="40"/>
  <c r="V93" i="42"/>
  <c r="V10" i="42"/>
  <c r="W19" i="42"/>
  <c r="V105" i="42"/>
  <c r="V40" i="42"/>
  <c r="W149" i="42"/>
  <c r="V192" i="42"/>
  <c r="W168" i="42"/>
  <c r="R4" i="45"/>
  <c r="W128" i="40"/>
  <c r="W29" i="40"/>
  <c r="W38" i="42"/>
  <c r="G19" i="48"/>
  <c r="V213" i="42"/>
  <c r="F39" i="35"/>
  <c r="V47" i="42"/>
  <c r="V258" i="42"/>
  <c r="F5" i="35"/>
  <c r="V23" i="42"/>
  <c r="W152" i="42"/>
  <c r="W164" i="42"/>
  <c r="L3" i="43"/>
  <c r="W196" i="40"/>
  <c r="W160" i="40"/>
  <c r="W116" i="40"/>
  <c r="V90" i="40"/>
  <c r="W73" i="40"/>
  <c r="W56" i="40"/>
  <c r="W37" i="40"/>
  <c r="V23" i="40"/>
  <c r="W10" i="40"/>
  <c r="V58" i="42"/>
  <c r="F22" i="35"/>
  <c r="W158" i="42"/>
  <c r="V31" i="42"/>
  <c r="F6" i="43"/>
  <c r="W255" i="42"/>
  <c r="W8" i="42"/>
  <c r="V44" i="42"/>
  <c r="H27" i="49"/>
  <c r="F4" i="39"/>
  <c r="V239" i="42"/>
  <c r="K20" i="39"/>
  <c r="V209" i="42"/>
  <c r="K15" i="39"/>
  <c r="K17" i="43"/>
  <c r="W61" i="42"/>
  <c r="V182" i="42"/>
  <c r="W22" i="42"/>
  <c r="V32" i="47"/>
  <c r="W172" i="42"/>
  <c r="K16" i="39"/>
  <c r="W95" i="42"/>
  <c r="G16" i="49"/>
  <c r="W5" i="42"/>
  <c r="V261" i="42"/>
  <c r="W211" i="42"/>
  <c r="H22" i="49"/>
  <c r="V86" i="42"/>
  <c r="V154" i="42"/>
  <c r="W153" i="42"/>
  <c r="W27" i="42"/>
  <c r="W93" i="42"/>
  <c r="V106" i="42"/>
  <c r="V87" i="42"/>
  <c r="W52" i="42"/>
  <c r="W31" i="42"/>
  <c r="W224" i="42"/>
  <c r="V236" i="42"/>
  <c r="V136" i="42"/>
  <c r="R7" i="45"/>
  <c r="G3" i="49"/>
  <c r="L3" i="39"/>
  <c r="F45" i="35"/>
  <c r="V113" i="42"/>
  <c r="V39" i="42"/>
  <c r="W49" i="42"/>
  <c r="J6" i="40"/>
  <c r="V207" i="42"/>
  <c r="W131" i="42"/>
  <c r="I10" i="40"/>
  <c r="F3" i="43"/>
  <c r="W175" i="42"/>
  <c r="F2" i="35"/>
  <c r="W120" i="42"/>
  <c r="V42" i="42"/>
  <c r="R5" i="45"/>
  <c r="V145" i="40"/>
  <c r="V37" i="40"/>
  <c r="W137" i="42"/>
  <c r="V78" i="42"/>
  <c r="V95" i="42"/>
  <c r="W177" i="42"/>
  <c r="J5" i="42"/>
  <c r="V164" i="42"/>
  <c r="G22" i="49"/>
  <c r="V260" i="42"/>
  <c r="V116" i="42"/>
  <c r="W201" i="42"/>
  <c r="V21" i="42"/>
  <c r="W144" i="40"/>
  <c r="W30" i="40"/>
  <c r="V133" i="42"/>
  <c r="V43" i="42"/>
  <c r="W230" i="42"/>
  <c r="V33" i="42"/>
  <c r="F9" i="35"/>
  <c r="W156" i="42"/>
  <c r="V99" i="42"/>
  <c r="W202" i="42"/>
  <c r="V135" i="42"/>
  <c r="L20" i="39"/>
  <c r="V208" i="42"/>
  <c r="V94" i="42"/>
  <c r="W132" i="40"/>
  <c r="W48" i="40"/>
  <c r="V53" i="42"/>
  <c r="V97" i="42"/>
  <c r="W55" i="42"/>
  <c r="F7" i="35"/>
  <c r="I9" i="40"/>
  <c r="V96" i="42"/>
  <c r="V168" i="42"/>
  <c r="V5" i="42"/>
  <c r="T35" i="47"/>
  <c r="F3" i="39"/>
  <c r="F36" i="35"/>
  <c r="V146" i="42"/>
  <c r="W176" i="40"/>
  <c r="V15" i="40"/>
  <c r="V64" i="42"/>
  <c r="W90" i="42"/>
  <c r="F34" i="35"/>
  <c r="W200" i="42"/>
  <c r="W199" i="42"/>
  <c r="W127" i="42"/>
  <c r="V76" i="42"/>
  <c r="V4" i="40"/>
  <c r="W37" i="42"/>
  <c r="W185" i="42"/>
  <c r="Q7" i="45"/>
  <c r="V193" i="40"/>
  <c r="W148" i="40"/>
  <c r="V117" i="40"/>
  <c r="W89" i="40"/>
  <c r="V70" i="40"/>
  <c r="W54" i="40"/>
  <c r="W36" i="40"/>
  <c r="V20" i="40"/>
  <c r="V11" i="40"/>
  <c r="L21" i="39"/>
  <c r="W69" i="42"/>
  <c r="V145" i="42"/>
  <c r="V129" i="42"/>
  <c r="I20" i="40"/>
  <c r="V80" i="42"/>
  <c r="W189" i="42"/>
  <c r="V181" i="40"/>
  <c r="V241" i="42"/>
  <c r="V79" i="42"/>
  <c r="V219" i="42"/>
  <c r="W257" i="42"/>
  <c r="V63" i="40"/>
  <c r="V9" i="42"/>
  <c r="W102" i="42"/>
  <c r="W182" i="42"/>
  <c r="W61" i="40"/>
  <c r="V14" i="42"/>
  <c r="W217" i="42"/>
  <c r="U13" i="47" a="1"/>
  <c r="Q9" i="47"/>
  <c r="W88" i="40"/>
  <c r="W49" i="40"/>
  <c r="G7" i="39"/>
  <c r="V128" i="42"/>
  <c r="F5" i="43"/>
  <c r="V130" i="42"/>
  <c r="K3" i="43"/>
  <c r="V69" i="40"/>
  <c r="W4" i="40"/>
  <c r="Q3" i="45"/>
  <c r="W47" i="42"/>
  <c r="V82" i="40"/>
  <c r="V255" i="42"/>
  <c r="W187" i="42"/>
  <c r="W26" i="45"/>
  <c r="W80" i="40"/>
  <c r="W130" i="42"/>
  <c r="H13" i="40"/>
  <c r="H25" i="49"/>
  <c r="W91" i="42"/>
  <c r="Q14" i="47" a="1"/>
  <c r="Q13" i="45" a="1"/>
  <c r="G3" i="43"/>
  <c r="H3" i="43"/>
  <c r="Q15" i="45" l="1"/>
  <c r="Q19" i="45"/>
  <c r="Q18" i="45"/>
  <c r="Q14" i="45"/>
  <c r="Q13" i="45"/>
  <c r="Q17" i="45"/>
  <c r="Q21" i="45"/>
  <c r="Q20" i="45"/>
  <c r="Q16" i="45"/>
  <c r="Q18" i="47"/>
  <c r="Q27" i="47"/>
  <c r="Q25" i="47"/>
  <c r="Q19" i="47"/>
  <c r="Q26" i="47"/>
  <c r="Q20" i="47"/>
  <c r="Q22" i="47"/>
  <c r="Q15" i="47"/>
  <c r="Q21" i="47"/>
  <c r="Q23" i="47"/>
  <c r="Q24" i="47"/>
  <c r="Q14" i="47"/>
  <c r="Q16" i="47"/>
  <c r="Q17" i="47"/>
  <c r="L13" i="40"/>
  <c r="X255" i="42"/>
  <c r="X82" i="40"/>
  <c r="X69" i="40"/>
  <c r="X130" i="42"/>
  <c r="I5" i="43"/>
  <c r="X128" i="42"/>
  <c r="U23" i="47"/>
  <c r="U25" i="47"/>
  <c r="U26" i="47"/>
  <c r="U22" i="47"/>
  <c r="U19" i="47"/>
  <c r="U21" i="47"/>
  <c r="U24" i="47"/>
  <c r="U18" i="47"/>
  <c r="U15" i="47"/>
  <c r="U16" i="47"/>
  <c r="U17" i="47"/>
  <c r="U27" i="47"/>
  <c r="U14" i="47"/>
  <c r="U13" i="47"/>
  <c r="U20" i="47"/>
  <c r="X14" i="42"/>
  <c r="X9" i="42"/>
  <c r="X63" i="40"/>
  <c r="X219" i="42"/>
  <c r="X79" i="42"/>
  <c r="X241" i="42"/>
  <c r="X181" i="40"/>
  <c r="X80" i="42"/>
  <c r="K20" i="40"/>
  <c r="P20" i="40" s="1"/>
  <c r="X129" i="42"/>
  <c r="X145" i="42"/>
  <c r="X11" i="40"/>
  <c r="X20" i="40"/>
  <c r="X70" i="40"/>
  <c r="X117" i="40"/>
  <c r="X193" i="40"/>
  <c r="X4" i="40"/>
  <c r="X76" i="42"/>
  <c r="X64" i="42"/>
  <c r="X15" i="40"/>
  <c r="X146" i="42"/>
  <c r="I3" i="39"/>
  <c r="X5" i="42"/>
  <c r="X168" i="42"/>
  <c r="X96" i="42"/>
  <c r="K9" i="40"/>
  <c r="P9" i="40" s="1"/>
  <c r="X97" i="42"/>
  <c r="X53" i="42"/>
  <c r="X94" i="42"/>
  <c r="X208" i="42"/>
  <c r="X135" i="42"/>
  <c r="X99" i="42"/>
  <c r="X33" i="42"/>
  <c r="X43" i="42"/>
  <c r="X133" i="42"/>
  <c r="X21" i="42"/>
  <c r="X116" i="42"/>
  <c r="X260" i="42"/>
  <c r="I22" i="49"/>
  <c r="X164" i="42"/>
  <c r="X95" i="42"/>
  <c r="X78" i="42"/>
  <c r="X37" i="40"/>
  <c r="X145" i="40"/>
  <c r="X42" i="42"/>
  <c r="I3" i="43"/>
  <c r="K10" i="40"/>
  <c r="P10" i="40" s="1"/>
  <c r="X207" i="42"/>
  <c r="X39" i="42"/>
  <c r="X113" i="42"/>
  <c r="N3" i="39"/>
  <c r="O3" i="39"/>
  <c r="M3" i="39"/>
  <c r="X136" i="42"/>
  <c r="X236" i="42"/>
  <c r="X87" i="42"/>
  <c r="X106" i="42"/>
  <c r="X154" i="42"/>
  <c r="X86" i="42"/>
  <c r="X261" i="42"/>
  <c r="I16" i="49"/>
  <c r="M16" i="39"/>
  <c r="U32" i="47"/>
  <c r="Y32" i="47" s="1"/>
  <c r="X182" i="42"/>
  <c r="M17" i="43"/>
  <c r="M15" i="39"/>
  <c r="X209" i="42"/>
  <c r="M20" i="39"/>
  <c r="X239" i="42"/>
  <c r="I4" i="39"/>
  <c r="X44" i="42"/>
  <c r="I6" i="43"/>
  <c r="X31" i="42"/>
  <c r="X58" i="42"/>
  <c r="X23" i="40"/>
  <c r="X90" i="40"/>
  <c r="N3" i="43"/>
  <c r="M3" i="43"/>
  <c r="O3" i="43"/>
  <c r="X23" i="42"/>
  <c r="X258" i="42"/>
  <c r="X47" i="42"/>
  <c r="X213" i="42"/>
  <c r="I19" i="48"/>
  <c r="X192" i="42"/>
  <c r="X40" i="42"/>
  <c r="X105" i="42"/>
  <c r="X10" i="42"/>
  <c r="X93" i="42"/>
  <c r="K3" i="40"/>
  <c r="L3" i="40" s="1"/>
  <c r="X30" i="40"/>
  <c r="X105" i="40"/>
  <c r="X117" i="42"/>
  <c r="X54" i="42"/>
  <c r="X240" i="42"/>
  <c r="X151" i="42"/>
  <c r="X19" i="40"/>
  <c r="K5" i="40"/>
  <c r="P5" i="40" s="1"/>
  <c r="M17" i="39"/>
  <c r="X211" i="42"/>
  <c r="K14" i="42"/>
  <c r="P14" i="42" s="1"/>
  <c r="X254" i="42"/>
  <c r="X188" i="42"/>
  <c r="X98" i="42"/>
  <c r="X191" i="42"/>
  <c r="X100" i="42"/>
  <c r="X4" i="42"/>
  <c r="X203" i="42"/>
  <c r="X249" i="42"/>
  <c r="X139" i="42"/>
  <c r="X202" i="42"/>
  <c r="X186" i="42"/>
  <c r="X60" i="42"/>
  <c r="X111" i="42"/>
  <c r="X102" i="42"/>
  <c r="X123" i="42"/>
  <c r="X234" i="42"/>
  <c r="K10" i="42"/>
  <c r="L10" i="42" s="1"/>
  <c r="X57" i="40"/>
  <c r="X75" i="40"/>
  <c r="X97" i="40"/>
  <c r="X118" i="40"/>
  <c r="X161" i="40"/>
  <c r="X228" i="42"/>
  <c r="X224" i="42"/>
  <c r="I20" i="49"/>
  <c r="X114" i="42"/>
  <c r="I4" i="43"/>
  <c r="K7" i="40"/>
  <c r="L7" i="40" s="1"/>
  <c r="X215" i="42"/>
  <c r="X45" i="40"/>
  <c r="X98" i="40"/>
  <c r="X22" i="42"/>
  <c r="X138" i="42"/>
  <c r="X120" i="42"/>
  <c r="X71" i="42"/>
  <c r="X121" i="42"/>
  <c r="X127" i="42"/>
  <c r="X24" i="42"/>
  <c r="K18" i="40"/>
  <c r="P18" i="40" s="1"/>
  <c r="X16" i="40"/>
  <c r="X177" i="40"/>
  <c r="X142" i="42"/>
  <c r="U28" i="45"/>
  <c r="X28" i="45" s="1"/>
  <c r="F6" i="48" s="1"/>
  <c r="X46" i="42"/>
  <c r="X50" i="40"/>
  <c r="K4" i="40"/>
  <c r="P4" i="40" s="1"/>
  <c r="X6" i="40"/>
  <c r="X161" i="42"/>
  <c r="U35" i="47"/>
  <c r="X35" i="47" s="1"/>
  <c r="X7" i="40"/>
  <c r="X109" i="40"/>
  <c r="X134" i="42"/>
  <c r="X153" i="42"/>
  <c r="X91" i="42"/>
  <c r="I21" i="49"/>
  <c r="X196" i="42"/>
  <c r="X109" i="42"/>
  <c r="X165" i="42"/>
  <c r="X198" i="42"/>
  <c r="X6" i="42"/>
  <c r="K17" i="40"/>
  <c r="P17" i="40" s="1"/>
  <c r="X81" i="42"/>
  <c r="K7" i="42"/>
  <c r="L7" i="42" s="1"/>
  <c r="X108" i="42"/>
  <c r="K13" i="40"/>
  <c r="P13" i="40" s="1"/>
  <c r="X200" i="42"/>
  <c r="K14" i="40"/>
  <c r="P14" i="40" s="1"/>
  <c r="X169" i="42"/>
  <c r="X214" i="42"/>
  <c r="X29" i="42"/>
  <c r="X83" i="42"/>
  <c r="X187" i="42"/>
  <c r="X34" i="42"/>
  <c r="I18" i="49"/>
  <c r="I5" i="39"/>
  <c r="X204" i="42"/>
  <c r="X25" i="40"/>
  <c r="X43" i="40"/>
  <c r="X62" i="40"/>
  <c r="X77" i="40"/>
  <c r="X129" i="40"/>
  <c r="X209" i="40"/>
  <c r="X213" i="40"/>
  <c r="X227" i="42"/>
  <c r="X3" i="42"/>
  <c r="X75" i="42"/>
  <c r="X12" i="40"/>
  <c r="X33" i="40"/>
  <c r="X38" i="40"/>
  <c r="X51" i="40"/>
  <c r="X58" i="40"/>
  <c r="X65" i="40"/>
  <c r="X133" i="40"/>
  <c r="X149" i="40"/>
  <c r="X165" i="40"/>
  <c r="X197" i="40"/>
  <c r="X126" i="42"/>
  <c r="X28" i="42"/>
  <c r="X125" i="42"/>
  <c r="K15" i="42"/>
  <c r="P15" i="42" s="1"/>
  <c r="X26" i="40"/>
  <c r="X39" i="40"/>
  <c r="X71" i="40"/>
  <c r="X78" i="40"/>
  <c r="X85" i="40"/>
  <c r="X93" i="40"/>
  <c r="X101" i="40"/>
  <c r="X121" i="40"/>
  <c r="X137" i="40"/>
  <c r="X153" i="40"/>
  <c r="X185" i="40"/>
  <c r="X201" i="40"/>
  <c r="X70" i="42"/>
  <c r="I30" i="49"/>
  <c r="X166" i="42"/>
  <c r="X13" i="42"/>
  <c r="X250" i="42"/>
  <c r="X89" i="42"/>
  <c r="X48" i="42"/>
  <c r="X150" i="42"/>
  <c r="U26" i="45"/>
  <c r="X26" i="45" s="1"/>
  <c r="M24" i="39"/>
  <c r="M18" i="43"/>
  <c r="X163" i="42"/>
  <c r="X185" i="42"/>
  <c r="K11" i="40"/>
  <c r="P11" i="40" s="1"/>
  <c r="X45" i="42"/>
  <c r="X157" i="42"/>
  <c r="X238" i="42"/>
  <c r="X195" i="42"/>
  <c r="X189" i="42"/>
  <c r="X160" i="42"/>
  <c r="X232" i="42"/>
  <c r="X155" i="42"/>
  <c r="X178" i="42"/>
  <c r="X176" i="42"/>
  <c r="X206" i="42"/>
  <c r="X36" i="42"/>
  <c r="X92" i="42"/>
  <c r="X122" i="42"/>
  <c r="X112" i="42"/>
  <c r="X257" i="42"/>
  <c r="X132" i="42"/>
  <c r="X220" i="42"/>
  <c r="X218" i="42"/>
  <c r="I19" i="49"/>
  <c r="X156" i="42"/>
  <c r="X233" i="42"/>
  <c r="X246" i="42"/>
  <c r="X50" i="42"/>
  <c r="X177" i="42"/>
  <c r="X199" i="42"/>
  <c r="X61" i="42"/>
  <c r="I27" i="49"/>
  <c r="X77" i="42"/>
  <c r="X201" i="42"/>
  <c r="X119" i="42"/>
  <c r="X167" i="42"/>
  <c r="I23" i="49"/>
  <c r="X52" i="42"/>
  <c r="X11" i="42"/>
  <c r="X56" i="42"/>
  <c r="X101" i="42"/>
  <c r="X55" i="42"/>
  <c r="X256" i="42"/>
  <c r="X103" i="42"/>
  <c r="X9" i="40"/>
  <c r="K11" i="42"/>
  <c r="L11" i="42" s="1"/>
  <c r="X17" i="40"/>
  <c r="X27" i="40"/>
  <c r="X34" i="40"/>
  <c r="X41" i="40"/>
  <c r="X46" i="40"/>
  <c r="X53" i="40"/>
  <c r="X73" i="40"/>
  <c r="X86" i="40"/>
  <c r="X102" i="40"/>
  <c r="X113" i="40"/>
  <c r="X169" i="40"/>
  <c r="X217" i="40"/>
  <c r="X110" i="42"/>
  <c r="X20" i="42"/>
  <c r="K6" i="42"/>
  <c r="L6" i="42" s="1"/>
  <c r="X7" i="42"/>
  <c r="I17" i="48"/>
  <c r="X251" i="42"/>
  <c r="X141" i="42"/>
  <c r="X210" i="42"/>
  <c r="X229" i="42"/>
  <c r="X68" i="42"/>
  <c r="K4" i="42"/>
  <c r="P4" i="42" s="1"/>
  <c r="X148" i="42"/>
  <c r="X62" i="42"/>
  <c r="X17" i="42"/>
  <c r="X172" i="42"/>
  <c r="X180" i="42"/>
  <c r="I15" i="49"/>
  <c r="X63" i="42"/>
  <c r="X104" i="42"/>
  <c r="X221" i="42"/>
  <c r="M16" i="43"/>
  <c r="X140" i="42"/>
  <c r="X216" i="42"/>
  <c r="X18" i="42"/>
  <c r="I16" i="48"/>
  <c r="X152" i="42"/>
  <c r="X244" i="42"/>
  <c r="I6" i="39"/>
  <c r="X158" i="42"/>
  <c r="X16" i="42"/>
  <c r="X30" i="42"/>
  <c r="X197" i="42"/>
  <c r="I26" i="49"/>
  <c r="K8" i="40"/>
  <c r="P8" i="40" s="1"/>
  <c r="X259" i="42"/>
  <c r="M15" i="43"/>
  <c r="I7" i="39"/>
  <c r="I15" i="48"/>
  <c r="U34" i="47"/>
  <c r="Y34" i="47" s="1"/>
  <c r="X74" i="42"/>
  <c r="K21" i="40"/>
  <c r="P21" i="40" s="1"/>
  <c r="X14" i="40"/>
  <c r="K13" i="42"/>
  <c r="L13" i="42" s="1"/>
  <c r="X47" i="40"/>
  <c r="X66" i="40"/>
  <c r="X79" i="40"/>
  <c r="X94" i="40"/>
  <c r="X125" i="40"/>
  <c r="X141" i="40"/>
  <c r="X189" i="40"/>
  <c r="X205" i="40"/>
  <c r="X221" i="40"/>
  <c r="X170" i="42"/>
  <c r="X41" i="42"/>
  <c r="I7" i="43"/>
  <c r="X107" i="42"/>
  <c r="X72" i="42"/>
  <c r="X212" i="42"/>
  <c r="X66" i="42"/>
  <c r="X205" i="42"/>
  <c r="X51" i="42"/>
  <c r="X85" i="42"/>
  <c r="X231" i="42"/>
  <c r="I25" i="49"/>
  <c r="X124" i="42"/>
  <c r="X248" i="42"/>
  <c r="X57" i="42"/>
  <c r="X252" i="42"/>
  <c r="X32" i="42"/>
  <c r="X175" i="42"/>
  <c r="X88" i="42"/>
  <c r="X162" i="42"/>
  <c r="X226" i="42"/>
  <c r="X242" i="42"/>
  <c r="M21" i="43"/>
  <c r="X137" i="42"/>
  <c r="X184" i="42"/>
  <c r="L14" i="40"/>
  <c r="X12" i="42"/>
  <c r="X38" i="42"/>
  <c r="K6" i="40"/>
  <c r="P6" i="40" s="1"/>
  <c r="X90" i="42"/>
  <c r="X37" i="42"/>
  <c r="M18" i="39"/>
  <c r="X15" i="42"/>
  <c r="U36" i="47"/>
  <c r="Y36" i="47" s="1"/>
  <c r="X190" i="42"/>
  <c r="M21" i="39"/>
  <c r="X49" i="42"/>
  <c r="X82" i="42"/>
  <c r="X65" i="42"/>
  <c r="K9" i="42"/>
  <c r="L9" i="42" s="1"/>
  <c r="X22" i="40"/>
  <c r="X29" i="40"/>
  <c r="X42" i="40"/>
  <c r="X49" i="40"/>
  <c r="X54" i="40"/>
  <c r="X61" i="40"/>
  <c r="X74" i="40"/>
  <c r="X81" i="40"/>
  <c r="X89" i="40"/>
  <c r="X114" i="40"/>
  <c r="X157" i="40"/>
  <c r="X173" i="40"/>
  <c r="X225" i="40"/>
  <c r="X229" i="40"/>
  <c r="X237" i="40"/>
  <c r="X241" i="40"/>
  <c r="X245" i="40"/>
  <c r="X253" i="40"/>
  <c r="X257" i="40"/>
  <c r="X233" i="40"/>
  <c r="X249" i="40"/>
  <c r="X261" i="40"/>
  <c r="X130" i="40"/>
  <c r="X142" i="40"/>
  <c r="X150" i="40"/>
  <c r="X154" i="40"/>
  <c r="X162" i="40"/>
  <c r="X166" i="40"/>
  <c r="X182" i="40"/>
  <c r="X186" i="40"/>
  <c r="X190" i="40"/>
  <c r="X198" i="40"/>
  <c r="X210" i="40"/>
  <c r="X222" i="40"/>
  <c r="X226" i="40"/>
  <c r="X230" i="40"/>
  <c r="X242" i="40"/>
  <c r="X246" i="40"/>
  <c r="X262" i="40"/>
  <c r="X106" i="40"/>
  <c r="X110" i="40"/>
  <c r="X122" i="40"/>
  <c r="X126" i="40"/>
  <c r="X134" i="40"/>
  <c r="X138" i="40"/>
  <c r="X146" i="40"/>
  <c r="X158" i="40"/>
  <c r="X170" i="40"/>
  <c r="X174" i="40"/>
  <c r="X178" i="40"/>
  <c r="X194" i="40"/>
  <c r="X202" i="40"/>
  <c r="X206" i="40"/>
  <c r="X214" i="40"/>
  <c r="X218" i="40"/>
  <c r="X234" i="40"/>
  <c r="X238" i="40"/>
  <c r="X250" i="40"/>
  <c r="X254" i="40"/>
  <c r="X258" i="40"/>
  <c r="X95" i="40"/>
  <c r="X115" i="40"/>
  <c r="X131" i="40"/>
  <c r="X143" i="40"/>
  <c r="X151" i="40"/>
  <c r="X155" i="40"/>
  <c r="X163" i="40"/>
  <c r="X171" i="40"/>
  <c r="X175" i="40"/>
  <c r="X183" i="40"/>
  <c r="X191" i="40"/>
  <c r="X195" i="40"/>
  <c r="X207" i="40"/>
  <c r="X215" i="40"/>
  <c r="X219" i="40"/>
  <c r="X227" i="40"/>
  <c r="X231" i="40"/>
  <c r="X235" i="40"/>
  <c r="X239" i="40"/>
  <c r="X247" i="40"/>
  <c r="X259" i="40"/>
  <c r="P11" i="42"/>
  <c r="X3" i="40"/>
  <c r="X253" i="42"/>
  <c r="X144" i="42"/>
  <c r="X174" i="42"/>
  <c r="M19" i="43"/>
  <c r="X35" i="42"/>
  <c r="K19" i="40"/>
  <c r="P19" i="40" s="1"/>
  <c r="U21" i="45"/>
  <c r="U18" i="45"/>
  <c r="U14" i="45"/>
  <c r="U15" i="45"/>
  <c r="U17" i="45"/>
  <c r="U16" i="45"/>
  <c r="U12" i="45"/>
  <c r="U13" i="45"/>
  <c r="U20" i="45"/>
  <c r="U19" i="45"/>
  <c r="X171" i="42"/>
  <c r="K12" i="40"/>
  <c r="P12" i="40" s="1"/>
  <c r="U27" i="45"/>
  <c r="X27" i="45" s="1"/>
  <c r="F5" i="48" s="1"/>
  <c r="X225" i="42"/>
  <c r="X147" i="42"/>
  <c r="X69" i="42"/>
  <c r="X115" i="42"/>
  <c r="X247" i="42"/>
  <c r="X237" i="42"/>
  <c r="K3" i="42"/>
  <c r="P3" i="42" s="1"/>
  <c r="J3" i="43" s="1"/>
  <c r="X5" i="40"/>
  <c r="M23" i="39"/>
  <c r="I24" i="49"/>
  <c r="X230" i="42"/>
  <c r="I18" i="48"/>
  <c r="X26" i="42"/>
  <c r="I28" i="49"/>
  <c r="M20" i="43"/>
  <c r="X31" i="40"/>
  <c r="X35" i="40"/>
  <c r="X55" i="40"/>
  <c r="X59" i="40"/>
  <c r="X67" i="40"/>
  <c r="X83" i="40"/>
  <c r="X87" i="40"/>
  <c r="X91" i="40"/>
  <c r="X99" i="40"/>
  <c r="X103" i="40"/>
  <c r="X107" i="40"/>
  <c r="X111" i="40"/>
  <c r="X119" i="40"/>
  <c r="X123" i="40"/>
  <c r="X127" i="40"/>
  <c r="X135" i="40"/>
  <c r="X139" i="40"/>
  <c r="X147" i="40"/>
  <c r="X159" i="40"/>
  <c r="X167" i="40"/>
  <c r="X179" i="40"/>
  <c r="X187" i="40"/>
  <c r="X199" i="40"/>
  <c r="X203" i="40"/>
  <c r="X211" i="40"/>
  <c r="X223" i="40"/>
  <c r="X243" i="40"/>
  <c r="X251" i="40"/>
  <c r="X255" i="40"/>
  <c r="K5" i="42"/>
  <c r="P5" i="42" s="1"/>
  <c r="X8" i="42"/>
  <c r="X159" i="42"/>
  <c r="X194" i="42"/>
  <c r="U33" i="47"/>
  <c r="X33" i="47" s="1"/>
  <c r="F6" i="49" s="1"/>
  <c r="X19" i="42"/>
  <c r="I17" i="49"/>
  <c r="X59" i="42"/>
  <c r="X67" i="42"/>
  <c r="K15" i="40"/>
  <c r="P15" i="40" s="1"/>
  <c r="X179" i="42"/>
  <c r="M22" i="39"/>
  <c r="U31" i="47"/>
  <c r="Y31" i="47" s="1"/>
  <c r="X143" i="42"/>
  <c r="X193" i="42"/>
  <c r="K8" i="42"/>
  <c r="P8" i="42" s="1"/>
  <c r="X10" i="40"/>
  <c r="K12" i="42"/>
  <c r="L12" i="42" s="1"/>
  <c r="X18" i="40"/>
  <c r="X21" i="40"/>
  <c r="X24" i="40"/>
  <c r="X44" i="40"/>
  <c r="X48" i="40"/>
  <c r="X56" i="40"/>
  <c r="X64" i="40"/>
  <c r="X72" i="40"/>
  <c r="X84" i="40"/>
  <c r="X88" i="40"/>
  <c r="X92" i="40"/>
  <c r="X100" i="40"/>
  <c r="X104" i="40"/>
  <c r="X112" i="40"/>
  <c r="X116" i="40"/>
  <c r="X120" i="40"/>
  <c r="X124" i="40"/>
  <c r="X128" i="40"/>
  <c r="X132" i="40"/>
  <c r="X136" i="40"/>
  <c r="X144" i="40"/>
  <c r="X148" i="40"/>
  <c r="X156" i="40"/>
  <c r="X168" i="40"/>
  <c r="X172" i="40"/>
  <c r="X176" i="40"/>
  <c r="X188" i="40"/>
  <c r="X192" i="40"/>
  <c r="X196" i="40"/>
  <c r="X204" i="40"/>
  <c r="X212" i="40"/>
  <c r="X224" i="40"/>
  <c r="X228" i="40"/>
  <c r="X232" i="40"/>
  <c r="X240" i="40"/>
  <c r="X248" i="40"/>
  <c r="X252" i="40"/>
  <c r="X256" i="40"/>
  <c r="X245" i="42"/>
  <c r="X181" i="42"/>
  <c r="X149" i="42"/>
  <c r="X183" i="42"/>
  <c r="K16" i="40"/>
  <c r="P16" i="40" s="1"/>
  <c r="M19" i="39"/>
  <c r="P6" i="42"/>
  <c r="X217" i="42"/>
  <c r="X27" i="42"/>
  <c r="X222" i="42"/>
  <c r="X131" i="42"/>
  <c r="X223" i="42"/>
  <c r="I29" i="49"/>
  <c r="X235" i="42"/>
  <c r="X118" i="42"/>
  <c r="X173" i="42"/>
  <c r="X243" i="42"/>
  <c r="X73" i="42"/>
  <c r="X84" i="42"/>
  <c r="X25" i="42"/>
  <c r="L18" i="40"/>
  <c r="X8" i="40"/>
  <c r="X13" i="40"/>
  <c r="X28" i="40"/>
  <c r="X32" i="40"/>
  <c r="X36" i="40"/>
  <c r="X40" i="40"/>
  <c r="X52" i="40"/>
  <c r="X60" i="40"/>
  <c r="X68" i="40"/>
  <c r="X76" i="40"/>
  <c r="X80" i="40"/>
  <c r="X96" i="40"/>
  <c r="X108" i="40"/>
  <c r="X140" i="40"/>
  <c r="X152" i="40"/>
  <c r="X160" i="40"/>
  <c r="X164" i="40"/>
  <c r="X180" i="40"/>
  <c r="X184" i="40"/>
  <c r="X200" i="40"/>
  <c r="X208" i="40"/>
  <c r="X216" i="40"/>
  <c r="X220" i="40"/>
  <c r="X236" i="40"/>
  <c r="X244" i="40"/>
  <c r="X260" i="40"/>
  <c r="U29" i="45"/>
  <c r="X29" i="45" s="1"/>
  <c r="F7" i="48" s="1"/>
  <c r="U3" i="39" a="1"/>
  <c r="U13" i="39" a="1"/>
  <c r="U9" i="39" a="1"/>
  <c r="R14" i="47" a="1"/>
  <c r="U9" i="43" a="1"/>
  <c r="U13" i="43" a="1"/>
  <c r="U3" i="43" a="1"/>
  <c r="S3" i="43" a="1"/>
  <c r="H3" i="48"/>
  <c r="T9" i="43" a="1"/>
  <c r="T3" i="43" a="1"/>
  <c r="H3" i="49"/>
  <c r="T3" i="39" a="1"/>
  <c r="T9" i="39" a="1"/>
  <c r="S3" i="39" a="1"/>
  <c r="R13" i="45" a="1"/>
  <c r="L11" i="40" l="1"/>
  <c r="L4" i="40"/>
  <c r="L21" i="40"/>
  <c r="L17" i="40"/>
  <c r="L9" i="40"/>
  <c r="P12" i="42"/>
  <c r="P10" i="42"/>
  <c r="L5" i="40"/>
  <c r="L15" i="40"/>
  <c r="Y35" i="47"/>
  <c r="P3" i="40"/>
  <c r="J3" i="39" s="1"/>
  <c r="L8" i="40"/>
  <c r="P7" i="42"/>
  <c r="L6" i="40"/>
  <c r="L10" i="40"/>
  <c r="L3" i="42"/>
  <c r="L15" i="42"/>
  <c r="X32" i="47"/>
  <c r="F5" i="49" s="1"/>
  <c r="P9" i="42"/>
  <c r="L8" i="42"/>
  <c r="R16" i="45"/>
  <c r="R21" i="45"/>
  <c r="R19" i="45"/>
  <c r="R18" i="45"/>
  <c r="R14" i="45"/>
  <c r="R20" i="45"/>
  <c r="R17" i="45"/>
  <c r="R15" i="45"/>
  <c r="R13" i="45"/>
  <c r="S3" i="39"/>
  <c r="S4" i="39"/>
  <c r="S5" i="39"/>
  <c r="T10" i="39"/>
  <c r="T9" i="39"/>
  <c r="T4" i="39"/>
  <c r="T3" i="39"/>
  <c r="T5" i="39"/>
  <c r="K3" i="49"/>
  <c r="I3" i="49"/>
  <c r="J3" i="49"/>
  <c r="T5" i="43"/>
  <c r="T4" i="43"/>
  <c r="T3" i="43"/>
  <c r="T9" i="43"/>
  <c r="T10" i="43"/>
  <c r="J3" i="48"/>
  <c r="I3" i="48"/>
  <c r="K3" i="48"/>
  <c r="S3" i="43"/>
  <c r="S4" i="43"/>
  <c r="S5" i="43"/>
  <c r="U3" i="43"/>
  <c r="U5" i="43"/>
  <c r="U4" i="43"/>
  <c r="U13" i="43"/>
  <c r="AA13" i="43" s="1"/>
  <c r="U9" i="43"/>
  <c r="U10" i="43"/>
  <c r="R17" i="47"/>
  <c r="R14" i="47"/>
  <c r="R24" i="47"/>
  <c r="R18" i="47"/>
  <c r="R19" i="47"/>
  <c r="R25" i="47"/>
  <c r="R16" i="47"/>
  <c r="R15" i="47"/>
  <c r="R26" i="47"/>
  <c r="R22" i="47"/>
  <c r="R23" i="47"/>
  <c r="R20" i="47"/>
  <c r="R21" i="47"/>
  <c r="R27" i="47"/>
  <c r="U9" i="39"/>
  <c r="U10" i="39"/>
  <c r="U13" i="39"/>
  <c r="AA13" i="39" s="1"/>
  <c r="U5" i="39"/>
  <c r="U3" i="39"/>
  <c r="U4" i="39"/>
  <c r="X31" i="47"/>
  <c r="L5" i="42"/>
  <c r="X36" i="47"/>
  <c r="P7" i="40"/>
  <c r="Y33" i="47"/>
  <c r="L16" i="40"/>
  <c r="L14" i="42"/>
  <c r="L12" i="40"/>
  <c r="P13" i="42"/>
  <c r="L20" i="40"/>
  <c r="X34" i="47"/>
  <c r="F7" i="49" s="1"/>
  <c r="L19" i="40"/>
  <c r="L4" i="42"/>
  <c r="F4" i="48"/>
  <c r="F3" i="48"/>
  <c r="O3" i="49" a="1"/>
  <c r="P9" i="48" a="1"/>
  <c r="P3" i="48" a="1"/>
  <c r="Q13" i="49" a="1"/>
  <c r="Q9" i="49" a="1"/>
  <c r="Q3" i="49" a="1"/>
  <c r="Q13" i="48" a="1"/>
  <c r="Q9" i="48" a="1"/>
  <c r="Q3" i="48" a="1"/>
  <c r="P3" i="49" a="1"/>
  <c r="P9" i="49" a="1"/>
  <c r="O3" i="48" a="1"/>
  <c r="AA9" i="43" l="1" a="1"/>
  <c r="AA9" i="39" a="1"/>
  <c r="O5" i="48"/>
  <c r="O4" i="48"/>
  <c r="O3" i="48"/>
  <c r="P9" i="49"/>
  <c r="P10" i="49"/>
  <c r="P4" i="49"/>
  <c r="P3" i="49"/>
  <c r="P5" i="49"/>
  <c r="Q5" i="48"/>
  <c r="Q3" i="48"/>
  <c r="Q4" i="48"/>
  <c r="Q10" i="48"/>
  <c r="Q9" i="48"/>
  <c r="Q13" i="48"/>
  <c r="W13" i="48" s="1"/>
  <c r="Q3" i="49"/>
  <c r="Q4" i="49"/>
  <c r="Q5" i="49"/>
  <c r="Q9" i="49"/>
  <c r="Q10" i="49"/>
  <c r="Q13" i="49"/>
  <c r="W13" i="49" s="1"/>
  <c r="P4" i="48"/>
  <c r="P3" i="48"/>
  <c r="P5" i="48"/>
  <c r="P10" i="48"/>
  <c r="P9" i="48"/>
  <c r="O3" i="49"/>
  <c r="O5" i="49"/>
  <c r="O4" i="49"/>
  <c r="AA10" i="43"/>
  <c r="AB9" i="43"/>
  <c r="AB10" i="43"/>
  <c r="AA9" i="43"/>
  <c r="AA9" i="39"/>
  <c r="AA10" i="39"/>
  <c r="AB9" i="39"/>
  <c r="AB10" i="39"/>
  <c r="AA3" i="43" a="1"/>
  <c r="F4" i="49"/>
  <c r="F3" i="49"/>
  <c r="AA3" i="39" a="1"/>
  <c r="AB5" i="39" l="1"/>
  <c r="AA4" i="39"/>
  <c r="AB4" i="39"/>
  <c r="AA3" i="39"/>
  <c r="AA5" i="39"/>
  <c r="AC5" i="39"/>
  <c r="AC4" i="39"/>
  <c r="AB3" i="39"/>
  <c r="AC3" i="39"/>
  <c r="AC4" i="43"/>
  <c r="AA4" i="43"/>
  <c r="AA3" i="43"/>
  <c r="AB3" i="43"/>
  <c r="AC3" i="43"/>
  <c r="AB5" i="43"/>
  <c r="AB4" i="43"/>
  <c r="AA5" i="43"/>
  <c r="AC5" i="43"/>
  <c r="W9" i="49" a="1"/>
  <c r="W3" i="48" a="1"/>
  <c r="W3" i="49" a="1"/>
  <c r="W9" i="48" a="1"/>
  <c r="X10" i="48" l="1"/>
  <c r="W9" i="48"/>
  <c r="X9" i="48"/>
  <c r="W10" i="48"/>
  <c r="Y5" i="49"/>
  <c r="Y3" i="49"/>
  <c r="W4" i="49"/>
  <c r="X5" i="49"/>
  <c r="W3" i="49"/>
  <c r="Y4" i="49"/>
  <c r="X4" i="49"/>
  <c r="X3" i="49"/>
  <c r="W5" i="49"/>
  <c r="Y4" i="48"/>
  <c r="X3" i="48"/>
  <c r="W5" i="48"/>
  <c r="W3" i="48"/>
  <c r="X4" i="48"/>
  <c r="Y3" i="48"/>
  <c r="X5" i="48"/>
  <c r="W4" i="48"/>
  <c r="Y5" i="48"/>
  <c r="X10" i="49"/>
  <c r="W9" i="49"/>
  <c r="X9" i="49"/>
  <c r="W10" i="49"/>
  <c r="N1" i="42" l="1"/>
  <c r="U130" i="42"/>
  <c r="U68" i="42"/>
  <c r="U105" i="42"/>
  <c r="U148" i="42"/>
  <c r="U64" i="42"/>
  <c r="U102" i="42"/>
  <c r="U173" i="42"/>
  <c r="U77" i="42"/>
  <c r="U116" i="42"/>
  <c r="U136" i="42"/>
  <c r="U162" i="42"/>
  <c r="U112" i="42"/>
  <c r="U175" i="42"/>
  <c r="U28" i="42"/>
  <c r="U233" i="42"/>
  <c r="U30" i="42"/>
  <c r="U160" i="42"/>
  <c r="U33" i="42"/>
  <c r="U132" i="42"/>
  <c r="U212" i="42"/>
  <c r="U5" i="42"/>
  <c r="N10" i="42"/>
  <c r="U222" i="42"/>
  <c r="U170" i="42"/>
  <c r="U187" i="42"/>
  <c r="U206" i="42"/>
  <c r="N1" i="40"/>
  <c r="U107" i="40"/>
  <c r="U232" i="40"/>
  <c r="N9" i="40"/>
  <c r="U134" i="40"/>
  <c r="U181" i="40"/>
  <c r="U98" i="40"/>
  <c r="U187" i="40"/>
  <c r="U217" i="40"/>
  <c r="U189" i="40"/>
  <c r="U125" i="40"/>
  <c r="U53" i="40"/>
  <c r="U121" i="40"/>
  <c r="U127" i="40"/>
  <c r="U23" i="40"/>
  <c r="N13" i="40"/>
  <c r="U55" i="40"/>
  <c r="U101" i="40"/>
  <c r="U29" i="40"/>
  <c r="U216" i="40"/>
  <c r="U16" i="40"/>
  <c r="N14" i="40"/>
  <c r="U250" i="40"/>
  <c r="N12" i="40"/>
  <c r="U162" i="40"/>
  <c r="U84" i="40"/>
  <c r="U26" i="40"/>
  <c r="U32" i="40"/>
  <c r="U43" i="40"/>
  <c r="N15" i="40"/>
  <c r="U248" i="40"/>
  <c r="U234" i="40"/>
  <c r="U71" i="40"/>
  <c r="U119" i="40"/>
  <c r="N4" i="40"/>
  <c r="U139" i="40"/>
  <c r="U122" i="40"/>
  <c r="N19" i="40"/>
  <c r="U17" i="40"/>
  <c r="U193" i="40"/>
  <c r="U205" i="40"/>
  <c r="U106" i="40"/>
  <c r="U56" i="40"/>
  <c r="U12" i="40"/>
  <c r="U131" i="40"/>
  <c r="U207" i="40"/>
  <c r="U133" i="40"/>
  <c r="U44" i="40"/>
  <c r="U164" i="42"/>
  <c r="U103" i="42"/>
  <c r="U123" i="42"/>
  <c r="U79" i="42"/>
  <c r="U18" i="40"/>
  <c r="U236" i="40"/>
  <c r="U153" i="40"/>
  <c r="U243" i="40"/>
  <c r="U74" i="40"/>
  <c r="U166" i="40"/>
  <c r="U121" i="42"/>
  <c r="U6" i="42"/>
  <c r="U86" i="42"/>
  <c r="U27" i="42"/>
  <c r="U120" i="42"/>
  <c r="U35" i="42"/>
  <c r="U85" i="42"/>
  <c r="U126" i="42"/>
  <c r="U244" i="42"/>
  <c r="U260" i="42"/>
  <c r="U39" i="42"/>
  <c r="U226" i="42"/>
  <c r="U45" i="42"/>
  <c r="U151" i="40"/>
  <c r="U153" i="42"/>
  <c r="U147" i="40"/>
  <c r="N11" i="40"/>
  <c r="U25" i="40"/>
  <c r="U77" i="40"/>
  <c r="U169" i="40"/>
  <c r="U54" i="40"/>
  <c r="U57" i="40"/>
  <c r="U92" i="40"/>
  <c r="U160" i="40"/>
  <c r="U58" i="40"/>
  <c r="U224" i="40"/>
  <c r="U179" i="40"/>
  <c r="U90" i="40"/>
  <c r="U117" i="40"/>
  <c r="U88" i="40"/>
  <c r="U148" i="40"/>
  <c r="U66" i="40"/>
  <c r="U97" i="40"/>
  <c r="U35" i="40"/>
  <c r="U46" i="40"/>
  <c r="U163" i="40"/>
  <c r="U252" i="40"/>
  <c r="N16" i="40"/>
  <c r="U111" i="40"/>
  <c r="U30" i="40"/>
  <c r="N17" i="40"/>
  <c r="U129" i="40"/>
  <c r="U27" i="40"/>
  <c r="U253" i="40"/>
  <c r="U201" i="40"/>
  <c r="U87" i="40"/>
  <c r="N20" i="40"/>
  <c r="U218" i="40"/>
  <c r="U172" i="40"/>
  <c r="U159" i="40"/>
  <c r="U175" i="40"/>
  <c r="U190" i="40"/>
  <c r="U244" i="40"/>
  <c r="U185" i="40"/>
  <c r="U178" i="42"/>
  <c r="U147" i="42"/>
  <c r="D41" i="29"/>
  <c r="G42" i="35"/>
  <c r="G5" i="35"/>
  <c r="G46" i="35"/>
  <c r="G8" i="35"/>
  <c r="G40" i="35"/>
  <c r="G45" i="35"/>
  <c r="G50" i="35"/>
  <c r="G19" i="35"/>
  <c r="G47" i="35"/>
  <c r="G39" i="35"/>
  <c r="G20" i="35"/>
  <c r="G38" i="35"/>
  <c r="G22" i="35"/>
  <c r="G3" i="35"/>
  <c r="U95" i="42"/>
  <c r="G33" i="35"/>
  <c r="U194" i="40"/>
  <c r="U79" i="40"/>
  <c r="U261" i="40"/>
  <c r="U209" i="40"/>
  <c r="U157" i="40"/>
  <c r="U25" i="42"/>
  <c r="U54" i="42"/>
  <c r="U67" i="42"/>
  <c r="G25" i="35"/>
  <c r="U50" i="40"/>
  <c r="U214" i="40"/>
  <c r="U173" i="40"/>
  <c r="U109" i="40"/>
  <c r="U13" i="40"/>
  <c r="J4" i="43"/>
  <c r="J5" i="43"/>
  <c r="J6" i="43"/>
  <c r="J7" i="43"/>
  <c r="Y13" i="43" a="1"/>
  <c r="Y13" i="43"/>
  <c r="W13" i="43"/>
  <c r="AH59" i="43" s="1"/>
  <c r="AH10" i="43"/>
  <c r="AH27" i="43"/>
  <c r="AH19" i="43"/>
  <c r="AH8" i="43"/>
  <c r="AH18" i="43"/>
  <c r="AH28" i="43"/>
  <c r="AH52" i="43"/>
  <c r="AH58" i="43"/>
  <c r="AH56" i="43"/>
  <c r="AH16" i="43"/>
  <c r="AH48" i="43"/>
  <c r="AH23" i="43"/>
  <c r="AH33" i="43"/>
  <c r="AH46" i="43"/>
  <c r="AH24" i="43"/>
  <c r="AH4" i="43"/>
  <c r="AH44" i="43"/>
  <c r="AH38" i="43"/>
  <c r="AH32" i="43"/>
  <c r="AH45" i="43"/>
  <c r="AH63" i="43"/>
  <c r="AH3" i="43"/>
  <c r="AH30" i="43"/>
  <c r="AH26" i="43"/>
  <c r="AH47" i="43"/>
  <c r="AH31" i="43"/>
  <c r="AH29" i="43"/>
  <c r="AH36" i="43"/>
  <c r="AH9" i="43"/>
  <c r="AH55" i="43"/>
  <c r="AH54" i="43"/>
  <c r="AH34" i="43"/>
  <c r="AH25" i="43"/>
  <c r="AH35" i="43"/>
  <c r="AH40" i="43"/>
  <c r="AH7" i="43"/>
  <c r="AH14" i="43"/>
  <c r="AH60" i="43"/>
  <c r="AH57" i="43"/>
  <c r="AH37" i="43"/>
  <c r="AH64" i="43"/>
  <c r="AH13" i="43"/>
  <c r="U74" i="42"/>
  <c r="U23" i="42"/>
  <c r="U98" i="42"/>
  <c r="U229" i="40"/>
  <c r="G24" i="35"/>
  <c r="U165" i="40"/>
  <c r="U95" i="40"/>
  <c r="U41" i="40"/>
  <c r="U91" i="40"/>
  <c r="U3" i="49" a="1"/>
  <c r="AH6" i="43" l="1"/>
  <c r="AH65" i="43"/>
  <c r="AH12" i="43"/>
  <c r="AH51" i="43"/>
  <c r="AH49" i="43"/>
  <c r="AH20" i="43"/>
  <c r="AH17" i="43"/>
  <c r="AH15" i="43"/>
  <c r="AH42" i="43"/>
  <c r="AH11" i="43"/>
  <c r="AH21" i="43"/>
  <c r="AH61" i="43"/>
  <c r="AH53" i="43"/>
  <c r="AH41" i="43"/>
  <c r="AH62" i="43"/>
  <c r="AH5" i="43"/>
  <c r="AH50" i="43"/>
  <c r="AH43" i="43"/>
  <c r="AH39" i="43"/>
  <c r="AH22" i="43"/>
  <c r="U5" i="49"/>
  <c r="U4" i="49"/>
  <c r="U3" i="49"/>
  <c r="U145" i="42"/>
  <c r="U97" i="42"/>
  <c r="U200" i="42"/>
  <c r="U159" i="42"/>
  <c r="U152" i="42"/>
  <c r="U146" i="42"/>
  <c r="U11" i="42"/>
  <c r="U240" i="42"/>
  <c r="U9" i="49" a="1"/>
  <c r="U10" i="49"/>
  <c r="U9" i="49"/>
  <c r="U66" i="42"/>
  <c r="U204" i="42"/>
  <c r="U156" i="42"/>
  <c r="U16" i="42"/>
  <c r="U47" i="42"/>
  <c r="G13" i="35"/>
  <c r="U230" i="42"/>
  <c r="U155" i="40"/>
  <c r="U198" i="42"/>
  <c r="U130" i="40"/>
  <c r="U242" i="40"/>
  <c r="N6" i="40"/>
  <c r="G36" i="35"/>
  <c r="G35" i="35"/>
  <c r="G44" i="35"/>
  <c r="U178" i="40"/>
  <c r="U227" i="40"/>
  <c r="U149" i="40"/>
  <c r="U142" i="40"/>
  <c r="U118" i="40"/>
  <c r="U14" i="40"/>
  <c r="U167" i="40"/>
  <c r="U208" i="40"/>
  <c r="U228" i="40"/>
  <c r="U180" i="40"/>
  <c r="U20" i="40"/>
  <c r="U108" i="40"/>
  <c r="U63" i="40"/>
  <c r="U39" i="40"/>
  <c r="U45" i="40"/>
  <c r="U47" i="40"/>
  <c r="N21" i="40"/>
  <c r="U245" i="40"/>
  <c r="U206" i="40"/>
  <c r="G27" i="35"/>
  <c r="G37" i="35"/>
  <c r="U260" i="40"/>
  <c r="U82" i="40"/>
  <c r="U249" i="40"/>
  <c r="U40" i="40"/>
  <c r="N8" i="40"/>
  <c r="U8" i="40"/>
  <c r="N5" i="40"/>
  <c r="U230" i="40"/>
  <c r="U68" i="40"/>
  <c r="U104" i="42"/>
  <c r="U51" i="42"/>
  <c r="U254" i="42"/>
  <c r="U40" i="42"/>
  <c r="U22" i="42"/>
  <c r="U105" i="40"/>
  <c r="U63" i="42"/>
  <c r="G12" i="35"/>
  <c r="U7" i="40"/>
  <c r="U182" i="40"/>
  <c r="U251" i="40"/>
  <c r="U104" i="40"/>
  <c r="U81" i="40"/>
  <c r="N13" i="42"/>
  <c r="N5" i="42"/>
  <c r="U259" i="40"/>
  <c r="U33" i="40"/>
  <c r="G43" i="35"/>
  <c r="U141" i="40"/>
  <c r="U28" i="40"/>
  <c r="U170" i="40"/>
  <c r="U38" i="40"/>
  <c r="U149" i="42"/>
  <c r="U231" i="42"/>
  <c r="U53" i="42"/>
  <c r="U207" i="42"/>
  <c r="U100" i="42"/>
  <c r="G2" i="35"/>
  <c r="U6" i="40"/>
  <c r="U36" i="40"/>
  <c r="U96" i="40"/>
  <c r="U186" i="40"/>
  <c r="U238" i="40"/>
  <c r="U107" i="42"/>
  <c r="U26" i="42"/>
  <c r="U142" i="42"/>
  <c r="U174" i="42"/>
  <c r="U250" i="42"/>
  <c r="U171" i="42"/>
  <c r="U225" i="42"/>
  <c r="U155" i="42"/>
  <c r="U13" i="49" a="1"/>
  <c r="U13" i="49"/>
  <c r="U246" i="42"/>
  <c r="U235" i="42"/>
  <c r="U202" i="42"/>
  <c r="U133" i="42"/>
  <c r="U57" i="42"/>
  <c r="U15" i="42"/>
  <c r="U118" i="42"/>
  <c r="G15" i="35"/>
  <c r="U59" i="42"/>
  <c r="G14" i="35"/>
  <c r="U215" i="42"/>
  <c r="U210" i="40"/>
  <c r="U103" i="40"/>
  <c r="U94" i="42"/>
  <c r="U213" i="42"/>
  <c r="U190" i="42"/>
  <c r="U183" i="42"/>
  <c r="U80" i="40"/>
  <c r="U78" i="40"/>
  <c r="U15" i="40"/>
  <c r="U76" i="40"/>
  <c r="U158" i="42"/>
  <c r="N3" i="40"/>
  <c r="U128" i="40"/>
  <c r="U200" i="40"/>
  <c r="U257" i="42"/>
  <c r="U161" i="42"/>
  <c r="N14" i="42"/>
  <c r="U166" i="42"/>
  <c r="U191" i="42"/>
  <c r="U223" i="42"/>
  <c r="U20" i="42"/>
  <c r="U127" i="42"/>
  <c r="U119" i="42"/>
  <c r="U13" i="48" a="1"/>
  <c r="U13" i="48"/>
  <c r="S13" i="48"/>
  <c r="AD10" i="48" s="1"/>
  <c r="AD5" i="48"/>
  <c r="AD12" i="48"/>
  <c r="AD26" i="48"/>
  <c r="AD20" i="48"/>
  <c r="AD24" i="48"/>
  <c r="AD21" i="48"/>
  <c r="AD4" i="48"/>
  <c r="AD18" i="48"/>
  <c r="AD19" i="48"/>
  <c r="AD7" i="48"/>
  <c r="AD25" i="48"/>
  <c r="AD23" i="48"/>
  <c r="AD8" i="48"/>
  <c r="AD3" i="48"/>
  <c r="AD6" i="48"/>
  <c r="AD14" i="48"/>
  <c r="AD17" i="48"/>
  <c r="U9" i="48" a="1"/>
  <c r="AD15" i="48" l="1"/>
  <c r="AD13" i="48"/>
  <c r="AD9" i="48"/>
  <c r="AD11" i="48"/>
  <c r="AD22" i="48"/>
  <c r="AD16" i="48"/>
  <c r="U10" i="48"/>
  <c r="U9" i="48"/>
  <c r="U243" i="42"/>
  <c r="U245" i="42"/>
  <c r="U252" i="42"/>
  <c r="U208" i="42"/>
  <c r="U174" i="40"/>
  <c r="U201" i="42"/>
  <c r="U52" i="40"/>
  <c r="U13" i="42"/>
  <c r="U60" i="40"/>
  <c r="U123" i="40"/>
  <c r="G7" i="35"/>
  <c r="G41" i="35"/>
  <c r="G48" i="35"/>
  <c r="U220" i="40"/>
  <c r="U249" i="42"/>
  <c r="U198" i="40"/>
  <c r="U81" i="42"/>
  <c r="N11" i="42"/>
  <c r="U237" i="40"/>
  <c r="G16" i="35"/>
  <c r="U215" i="40"/>
  <c r="U36" i="42"/>
  <c r="U115" i="42"/>
  <c r="U61" i="40"/>
  <c r="U257" i="40"/>
  <c r="U227" i="42"/>
  <c r="U204" i="40"/>
  <c r="U253" i="42"/>
  <c r="G28" i="35"/>
  <c r="U126" i="40"/>
  <c r="U8" i="42"/>
  <c r="U114" i="40"/>
  <c r="U137" i="40"/>
  <c r="U112" i="40"/>
  <c r="U3" i="40"/>
  <c r="U59" i="40"/>
  <c r="N12" i="42"/>
  <c r="U84" i="42"/>
  <c r="U72" i="40"/>
  <c r="U195" i="42"/>
  <c r="U115" i="40"/>
  <c r="U233" i="40"/>
  <c r="U18" i="42"/>
  <c r="U42" i="40"/>
  <c r="U176" i="42"/>
  <c r="U21" i="40"/>
  <c r="U161" i="40"/>
  <c r="U145" i="40"/>
  <c r="U41" i="42"/>
  <c r="U91" i="42"/>
  <c r="U199" i="42"/>
  <c r="U48" i="42"/>
  <c r="U179" i="42"/>
  <c r="Y9" i="43" a="1"/>
  <c r="Y10" i="43"/>
  <c r="Y9" i="43"/>
  <c r="U135" i="40"/>
  <c r="U69" i="40"/>
  <c r="U135" i="42"/>
  <c r="U129" i="42"/>
  <c r="U31" i="40"/>
  <c r="U22" i="40"/>
  <c r="U144" i="40"/>
  <c r="U217" i="42"/>
  <c r="U102" i="40"/>
  <c r="G10" i="35"/>
  <c r="U100" i="40"/>
  <c r="U186" i="42"/>
  <c r="U158" i="40"/>
  <c r="U251" i="42"/>
  <c r="U192" i="42"/>
  <c r="U146" i="40"/>
  <c r="U143" i="40"/>
  <c r="U19" i="42"/>
  <c r="U256" i="40"/>
  <c r="U181" i="42"/>
  <c r="U218" i="42"/>
  <c r="U12" i="42"/>
  <c r="U61" i="42"/>
  <c r="U51" i="40"/>
  <c r="U189" i="42"/>
  <c r="U46" i="42"/>
  <c r="U52" i="42"/>
  <c r="U11" i="40"/>
  <c r="U239" i="40"/>
  <c r="U177" i="42"/>
  <c r="J4" i="39"/>
  <c r="J5" i="39"/>
  <c r="J6" i="39"/>
  <c r="J7" i="39"/>
  <c r="Y13" i="39" a="1"/>
  <c r="Y13" i="39"/>
  <c r="U205" i="42"/>
  <c r="U140" i="40"/>
  <c r="U83" i="42"/>
  <c r="U185" i="42"/>
  <c r="U196" i="40"/>
  <c r="U177" i="40"/>
  <c r="G34" i="35"/>
  <c r="U14" i="42"/>
  <c r="U241" i="42"/>
  <c r="U180" i="42"/>
  <c r="N4" i="42"/>
  <c r="U50" i="42"/>
  <c r="U10" i="42"/>
  <c r="U224" i="42"/>
  <c r="G4" i="35"/>
  <c r="U220" i="42"/>
  <c r="G29" i="35"/>
  <c r="U31" i="42"/>
  <c r="U152" i="40"/>
  <c r="U192" i="40"/>
  <c r="N15" i="42"/>
  <c r="U134" i="42"/>
  <c r="U72" i="42"/>
  <c r="U34" i="42"/>
  <c r="U29" i="42"/>
  <c r="U3" i="42"/>
  <c r="U228" i="42"/>
  <c r="U151" i="42"/>
  <c r="U88" i="42"/>
  <c r="G18" i="35"/>
  <c r="U195" i="40"/>
  <c r="G30" i="35"/>
  <c r="U3" i="48" a="1"/>
  <c r="U3" i="48"/>
  <c r="U4" i="48"/>
  <c r="U5" i="48"/>
  <c r="S3" i="48" s="1" a="1"/>
  <c r="U203" i="40"/>
  <c r="U10" i="40"/>
  <c r="U238" i="42"/>
  <c r="U73" i="40"/>
  <c r="U223" i="40"/>
  <c r="U111" i="42"/>
  <c r="U176" i="40"/>
  <c r="U38" i="42"/>
  <c r="U113" i="40"/>
  <c r="U65" i="40"/>
  <c r="G31" i="35"/>
  <c r="U132" i="40"/>
  <c r="U236" i="42"/>
  <c r="U222" i="40"/>
  <c r="Y9" i="39" a="1"/>
  <c r="S4" i="48" l="1"/>
  <c r="S5" i="48"/>
  <c r="S3" i="48"/>
  <c r="Y9" i="39"/>
  <c r="Y10" i="39"/>
  <c r="U42" i="42"/>
  <c r="U62" i="42"/>
  <c r="U213" i="40"/>
  <c r="U197" i="42"/>
  <c r="U120" i="40"/>
  <c r="U221" i="42"/>
  <c r="U188" i="40"/>
  <c r="U211" i="40"/>
  <c r="U154" i="40"/>
  <c r="U182" i="42"/>
  <c r="N7" i="40"/>
  <c r="U143" i="42"/>
  <c r="U101" i="42"/>
  <c r="U96" i="42"/>
  <c r="U99" i="40"/>
  <c r="U202" i="40"/>
  <c r="U21" i="42"/>
  <c r="U203" i="42"/>
  <c r="U85" i="40"/>
  <c r="U125" i="42"/>
  <c r="U82" i="42"/>
  <c r="U229" i="42"/>
  <c r="U167" i="42"/>
  <c r="U219" i="42"/>
  <c r="U169" i="42"/>
  <c r="U71" i="42"/>
  <c r="U163" i="42"/>
  <c r="U226" i="40"/>
  <c r="U138" i="42"/>
  <c r="U87" i="42"/>
  <c r="U67" i="40"/>
  <c r="U241" i="40"/>
  <c r="U168" i="40"/>
  <c r="U73" i="42"/>
  <c r="U156" i="40"/>
  <c r="U70" i="42"/>
  <c r="N18" i="40"/>
  <c r="U235" i="40"/>
  <c r="U94" i="40"/>
  <c r="U231" i="40"/>
  <c r="U69" i="42"/>
  <c r="G26" i="35"/>
  <c r="U37" i="40"/>
  <c r="U86" i="40"/>
  <c r="U255" i="42"/>
  <c r="G21" i="35"/>
  <c r="U150" i="40"/>
  <c r="Y3" i="39" a="1"/>
  <c r="AF8" i="48" l="1"/>
  <c r="AF15" i="48"/>
  <c r="AF23" i="48"/>
  <c r="AF16" i="48"/>
  <c r="AF7" i="48"/>
  <c r="AF12" i="48"/>
  <c r="AF18" i="48"/>
  <c r="AF17" i="48"/>
  <c r="AF10" i="48"/>
  <c r="AF24" i="48"/>
  <c r="AF5" i="48"/>
  <c r="AF22" i="48"/>
  <c r="AF9" i="48"/>
  <c r="AF4" i="48"/>
  <c r="AF20" i="48"/>
  <c r="AF21" i="48"/>
  <c r="AF14" i="48"/>
  <c r="AF13" i="48"/>
  <c r="AF3" i="48"/>
  <c r="AF11" i="48"/>
  <c r="AF26" i="48"/>
  <c r="AF19" i="48"/>
  <c r="AF25" i="48"/>
  <c r="AF6" i="48"/>
  <c r="Y5" i="39"/>
  <c r="Y4" i="39"/>
  <c r="Y3" i="39"/>
  <c r="U232" i="42"/>
  <c r="U93" i="42"/>
  <c r="U89" i="42"/>
  <c r="N9" i="42"/>
  <c r="U34" i="40"/>
  <c r="N8" i="42"/>
  <c r="U110" i="40"/>
  <c r="U225" i="40"/>
  <c r="U154" i="42"/>
  <c r="U199" i="40"/>
  <c r="U128" i="42"/>
  <c r="U246" i="40"/>
  <c r="U90" i="42"/>
  <c r="U93" i="40"/>
  <c r="U76" i="42"/>
  <c r="U183" i="40"/>
  <c r="U99" i="42"/>
  <c r="U75" i="42"/>
  <c r="U55" i="42"/>
  <c r="U116" i="40"/>
  <c r="U234" i="42"/>
  <c r="U168" i="42"/>
  <c r="U109" i="42"/>
  <c r="N3" i="42"/>
  <c r="U60" i="42"/>
  <c r="U209" i="42"/>
  <c r="U17" i="42"/>
  <c r="U4" i="42"/>
  <c r="N7" i="42"/>
  <c r="U137" i="42"/>
  <c r="U37" i="42"/>
  <c r="U24" i="40"/>
  <c r="U193" i="42"/>
  <c r="U140" i="42"/>
  <c r="U83" i="40"/>
  <c r="U75" i="40"/>
  <c r="G11" i="35"/>
  <c r="U210" i="42"/>
  <c r="U258" i="42"/>
  <c r="U196" i="42"/>
  <c r="U139" i="42"/>
  <c r="U106" i="42"/>
  <c r="U44" i="42"/>
  <c r="U19" i="40"/>
  <c r="U262" i="40"/>
  <c r="U7" i="42"/>
  <c r="U124" i="42"/>
  <c r="U80" i="42"/>
  <c r="U212" i="40"/>
  <c r="U49" i="42"/>
  <c r="U65" i="42"/>
  <c r="U141" i="42"/>
  <c r="U191" i="40"/>
  <c r="U9" i="42"/>
  <c r="U171" i="40"/>
  <c r="U150" i="42"/>
  <c r="G32" i="35"/>
  <c r="U5" i="40"/>
  <c r="U157" i="42"/>
  <c r="U92" i="42"/>
  <c r="U70" i="40"/>
  <c r="Y3" i="43" a="1"/>
  <c r="Y4" i="43"/>
  <c r="Y3" i="43"/>
  <c r="Y5" i="43"/>
  <c r="U113" i="42"/>
  <c r="U124" i="40"/>
  <c r="U216" i="42"/>
  <c r="U247" i="42"/>
  <c r="U261" i="42"/>
  <c r="U56" i="42"/>
  <c r="U136" i="40"/>
  <c r="U4" i="40"/>
  <c r="U184" i="42"/>
  <c r="U49" i="40"/>
  <c r="U221" i="40"/>
  <c r="U239" i="42"/>
  <c r="U219" i="40"/>
  <c r="U237" i="42"/>
  <c r="U164" i="40"/>
  <c r="U144" i="42"/>
  <c r="U114" i="42"/>
  <c r="G23" i="35"/>
  <c r="U184" i="40"/>
  <c r="U48" i="40"/>
  <c r="U248" i="42"/>
  <c r="N6" i="42"/>
  <c r="U172" i="42"/>
  <c r="G49" i="35"/>
  <c r="U122" i="42"/>
  <c r="U32" i="42"/>
  <c r="U254" i="40"/>
  <c r="U255" i="40"/>
  <c r="U188" i="42"/>
  <c r="U64" i="40"/>
  <c r="U259" i="42"/>
  <c r="U108" i="42"/>
  <c r="U165" i="42"/>
  <c r="U211" i="42"/>
  <c r="U89" i="40"/>
  <c r="U242" i="42"/>
  <c r="U194" i="42"/>
  <c r="U247" i="40"/>
  <c r="U9" i="40"/>
  <c r="U117" i="42"/>
  <c r="U258" i="40"/>
  <c r="U138" i="40"/>
  <c r="U240" i="40"/>
  <c r="U62" i="40"/>
  <c r="G9" i="35"/>
  <c r="U256" i="42"/>
  <c r="G17" i="35"/>
  <c r="U197" i="40"/>
  <c r="U43" i="42"/>
  <c r="U110" i="42"/>
  <c r="U214" i="42"/>
  <c r="U24" i="42"/>
  <c r="U58" i="42"/>
  <c r="N10" i="40"/>
  <c r="G6" i="35"/>
  <c r="U131" i="42"/>
  <c r="U78" i="42"/>
  <c r="H39" i="35"/>
  <c r="H74" i="33"/>
  <c r="H20" i="35"/>
  <c r="H57" i="33"/>
  <c r="O7" i="42"/>
  <c r="H18" i="35"/>
  <c r="H55" i="33"/>
  <c r="H3" i="35"/>
  <c r="H41" i="33" s="1"/>
  <c r="H13" i="35"/>
  <c r="H51" i="33"/>
  <c r="H6" i="35"/>
  <c r="H44" i="33"/>
  <c r="H16" i="35"/>
  <c r="H53" i="33"/>
  <c r="H31" i="35"/>
  <c r="H67" i="33" s="1"/>
  <c r="H43" i="35"/>
  <c r="H78" i="33" s="1"/>
  <c r="H32" i="35"/>
  <c r="H68" i="33"/>
  <c r="H7" i="35"/>
  <c r="H45" i="33"/>
  <c r="O6" i="42"/>
  <c r="H10" i="35"/>
  <c r="H48" i="33"/>
  <c r="O5" i="40"/>
  <c r="H8" i="35"/>
  <c r="H46" i="33"/>
  <c r="H47" i="35"/>
  <c r="H82" i="33"/>
  <c r="O4" i="40"/>
  <c r="H36" i="35"/>
  <c r="H72" i="33"/>
  <c r="H21" i="35"/>
  <c r="H58" i="33" s="1"/>
  <c r="H50" i="35"/>
  <c r="H37" i="35"/>
  <c r="H73" i="33"/>
  <c r="H27" i="35"/>
  <c r="H63" i="33" s="1"/>
  <c r="O12" i="42"/>
  <c r="O7" i="40"/>
  <c r="O6" i="40"/>
  <c r="O15" i="40"/>
  <c r="O9" i="42"/>
  <c r="H42" i="35"/>
  <c r="H77" i="33"/>
  <c r="O14" i="40"/>
  <c r="H40" i="35"/>
  <c r="H75" i="33"/>
  <c r="H26" i="35"/>
  <c r="H9" i="35"/>
  <c r="H47" i="33"/>
  <c r="H15" i="35"/>
  <c r="H52" i="33"/>
  <c r="O10" i="42"/>
  <c r="H29" i="35"/>
  <c r="H65" i="33"/>
  <c r="H2" i="35"/>
  <c r="O21" i="40"/>
  <c r="O17" i="40"/>
  <c r="H46" i="35"/>
  <c r="H81" i="33"/>
  <c r="H44" i="35"/>
  <c r="H79" i="33"/>
  <c r="O11" i="42"/>
  <c r="J18" i="48"/>
  <c r="O13" i="42"/>
  <c r="H33" i="35"/>
  <c r="H69" i="33"/>
  <c r="H28" i="35"/>
  <c r="H64" i="33" s="1"/>
  <c r="H12" i="35"/>
  <c r="H50" i="33"/>
  <c r="J17" i="48"/>
  <c r="H30" i="35"/>
  <c r="H66" i="33" s="1"/>
  <c r="O15" i="42"/>
  <c r="H25" i="35"/>
  <c r="H62" i="33" s="1"/>
  <c r="H23" i="35"/>
  <c r="H60" i="33"/>
  <c r="O3" i="40"/>
  <c r="H35" i="35"/>
  <c r="H71" i="33" s="1"/>
  <c r="H49" i="35"/>
  <c r="H84" i="33" s="1"/>
  <c r="H11" i="35"/>
  <c r="H49" i="33"/>
  <c r="O18" i="40"/>
  <c r="H41" i="35"/>
  <c r="H76" i="33"/>
  <c r="H48" i="35"/>
  <c r="H83" i="33"/>
  <c r="H17" i="35"/>
  <c r="H54" i="33" s="1"/>
  <c r="H45" i="35"/>
  <c r="H80" i="33"/>
  <c r="H22" i="35"/>
  <c r="H59" i="33"/>
  <c r="H5" i="35"/>
  <c r="H43" i="33" s="1"/>
  <c r="H14" i="35"/>
  <c r="O8" i="40"/>
  <c r="H4" i="35"/>
  <c r="H42" i="33"/>
  <c r="O11" i="40"/>
  <c r="H38" i="35"/>
  <c r="H24" i="35"/>
  <c r="H61" i="33" s="1"/>
  <c r="O13" i="40"/>
  <c r="H34" i="35"/>
  <c r="H70" i="33"/>
  <c r="H19" i="35"/>
  <c r="H56" i="33"/>
  <c r="O8" i="42"/>
  <c r="J16" i="48"/>
  <c r="O20" i="40"/>
  <c r="N19" i="43"/>
  <c r="N18" i="43"/>
  <c r="L16" i="48"/>
  <c r="C24" i="48" s="1"/>
  <c r="H4" i="33" s="1"/>
  <c r="O10" i="40"/>
  <c r="W13" i="39"/>
  <c r="N24" i="39" s="1"/>
  <c r="L15" i="48"/>
  <c r="C23" i="48"/>
  <c r="H3" i="33"/>
  <c r="O19" i="40"/>
  <c r="N17" i="43"/>
  <c r="O14" i="42"/>
  <c r="O12" i="40"/>
  <c r="O16" i="40"/>
  <c r="N16" i="43"/>
  <c r="L19" i="48"/>
  <c r="C27" i="48"/>
  <c r="H7" i="33"/>
  <c r="O3" i="42"/>
  <c r="O5" i="42"/>
  <c r="N20" i="43"/>
  <c r="O9" i="40"/>
  <c r="J15" i="48"/>
  <c r="L18" i="48"/>
  <c r="C26" i="48"/>
  <c r="H6" i="33"/>
  <c r="N15" i="43"/>
  <c r="N21" i="43"/>
  <c r="L17" i="48"/>
  <c r="C25" i="48" s="1"/>
  <c r="H5" i="33" s="1"/>
  <c r="J19" i="48"/>
  <c r="O4" i="42"/>
  <c r="M77" i="33"/>
  <c r="M53" i="33"/>
  <c r="M45" i="33"/>
  <c r="M47" i="33"/>
  <c r="M57" i="33"/>
  <c r="M50" i="33"/>
  <c r="M69" i="33"/>
  <c r="M55" i="33"/>
  <c r="M4" i="33"/>
  <c r="M44" i="33"/>
  <c r="M3" i="33"/>
  <c r="M61" i="33"/>
  <c r="M83" i="33"/>
  <c r="M81" i="33"/>
  <c r="M84" i="33"/>
  <c r="M63" i="33"/>
  <c r="M52" i="33"/>
  <c r="M76" i="33"/>
  <c r="M67" i="33"/>
  <c r="M51" i="33"/>
  <c r="M72" i="33"/>
  <c r="M82" i="33"/>
  <c r="M74" i="33"/>
  <c r="M78" i="33"/>
  <c r="M70" i="33"/>
  <c r="M58" i="33"/>
  <c r="M42" i="33"/>
  <c r="M41" i="33"/>
  <c r="M64" i="33"/>
  <c r="M79" i="33"/>
  <c r="M6" i="33"/>
  <c r="M60" i="33"/>
  <c r="M49" i="33"/>
  <c r="M54" i="33"/>
  <c r="M71" i="33"/>
  <c r="M68" i="33"/>
  <c r="M66" i="33"/>
  <c r="M73" i="33"/>
  <c r="M75" i="33"/>
  <c r="M46" i="33"/>
  <c r="M65" i="33"/>
  <c r="M56" i="33"/>
  <c r="M43" i="33"/>
  <c r="M48" i="33"/>
  <c r="M80" i="33"/>
  <c r="M7" i="33"/>
  <c r="M62" i="33"/>
  <c r="M59" i="33"/>
  <c r="M5" i="33"/>
  <c r="N2" i="33"/>
  <c r="N41" i="33"/>
  <c r="AH78" i="39" l="1"/>
  <c r="AH98" i="39"/>
  <c r="AH28" i="39"/>
  <c r="AH56" i="39"/>
  <c r="AH14" i="39"/>
  <c r="AH75" i="39"/>
  <c r="AH77" i="39"/>
  <c r="AH94" i="39"/>
  <c r="AH42" i="39"/>
  <c r="AH39" i="39"/>
  <c r="AH43" i="39"/>
  <c r="AH8" i="39"/>
  <c r="AH50" i="39"/>
  <c r="AH59" i="39"/>
  <c r="AH36" i="39"/>
  <c r="AH103" i="39"/>
  <c r="AH83" i="39"/>
  <c r="AH128" i="39"/>
  <c r="AH100" i="39"/>
  <c r="AH97" i="39"/>
  <c r="AH93" i="39"/>
  <c r="AH9" i="39"/>
  <c r="AH35" i="39"/>
  <c r="AH48" i="39"/>
  <c r="AH108" i="39"/>
  <c r="AH127" i="39"/>
  <c r="AH82" i="39"/>
  <c r="AH62" i="39"/>
  <c r="AH26" i="39"/>
  <c r="AH25" i="39"/>
  <c r="AH132" i="39"/>
  <c r="AH81" i="39"/>
  <c r="AH114" i="39"/>
  <c r="AH58" i="39"/>
  <c r="N18" i="39"/>
  <c r="AH124" i="39"/>
  <c r="AH116" i="39"/>
  <c r="AH68" i="39"/>
  <c r="AH18" i="39"/>
  <c r="AH10" i="39"/>
  <c r="N20" i="39"/>
  <c r="AH55" i="39"/>
  <c r="AH52" i="39"/>
  <c r="AH87" i="39"/>
  <c r="AH11" i="39"/>
  <c r="AH69" i="39"/>
  <c r="AH17" i="39"/>
  <c r="AH106" i="39"/>
  <c r="AH65" i="39"/>
  <c r="AH70" i="39"/>
  <c r="AH131" i="39"/>
  <c r="N19" i="39"/>
  <c r="AH113" i="39"/>
  <c r="AH80" i="39"/>
  <c r="AH85" i="39"/>
  <c r="AH90" i="39"/>
  <c r="AH109" i="39"/>
  <c r="AH64" i="39"/>
  <c r="AH12" i="39"/>
  <c r="AH27" i="39"/>
  <c r="AH33" i="39"/>
  <c r="AH118" i="39"/>
  <c r="AH99" i="39"/>
  <c r="AH53" i="39"/>
  <c r="AH4" i="39"/>
  <c r="AH86" i="39"/>
  <c r="AH117" i="39"/>
  <c r="AH130" i="39"/>
  <c r="AH60" i="39"/>
  <c r="AH105" i="39"/>
  <c r="N23" i="39"/>
  <c r="N21" i="39"/>
  <c r="AH6" i="39"/>
  <c r="AH112" i="39"/>
  <c r="AH96" i="39"/>
  <c r="AH22" i="39"/>
  <c r="AH129" i="39"/>
  <c r="AH66" i="39"/>
  <c r="AH57" i="39"/>
  <c r="AH76" i="39"/>
  <c r="AH101" i="39"/>
  <c r="AH71" i="39"/>
  <c r="AH125" i="39"/>
  <c r="AH95" i="39"/>
  <c r="AH74" i="39"/>
  <c r="AH24" i="39"/>
  <c r="AH20" i="39"/>
  <c r="AH79" i="39"/>
  <c r="AH44" i="39"/>
  <c r="AH107" i="39"/>
  <c r="AH47" i="39"/>
  <c r="AH45" i="39"/>
  <c r="AH111" i="39"/>
  <c r="AH19" i="39"/>
  <c r="AH88" i="39"/>
  <c r="AH61" i="39"/>
  <c r="AH21" i="39"/>
  <c r="N17" i="39"/>
  <c r="AH5" i="39"/>
  <c r="AH67" i="39"/>
  <c r="AH41" i="39"/>
  <c r="AH3" i="39"/>
  <c r="AH16" i="39"/>
  <c r="AH102" i="39"/>
  <c r="N22" i="39"/>
  <c r="AH54" i="39"/>
  <c r="AH72" i="39"/>
  <c r="AH126" i="39"/>
  <c r="AH34" i="39"/>
  <c r="AH121" i="39"/>
  <c r="AH46" i="39"/>
  <c r="AH23" i="39"/>
  <c r="AH40" i="39"/>
  <c r="AH89" i="39"/>
  <c r="AH32" i="39"/>
  <c r="AH30" i="39"/>
  <c r="AH63" i="39"/>
  <c r="AH123" i="39"/>
  <c r="AH15" i="39"/>
  <c r="AH115" i="39"/>
  <c r="AH49" i="39"/>
  <c r="N15" i="39"/>
  <c r="N16" i="39"/>
  <c r="AH73" i="39"/>
  <c r="AH119" i="39"/>
  <c r="AH91" i="39"/>
  <c r="AH31" i="39"/>
  <c r="AH7" i="39"/>
  <c r="AH92" i="39"/>
  <c r="AH110" i="39"/>
  <c r="AH13" i="39"/>
  <c r="AH51" i="39"/>
  <c r="AH104" i="39"/>
  <c r="AH29" i="39"/>
  <c r="AH38" i="39"/>
  <c r="AH84" i="39"/>
  <c r="AH37" i="39"/>
  <c r="AH120" i="39"/>
  <c r="AH122" i="39"/>
  <c r="W9" i="39" a="1"/>
  <c r="W10" i="39"/>
  <c r="AI68" i="39" s="1"/>
  <c r="W9" i="39"/>
  <c r="AI111" i="39" s="1"/>
  <c r="AI91" i="39"/>
  <c r="AI45" i="39"/>
  <c r="AI54" i="39"/>
  <c r="S13" i="49"/>
  <c r="J19" i="49"/>
  <c r="AD217" i="49"/>
  <c r="AD32" i="49"/>
  <c r="AD120" i="49"/>
  <c r="AD84" i="49"/>
  <c r="AD133" i="49"/>
  <c r="AD256" i="49"/>
  <c r="AD39" i="49"/>
  <c r="AD134" i="49"/>
  <c r="AD50" i="49"/>
  <c r="AD173" i="49"/>
  <c r="AD141" i="49"/>
  <c r="AD38" i="49"/>
  <c r="AD17" i="49"/>
  <c r="AD122" i="49"/>
  <c r="AD26" i="49"/>
  <c r="AD59" i="49"/>
  <c r="AD110" i="49"/>
  <c r="AD232" i="49"/>
  <c r="AD76" i="49"/>
  <c r="W9" i="43" a="1"/>
  <c r="W9" i="43" s="1"/>
  <c r="W10" i="43"/>
  <c r="W3" i="39" a="1"/>
  <c r="W5" i="39" s="1"/>
  <c r="W3" i="39"/>
  <c r="W4" i="39"/>
  <c r="P21" i="39" s="1"/>
  <c r="AJ11" i="39"/>
  <c r="AJ96" i="39"/>
  <c r="W3" i="43" a="1"/>
  <c r="W5" i="43" s="1"/>
  <c r="W4" i="43"/>
  <c r="S3" i="49" a="1"/>
  <c r="S5" i="49" s="1"/>
  <c r="S4" i="49"/>
  <c r="S3" i="49"/>
  <c r="L26" i="49" s="1"/>
  <c r="AF97" i="49"/>
  <c r="AF153" i="49"/>
  <c r="S9" i="48" a="1"/>
  <c r="S9" i="49" a="1"/>
  <c r="S10" i="49" s="1"/>
  <c r="S9" i="49"/>
  <c r="AE201" i="49" s="1"/>
  <c r="AE140" i="49"/>
  <c r="AE89" i="49"/>
  <c r="AE137" i="49"/>
  <c r="AE37" i="49"/>
  <c r="AE167" i="49"/>
  <c r="AE22" i="49"/>
  <c r="AE47" i="49"/>
  <c r="AE156" i="49"/>
  <c r="AE97" i="49"/>
  <c r="M15" i="33"/>
  <c r="M12" i="33"/>
  <c r="M9" i="33"/>
  <c r="M16" i="33"/>
  <c r="M20" i="33"/>
  <c r="M40" i="33"/>
  <c r="M34" i="33"/>
  <c r="M33" i="33"/>
  <c r="M26" i="33"/>
  <c r="M17" i="33"/>
  <c r="M14" i="33"/>
  <c r="M8" i="33"/>
  <c r="M24" i="33"/>
  <c r="M31" i="33"/>
  <c r="M27" i="33"/>
  <c r="M37" i="33"/>
  <c r="M19" i="33"/>
  <c r="M10" i="33"/>
  <c r="M32" i="33"/>
  <c r="M38" i="33"/>
  <c r="M39" i="33"/>
  <c r="M23" i="33"/>
  <c r="M22" i="33"/>
  <c r="M28" i="33"/>
  <c r="M29" i="33"/>
  <c r="M30" i="33"/>
  <c r="M18" i="33"/>
  <c r="M13" i="33"/>
  <c r="M11" i="33"/>
  <c r="M21" i="33"/>
  <c r="M35" i="33"/>
  <c r="M25" i="33"/>
  <c r="M36" i="33"/>
  <c r="N25" i="33"/>
  <c r="N8" i="33"/>
  <c r="N15" i="33"/>
  <c r="AI41" i="43" l="1"/>
  <c r="J30" i="49"/>
  <c r="J16" i="49"/>
  <c r="AD27" i="49"/>
  <c r="AD142" i="49"/>
  <c r="AD247" i="49"/>
  <c r="AD185" i="49"/>
  <c r="AD150" i="49"/>
  <c r="AD220" i="49"/>
  <c r="AD202" i="49"/>
  <c r="AD240" i="49"/>
  <c r="AD205" i="49"/>
  <c r="AD83" i="49"/>
  <c r="J23" i="49"/>
  <c r="AD46" i="49"/>
  <c r="AD20" i="49"/>
  <c r="AD174" i="49"/>
  <c r="AD33" i="49"/>
  <c r="AD248" i="49"/>
  <c r="AD67" i="49"/>
  <c r="AD194" i="49"/>
  <c r="AD42" i="49"/>
  <c r="AD186" i="49"/>
  <c r="AD187" i="49"/>
  <c r="J20" i="49"/>
  <c r="AD167" i="49"/>
  <c r="AD135" i="49"/>
  <c r="AD73" i="49"/>
  <c r="AD168" i="49"/>
  <c r="AD208" i="49"/>
  <c r="AD90" i="49"/>
  <c r="AD96" i="49"/>
  <c r="AD31" i="49"/>
  <c r="AD111" i="49"/>
  <c r="AD213" i="49"/>
  <c r="J17" i="49"/>
  <c r="AD145" i="49"/>
  <c r="AD215" i="49"/>
  <c r="AD14" i="49"/>
  <c r="AD204" i="49"/>
  <c r="AD199" i="49"/>
  <c r="AD85" i="49"/>
  <c r="AD152" i="49"/>
  <c r="AD24" i="49"/>
  <c r="AD100" i="49"/>
  <c r="AD229" i="49"/>
  <c r="AD181" i="49"/>
  <c r="AD226" i="49"/>
  <c r="AD170" i="49"/>
  <c r="AD251" i="49"/>
  <c r="AD92" i="49"/>
  <c r="AD6" i="49"/>
  <c r="AD231" i="49"/>
  <c r="AD221" i="49"/>
  <c r="AD210" i="49"/>
  <c r="AD35" i="49"/>
  <c r="AD93" i="49"/>
  <c r="AD225" i="49"/>
  <c r="AD227" i="49"/>
  <c r="AD112" i="49"/>
  <c r="AD143" i="49"/>
  <c r="AD149" i="49"/>
  <c r="AD209" i="49"/>
  <c r="AD175" i="49"/>
  <c r="AD200" i="49"/>
  <c r="AD136" i="49"/>
  <c r="AE73" i="49"/>
  <c r="AE221" i="49"/>
  <c r="AE199" i="49"/>
  <c r="AE5" i="49"/>
  <c r="AE192" i="49"/>
  <c r="AE186" i="49"/>
  <c r="AE42" i="49"/>
  <c r="K28" i="49"/>
  <c r="C47" i="49" s="1"/>
  <c r="H38" i="33" s="1"/>
  <c r="AE224" i="49"/>
  <c r="AE65" i="49"/>
  <c r="AE111" i="49"/>
  <c r="K16" i="49"/>
  <c r="C35" i="49" s="1"/>
  <c r="H26" i="33" s="1"/>
  <c r="AE95" i="49"/>
  <c r="AE33" i="49"/>
  <c r="AE153" i="49"/>
  <c r="AE77" i="49"/>
  <c r="AE9" i="49"/>
  <c r="AE184" i="49"/>
  <c r="AE91" i="49"/>
  <c r="AD75" i="49"/>
  <c r="AD62" i="49"/>
  <c r="AD128" i="49"/>
  <c r="AI12" i="39"/>
  <c r="AI51" i="39"/>
  <c r="AI106" i="39"/>
  <c r="O19" i="39"/>
  <c r="C32" i="39" s="1"/>
  <c r="H19" i="33" s="1"/>
  <c r="AE114" i="49"/>
  <c r="AE150" i="49"/>
  <c r="AE87" i="49"/>
  <c r="AE253" i="49"/>
  <c r="AE166" i="49"/>
  <c r="AE223" i="49"/>
  <c r="AE96" i="49"/>
  <c r="AE7" i="49"/>
  <c r="AE220" i="49"/>
  <c r="AE177" i="49"/>
  <c r="AE60" i="49"/>
  <c r="AE245" i="49"/>
  <c r="AE51" i="49"/>
  <c r="AE193" i="49"/>
  <c r="K24" i="49"/>
  <c r="C43" i="49" s="1"/>
  <c r="H34" i="33" s="1"/>
  <c r="AE185" i="49"/>
  <c r="AE18" i="49"/>
  <c r="AE188" i="49"/>
  <c r="AE147" i="49"/>
  <c r="AE203" i="49"/>
  <c r="AE78" i="49"/>
  <c r="AE205" i="49"/>
  <c r="AE160" i="49"/>
  <c r="AE239" i="49"/>
  <c r="AE66" i="49"/>
  <c r="K15" i="49"/>
  <c r="C34" i="49" s="1"/>
  <c r="H25" i="33" s="1"/>
  <c r="AE10" i="49"/>
  <c r="AE44" i="49"/>
  <c r="AE238" i="49"/>
  <c r="AE13" i="49"/>
  <c r="AE82" i="49"/>
  <c r="AE249" i="49"/>
  <c r="AE170" i="49"/>
  <c r="AE181" i="49"/>
  <c r="AE141" i="49"/>
  <c r="AE27" i="49"/>
  <c r="AE139" i="49"/>
  <c r="AE93" i="49"/>
  <c r="AE90" i="49"/>
  <c r="AE154" i="49"/>
  <c r="AE32" i="49"/>
  <c r="AE50" i="49"/>
  <c r="AE206" i="49"/>
  <c r="AE59" i="49"/>
  <c r="AE250" i="49"/>
  <c r="K26" i="49"/>
  <c r="C45" i="49" s="1"/>
  <c r="H36" i="33" s="1"/>
  <c r="AI79" i="39"/>
  <c r="AE118" i="49"/>
  <c r="AE226" i="49"/>
  <c r="AE106" i="49"/>
  <c r="K27" i="49"/>
  <c r="C46" i="49" s="1"/>
  <c r="H37" i="33" s="1"/>
  <c r="S9" i="48"/>
  <c r="S10" i="48"/>
  <c r="AE164" i="49"/>
  <c r="AE36" i="49"/>
  <c r="AI131" i="39"/>
  <c r="O21" i="39"/>
  <c r="C34" i="39" s="1"/>
  <c r="H21" i="33" s="1"/>
  <c r="AI41" i="39"/>
  <c r="AI93" i="39"/>
  <c r="O15" i="39"/>
  <c r="C28" i="39" s="1"/>
  <c r="H15" i="33" s="1"/>
  <c r="O18" i="39"/>
  <c r="C31" i="39" s="1"/>
  <c r="H18" i="33" s="1"/>
  <c r="AI73" i="39"/>
  <c r="AI30" i="39"/>
  <c r="AI40" i="39"/>
  <c r="AI70" i="39"/>
  <c r="AI13" i="39"/>
  <c r="AI59" i="39"/>
  <c r="AI28" i="39"/>
  <c r="AI29" i="39"/>
  <c r="AI118" i="39"/>
  <c r="AI53" i="39"/>
  <c r="AI126" i="39"/>
  <c r="AI105" i="39"/>
  <c r="AE176" i="49"/>
  <c r="AE225" i="49"/>
  <c r="AE15" i="49"/>
  <c r="AE117" i="49"/>
  <c r="AE135" i="49"/>
  <c r="AJ116" i="39"/>
  <c r="AJ117" i="39"/>
  <c r="AJ15" i="39"/>
  <c r="AJ7" i="39"/>
  <c r="AJ36" i="39"/>
  <c r="AJ41" i="39"/>
  <c r="AI102" i="39"/>
  <c r="AI58" i="39"/>
  <c r="AE124" i="49"/>
  <c r="AE215" i="49"/>
  <c r="AE209" i="49"/>
  <c r="AE71" i="49"/>
  <c r="AE54" i="49"/>
  <c r="AE179" i="49"/>
  <c r="AE178" i="49"/>
  <c r="AE144" i="49"/>
  <c r="AE119" i="49"/>
  <c r="AJ130" i="39"/>
  <c r="AI108" i="39"/>
  <c r="AI80" i="39"/>
  <c r="AE227" i="49"/>
  <c r="AE25" i="49"/>
  <c r="AE208" i="49"/>
  <c r="AE94" i="49"/>
  <c r="AE55" i="49"/>
  <c r="AE102" i="49"/>
  <c r="AE233" i="49"/>
  <c r="AE146" i="49"/>
  <c r="AE210" i="49"/>
  <c r="AJ126" i="39"/>
  <c r="AI43" i="43"/>
  <c r="AI55" i="43"/>
  <c r="AI24" i="43"/>
  <c r="AI32" i="43"/>
  <c r="AI49" i="39"/>
  <c r="AI5" i="39"/>
  <c r="AE211" i="49"/>
  <c r="AE68" i="49"/>
  <c r="AE172" i="49"/>
  <c r="AE148" i="49"/>
  <c r="AE151" i="49"/>
  <c r="AE49" i="49"/>
  <c r="AE246" i="49"/>
  <c r="AE133" i="49"/>
  <c r="AE155" i="49"/>
  <c r="AJ51" i="39"/>
  <c r="AI14" i="39"/>
  <c r="AI103" i="39"/>
  <c r="W3" i="43"/>
  <c r="AJ64" i="43" s="1"/>
  <c r="AD255" i="49"/>
  <c r="AD184" i="49"/>
  <c r="AD172" i="49"/>
  <c r="AD71" i="49"/>
  <c r="AD121" i="49"/>
  <c r="AD4" i="49"/>
  <c r="AD103" i="49"/>
  <c r="AD11" i="49"/>
  <c r="AD69" i="49"/>
  <c r="AD30" i="49"/>
  <c r="AD193" i="49"/>
  <c r="AD102" i="49"/>
  <c r="AD68" i="49"/>
  <c r="AD156" i="49"/>
  <c r="AD144" i="49"/>
  <c r="AD151" i="49"/>
  <c r="AD124" i="49"/>
  <c r="J24" i="49"/>
  <c r="AD65" i="49"/>
  <c r="AD29" i="49"/>
  <c r="AD188" i="49"/>
  <c r="AD218" i="49"/>
  <c r="AD244" i="49"/>
  <c r="AD116" i="49"/>
  <c r="AD162" i="49"/>
  <c r="AD78" i="49"/>
  <c r="AD37" i="49"/>
  <c r="AD8" i="49"/>
  <c r="AD87" i="49"/>
  <c r="AD223" i="49"/>
  <c r="AD105" i="49"/>
  <c r="AD23" i="49"/>
  <c r="AD163" i="49"/>
  <c r="AD203" i="49"/>
  <c r="AD60" i="49"/>
  <c r="AD257" i="49"/>
  <c r="AD9" i="49"/>
  <c r="AD114" i="49"/>
  <c r="AD224" i="49"/>
  <c r="AD250" i="49"/>
  <c r="AD191" i="49"/>
  <c r="AD118" i="49"/>
  <c r="AD177" i="49"/>
  <c r="AD146" i="49"/>
  <c r="AD254" i="49"/>
  <c r="AD91" i="49"/>
  <c r="AD47" i="49"/>
  <c r="AD160" i="49"/>
  <c r="AD70" i="49"/>
  <c r="AD82" i="49"/>
  <c r="AD157" i="49"/>
  <c r="AF13" i="49"/>
  <c r="AF171" i="49"/>
  <c r="AF213" i="49"/>
  <c r="AF219" i="49"/>
  <c r="AF87" i="49"/>
  <c r="AF126" i="49"/>
  <c r="AF226" i="49"/>
  <c r="AF83" i="49"/>
  <c r="AF102" i="49"/>
  <c r="AF91" i="49"/>
  <c r="AF26" i="49"/>
  <c r="AF222" i="49"/>
  <c r="AF48" i="49"/>
  <c r="AF156" i="49"/>
  <c r="AF230" i="49"/>
  <c r="AF177" i="49"/>
  <c r="AF93" i="49"/>
  <c r="AF33" i="49"/>
  <c r="AF17" i="49"/>
  <c r="AF15" i="49"/>
  <c r="AF50" i="49"/>
  <c r="L23" i="49"/>
  <c r="AJ49" i="39"/>
  <c r="AJ23" i="39"/>
  <c r="AJ39" i="39"/>
  <c r="AJ14" i="39"/>
  <c r="AJ62" i="39"/>
  <c r="AJ78" i="39"/>
  <c r="AJ22" i="39"/>
  <c r="AJ45" i="39"/>
  <c r="AJ128" i="39"/>
  <c r="AJ28" i="39"/>
  <c r="AJ69" i="39"/>
  <c r="AI65" i="43"/>
  <c r="AI42" i="43"/>
  <c r="AI64" i="43"/>
  <c r="AI10" i="43"/>
  <c r="O15" i="43"/>
  <c r="L17" i="49"/>
  <c r="AF172" i="49"/>
  <c r="AF4" i="49"/>
  <c r="AF62" i="49"/>
  <c r="AF82" i="49"/>
  <c r="AF209" i="49"/>
  <c r="AF53" i="49"/>
  <c r="AF96" i="49"/>
  <c r="AF187" i="49"/>
  <c r="AF14" i="49"/>
  <c r="AF170" i="49"/>
  <c r="AF35" i="49"/>
  <c r="AF218" i="49"/>
  <c r="AF101" i="49"/>
  <c r="AF55" i="49"/>
  <c r="AF234" i="49"/>
  <c r="AF151" i="49"/>
  <c r="AF23" i="49"/>
  <c r="AF11" i="49"/>
  <c r="AF90" i="49"/>
  <c r="AF127" i="49"/>
  <c r="AF138" i="49"/>
  <c r="AF225" i="49"/>
  <c r="AF7" i="49"/>
  <c r="AF216" i="49"/>
  <c r="AF30" i="49"/>
  <c r="AF208" i="49"/>
  <c r="AF205" i="49"/>
  <c r="AF63" i="49"/>
  <c r="AF103" i="49"/>
  <c r="AF161" i="49"/>
  <c r="AF255" i="49"/>
  <c r="AF198" i="49"/>
  <c r="AF200" i="49"/>
  <c r="AF100" i="49"/>
  <c r="AF165" i="49"/>
  <c r="AF206" i="49"/>
  <c r="AF51" i="49"/>
  <c r="AE12" i="48"/>
  <c r="AE17" i="48"/>
  <c r="AE21" i="48"/>
  <c r="AE19" i="48"/>
  <c r="AE23" i="48"/>
  <c r="AE13" i="48"/>
  <c r="AE15" i="48"/>
  <c r="AF64" i="49"/>
  <c r="AF119" i="49"/>
  <c r="AF69" i="49"/>
  <c r="AF74" i="49"/>
  <c r="AF44" i="49"/>
  <c r="AF214" i="49"/>
  <c r="AF155" i="49"/>
  <c r="AF66" i="49"/>
  <c r="AF188" i="49"/>
  <c r="AF253" i="49"/>
  <c r="L19" i="49"/>
  <c r="AJ66" i="39"/>
  <c r="AJ114" i="39"/>
  <c r="AJ71" i="39"/>
  <c r="P15" i="39"/>
  <c r="AJ74" i="39"/>
  <c r="AI56" i="43"/>
  <c r="AI46" i="43"/>
  <c r="O19" i="43"/>
  <c r="AI25" i="43"/>
  <c r="AI7" i="43"/>
  <c r="AI49" i="43"/>
  <c r="AI8" i="43"/>
  <c r="AI57" i="43"/>
  <c r="AI39" i="43"/>
  <c r="AI30" i="43"/>
  <c r="AI11" i="43"/>
  <c r="O18" i="43"/>
  <c r="AI61" i="43"/>
  <c r="AI3" i="43"/>
  <c r="AI17" i="43"/>
  <c r="AI14" i="43"/>
  <c r="AI45" i="43"/>
  <c r="AI22" i="43"/>
  <c r="AI40" i="43"/>
  <c r="O17" i="43"/>
  <c r="AI9" i="43"/>
  <c r="AI59" i="43"/>
  <c r="AI23" i="43"/>
  <c r="AI18" i="43"/>
  <c r="AI38" i="43"/>
  <c r="AI31" i="43"/>
  <c r="AI47" i="43"/>
  <c r="O21" i="43"/>
  <c r="AI12" i="43"/>
  <c r="AI5" i="43"/>
  <c r="AI6" i="43"/>
  <c r="AI50" i="43"/>
  <c r="AI26" i="43"/>
  <c r="AI29" i="43"/>
  <c r="AI48" i="43"/>
  <c r="AE6" i="48"/>
  <c r="AF189" i="49"/>
  <c r="AF114" i="49"/>
  <c r="AF235" i="49"/>
  <c r="AF110" i="49"/>
  <c r="AF124" i="49"/>
  <c r="AF94" i="49"/>
  <c r="AF227" i="49"/>
  <c r="AF120" i="49"/>
  <c r="AF81" i="49"/>
  <c r="AI51" i="43"/>
  <c r="AE216" i="49"/>
  <c r="K17" i="48"/>
  <c r="AF59" i="49"/>
  <c r="AF143" i="49"/>
  <c r="AF140" i="49"/>
  <c r="AF31" i="49"/>
  <c r="AF231" i="49"/>
  <c r="AI33" i="39"/>
  <c r="AF139" i="49"/>
  <c r="AF75" i="49"/>
  <c r="AF85" i="49"/>
  <c r="AF144" i="49"/>
  <c r="AF111" i="49"/>
  <c r="AF28" i="49"/>
  <c r="L20" i="49"/>
  <c r="O20" i="43"/>
  <c r="AI17" i="39"/>
  <c r="AI24" i="39"/>
  <c r="AI36" i="39"/>
  <c r="AI114" i="39"/>
  <c r="AI120" i="39"/>
  <c r="AI116" i="39"/>
  <c r="AI31" i="39"/>
  <c r="AF154" i="49"/>
  <c r="AF79" i="49"/>
  <c r="AF220" i="49"/>
  <c r="AF160" i="49"/>
  <c r="AF137" i="49"/>
  <c r="AF174" i="49"/>
  <c r="AF115" i="49"/>
  <c r="AF118" i="49"/>
  <c r="AF46" i="49"/>
  <c r="L18" i="49"/>
  <c r="AF20" i="49"/>
  <c r="AF190" i="49"/>
  <c r="AF150" i="49"/>
  <c r="AF65" i="49"/>
  <c r="AF49" i="49"/>
  <c r="AF148" i="49"/>
  <c r="AF45" i="49"/>
  <c r="AF104" i="49"/>
  <c r="AF40" i="49"/>
  <c r="AF25" i="49"/>
  <c r="AF133" i="49"/>
  <c r="L30" i="49"/>
  <c r="AJ68" i="39"/>
  <c r="AJ79" i="39"/>
  <c r="AJ46" i="39"/>
  <c r="AJ59" i="39"/>
  <c r="AJ37" i="39"/>
  <c r="AI13" i="43"/>
  <c r="AE26" i="48"/>
  <c r="AE22" i="48"/>
  <c r="AF182" i="49"/>
  <c r="AF27" i="49"/>
  <c r="AF106" i="49"/>
  <c r="AF12" i="49"/>
  <c r="AF5" i="49"/>
  <c r="AF36" i="49"/>
  <c r="AF6" i="49"/>
  <c r="AF181" i="49"/>
  <c r="AF92" i="49"/>
  <c r="AF241" i="49"/>
  <c r="AF88" i="49"/>
  <c r="AF221" i="49"/>
  <c r="AF179" i="49"/>
  <c r="AF9" i="49"/>
  <c r="AF108" i="49"/>
  <c r="AF228" i="49"/>
  <c r="AF185" i="49"/>
  <c r="AF246" i="49"/>
  <c r="AF251" i="49"/>
  <c r="AF242" i="49"/>
  <c r="AF196" i="49"/>
  <c r="L27" i="49"/>
  <c r="AJ98" i="39"/>
  <c r="AJ43" i="39"/>
  <c r="AJ88" i="39"/>
  <c r="AJ13" i="39"/>
  <c r="P23" i="39"/>
  <c r="AJ124" i="39"/>
  <c r="AJ118" i="39"/>
  <c r="AJ106" i="39"/>
  <c r="AJ89" i="39"/>
  <c r="AJ35" i="39"/>
  <c r="AJ101" i="39"/>
  <c r="AJ110" i="39"/>
  <c r="AJ10" i="39"/>
  <c r="AJ47" i="39"/>
  <c r="AJ65" i="39"/>
  <c r="AJ34" i="39"/>
  <c r="AJ100" i="39"/>
  <c r="AJ108" i="39"/>
  <c r="P22" i="39"/>
  <c r="AJ38" i="39"/>
  <c r="AJ132" i="39"/>
  <c r="AJ85" i="39"/>
  <c r="P19" i="39"/>
  <c r="AJ80" i="39"/>
  <c r="AJ91" i="39"/>
  <c r="P17" i="39"/>
  <c r="AJ97" i="39"/>
  <c r="AJ87" i="39"/>
  <c r="AJ64" i="39"/>
  <c r="AJ122" i="39"/>
  <c r="P16" i="39"/>
  <c r="AJ107" i="39"/>
  <c r="AJ8" i="39"/>
  <c r="AJ26" i="39"/>
  <c r="AJ42" i="39"/>
  <c r="AJ5" i="39"/>
  <c r="AJ131" i="39"/>
  <c r="AJ82" i="39"/>
  <c r="AJ21" i="39"/>
  <c r="AJ112" i="39"/>
  <c r="AJ20" i="39"/>
  <c r="AJ67" i="39"/>
  <c r="AJ4" i="39"/>
  <c r="AJ18" i="39"/>
  <c r="P24" i="39"/>
  <c r="AJ125" i="39"/>
  <c r="AJ92" i="39"/>
  <c r="AJ19" i="39"/>
  <c r="AJ76" i="39"/>
  <c r="AJ63" i="39"/>
  <c r="AJ104" i="39"/>
  <c r="AJ52" i="39"/>
  <c r="P18" i="39"/>
  <c r="AJ29" i="39"/>
  <c r="AJ75" i="39"/>
  <c r="AJ30" i="39"/>
  <c r="AJ127" i="39"/>
  <c r="AJ9" i="39"/>
  <c r="AJ16" i="39"/>
  <c r="AJ119" i="39"/>
  <c r="AJ103" i="39"/>
  <c r="AJ33" i="39"/>
  <c r="AJ90" i="39"/>
  <c r="AJ120" i="39"/>
  <c r="AJ77" i="39"/>
  <c r="AJ32" i="39"/>
  <c r="AI36" i="43"/>
  <c r="AI37" i="43"/>
  <c r="AI58" i="43"/>
  <c r="AI44" i="43"/>
  <c r="K30" i="49"/>
  <c r="C49" i="49" s="1"/>
  <c r="H40" i="33" s="1"/>
  <c r="K23" i="49"/>
  <c r="C42" i="49" s="1"/>
  <c r="H33" i="33" s="1"/>
  <c r="AE46" i="49"/>
  <c r="AE112" i="49"/>
  <c r="AE121" i="49"/>
  <c r="AE131" i="49"/>
  <c r="AE187" i="49"/>
  <c r="AE11" i="49"/>
  <c r="AE189" i="49"/>
  <c r="AE132" i="49"/>
  <c r="AE62" i="49"/>
  <c r="AE20" i="49"/>
  <c r="AE101" i="49"/>
  <c r="AE230" i="49"/>
  <c r="AE31" i="49"/>
  <c r="AE85" i="49"/>
  <c r="AE143" i="49"/>
  <c r="AE4" i="49"/>
  <c r="AE19" i="49"/>
  <c r="AE58" i="49"/>
  <c r="AE254" i="49"/>
  <c r="AE158" i="49"/>
  <c r="AE81" i="49"/>
  <c r="AE222" i="49"/>
  <c r="AE24" i="49"/>
  <c r="AE204" i="49"/>
  <c r="AE108" i="49"/>
  <c r="AE242" i="49"/>
  <c r="AE35" i="49"/>
  <c r="AE3" i="49"/>
  <c r="AE134" i="49"/>
  <c r="AE257" i="49"/>
  <c r="AE197" i="49"/>
  <c r="AE229" i="49"/>
  <c r="K21" i="49"/>
  <c r="C40" i="49" s="1"/>
  <c r="H31" i="33" s="1"/>
  <c r="K18" i="49"/>
  <c r="C37" i="49" s="1"/>
  <c r="H28" i="33" s="1"/>
  <c r="K17" i="49"/>
  <c r="C36" i="49" s="1"/>
  <c r="H27" i="33" s="1"/>
  <c r="AE126" i="49"/>
  <c r="AE136" i="49"/>
  <c r="AE157" i="49"/>
  <c r="AE43" i="49"/>
  <c r="AE174" i="49"/>
  <c r="AE64" i="49"/>
  <c r="AE109" i="49"/>
  <c r="AE122" i="49"/>
  <c r="AE251" i="49"/>
  <c r="AE84" i="49"/>
  <c r="AE56" i="49"/>
  <c r="AE219" i="49"/>
  <c r="AE61" i="49"/>
  <c r="AE248" i="49"/>
  <c r="AE243" i="49"/>
  <c r="AE235" i="49"/>
  <c r="AE127" i="49"/>
  <c r="AE48" i="49"/>
  <c r="AE213" i="49"/>
  <c r="AE218" i="49"/>
  <c r="AE200" i="49"/>
  <c r="AE41" i="49"/>
  <c r="AE107" i="49"/>
  <c r="AE113" i="49"/>
  <c r="AE123" i="49"/>
  <c r="AE92" i="49"/>
  <c r="AE57" i="49"/>
  <c r="AE110" i="49"/>
  <c r="AE74" i="49"/>
  <c r="AE86" i="49"/>
  <c r="AE104" i="49"/>
  <c r="AE130" i="49"/>
  <c r="AE98" i="49"/>
  <c r="AE175" i="49"/>
  <c r="AE202" i="49"/>
  <c r="AE29" i="49"/>
  <c r="AE40" i="49"/>
  <c r="AE79" i="49"/>
  <c r="AE138" i="49"/>
  <c r="AE30" i="49"/>
  <c r="AE212" i="49"/>
  <c r="AE23" i="49"/>
  <c r="AE17" i="49"/>
  <c r="AE194" i="49"/>
  <c r="AE168" i="49"/>
  <c r="AE103" i="49"/>
  <c r="AE244" i="49"/>
  <c r="AE16" i="49"/>
  <c r="AE83" i="49"/>
  <c r="AE152" i="49"/>
  <c r="AE240" i="49"/>
  <c r="AE21" i="49"/>
  <c r="AE39" i="49"/>
  <c r="AE128" i="49"/>
  <c r="AE24" i="48"/>
  <c r="AF121" i="49"/>
  <c r="AF10" i="49"/>
  <c r="AF24" i="49"/>
  <c r="AF41" i="49"/>
  <c r="AF147" i="49"/>
  <c r="AF195" i="49"/>
  <c r="AF116" i="49"/>
  <c r="AF112" i="49"/>
  <c r="AF194" i="49"/>
  <c r="AF71" i="49"/>
  <c r="AF163" i="49"/>
  <c r="AF95" i="49"/>
  <c r="L22" i="49"/>
  <c r="AJ73" i="39"/>
  <c r="AJ55" i="39"/>
  <c r="AJ50" i="39"/>
  <c r="AJ70" i="39"/>
  <c r="AJ86" i="39"/>
  <c r="AJ95" i="39"/>
  <c r="AJ12" i="39"/>
  <c r="AJ102" i="39"/>
  <c r="AJ48" i="39"/>
  <c r="AJ94" i="39"/>
  <c r="AI16" i="43"/>
  <c r="AI52" i="43"/>
  <c r="AI28" i="43"/>
  <c r="AI21" i="43"/>
  <c r="AI117" i="39"/>
  <c r="AI8" i="39"/>
  <c r="AI6" i="39"/>
  <c r="AI104" i="39"/>
  <c r="AI25" i="39"/>
  <c r="AI97" i="39"/>
  <c r="AI129" i="39"/>
  <c r="AI119" i="39"/>
  <c r="AI46" i="39"/>
  <c r="AI65" i="39"/>
  <c r="AI63" i="39"/>
  <c r="AI52" i="39"/>
  <c r="AI75" i="39"/>
  <c r="AI88" i="39"/>
  <c r="AI43" i="39"/>
  <c r="AI99" i="39"/>
  <c r="AI85" i="39"/>
  <c r="AI42" i="39"/>
  <c r="AI39" i="39"/>
  <c r="AI121" i="39"/>
  <c r="AI89" i="39"/>
  <c r="AI67" i="39"/>
  <c r="AI110" i="39"/>
  <c r="O16" i="39"/>
  <c r="C29" i="39" s="1"/>
  <c r="H16" i="33" s="1"/>
  <c r="AI128" i="39"/>
  <c r="AI61" i="39"/>
  <c r="AI22" i="39"/>
  <c r="AI76" i="39"/>
  <c r="AI127" i="39"/>
  <c r="AI86" i="39"/>
  <c r="AI81" i="39"/>
  <c r="AI20" i="39"/>
  <c r="AI113" i="39"/>
  <c r="AI35" i="39"/>
  <c r="AI95" i="39"/>
  <c r="AI100" i="39"/>
  <c r="AI3" i="39"/>
  <c r="AI47" i="39"/>
  <c r="AI44" i="39"/>
  <c r="AI38" i="39"/>
  <c r="AI18" i="39"/>
  <c r="AI9" i="39"/>
  <c r="AI109" i="39"/>
  <c r="AI19" i="39"/>
  <c r="AI16" i="39"/>
  <c r="AI55" i="39"/>
  <c r="AI69" i="39"/>
  <c r="AI123" i="39"/>
  <c r="AI60" i="39"/>
  <c r="O17" i="39"/>
  <c r="C30" i="39" s="1"/>
  <c r="H17" i="33" s="1"/>
  <c r="AI125" i="39"/>
  <c r="AI7" i="39"/>
  <c r="AI122" i="39"/>
  <c r="AI83" i="39"/>
  <c r="AI23" i="39"/>
  <c r="AI87" i="39"/>
  <c r="AI10" i="39"/>
  <c r="AI71" i="39"/>
  <c r="AI72" i="39"/>
  <c r="AI21" i="39"/>
  <c r="AI82" i="39"/>
  <c r="O23" i="39"/>
  <c r="C36" i="39" s="1"/>
  <c r="H23" i="33" s="1"/>
  <c r="AI27" i="39"/>
  <c r="O22" i="39"/>
  <c r="C35" i="39" s="1"/>
  <c r="H22" i="33" s="1"/>
  <c r="O20" i="39"/>
  <c r="C33" i="39" s="1"/>
  <c r="H20" i="33" s="1"/>
  <c r="AI90" i="39"/>
  <c r="AI4" i="39"/>
  <c r="AI124" i="39"/>
  <c r="AI107" i="39"/>
  <c r="AI112" i="39"/>
  <c r="AI26" i="39"/>
  <c r="AI92" i="39"/>
  <c r="AI101" i="39"/>
  <c r="AI96" i="39"/>
  <c r="AI50" i="39"/>
  <c r="AI56" i="39"/>
  <c r="AI64" i="39"/>
  <c r="AI84" i="39"/>
  <c r="O24" i="39"/>
  <c r="C37" i="39" s="1"/>
  <c r="H24" i="33" s="1"/>
  <c r="AI94" i="39"/>
  <c r="AI48" i="39"/>
  <c r="AI98" i="39"/>
  <c r="AI74" i="39"/>
  <c r="AE115" i="49"/>
  <c r="AE145" i="49"/>
  <c r="AE214" i="49"/>
  <c r="AE45" i="49"/>
  <c r="AE69" i="49"/>
  <c r="AE171" i="49"/>
  <c r="AE120" i="49"/>
  <c r="AE207" i="49"/>
  <c r="AE191" i="49"/>
  <c r="AE231" i="49"/>
  <c r="AE236" i="49"/>
  <c r="AE26" i="49"/>
  <c r="AE163" i="49"/>
  <c r="AE80" i="49"/>
  <c r="AE12" i="49"/>
  <c r="AE198" i="49"/>
  <c r="AE8" i="49"/>
  <c r="AE195" i="49"/>
  <c r="AE237" i="49"/>
  <c r="AE232" i="49"/>
  <c r="K20" i="49"/>
  <c r="C39" i="49" s="1"/>
  <c r="H30" i="33" s="1"/>
  <c r="K19" i="49"/>
  <c r="C38" i="49" s="1"/>
  <c r="H29" i="33" s="1"/>
  <c r="AE5" i="48"/>
  <c r="AF167" i="49"/>
  <c r="AF67" i="49"/>
  <c r="AF254" i="49"/>
  <c r="AF192" i="49"/>
  <c r="AF201" i="49"/>
  <c r="AF178" i="49"/>
  <c r="AF158" i="49"/>
  <c r="AF122" i="49"/>
  <c r="AF47" i="49"/>
  <c r="AF19" i="49"/>
  <c r="AF38" i="49"/>
  <c r="AF202" i="49"/>
  <c r="AF212" i="49"/>
  <c r="AF180" i="49"/>
  <c r="AF117" i="49"/>
  <c r="AF215" i="49"/>
  <c r="AF244" i="49"/>
  <c r="L29" i="49"/>
  <c r="AJ11" i="43"/>
  <c r="AJ115" i="39"/>
  <c r="AJ6" i="39"/>
  <c r="AJ123" i="39"/>
  <c r="AJ121" i="39"/>
  <c r="AJ61" i="39"/>
  <c r="AJ3" i="39"/>
  <c r="AJ24" i="39"/>
  <c r="AJ40" i="39"/>
  <c r="AJ81" i="39"/>
  <c r="AJ56" i="39"/>
  <c r="AI35" i="43"/>
  <c r="AI27" i="43"/>
  <c r="AI63" i="43"/>
  <c r="AI19" i="43"/>
  <c r="AI62" i="43"/>
  <c r="AI32" i="39"/>
  <c r="AI115" i="39"/>
  <c r="AI57" i="39"/>
  <c r="AI78" i="39"/>
  <c r="AI77" i="39"/>
  <c r="AI62" i="39"/>
  <c r="AE159" i="49"/>
  <c r="AE169" i="49"/>
  <c r="AE53" i="49"/>
  <c r="AE142" i="49"/>
  <c r="AE67" i="49"/>
  <c r="AE14" i="49"/>
  <c r="AE34" i="49"/>
  <c r="AE6" i="49"/>
  <c r="AE70" i="49"/>
  <c r="AE100" i="49"/>
  <c r="AE116" i="49"/>
  <c r="AE247" i="49"/>
  <c r="AE99" i="49"/>
  <c r="AE182" i="49"/>
  <c r="AE196" i="49"/>
  <c r="AE63" i="49"/>
  <c r="AE234" i="49"/>
  <c r="AE88" i="49"/>
  <c r="AE173" i="49"/>
  <c r="AE75" i="49"/>
  <c r="K22" i="49"/>
  <c r="C41" i="49" s="1"/>
  <c r="H32" i="33" s="1"/>
  <c r="AE10" i="48"/>
  <c r="AF128" i="49"/>
  <c r="AF132" i="49"/>
  <c r="AF164" i="49"/>
  <c r="AF58" i="49"/>
  <c r="AF70" i="49"/>
  <c r="AF248" i="49"/>
  <c r="AF134" i="49"/>
  <c r="AF130" i="49"/>
  <c r="AF61" i="49"/>
  <c r="AF77" i="49"/>
  <c r="AF129" i="49"/>
  <c r="AF142" i="49"/>
  <c r="AF191" i="49"/>
  <c r="AF84" i="49"/>
  <c r="AF183" i="49"/>
  <c r="L28" i="49"/>
  <c r="AJ32" i="43"/>
  <c r="AJ54" i="43"/>
  <c r="AJ49" i="43"/>
  <c r="AJ60" i="39"/>
  <c r="AJ111" i="39"/>
  <c r="AJ57" i="39"/>
  <c r="AJ27" i="39"/>
  <c r="AJ113" i="39"/>
  <c r="AJ84" i="39"/>
  <c r="AJ93" i="39"/>
  <c r="AJ17" i="39"/>
  <c r="AJ99" i="39"/>
  <c r="AJ54" i="39"/>
  <c r="AI4" i="43"/>
  <c r="AI34" i="43"/>
  <c r="AI60" i="43"/>
  <c r="AI15" i="43"/>
  <c r="AE217" i="49"/>
  <c r="AE252" i="49"/>
  <c r="AE76" i="49"/>
  <c r="AE162" i="49"/>
  <c r="AE161" i="49"/>
  <c r="AE180" i="49"/>
  <c r="AE256" i="49"/>
  <c r="AE72" i="49"/>
  <c r="AE255" i="49"/>
  <c r="AE129" i="49"/>
  <c r="AE190" i="49"/>
  <c r="AE149" i="49"/>
  <c r="AE125" i="49"/>
  <c r="AE52" i="49"/>
  <c r="AE183" i="49"/>
  <c r="AE28" i="49"/>
  <c r="AE165" i="49"/>
  <c r="AE241" i="49"/>
  <c r="AE38" i="49"/>
  <c r="AE228" i="49"/>
  <c r="AE105" i="49"/>
  <c r="K29" i="49"/>
  <c r="C48" i="49" s="1"/>
  <c r="H39" i="33" s="1"/>
  <c r="K25" i="49"/>
  <c r="C44" i="49" s="1"/>
  <c r="H35" i="33" s="1"/>
  <c r="AE3" i="48"/>
  <c r="AE9" i="48"/>
  <c r="K19" i="48"/>
  <c r="AF89" i="49"/>
  <c r="AF199" i="49"/>
  <c r="AF157" i="49"/>
  <c r="AF240" i="49"/>
  <c r="AF29" i="49"/>
  <c r="AF56" i="49"/>
  <c r="AF229" i="49"/>
  <c r="AF34" i="49"/>
  <c r="AF125" i="49"/>
  <c r="AF204" i="49"/>
  <c r="AF257" i="49"/>
  <c r="AF76" i="49"/>
  <c r="AF211" i="49"/>
  <c r="AF256" i="49"/>
  <c r="AF203" i="49"/>
  <c r="AF39" i="49"/>
  <c r="AF166" i="49"/>
  <c r="AF73" i="49"/>
  <c r="AF113" i="49"/>
  <c r="AF131" i="49"/>
  <c r="AF145" i="49"/>
  <c r="L16" i="49"/>
  <c r="L25" i="49"/>
  <c r="AJ12" i="43"/>
  <c r="AJ129" i="39"/>
  <c r="AJ31" i="39"/>
  <c r="AJ72" i="39"/>
  <c r="AJ105" i="39"/>
  <c r="AJ25" i="39"/>
  <c r="AJ53" i="39"/>
  <c r="P20" i="39"/>
  <c r="AJ44" i="39"/>
  <c r="AJ83" i="39"/>
  <c r="AJ109" i="39"/>
  <c r="AJ58" i="39"/>
  <c r="AI33" i="43"/>
  <c r="AI54" i="43"/>
  <c r="AI20" i="43"/>
  <c r="AI53" i="43"/>
  <c r="O16" i="43"/>
  <c r="J22" i="49"/>
  <c r="J18" i="49"/>
  <c r="AD88" i="49"/>
  <c r="AD94" i="49"/>
  <c r="AD158" i="49"/>
  <c r="AD10" i="49"/>
  <c r="AD77" i="49"/>
  <c r="AD197" i="49"/>
  <c r="AD154" i="49"/>
  <c r="AD206" i="49"/>
  <c r="AD45" i="49"/>
  <c r="AD36" i="49"/>
  <c r="AD115" i="49"/>
  <c r="AD219" i="49"/>
  <c r="AD161" i="49"/>
  <c r="AD64" i="49"/>
  <c r="AD80" i="49"/>
  <c r="AD95" i="49"/>
  <c r="AD99" i="49"/>
  <c r="AD18" i="49"/>
  <c r="AD242" i="49"/>
  <c r="AD44" i="49"/>
  <c r="AD130" i="49"/>
  <c r="AD54" i="49"/>
  <c r="AD119" i="49"/>
  <c r="AD234" i="49"/>
  <c r="AD81" i="49"/>
  <c r="AD179" i="49"/>
  <c r="AD201" i="49"/>
  <c r="AD74" i="49"/>
  <c r="AD198" i="49"/>
  <c r="AD125" i="49"/>
  <c r="AD66" i="49"/>
  <c r="AD253" i="49"/>
  <c r="AD129" i="49"/>
  <c r="J27" i="49"/>
  <c r="J15" i="49"/>
  <c r="AD153" i="49"/>
  <c r="AD241" i="49"/>
  <c r="AD190" i="49"/>
  <c r="AD7" i="49"/>
  <c r="AD97" i="49"/>
  <c r="AD108" i="49"/>
  <c r="AD235" i="49"/>
  <c r="AD126" i="49"/>
  <c r="AD127" i="49"/>
  <c r="AD3" i="49"/>
  <c r="AD113" i="49"/>
  <c r="J21" i="49"/>
  <c r="J25" i="49"/>
  <c r="AD138" i="49"/>
  <c r="AD16" i="49"/>
  <c r="AD22" i="49"/>
  <c r="AD196" i="49"/>
  <c r="AD123" i="49"/>
  <c r="AD58" i="49"/>
  <c r="AD89" i="49"/>
  <c r="AD243" i="49"/>
  <c r="AD53" i="49"/>
  <c r="AD207" i="49"/>
  <c r="AD61" i="49"/>
  <c r="AD249" i="49"/>
  <c r="AD28" i="49"/>
  <c r="AD49" i="49"/>
  <c r="AD139" i="49"/>
  <c r="AD212" i="49"/>
  <c r="AD140" i="49"/>
  <c r="AD132" i="49"/>
  <c r="AD107" i="49"/>
  <c r="AD169" i="49"/>
  <c r="AD109" i="49"/>
  <c r="AD137" i="49"/>
  <c r="AD228" i="49"/>
  <c r="AD57" i="49"/>
  <c r="AD176" i="49"/>
  <c r="AD86" i="49"/>
  <c r="J28" i="49"/>
  <c r="J29" i="49"/>
  <c r="AD147" i="49"/>
  <c r="AD51" i="49"/>
  <c r="AD15" i="49"/>
  <c r="AD34" i="49"/>
  <c r="AD211" i="49"/>
  <c r="AD239" i="49"/>
  <c r="AD222" i="49"/>
  <c r="AD101" i="49"/>
  <c r="AD98" i="49"/>
  <c r="AD155" i="49"/>
  <c r="AD19" i="49"/>
  <c r="AD48" i="49"/>
  <c r="AD63" i="49"/>
  <c r="AD233" i="49"/>
  <c r="AD182" i="49"/>
  <c r="AD25" i="49"/>
  <c r="AD178" i="49"/>
  <c r="AD79" i="49"/>
  <c r="AD171" i="49"/>
  <c r="AD237" i="49"/>
  <c r="AD21" i="49"/>
  <c r="AD183" i="49"/>
  <c r="AD56" i="49"/>
  <c r="AD72" i="49"/>
  <c r="AD166" i="49"/>
  <c r="AD216" i="49"/>
  <c r="J26" i="49"/>
  <c r="AD13" i="49"/>
  <c r="AD230" i="49"/>
  <c r="AD165" i="49"/>
  <c r="AD236" i="49"/>
  <c r="AD52" i="49"/>
  <c r="AD40" i="49"/>
  <c r="AD55" i="49"/>
  <c r="AD245" i="49"/>
  <c r="AD148" i="49"/>
  <c r="AD5" i="49"/>
  <c r="AD43" i="49"/>
  <c r="AD131" i="49"/>
  <c r="AD159" i="49"/>
  <c r="AD106" i="49"/>
  <c r="AD180" i="49"/>
  <c r="AD189" i="49"/>
  <c r="AD192" i="49"/>
  <c r="AD164" i="49"/>
  <c r="AD246" i="49"/>
  <c r="AD238" i="49"/>
  <c r="AD12" i="49"/>
  <c r="AD117" i="49"/>
  <c r="AD104" i="49"/>
  <c r="AD252" i="49"/>
  <c r="AD41" i="49"/>
  <c r="AD195" i="49"/>
  <c r="AD214" i="49"/>
  <c r="AI11" i="39"/>
  <c r="AI34" i="39"/>
  <c r="AI132" i="39"/>
  <c r="AI66" i="39"/>
  <c r="AI130" i="39"/>
  <c r="AI37" i="39"/>
  <c r="AI15" i="39"/>
  <c r="AF169" i="49"/>
  <c r="AF42" i="49"/>
  <c r="AF207" i="49"/>
  <c r="AF3" i="49"/>
  <c r="AF37" i="49"/>
  <c r="AF249" i="49"/>
  <c r="AF245" i="49"/>
  <c r="AF21" i="49"/>
  <c r="AF107" i="49"/>
  <c r="AF217" i="49"/>
  <c r="AF54" i="49"/>
  <c r="AF146" i="49"/>
  <c r="AF43" i="49"/>
  <c r="AF32" i="49"/>
  <c r="AF173" i="49"/>
  <c r="AF238" i="49"/>
  <c r="AF135" i="49"/>
  <c r="AF105" i="49"/>
  <c r="AF159" i="49"/>
  <c r="AF86" i="49"/>
  <c r="AF162" i="49"/>
  <c r="AF184" i="49"/>
  <c r="AF22" i="49"/>
  <c r="AF239" i="49"/>
  <c r="AF18" i="49"/>
  <c r="AF252" i="49"/>
  <c r="AF236" i="49"/>
  <c r="L24" i="49"/>
  <c r="L15" i="49"/>
  <c r="L21" i="49"/>
  <c r="AF250" i="49"/>
  <c r="AF136" i="49"/>
  <c r="AF60" i="49"/>
  <c r="AF247" i="49"/>
  <c r="AF80" i="49"/>
  <c r="AF232" i="49"/>
  <c r="AF99" i="49"/>
  <c r="AF193" i="49"/>
  <c r="AF8" i="49"/>
  <c r="AF223" i="49"/>
  <c r="AF78" i="49"/>
  <c r="AF176" i="49"/>
  <c r="AF149" i="49"/>
  <c r="AF197" i="49"/>
  <c r="AF72" i="49"/>
  <c r="AF57" i="49"/>
  <c r="AF152" i="49"/>
  <c r="AF224" i="49"/>
  <c r="AF16" i="49"/>
  <c r="AF168" i="49"/>
  <c r="AF141" i="49"/>
  <c r="AF98" i="49"/>
  <c r="AF175" i="49"/>
  <c r="AF123" i="49"/>
  <c r="AF233" i="49"/>
  <c r="AF109" i="49"/>
  <c r="AF243" i="49"/>
  <c r="AF210" i="49"/>
  <c r="AF52" i="49"/>
  <c r="AF186" i="49"/>
  <c r="AF237" i="49"/>
  <c r="AF68" i="49"/>
  <c r="AJ45" i="43" l="1"/>
  <c r="AJ28" i="43"/>
  <c r="AJ30" i="43"/>
  <c r="AJ16" i="43"/>
  <c r="AJ4" i="43"/>
  <c r="AJ27" i="43"/>
  <c r="AJ55" i="43"/>
  <c r="AJ41" i="43"/>
  <c r="AJ53" i="43"/>
  <c r="AJ62" i="43"/>
  <c r="AJ57" i="43"/>
  <c r="AJ24" i="43"/>
  <c r="AJ19" i="43"/>
  <c r="AJ51" i="43"/>
  <c r="AJ44" i="43"/>
  <c r="AJ46" i="43"/>
  <c r="AJ50" i="43"/>
  <c r="AJ34" i="43"/>
  <c r="AJ18" i="43"/>
  <c r="AJ6" i="43"/>
  <c r="AJ47" i="43"/>
  <c r="AJ7" i="43"/>
  <c r="AJ26" i="43"/>
  <c r="AJ61" i="43"/>
  <c r="AJ36" i="43"/>
  <c r="AJ43" i="43"/>
  <c r="AE11" i="48"/>
  <c r="AE4" i="48"/>
  <c r="AE14" i="48"/>
  <c r="AE8" i="48"/>
  <c r="AE20" i="48"/>
  <c r="AE18" i="48"/>
  <c r="K18" i="48"/>
  <c r="AE25" i="48"/>
  <c r="AJ23" i="43"/>
  <c r="AJ37" i="43"/>
  <c r="P20" i="43"/>
  <c r="C30" i="43" s="1"/>
  <c r="H13" i="33" s="1"/>
  <c r="P19" i="43"/>
  <c r="C29" i="43" s="1"/>
  <c r="H12" i="33" s="1"/>
  <c r="AJ42" i="43"/>
  <c r="AJ10" i="43"/>
  <c r="AJ38" i="43"/>
  <c r="AJ9" i="43"/>
  <c r="AJ14" i="43"/>
  <c r="AE16" i="48"/>
  <c r="K15" i="48"/>
  <c r="AJ63" i="43"/>
  <c r="P21" i="43"/>
  <c r="C31" i="43" s="1"/>
  <c r="H14" i="33" s="1"/>
  <c r="AJ52" i="43"/>
  <c r="AJ5" i="43"/>
  <c r="AJ29" i="43"/>
  <c r="AJ21" i="43"/>
  <c r="AJ48" i="43"/>
  <c r="AJ8" i="43"/>
  <c r="AJ20" i="43"/>
  <c r="P16" i="43"/>
  <c r="C26" i="43" s="1"/>
  <c r="H9" i="33" s="1"/>
  <c r="AJ22" i="43"/>
  <c r="AJ39" i="43"/>
  <c r="P15" i="43"/>
  <c r="C25" i="43" s="1"/>
  <c r="H8" i="33" s="1"/>
  <c r="P17" i="43"/>
  <c r="C27" i="43" s="1"/>
  <c r="H10" i="33" s="1"/>
  <c r="AJ40" i="43"/>
  <c r="AJ15" i="43"/>
  <c r="AJ25" i="43"/>
  <c r="AJ33" i="43"/>
  <c r="AJ35" i="43"/>
  <c r="AJ3" i="43"/>
  <c r="P18" i="43"/>
  <c r="C28" i="43" s="1"/>
  <c r="H11" i="33" s="1"/>
  <c r="AJ65" i="43"/>
  <c r="AJ56" i="43"/>
  <c r="AJ60" i="43"/>
  <c r="K16" i="48"/>
  <c r="AJ31" i="43"/>
  <c r="AJ13" i="43"/>
  <c r="AE7" i="48"/>
  <c r="AJ59" i="43"/>
  <c r="AJ58" i="43"/>
  <c r="AJ17" i="4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<sst xmlns="http://schemas.openxmlformats.org/spreadsheetml/2006/main" count="589" uniqueCount="162">
  <si>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</si>
  <si>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</si>
  <si>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</si>
  <si>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</si>
  <si>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</si>
  <si>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</si>
  <si>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</si>
  <si>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</si>
  <si>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</si>
  <si>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</si>
  <si>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</si>
  <si>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</si>
  <si>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</si>
  <si>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</si>
  <si>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</si>
  <si>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</si>
  <si>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</si>
  <si>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</si>
  <si>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</si>
  <si>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</si>
  <si>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</si>
  <si>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</si>
  <si>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</si>
  <si>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</si>
  <si>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</si>
  <si>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</si>
  <si>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</si>
  <si>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</si>
  <si>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</si>
  <si>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</si>
  <si>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</si>
  <si>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</si>
  <si>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</si>
  <si>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</si>
  <si>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</si>
  <si>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</si>
  <si>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</si>
  <si>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</si>
  <si>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</si>
  <si>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</si>
  <si>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</si>
  <si>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</si>
  <si>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</si>
  <si>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</si>
  <si>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</si>
  <si>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</si>
  <si>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</si>
  <si>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</si>
  <si>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</si>
  <si>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</si>
  <si>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</si>
  <si>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</si>
  <si>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</si>
  <si>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</si>
  <si>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</si>
  <si>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</si>
  <si>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</si>
  <si>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</si>
  <si>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</si>
  <si>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</si>
  <si>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</si>
  <si>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</si>
  <si>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</si>
  <si>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</si>
  <si>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</si>
  <si>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</si>
  <si>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</si>
  <si>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</si>
  <si>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</si>
  <si>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</si>
  <si>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</si>
  <si>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</si>
  <si>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</si>
  <si>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</si>
  <si>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</si>
  <si>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</si>
  <si>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</si>
  <si>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</si>
  <si>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</si>
  <si>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</si>
  <si>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</si>
  <si>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</si>
  <si>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</si>
  <si>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AB12E</t>
  </si>
  <si>
    <t>BASIS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</si>
  <si>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</si>
  <si>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</si>
  <si>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</si>
  <si>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</si>
  <si>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</si>
  <si>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</si>
  <si>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</si>
  <si>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</si>
  <si>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</si>
  <si>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</si>
  <si>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</si>
  <si>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</si>
  <si>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</si>
  <si>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</si>
  <si>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</si>
  <si>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</si>
  <si>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</si>
  <si>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</si>
  <si>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</si>
  <si>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</si>
  <si>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</si>
  <si>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</si>
  <si>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</si>
  <si>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</si>
  <si>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</si>
  <si>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</si>
  <si>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</si>
  <si>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</si>
  <si>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</si>
  <si>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</si>
  <si>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</si>
  <si>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</si>
  <si>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</si>
  <si>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</si>
  <si>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</si>
  <si>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</si>
  <si>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</si>
  <si>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</si>
  <si>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</si>
  <si>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</si>
  <si>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</si>
  <si>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</si>
  <si>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</si>
  <si>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</si>
  <si>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</si>
  <si>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</si>
  <si>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</si>
  <si>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</si>
  <si>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</si>
  <si>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</si>
  <si>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</si>
  <si>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</si>
  <si>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</si>
  <si>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</si>
  <si>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</si>
  <si>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30/360 (Bond Basis)</t>
  </si>
  <si>
    <t>Discount factor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</si>
  <si>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</si>
  <si>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</si>
  <si>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</si>
  <si>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</si>
  <si>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</si>
  <si>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</si>
  <si>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</si>
  <si>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</si>
  <si>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</si>
  <si>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</si>
  <si>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</si>
  <si>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</si>
  <si>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</si>
  <si>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</si>
  <si>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</si>
  <si>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</si>
  <si>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</si>
  <si>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</si>
  <si>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Diff (bps)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</si>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</sst>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79" formatCode="0.00000"/>
    <numFmt numFmtId="180" formatCode="0.000000"/>
    <numFmt numFmtId="181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32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172" fontId="11" fillId="0" borderId="4" xfId="0" applyNumberFormat="1" applyFont="1" applyBorder="1"/>
    <xf numFmtId="0" fontId="11" fillId="3" borderId="16" xfId="14" applyFont="1" applyFill="1" applyBorder="1"/>
    <xf numFmtId="0" fontId="11" fillId="0" borderId="0" xfId="14" applyFont="1"/>
    <xf numFmtId="0" fontId="11" fillId="3" borderId="16" xfId="20" applyFont="1" applyFill="1" applyBorder="1"/>
    <xf numFmtId="0" fontId="11" fillId="3" borderId="16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169" fontId="11" fillId="6" borderId="2" xfId="11" applyNumberFormat="1" applyFont="1" applyFill="1" applyBorder="1" applyAlignment="1">
      <alignment horizontal="center"/>
    </xf>
    <xf numFmtId="0" fontId="11" fillId="3" borderId="2" xfId="0" applyNumberFormat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75" fontId="11" fillId="3" borderId="10" xfId="0" applyNumberFormat="1" applyFont="1" applyFill="1" applyBorder="1" applyAlignment="1">
      <alignment horizontal="center"/>
    </xf>
    <xf numFmtId="169" fontId="11" fillId="3" borderId="11" xfId="0" applyNumberFormat="1" applyFont="1" applyFill="1" applyBorder="1" applyAlignment="1">
      <alignment horizontal="right"/>
    </xf>
    <xf numFmtId="0" fontId="11" fillId="3" borderId="8" xfId="0" applyFont="1" applyFill="1" applyBorder="1" applyAlignment="1">
      <alignment horizontal="center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69" fontId="12" fillId="3" borderId="0" xfId="17" applyNumberFormat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5" borderId="4" xfId="14" applyNumberFormat="1" applyFont="1" applyFill="1" applyBorder="1" applyAlignment="1">
      <alignment horizontal="center"/>
    </xf>
    <xf numFmtId="0" fontId="11" fillId="5" borderId="4" xfId="35" applyNumberFormat="1" applyFont="1" applyFill="1" applyBorder="1" applyAlignment="1">
      <alignment horizontal="center"/>
    </xf>
    <xf numFmtId="0" fontId="11" fillId="5" borderId="4" xfId="32" applyNumberFormat="1" applyFont="1" applyFill="1" applyBorder="1" applyAlignment="1">
      <alignment horizontal="center"/>
    </xf>
    <xf numFmtId="0" fontId="11" fillId="5" borderId="4" xfId="14" applyFont="1" applyFill="1" applyBorder="1" applyAlignment="1">
      <alignment horizontal="center"/>
    </xf>
    <xf numFmtId="172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/>
    <xf numFmtId="0" fontId="11" fillId="5" borderId="4" xfId="14" applyFont="1" applyFill="1" applyBorder="1"/>
    <xf numFmtId="172" fontId="11" fillId="5" borderId="4" xfId="14" applyNumberFormat="1" applyFont="1" applyFill="1" applyBorder="1"/>
    <xf numFmtId="171" fontId="11" fillId="5" borderId="4" xfId="14" applyNumberFormat="1" applyFont="1" applyFill="1" applyBorder="1"/>
    <xf numFmtId="0" fontId="11" fillId="5" borderId="11" xfId="14" applyNumberFormat="1" applyFont="1" applyFill="1" applyBorder="1" applyAlignment="1">
      <alignment horizontal="center"/>
    </xf>
    <xf numFmtId="0" fontId="11" fillId="5" borderId="11" xfId="35" applyNumberFormat="1" applyFont="1" applyFill="1" applyBorder="1" applyAlignment="1">
      <alignment horizontal="center"/>
    </xf>
    <xf numFmtId="0" fontId="11" fillId="5" borderId="11" xfId="32" applyNumberFormat="1" applyFont="1" applyFill="1" applyBorder="1" applyAlignment="1">
      <alignment horizontal="center"/>
    </xf>
    <xf numFmtId="0" fontId="11" fillId="5" borderId="11" xfId="14" applyFont="1" applyFill="1" applyBorder="1" applyAlignment="1">
      <alignment horizontal="center"/>
    </xf>
    <xf numFmtId="172" fontId="11" fillId="5" borderId="11" xfId="14" applyNumberFormat="1" applyFont="1" applyFill="1" applyBorder="1" applyAlignment="1">
      <alignment horizontal="left"/>
    </xf>
    <xf numFmtId="0" fontId="11" fillId="5" borderId="11" xfId="14" applyFont="1" applyFill="1" applyBorder="1"/>
    <xf numFmtId="172" fontId="11" fillId="5" borderId="11" xfId="14" applyNumberFormat="1" applyFont="1" applyFill="1" applyBorder="1"/>
    <xf numFmtId="171" fontId="11" fillId="5" borderId="11" xfId="14" applyNumberFormat="1" applyFont="1" applyFill="1" applyBorder="1"/>
    <xf numFmtId="175" fontId="11" fillId="5" borderId="9" xfId="14" applyNumberFormat="1" applyFont="1" applyFill="1" applyBorder="1"/>
    <xf numFmtId="175" fontId="11" fillId="5" borderId="4" xfId="14" applyNumberFormat="1" applyFont="1" applyFill="1" applyBorder="1"/>
    <xf numFmtId="175" fontId="11" fillId="5" borderId="11" xfId="14" applyNumberFormat="1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6" borderId="2" xfId="11" applyNumberFormat="1" applyFont="1" applyFill="1" applyBorder="1" applyAlignment="1">
      <alignment horizontal="center"/>
    </xf>
    <xf numFmtId="0" fontId="11" fillId="5" borderId="11" xfId="14" applyNumberFormat="1" applyFont="1" applyFill="1" applyBorder="1" applyAlignment="1">
      <alignment horizontal="left"/>
    </xf>
    <xf numFmtId="0" fontId="11" fillId="5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2" applyFont="1" applyBorder="1"/>
    <xf numFmtId="0" fontId="11" fillId="0" borderId="10" xfId="14" applyFont="1" applyBorder="1"/>
    <xf numFmtId="0" fontId="11" fillId="5" borderId="9" xfId="14" applyNumberFormat="1" applyFont="1" applyFill="1" applyBorder="1" applyAlignment="1">
      <alignment horizontal="center"/>
    </xf>
    <xf numFmtId="0" fontId="11" fillId="5" borderId="9" xfId="35" applyNumberFormat="1" applyFont="1" applyFill="1" applyBorder="1" applyAlignment="1">
      <alignment horizontal="center"/>
    </xf>
    <xf numFmtId="0" fontId="11" fillId="5" borderId="9" xfId="32" applyNumberFormat="1" applyFont="1" applyFill="1" applyBorder="1" applyAlignment="1">
      <alignment horizontal="center"/>
    </xf>
    <xf numFmtId="0" fontId="11" fillId="5" borderId="9" xfId="14" applyFont="1" applyFill="1" applyBorder="1" applyAlignment="1">
      <alignment horizontal="center"/>
    </xf>
    <xf numFmtId="172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/>
    <xf numFmtId="0" fontId="11" fillId="5" borderId="9" xfId="14" applyFont="1" applyFill="1" applyBorder="1"/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5" borderId="2" xfId="14" applyNumberFormat="1" applyFont="1" applyFill="1" applyBorder="1" applyAlignment="1">
      <alignment horizontal="center"/>
    </xf>
    <xf numFmtId="0" fontId="11" fillId="0" borderId="15" xfId="32" applyFont="1" applyBorder="1" applyAlignment="1">
      <alignment horizontal="center" vertical="center"/>
    </xf>
    <xf numFmtId="0" fontId="11" fillId="0" borderId="14" xfId="14" applyFont="1" applyBorder="1" applyAlignment="1">
      <alignment horizontal="center" vertical="center"/>
    </xf>
    <xf numFmtId="172" fontId="11" fillId="5" borderId="4" xfId="14" applyNumberFormat="1" applyFont="1" applyFill="1" applyBorder="1" applyAlignment="1">
      <alignment horizontal="center" vertical="center"/>
    </xf>
    <xf numFmtId="172" fontId="11" fillId="5" borderId="11" xfId="14" applyNumberFormat="1" applyFont="1" applyFill="1" applyBorder="1" applyAlignment="1">
      <alignment horizontal="center" vertical="center"/>
    </xf>
    <xf numFmtId="172" fontId="11" fillId="5" borderId="9" xfId="14" applyNumberFormat="1" applyFont="1" applyFill="1" applyBorder="1"/>
    <xf numFmtId="172" fontId="11" fillId="5" borderId="9" xfId="14" applyNumberFormat="1" applyFont="1" applyFill="1" applyBorder="1" applyAlignment="1">
      <alignment horizontal="center" vertical="center"/>
    </xf>
    <xf numFmtId="171" fontId="11" fillId="5" borderId="9" xfId="14" applyNumberFormat="1" applyFont="1" applyFill="1" applyBorder="1"/>
    <xf numFmtId="0" fontId="11" fillId="0" borderId="9" xfId="8" applyFont="1" applyBorder="1"/>
    <xf numFmtId="171" fontId="11" fillId="0" borderId="9" xfId="8" applyNumberFormat="1" applyFont="1" applyBorder="1"/>
    <xf numFmtId="0" fontId="11" fillId="0" borderId="4" xfId="8" applyFont="1" applyBorder="1"/>
    <xf numFmtId="171" fontId="11" fillId="0" borderId="4" xfId="8" applyNumberFormat="1" applyFont="1" applyBorder="1"/>
    <xf numFmtId="0" fontId="11" fillId="0" borderId="11" xfId="8" applyFont="1" applyBorder="1"/>
    <xf numFmtId="171" fontId="11" fillId="0" borderId="11" xfId="8" applyNumberFormat="1" applyFont="1" applyBorder="1"/>
    <xf numFmtId="0" fontId="11" fillId="0" borderId="0" xfId="14" applyFont="1" applyBorder="1"/>
    <xf numFmtId="0" fontId="11" fillId="7" borderId="4" xfId="0" applyFont="1" applyFill="1" applyBorder="1" applyAlignment="1">
      <alignment horizontal="center"/>
    </xf>
    <xf numFmtId="173" fontId="11" fillId="0" borderId="4" xfId="0" applyNumberFormat="1" applyFont="1" applyBorder="1"/>
    <xf numFmtId="175" fontId="11" fillId="0" borderId="4" xfId="0" applyNumberFormat="1" applyFont="1" applyBorder="1"/>
    <xf numFmtId="173" fontId="11" fillId="0" borderId="4" xfId="14" applyNumberFormat="1" applyFont="1" applyBorder="1"/>
    <xf numFmtId="172" fontId="11" fillId="0" borderId="4" xfId="14" applyNumberFormat="1" applyFont="1" applyBorder="1"/>
    <xf numFmtId="173" fontId="11" fillId="0" borderId="9" xfId="0" applyNumberFormat="1" applyFont="1" applyBorder="1"/>
    <xf numFmtId="172" fontId="11" fillId="0" borderId="9" xfId="0" applyNumberFormat="1" applyFont="1" applyBorder="1"/>
    <xf numFmtId="175" fontId="11" fillId="0" borderId="9" xfId="0" applyNumberFormat="1" applyFont="1" applyBorder="1"/>
    <xf numFmtId="173" fontId="11" fillId="0" borderId="11" xfId="14" applyNumberFormat="1" applyFont="1" applyBorder="1"/>
    <xf numFmtId="172" fontId="11" fillId="0" borderId="11" xfId="14" applyNumberFormat="1" applyFont="1" applyBorder="1"/>
    <xf numFmtId="172" fontId="11" fillId="0" borderId="11" xfId="0" applyNumberFormat="1" applyFont="1" applyBorder="1"/>
    <xf numFmtId="175" fontId="11" fillId="0" borderId="11" xfId="0" applyNumberFormat="1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180" fontId="11" fillId="0" borderId="9" xfId="0" applyNumberFormat="1" applyFont="1" applyBorder="1"/>
    <xf numFmtId="180" fontId="11" fillId="0" borderId="4" xfId="0" applyNumberFormat="1" applyFont="1" applyBorder="1"/>
    <xf numFmtId="180" fontId="11" fillId="0" borderId="11" xfId="0" applyNumberFormat="1" applyFont="1" applyBorder="1"/>
    <xf numFmtId="0" fontId="11" fillId="7" borderId="11" xfId="0" applyFont="1" applyFill="1" applyBorder="1" applyAlignment="1">
      <alignment horizontal="center"/>
    </xf>
    <xf numFmtId="0" fontId="11" fillId="8" borderId="0" xfId="15" applyFont="1" applyFill="1"/>
    <xf numFmtId="0" fontId="11" fillId="8" borderId="0" xfId="16" applyFont="1" applyFill="1"/>
    <xf numFmtId="0" fontId="11" fillId="8" borderId="0" xfId="15" applyFont="1" applyFill="1" applyBorder="1"/>
    <xf numFmtId="170" fontId="14" fillId="10" borderId="3" xfId="14" applyNumberFormat="1" applyFont="1" applyFill="1" applyBorder="1" applyAlignment="1" applyProtection="1">
      <alignment horizontal="center"/>
    </xf>
    <xf numFmtId="170" fontId="14" fillId="10" borderId="3" xfId="14" quotePrefix="1" applyNumberFormat="1" applyFont="1" applyFill="1" applyBorder="1" applyAlignment="1" applyProtection="1">
      <alignment horizontal="left"/>
    </xf>
    <xf numFmtId="170" fontId="14" fillId="10" borderId="3" xfId="14" quotePrefix="1" applyNumberFormat="1" applyFont="1" applyFill="1" applyBorder="1" applyAlignment="1" applyProtection="1">
      <alignment horizontal="center"/>
    </xf>
    <xf numFmtId="172" fontId="14" fillId="10" borderId="3" xfId="14" quotePrefix="1" applyNumberFormat="1" applyFont="1" applyFill="1" applyBorder="1" applyAlignment="1" applyProtection="1">
      <alignment horizontal="center"/>
    </xf>
    <xf numFmtId="173" fontId="14" fillId="10" borderId="3" xfId="14" quotePrefix="1" applyNumberFormat="1" applyFont="1" applyFill="1" applyBorder="1" applyAlignment="1" applyProtection="1">
      <alignment horizontal="center"/>
    </xf>
    <xf numFmtId="176" fontId="11" fillId="10" borderId="10" xfId="0" quotePrefix="1" applyNumberFormat="1" applyFont="1" applyFill="1" applyBorder="1" applyAlignment="1">
      <alignment horizontal="center"/>
    </xf>
    <xf numFmtId="1" fontId="16" fillId="10" borderId="8" xfId="0" applyNumberFormat="1" applyFont="1" applyFill="1" applyBorder="1" applyAlignment="1">
      <alignment horizontal="left"/>
    </xf>
    <xf numFmtId="0" fontId="11" fillId="8" borderId="0" xfId="0" applyFont="1" applyFill="1"/>
    <xf numFmtId="0" fontId="11" fillId="8" borderId="0" xfId="0" applyNumberFormat="1" applyFont="1" applyFill="1"/>
    <xf numFmtId="0" fontId="11" fillId="8" borderId="0" xfId="0" applyFont="1" applyFill="1" applyBorder="1"/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2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2" fontId="11" fillId="8" borderId="4" xfId="0" applyNumberFormat="1" applyFont="1" applyFill="1" applyBorder="1" applyAlignment="1">
      <alignment vertical="center"/>
    </xf>
    <xf numFmtId="172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2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8" fontId="11" fillId="8" borderId="0" xfId="0" applyNumberFormat="1" applyFont="1" applyFill="1"/>
    <xf numFmtId="172" fontId="11" fillId="8" borderId="0" xfId="0" applyNumberFormat="1" applyFont="1" applyFill="1" applyBorder="1"/>
    <xf numFmtId="172" fontId="11" fillId="8" borderId="0" xfId="0" applyNumberFormat="1" applyFont="1" applyFill="1"/>
    <xf numFmtId="0" fontId="11" fillId="9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Continuous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Continuous" vertical="center" wrapText="1"/>
    </xf>
    <xf numFmtId="0" fontId="11" fillId="11" borderId="2" xfId="0" applyFont="1" applyFill="1" applyBorder="1" applyAlignment="1"/>
    <xf numFmtId="171" fontId="11" fillId="11" borderId="2" xfId="0" applyNumberFormat="1" applyFont="1" applyFill="1" applyBorder="1" applyAlignment="1"/>
    <xf numFmtId="180" fontId="21" fillId="11" borderId="2" xfId="0" applyNumberFormat="1" applyFont="1" applyFill="1" applyBorder="1" applyAlignment="1"/>
    <xf numFmtId="173" fontId="11" fillId="11" borderId="2" xfId="0" applyNumberFormat="1" applyFont="1" applyFill="1" applyBorder="1"/>
    <xf numFmtId="172" fontId="11" fillId="11" borderId="2" xfId="17" applyNumberFormat="1" applyFont="1" applyFill="1" applyBorder="1"/>
    <xf numFmtId="0" fontId="11" fillId="11" borderId="4" xfId="0" applyFont="1" applyFill="1" applyBorder="1" applyAlignment="1"/>
    <xf numFmtId="171" fontId="11" fillId="11" borderId="4" xfId="0" applyNumberFormat="1" applyFont="1" applyFill="1" applyBorder="1" applyAlignment="1"/>
    <xf numFmtId="180" fontId="11" fillId="11" borderId="4" xfId="0" applyNumberFormat="1" applyFont="1" applyFill="1" applyBorder="1" applyAlignment="1"/>
    <xf numFmtId="173" fontId="11" fillId="11" borderId="4" xfId="0" applyNumberFormat="1" applyFont="1" applyFill="1" applyBorder="1"/>
    <xf numFmtId="172" fontId="11" fillId="11" borderId="4" xfId="17" applyNumberFormat="1" applyFont="1" applyFill="1" applyBorder="1"/>
    <xf numFmtId="0" fontId="11" fillId="11" borderId="11" xfId="0" applyFont="1" applyFill="1" applyBorder="1" applyAlignment="1"/>
    <xf numFmtId="171" fontId="11" fillId="11" borderId="11" xfId="0" applyNumberFormat="1" applyFont="1" applyFill="1" applyBorder="1" applyAlignment="1"/>
    <xf numFmtId="180" fontId="11" fillId="11" borderId="11" xfId="0" applyNumberFormat="1" applyFont="1" applyFill="1" applyBorder="1" applyAlignment="1"/>
    <xf numFmtId="173" fontId="11" fillId="11" borderId="11" xfId="0" applyNumberFormat="1" applyFont="1" applyFill="1" applyBorder="1"/>
    <xf numFmtId="172" fontId="11" fillId="11" borderId="11" xfId="17" applyNumberFormat="1" applyFont="1" applyFill="1" applyBorder="1"/>
    <xf numFmtId="0" fontId="11" fillId="11" borderId="9" xfId="0" applyFont="1" applyFill="1" applyBorder="1" applyAlignment="1">
      <alignment horizontal="center" vertical="center"/>
    </xf>
    <xf numFmtId="171" fontId="11" fillId="11" borderId="9" xfId="0" applyNumberFormat="1" applyFont="1" applyFill="1" applyBorder="1" applyAlignment="1"/>
    <xf numFmtId="171" fontId="11" fillId="11" borderId="9" xfId="0" applyNumberFormat="1" applyFont="1" applyFill="1" applyBorder="1"/>
    <xf numFmtId="173" fontId="11" fillId="11" borderId="9" xfId="0" applyNumberFormat="1" applyFont="1" applyFill="1" applyBorder="1"/>
    <xf numFmtId="175" fontId="11" fillId="11" borderId="9" xfId="0" applyNumberFormat="1" applyFont="1" applyFill="1" applyBorder="1"/>
    <xf numFmtId="172" fontId="11" fillId="11" borderId="4" xfId="0" applyNumberFormat="1" applyFont="1" applyFill="1" applyBorder="1"/>
    <xf numFmtId="0" fontId="11" fillId="11" borderId="4" xfId="0" applyFont="1" applyFill="1" applyBorder="1" applyAlignment="1">
      <alignment horizontal="center" vertical="center"/>
    </xf>
    <xf numFmtId="171" fontId="11" fillId="11" borderId="4" xfId="0" applyNumberFormat="1" applyFont="1" applyFill="1" applyBorder="1"/>
    <xf numFmtId="175" fontId="11" fillId="11" borderId="4" xfId="0" applyNumberFormat="1" applyFont="1" applyFill="1" applyBorder="1"/>
    <xf numFmtId="175" fontId="11" fillId="11" borderId="4" xfId="17" applyNumberFormat="1" applyFont="1" applyFill="1" applyBorder="1"/>
    <xf numFmtId="0" fontId="11" fillId="11" borderId="11" xfId="0" applyFont="1" applyFill="1" applyBorder="1" applyAlignment="1">
      <alignment horizontal="center" vertical="center"/>
    </xf>
    <xf numFmtId="171" fontId="11" fillId="11" borderId="11" xfId="0" applyNumberFormat="1" applyFont="1" applyFill="1" applyBorder="1"/>
    <xf numFmtId="175" fontId="11" fillId="11" borderId="11" xfId="0" applyNumberFormat="1" applyFont="1" applyFill="1" applyBorder="1"/>
    <xf numFmtId="175" fontId="11" fillId="11" borderId="11" xfId="17" applyNumberFormat="1" applyFont="1" applyFill="1" applyBorder="1"/>
    <xf numFmtId="172" fontId="11" fillId="11" borderId="11" xfId="0" applyNumberFormat="1" applyFont="1" applyFill="1" applyBorder="1"/>
    <xf numFmtId="171" fontId="11" fillId="11" borderId="2" xfId="0" applyNumberFormat="1" applyFont="1" applyFill="1" applyBorder="1" applyAlignment="1">
      <alignment horizontal="center" vertical="center"/>
    </xf>
    <xf numFmtId="171" fontId="11" fillId="11" borderId="2" xfId="0" applyNumberFormat="1" applyFont="1" applyFill="1" applyBorder="1" applyAlignment="1">
      <alignment vertical="center"/>
    </xf>
    <xf numFmtId="172" fontId="11" fillId="11" borderId="2" xfId="0" applyNumberFormat="1" applyFont="1" applyFill="1" applyBorder="1" applyAlignment="1">
      <alignment horizontal="center" vertical="center"/>
    </xf>
    <xf numFmtId="172" fontId="11" fillId="11" borderId="9" xfId="0" applyNumberFormat="1" applyFont="1" applyFill="1" applyBorder="1"/>
    <xf numFmtId="0" fontId="11" fillId="9" borderId="15" xfId="0" applyFont="1" applyFill="1" applyBorder="1"/>
    <xf numFmtId="175" fontId="11" fillId="11" borderId="2" xfId="0" applyNumberFormat="1" applyFont="1" applyFill="1" applyBorder="1" applyAlignment="1"/>
    <xf numFmtId="173" fontId="11" fillId="11" borderId="2" xfId="0" applyNumberFormat="1" applyFont="1" applyFill="1" applyBorder="1" applyAlignment="1"/>
    <xf numFmtId="172" fontId="11" fillId="11" borderId="2" xfId="0" applyNumberFormat="1" applyFont="1" applyFill="1" applyBorder="1" applyAlignment="1"/>
    <xf numFmtId="175" fontId="11" fillId="11" borderId="4" xfId="0" applyNumberFormat="1" applyFont="1" applyFill="1" applyBorder="1" applyAlignment="1"/>
    <xf numFmtId="173" fontId="11" fillId="11" borderId="4" xfId="0" applyNumberFormat="1" applyFont="1" applyFill="1" applyBorder="1" applyAlignment="1"/>
    <xf numFmtId="172" fontId="11" fillId="11" borderId="4" xfId="0" applyNumberFormat="1" applyFont="1" applyFill="1" applyBorder="1" applyAlignment="1"/>
    <xf numFmtId="175" fontId="11" fillId="11" borderId="11" xfId="0" applyNumberFormat="1" applyFont="1" applyFill="1" applyBorder="1" applyAlignment="1"/>
    <xf numFmtId="173" fontId="11" fillId="11" borderId="11" xfId="0" applyNumberFormat="1" applyFont="1" applyFill="1" applyBorder="1" applyAlignment="1"/>
    <xf numFmtId="172" fontId="11" fillId="11" borderId="11" xfId="0" applyNumberFormat="1" applyFont="1" applyFill="1" applyBorder="1" applyAlignment="1"/>
    <xf numFmtId="0" fontId="11" fillId="11" borderId="0" xfId="0" applyFont="1" applyFill="1" applyBorder="1"/>
    <xf numFmtId="175" fontId="11" fillId="11" borderId="14" xfId="0" applyNumberFormat="1" applyFont="1" applyFill="1" applyBorder="1"/>
    <xf numFmtId="172" fontId="11" fillId="11" borderId="6" xfId="0" applyNumberFormat="1" applyFont="1" applyFill="1" applyBorder="1"/>
    <xf numFmtId="175" fontId="11" fillId="11" borderId="6" xfId="0" applyNumberFormat="1" applyFont="1" applyFill="1" applyBorder="1"/>
    <xf numFmtId="0" fontId="11" fillId="11" borderId="24" xfId="0" applyFont="1" applyFill="1" applyBorder="1"/>
    <xf numFmtId="175" fontId="11" fillId="11" borderId="7" xfId="0" applyNumberFormat="1" applyFont="1" applyFill="1" applyBorder="1"/>
    <xf numFmtId="172" fontId="11" fillId="11" borderId="7" xfId="0" applyNumberFormat="1" applyFont="1" applyFill="1" applyBorder="1"/>
    <xf numFmtId="0" fontId="17" fillId="7" borderId="14" xfId="0" applyFont="1" applyFill="1" applyBorder="1" applyAlignment="1">
      <alignment horizontal="centerContinuous" vertical="center" wrapText="1"/>
    </xf>
    <xf numFmtId="0" fontId="17" fillId="7" borderId="15" xfId="0" applyFont="1" applyFill="1" applyBorder="1" applyAlignment="1">
      <alignment horizontal="centerContinuous" vertical="center" wrapText="1"/>
    </xf>
    <xf numFmtId="0" fontId="17" fillId="7" borderId="10" xfId="0" applyFont="1" applyFill="1" applyBorder="1" applyAlignment="1">
      <alignment horizontal="centerContinuous" vertical="center" wrapText="1"/>
    </xf>
    <xf numFmtId="0" fontId="11" fillId="8" borderId="0" xfId="0" applyNumberFormat="1" applyFont="1" applyFill="1" applyBorder="1" applyAlignment="1"/>
    <xf numFmtId="179" fontId="11" fillId="8" borderId="4" xfId="0" applyNumberFormat="1" applyFont="1" applyFill="1" applyBorder="1" applyAlignment="1"/>
    <xf numFmtId="172" fontId="11" fillId="11" borderId="14" xfId="17" applyNumberFormat="1" applyFont="1" applyFill="1" applyBorder="1"/>
    <xf numFmtId="172" fontId="11" fillId="11" borderId="6" xfId="17" applyNumberFormat="1" applyFont="1" applyFill="1" applyBorder="1"/>
    <xf numFmtId="172" fontId="11" fillId="11" borderId="7" xfId="17" applyNumberFormat="1" applyFont="1" applyFill="1" applyBorder="1"/>
    <xf numFmtId="0" fontId="11" fillId="9" borderId="2" xfId="8" applyFont="1" applyFill="1" applyBorder="1" applyAlignment="1">
      <alignment horizontal="center" vertical="center" wrapText="1"/>
    </xf>
    <xf numFmtId="0" fontId="11" fillId="8" borderId="0" xfId="8" applyFont="1" applyFill="1"/>
    <xf numFmtId="0" fontId="0" fillId="8" borderId="0" xfId="0" applyFill="1"/>
    <xf numFmtId="172" fontId="11" fillId="8" borderId="0" xfId="8" applyNumberFormat="1" applyFont="1" applyFill="1"/>
    <xf numFmtId="177" fontId="11" fillId="8" borderId="0" xfId="8" applyNumberFormat="1" applyFont="1" applyFill="1"/>
    <xf numFmtId="0" fontId="11" fillId="11" borderId="9" xfId="8" applyFont="1" applyFill="1" applyBorder="1"/>
    <xf numFmtId="171" fontId="11" fillId="11" borderId="9" xfId="8" applyNumberFormat="1" applyFont="1" applyFill="1" applyBorder="1"/>
    <xf numFmtId="172" fontId="11" fillId="11" borderId="9" xfId="11" applyNumberFormat="1" applyFont="1" applyFill="1" applyBorder="1"/>
    <xf numFmtId="172" fontId="11" fillId="11" borderId="9" xfId="8" applyNumberFormat="1" applyFont="1" applyFill="1" applyBorder="1"/>
    <xf numFmtId="0" fontId="11" fillId="11" borderId="4" xfId="8" applyFont="1" applyFill="1" applyBorder="1"/>
    <xf numFmtId="171" fontId="11" fillId="11" borderId="4" xfId="8" applyNumberFormat="1" applyFont="1" applyFill="1" applyBorder="1"/>
    <xf numFmtId="172" fontId="11" fillId="11" borderId="4" xfId="11" applyNumberFormat="1" applyFont="1" applyFill="1" applyBorder="1"/>
    <xf numFmtId="172" fontId="11" fillId="11" borderId="4" xfId="8" applyNumberFormat="1" applyFont="1" applyFill="1" applyBorder="1"/>
    <xf numFmtId="0" fontId="11" fillId="11" borderId="11" xfId="8" applyFont="1" applyFill="1" applyBorder="1"/>
    <xf numFmtId="171" fontId="11" fillId="11" borderId="11" xfId="8" applyNumberFormat="1" applyFont="1" applyFill="1" applyBorder="1"/>
    <xf numFmtId="172" fontId="11" fillId="11" borderId="11" xfId="11" applyNumberFormat="1" applyFont="1" applyFill="1" applyBorder="1"/>
    <xf numFmtId="172" fontId="11" fillId="11" borderId="11" xfId="8" applyNumberFormat="1" applyFont="1" applyFill="1" applyBorder="1"/>
    <xf numFmtId="0" fontId="11" fillId="9" borderId="12" xfId="14" applyFont="1" applyFill="1" applyBorder="1"/>
    <xf numFmtId="0" fontId="11" fillId="9" borderId="3" xfId="14" applyFont="1" applyFill="1" applyBorder="1"/>
    <xf numFmtId="0" fontId="24" fillId="9" borderId="2" xfId="14" applyFont="1" applyFill="1" applyBorder="1" applyAlignment="1">
      <alignment horizontal="left"/>
    </xf>
    <xf numFmtId="0" fontId="24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left"/>
    </xf>
    <xf numFmtId="0" fontId="5" fillId="9" borderId="9" xfId="14" applyFont="1" applyFill="1" applyBorder="1" applyAlignment="1">
      <alignment horizontal="center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9" borderId="11" xfId="14" applyFont="1" applyFill="1" applyBorder="1" applyAlignment="1">
      <alignment horizontal="left"/>
    </xf>
    <xf numFmtId="172" fontId="17" fillId="9" borderId="12" xfId="21" applyNumberFormat="1" applyFont="1" applyFill="1" applyBorder="1" applyAlignment="1">
      <alignment horizontal="center" vertical="center" wrapText="1"/>
    </xf>
    <xf numFmtId="173" fontId="17" fillId="9" borderId="3" xfId="21" applyNumberFormat="1" applyFont="1" applyFill="1" applyBorder="1" applyAlignment="1">
      <alignment horizontal="center" vertical="center" wrapText="1"/>
    </xf>
    <xf numFmtId="172" fontId="17" fillId="9" borderId="2" xfId="21" applyNumberFormat="1" applyFont="1" applyFill="1" applyBorder="1" applyAlignment="1">
      <alignment horizontal="center" vertical="center" wrapText="1"/>
    </xf>
    <xf numFmtId="172" fontId="17" fillId="9" borderId="3" xfId="21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0" borderId="5" xfId="20" applyFont="1" applyFill="1" applyBorder="1" applyAlignment="1">
      <alignment horizontal="center"/>
    </xf>
    <xf numFmtId="0" fontId="11" fillId="9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9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20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5" fillId="9" borderId="4" xfId="14" applyFont="1" applyFill="1" applyBorder="1" applyAlignment="1">
      <alignment horizontal="center"/>
    </xf>
    <xf numFmtId="0" fontId="5" fillId="9" borderId="11" xfId="14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9" fillId="3" borderId="24" xfId="14" applyFont="1" applyFill="1" applyBorder="1" applyAlignment="1"/>
    <xf numFmtId="0" fontId="12" fillId="3" borderId="24" xfId="14" applyNumberFormat="1" applyFont="1" applyFill="1" applyBorder="1" applyAlignment="1"/>
    <xf numFmtId="0" fontId="11" fillId="3" borderId="24" xfId="0" applyFont="1" applyFill="1" applyBorder="1"/>
    <xf numFmtId="0" fontId="11" fillId="3" borderId="8" xfId="0" applyFont="1" applyFill="1" applyBorder="1"/>
    <xf numFmtId="172" fontId="11" fillId="11" borderId="6" xfId="21" applyNumberFormat="1" applyFont="1" applyFill="1" applyBorder="1" applyAlignment="1"/>
    <xf numFmtId="172" fontId="11" fillId="11" borderId="5" xfId="21" applyNumberFormat="1" applyFont="1" applyFill="1" applyBorder="1" applyAlignment="1"/>
    <xf numFmtId="172" fontId="11" fillId="11" borderId="7" xfId="21" applyNumberFormat="1" applyFont="1" applyFill="1" applyBorder="1" applyAlignment="1"/>
    <xf numFmtId="172" fontId="11" fillId="11" borderId="8" xfId="21" applyNumberFormat="1" applyFont="1" applyFill="1" applyBorder="1" applyAlignment="1"/>
    <xf numFmtId="172" fontId="11" fillId="11" borderId="12" xfId="21" applyNumberFormat="1" applyFont="1" applyFill="1" applyBorder="1" applyAlignment="1"/>
    <xf numFmtId="172" fontId="11" fillId="11" borderId="3" xfId="21" applyNumberFormat="1" applyFont="1" applyFill="1" applyBorder="1" applyAlignment="1"/>
    <xf numFmtId="172" fontId="11" fillId="11" borderId="14" xfId="21" applyNumberFormat="1" applyFont="1" applyFill="1" applyBorder="1" applyAlignment="1"/>
    <xf numFmtId="172" fontId="11" fillId="11" borderId="10" xfId="21" applyNumberFormat="1" applyFont="1" applyFill="1" applyBorder="1" applyAlignment="1"/>
    <xf numFmtId="172" fontId="11" fillId="11" borderId="6" xfId="11" applyNumberFormat="1" applyFont="1" applyFill="1" applyBorder="1"/>
    <xf numFmtId="172" fontId="11" fillId="11" borderId="5" xfId="11" applyNumberFormat="1" applyFont="1" applyFill="1" applyBorder="1" applyAlignment="1"/>
    <xf numFmtId="172" fontId="11" fillId="11" borderId="7" xfId="11" applyNumberFormat="1" applyFont="1" applyFill="1" applyBorder="1"/>
    <xf numFmtId="172" fontId="11" fillId="11" borderId="8" xfId="11" applyNumberFormat="1" applyFont="1" applyFill="1" applyBorder="1" applyAlignment="1"/>
    <xf numFmtId="172" fontId="11" fillId="11" borderId="4" xfId="21" applyNumberFormat="1" applyFont="1" applyFill="1" applyBorder="1" applyAlignment="1"/>
    <xf numFmtId="172" fontId="11" fillId="11" borderId="11" xfId="21" applyNumberFormat="1" applyFont="1" applyFill="1" applyBorder="1" applyAlignment="1"/>
    <xf numFmtId="172" fontId="11" fillId="11" borderId="2" xfId="21" applyNumberFormat="1" applyFont="1" applyFill="1" applyBorder="1" applyAlignment="1"/>
    <xf numFmtId="172" fontId="11" fillId="11" borderId="9" xfId="21" applyNumberFormat="1" applyFont="1" applyFill="1" applyBorder="1" applyAlignment="1"/>
    <xf numFmtId="172" fontId="11" fillId="11" borderId="4" xfId="11" applyNumberFormat="1" applyFont="1" applyFill="1" applyBorder="1" applyAlignment="1"/>
    <xf numFmtId="172" fontId="11" fillId="11" borderId="11" xfId="11" applyNumberFormat="1" applyFont="1" applyFill="1" applyBorder="1" applyAlignment="1"/>
    <xf numFmtId="0" fontId="11" fillId="11" borderId="6" xfId="21" applyNumberFormat="1" applyFont="1" applyFill="1" applyBorder="1" applyAlignment="1">
      <alignment vertical="center"/>
    </xf>
    <xf numFmtId="172" fontId="11" fillId="11" borderId="5" xfId="21" quotePrefix="1" applyNumberFormat="1" applyFont="1" applyFill="1" applyBorder="1" applyAlignment="1"/>
    <xf numFmtId="0" fontId="11" fillId="11" borderId="7" xfId="21" applyNumberFormat="1" applyFont="1" applyFill="1" applyBorder="1" applyAlignment="1">
      <alignment vertical="center"/>
    </xf>
    <xf numFmtId="0" fontId="11" fillId="11" borderId="12" xfId="21" applyNumberFormat="1" applyFont="1" applyFill="1" applyBorder="1" applyAlignment="1">
      <alignment vertical="center"/>
    </xf>
    <xf numFmtId="172" fontId="11" fillId="11" borderId="3" xfId="21" quotePrefix="1" applyNumberFormat="1" applyFont="1" applyFill="1" applyBorder="1" applyAlignment="1"/>
    <xf numFmtId="0" fontId="11" fillId="11" borderId="14" xfId="21" applyNumberFormat="1" applyFont="1" applyFill="1" applyBorder="1" applyAlignment="1"/>
    <xf numFmtId="172" fontId="11" fillId="11" borderId="10" xfId="21" quotePrefix="1" applyNumberFormat="1" applyFont="1" applyFill="1" applyBorder="1" applyAlignment="1"/>
    <xf numFmtId="0" fontId="11" fillId="11" borderId="6" xfId="21" applyNumberFormat="1" applyFont="1" applyFill="1" applyBorder="1" applyAlignment="1"/>
    <xf numFmtId="0" fontId="11" fillId="11" borderId="7" xfId="21" applyNumberFormat="1" applyFont="1" applyFill="1" applyBorder="1" applyAlignment="1"/>
    <xf numFmtId="172" fontId="11" fillId="11" borderId="8" xfId="21" quotePrefix="1" applyNumberFormat="1" applyFont="1" applyFill="1" applyBorder="1" applyAlignment="1"/>
    <xf numFmtId="0" fontId="11" fillId="11" borderId="14" xfId="21" applyNumberFormat="1" applyFont="1" applyFill="1" applyBorder="1" applyAlignment="1">
      <alignment horizontal="left"/>
    </xf>
    <xf numFmtId="0" fontId="11" fillId="11" borderId="6" xfId="21" applyNumberFormat="1" applyFont="1" applyFill="1" applyBorder="1" applyAlignment="1">
      <alignment horizontal="left"/>
    </xf>
    <xf numFmtId="0" fontId="11" fillId="11" borderId="7" xfId="21" applyNumberFormat="1" applyFont="1" applyFill="1" applyBorder="1" applyAlignment="1">
      <alignment horizontal="left"/>
    </xf>
    <xf numFmtId="0" fontId="11" fillId="11" borderId="14" xfId="19" applyFont="1" applyFill="1" applyBorder="1" applyAlignment="1">
      <alignment horizontal="left"/>
    </xf>
    <xf numFmtId="172" fontId="11" fillId="11" borderId="10" xfId="19" quotePrefix="1" applyNumberFormat="1" applyFont="1" applyFill="1" applyBorder="1"/>
    <xf numFmtId="0" fontId="11" fillId="11" borderId="6" xfId="19" applyFont="1" applyFill="1" applyBorder="1" applyAlignment="1">
      <alignment horizontal="left"/>
    </xf>
    <xf numFmtId="172" fontId="11" fillId="11" borderId="5" xfId="19" quotePrefix="1" applyNumberFormat="1" applyFont="1" applyFill="1" applyBorder="1"/>
    <xf numFmtId="0" fontId="11" fillId="11" borderId="7" xfId="19" applyFont="1" applyFill="1" applyBorder="1" applyAlignment="1">
      <alignment horizontal="left"/>
    </xf>
    <xf numFmtId="172" fontId="11" fillId="11" borderId="8" xfId="19" quotePrefix="1" applyNumberFormat="1" applyFont="1" applyFill="1" applyBorder="1"/>
    <xf numFmtId="0" fontId="17" fillId="11" borderId="9" xfId="14" applyFont="1" applyFill="1" applyBorder="1" applyAlignment="1"/>
    <xf numFmtId="0" fontId="11" fillId="11" borderId="9" xfId="14" applyNumberFormat="1" applyFont="1" applyFill="1" applyBorder="1" applyAlignment="1"/>
    <xf numFmtId="0" fontId="17" fillId="11" borderId="4" xfId="14" applyFont="1" applyFill="1" applyBorder="1" applyAlignment="1"/>
    <xf numFmtId="0" fontId="11" fillId="11" borderId="4" xfId="14" applyNumberFormat="1" applyFont="1" applyFill="1" applyBorder="1" applyAlignment="1"/>
    <xf numFmtId="0" fontId="17" fillId="11" borderId="11" xfId="14" applyFont="1" applyFill="1" applyBorder="1" applyAlignment="1"/>
    <xf numFmtId="0" fontId="11" fillId="11" borderId="11" xfId="14" applyNumberFormat="1" applyFont="1" applyFill="1" applyBorder="1" applyAlignment="1"/>
    <xf numFmtId="0" fontId="11" fillId="12" borderId="9" xfId="14" applyNumberFormat="1" applyFont="1" applyFill="1" applyBorder="1" applyAlignment="1"/>
    <xf numFmtId="0" fontId="11" fillId="12" borderId="4" xfId="14" applyNumberFormat="1" applyFont="1" applyFill="1" applyBorder="1" applyAlignment="1"/>
    <xf numFmtId="0" fontId="11" fillId="12" borderId="11" xfId="14" applyNumberFormat="1" applyFont="1" applyFill="1" applyBorder="1" applyAlignment="1"/>
    <xf numFmtId="0" fontId="12" fillId="8" borderId="0" xfId="14" applyFont="1" applyFill="1"/>
    <xf numFmtId="0" fontId="11" fillId="8" borderId="0" xfId="14" applyFont="1" applyFill="1"/>
    <xf numFmtId="0" fontId="17" fillId="9" borderId="2" xfId="14" applyFont="1" applyFill="1" applyBorder="1" applyAlignment="1">
      <alignment horizontal="center" vertical="center" wrapText="1"/>
    </xf>
    <xf numFmtId="0" fontId="17" fillId="9" borderId="2" xfId="32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11" fillId="9" borderId="14" xfId="14" applyFont="1" applyFill="1" applyBorder="1" applyAlignment="1">
      <alignment horizontal="centerContinuous" vertical="center"/>
    </xf>
    <xf numFmtId="0" fontId="11" fillId="9" borderId="22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9" borderId="23" xfId="14" applyFont="1" applyFill="1" applyBorder="1" applyAlignment="1">
      <alignment horizontal="centerContinuous" vertical="center"/>
    </xf>
    <xf numFmtId="0" fontId="11" fillId="9" borderId="10" xfId="14" applyFont="1" applyFill="1" applyBorder="1" applyAlignment="1">
      <alignment horizontal="centerContinuous" vertical="center"/>
    </xf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14" applyFont="1" applyFill="1" applyBorder="1" applyAlignment="1">
      <alignment horizontal="center" vertical="center"/>
    </xf>
    <xf numFmtId="0" fontId="11" fillId="8" borderId="0" xfId="32" applyFont="1" applyFill="1"/>
    <xf numFmtId="172" fontId="11" fillId="8" borderId="0" xfId="42" applyNumberFormat="1" applyFont="1" applyFill="1"/>
    <xf numFmtId="0" fontId="11" fillId="8" borderId="0" xfId="14" applyFont="1" applyFill="1" applyAlignment="1">
      <alignment horizontal="left"/>
    </xf>
    <xf numFmtId="0" fontId="11" fillId="8" borderId="15" xfId="14" applyFont="1" applyFill="1" applyBorder="1"/>
    <xf numFmtId="171" fontId="11" fillId="8" borderId="0" xfId="0" applyNumberFormat="1" applyFont="1" applyFill="1"/>
    <xf numFmtId="181" fontId="11" fillId="8" borderId="0" xfId="0" applyNumberFormat="1" applyFont="1" applyFill="1"/>
    <xf numFmtId="171" fontId="11" fillId="8" borderId="0" xfId="0" applyNumberFormat="1" applyFont="1" applyFill="1" applyBorder="1"/>
    <xf numFmtId="179" fontId="11" fillId="8" borderId="0" xfId="0" applyNumberFormat="1" applyFont="1" applyFill="1" applyBorder="1"/>
    <xf numFmtId="0" fontId="11" fillId="8" borderId="17" xfId="0" applyFont="1" applyFill="1" applyBorder="1" applyAlignment="1"/>
    <xf numFmtId="0" fontId="11" fillId="7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11" borderId="9" xfId="0" applyNumberFormat="1" applyFont="1" applyFill="1" applyBorder="1"/>
    <xf numFmtId="0" fontId="11" fillId="11" borderId="4" xfId="0" applyNumberFormat="1" applyFont="1" applyFill="1" applyBorder="1"/>
    <xf numFmtId="179" fontId="11" fillId="11" borderId="4" xfId="0" applyNumberFormat="1" applyFont="1" applyFill="1" applyBorder="1"/>
    <xf numFmtId="0" fontId="11" fillId="11" borderId="11" xfId="0" applyNumberFormat="1" applyFont="1" applyFill="1" applyBorder="1"/>
    <xf numFmtId="172" fontId="21" fillId="11" borderId="2" xfId="0" applyNumberFormat="1" applyFont="1" applyFill="1" applyBorder="1"/>
    <xf numFmtId="2" fontId="21" fillId="11" borderId="2" xfId="0" applyNumberFormat="1" applyFont="1" applyFill="1" applyBorder="1"/>
    <xf numFmtId="0" fontId="21" fillId="11" borderId="2" xfId="0" applyNumberFormat="1" applyFont="1" applyFill="1" applyBorder="1"/>
    <xf numFmtId="2" fontId="11" fillId="11" borderId="4" xfId="0" applyNumberFormat="1" applyFont="1" applyFill="1" applyBorder="1"/>
    <xf numFmtId="2" fontId="11" fillId="11" borderId="11" xfId="0" applyNumberFormat="1" applyFont="1" applyFill="1" applyBorder="1"/>
    <xf numFmtId="0" fontId="11" fillId="11" borderId="2" xfId="0" applyFont="1" applyFill="1" applyBorder="1"/>
    <xf numFmtId="171" fontId="11" fillId="11" borderId="2" xfId="0" applyNumberFormat="1" applyFont="1" applyFill="1" applyBorder="1"/>
    <xf numFmtId="172" fontId="11" fillId="11" borderId="2" xfId="0" applyNumberFormat="1" applyFont="1" applyFill="1" applyBorder="1"/>
    <xf numFmtId="175" fontId="11" fillId="11" borderId="2" xfId="0" applyNumberFormat="1" applyFont="1" applyFill="1" applyBorder="1"/>
    <xf numFmtId="0" fontId="11" fillId="11" borderId="4" xfId="0" applyFont="1" applyFill="1" applyBorder="1"/>
    <xf numFmtId="0" fontId="11" fillId="11" borderId="11" xfId="0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6" xfId="14" applyFont="1" applyFill="1" applyBorder="1"/>
    <xf numFmtId="172" fontId="11" fillId="11" borderId="4" xfId="14" applyNumberFormat="1" applyFont="1" applyFill="1" applyBorder="1"/>
    <xf numFmtId="172" fontId="11" fillId="11" borderId="4" xfId="14" applyNumberFormat="1" applyFont="1" applyFill="1" applyBorder="1" applyAlignment="1">
      <alignment horizontal="center" vertical="center"/>
    </xf>
    <xf numFmtId="171" fontId="11" fillId="11" borderId="4" xfId="14" applyNumberFormat="1" applyFont="1" applyFill="1" applyBorder="1"/>
    <xf numFmtId="175" fontId="11" fillId="11" borderId="4" xfId="14" applyNumberFormat="1" applyFont="1" applyFill="1" applyBorder="1"/>
    <xf numFmtId="0" fontId="11" fillId="11" borderId="7" xfId="14" applyFont="1" applyFill="1" applyBorder="1"/>
    <xf numFmtId="172" fontId="11" fillId="11" borderId="11" xfId="14" applyNumberFormat="1" applyFont="1" applyFill="1" applyBorder="1"/>
    <xf numFmtId="172" fontId="11" fillId="11" borderId="11" xfId="14" applyNumberFormat="1" applyFont="1" applyFill="1" applyBorder="1" applyAlignment="1">
      <alignment horizontal="center" vertical="center"/>
    </xf>
    <xf numFmtId="171" fontId="11" fillId="11" borderId="11" xfId="14" applyNumberFormat="1" applyFont="1" applyFill="1" applyBorder="1"/>
    <xf numFmtId="175" fontId="11" fillId="11" borderId="11" xfId="14" applyNumberFormat="1" applyFont="1" applyFill="1" applyBorder="1"/>
    <xf numFmtId="175" fontId="11" fillId="11" borderId="9" xfId="14" applyNumberFormat="1" applyFont="1" applyFill="1" applyBorder="1"/>
    <xf numFmtId="0" fontId="11" fillId="11" borderId="4" xfId="14" applyFont="1" applyFill="1" applyBorder="1"/>
    <xf numFmtId="172" fontId="11" fillId="11" borderId="4" xfId="14" applyNumberFormat="1" applyFont="1" applyFill="1" applyBorder="1" applyAlignment="1">
      <alignment horizontal="center"/>
    </xf>
    <xf numFmtId="0" fontId="11" fillId="11" borderId="11" xfId="14" applyFont="1" applyFill="1" applyBorder="1"/>
    <xf numFmtId="172" fontId="11" fillId="11" borderId="11" xfId="14" applyNumberFormat="1" applyFont="1" applyFill="1" applyBorder="1" applyAlignment="1">
      <alignment horizontal="center"/>
    </xf>
    <xf numFmtId="0" fontId="23" fillId="11" borderId="4" xfId="43" applyFont="1" applyFill="1" applyBorder="1"/>
    <xf numFmtId="171" fontId="23" fillId="11" borderId="4" xfId="43" applyNumberFormat="1" applyFont="1" applyFill="1" applyBorder="1"/>
    <xf numFmtId="180" fontId="11" fillId="11" borderId="4" xfId="0" applyNumberFormat="1" applyFont="1" applyFill="1" applyBorder="1"/>
    <xf numFmtId="0" fontId="23" fillId="11" borderId="11" xfId="43" applyFont="1" applyFill="1" applyBorder="1"/>
    <xf numFmtId="171" fontId="23" fillId="11" borderId="11" xfId="43" applyNumberFormat="1" applyFont="1" applyFill="1" applyBorder="1"/>
    <xf numFmtId="180" fontId="11" fillId="11" borderId="11" xfId="0" applyNumberFormat="1" applyFont="1" applyFill="1" applyBorder="1"/>
    <xf numFmtId="0" fontId="11" fillId="8" borderId="0" xfId="0" applyFont="1" applyFill="1" applyAlignment="1">
      <alignment horizontal="right"/>
    </xf>
    <xf numFmtId="0" fontId="11" fillId="8" borderId="0" xfId="0" applyNumberFormat="1" applyFont="1" applyFill="1" applyBorder="1"/>
    <xf numFmtId="179" fontId="21" fillId="11" borderId="2" xfId="0" applyNumberFormat="1" applyFont="1" applyFill="1" applyBorder="1"/>
    <xf numFmtId="179" fontId="11" fillId="11" borderId="11" xfId="0" applyNumberFormat="1" applyFont="1" applyFill="1" applyBorder="1"/>
    <xf numFmtId="171" fontId="11" fillId="11" borderId="10" xfId="0" applyNumberFormat="1" applyFont="1" applyFill="1" applyBorder="1"/>
    <xf numFmtId="173" fontId="11" fillId="11" borderId="10" xfId="0" applyNumberFormat="1" applyFont="1" applyFill="1" applyBorder="1"/>
    <xf numFmtId="171" fontId="11" fillId="11" borderId="5" xfId="0" applyNumberFormat="1" applyFont="1" applyFill="1" applyBorder="1"/>
    <xf numFmtId="173" fontId="11" fillId="11" borderId="5" xfId="0" applyNumberFormat="1" applyFont="1" applyFill="1" applyBorder="1"/>
    <xf numFmtId="171" fontId="11" fillId="11" borderId="8" xfId="0" applyNumberFormat="1" applyFont="1" applyFill="1" applyBorder="1"/>
    <xf numFmtId="173" fontId="11" fillId="11" borderId="8" xfId="0" applyNumberFormat="1" applyFont="1" applyFill="1" applyBorder="1"/>
    <xf numFmtId="0" fontId="11" fillId="9" borderId="9" xfId="14" applyFont="1" applyFill="1" applyBorder="1" applyAlignment="1">
      <alignment horizontal="center" vertical="center" wrapText="1"/>
    </xf>
    <xf numFmtId="0" fontId="11" fillId="9" borderId="25" xfId="14" applyFont="1" applyFill="1" applyBorder="1" applyAlignment="1">
      <alignment horizontal="centerContinuous" vertical="center"/>
    </xf>
    <xf numFmtId="0" fontId="11" fillId="9" borderId="28" xfId="14" applyFont="1" applyFill="1" applyBorder="1" applyAlignment="1">
      <alignment horizontal="centerContinuous" vertical="center"/>
    </xf>
    <xf numFmtId="0" fontId="11" fillId="9" borderId="11" xfId="0" applyFont="1" applyFill="1" applyBorder="1" applyAlignment="1">
      <alignment horizontal="center" vertical="center" wrapText="1"/>
    </xf>
    <xf numFmtId="0" fontId="11" fillId="9" borderId="7" xfId="0" applyFont="1" applyFill="1" applyBorder="1" applyAlignment="1">
      <alignment horizontal="center" vertical="center" wrapText="1"/>
    </xf>
    <xf numFmtId="0" fontId="11" fillId="8" borderId="0" xfId="8" applyFont="1" applyFill="1" applyBorder="1"/>
    <xf numFmtId="171" fontId="11" fillId="8" borderId="0" xfId="8" applyNumberFormat="1" applyFont="1" applyFill="1" applyBorder="1"/>
    <xf numFmtId="172" fontId="11" fillId="8" borderId="0" xfId="11" applyNumberFormat="1" applyFont="1" applyFill="1" applyBorder="1"/>
    <xf numFmtId="172" fontId="11" fillId="8" borderId="0" xfId="8" applyNumberFormat="1" applyFont="1" applyFill="1" applyBorder="1"/>
    <xf numFmtId="0" fontId="13" fillId="9" borderId="26" xfId="16" applyFont="1" applyFill="1" applyBorder="1" applyAlignment="1">
      <alignment horizontal="centerContinuous" vertical="center"/>
    </xf>
    <xf numFmtId="0" fontId="13" fillId="9" borderId="27" xfId="16" applyFont="1" applyFill="1" applyBorder="1" applyAlignment="1">
      <alignment horizontal="centerContinuous" vertical="center"/>
    </xf>
    <xf numFmtId="0" fontId="13" fillId="9" borderId="21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4" xfId="15" applyFont="1" applyFill="1" applyBorder="1" applyAlignment="1">
      <alignment horizontal="center"/>
    </xf>
    <xf numFmtId="0" fontId="15" fillId="3" borderId="24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4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4" xfId="15" applyFont="1" applyFill="1" applyBorder="1"/>
    <xf numFmtId="0" fontId="16" fillId="3" borderId="5" xfId="15" applyFont="1" applyFill="1" applyBorder="1" applyAlignment="1">
      <alignment horizontal="right"/>
    </xf>
    <xf numFmtId="0" fontId="13" fillId="9" borderId="12" xfId="16" applyFont="1" applyFill="1" applyBorder="1" applyAlignment="1">
      <alignment horizontal="centerContinuous" vertical="center"/>
    </xf>
    <xf numFmtId="0" fontId="13" fillId="9" borderId="25" xfId="16" applyFont="1" applyFill="1" applyBorder="1" applyAlignment="1">
      <alignment horizontal="centerContinuous" vertical="center"/>
    </xf>
    <xf numFmtId="0" fontId="13" fillId="9" borderId="20" xfId="16" applyFont="1" applyFill="1" applyBorder="1" applyAlignment="1">
      <alignment horizontal="centerContinuous" vertical="center"/>
    </xf>
    <xf numFmtId="171" fontId="11" fillId="12" borderId="2" xfId="15" applyNumberFormat="1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42149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5.0003208571368493E-4</c:v>
                </c:pt>
                <c:pt idx="1">
                  <c:v>5.0003208571368493E-4</c:v>
                </c:pt>
                <c:pt idx="2">
                  <c:v>5.0003208571368493E-4</c:v>
                </c:pt>
                <c:pt idx="3">
                  <c:v>5.0003208571368493E-4</c:v>
                </c:pt>
                <c:pt idx="4">
                  <c:v>5.0003208571368493E-4</c:v>
                </c:pt>
                <c:pt idx="5">
                  <c:v>5.0003208571368493E-4</c:v>
                </c:pt>
                <c:pt idx="6">
                  <c:v>5.0003208571368493E-4</c:v>
                </c:pt>
                <c:pt idx="7">
                  <c:v>5.0003208571368493E-4</c:v>
                </c:pt>
                <c:pt idx="8">
                  <c:v>5.0003208571368493E-4</c:v>
                </c:pt>
                <c:pt idx="9">
                  <c:v>5.0003208571368493E-4</c:v>
                </c:pt>
                <c:pt idx="10">
                  <c:v>5.0003208571368493E-4</c:v>
                </c:pt>
                <c:pt idx="11">
                  <c:v>5.0003208571368493E-4</c:v>
                </c:pt>
                <c:pt idx="12">
                  <c:v>5.0003208571368493E-4</c:v>
                </c:pt>
                <c:pt idx="13">
                  <c:v>5.0003208571368493E-4</c:v>
                </c:pt>
                <c:pt idx="14">
                  <c:v>5.0003208571368493E-4</c:v>
                </c:pt>
                <c:pt idx="15">
                  <c:v>5.0003208571368493E-4</c:v>
                </c:pt>
                <c:pt idx="16">
                  <c:v>5.0003208571368493E-4</c:v>
                </c:pt>
                <c:pt idx="17">
                  <c:v>5.0003208571368493E-4</c:v>
                </c:pt>
                <c:pt idx="18">
                  <c:v>5.0003208571368493E-4</c:v>
                </c:pt>
                <c:pt idx="19">
                  <c:v>5.0003208571368493E-4</c:v>
                </c:pt>
                <c:pt idx="20">
                  <c:v>5.0003208571368493E-4</c:v>
                </c:pt>
                <c:pt idx="21">
                  <c:v>5.0003208571368493E-4</c:v>
                </c:pt>
                <c:pt idx="22">
                  <c:v>5.0003208571368493E-4</c:v>
                </c:pt>
                <c:pt idx="23">
                  <c:v>5.0003208571368493E-4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42149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4.544810281225444E-4</c:v>
                </c:pt>
                <c:pt idx="1">
                  <c:v>4.5724169827958318E-4</c:v>
                </c:pt>
                <c:pt idx="2">
                  <c:v>4.6000236843662202E-4</c:v>
                </c:pt>
                <c:pt idx="3">
                  <c:v>4.6828437890773843E-4</c:v>
                </c:pt>
                <c:pt idx="4">
                  <c:v>4.7104504906477727E-4</c:v>
                </c:pt>
                <c:pt idx="5">
                  <c:v>4.7380571922181605E-4</c:v>
                </c:pt>
                <c:pt idx="6">
                  <c:v>4.7656638937885489E-4</c:v>
                </c:pt>
                <c:pt idx="7">
                  <c:v>4.7932705953589367E-4</c:v>
                </c:pt>
                <c:pt idx="8">
                  <c:v>4.8760907000701013E-4</c:v>
                </c:pt>
                <c:pt idx="9">
                  <c:v>4.9036974016404891E-4</c:v>
                </c:pt>
                <c:pt idx="10">
                  <c:v>4.931304103210877E-4</c:v>
                </c:pt>
                <c:pt idx="11">
                  <c:v>4.9589108047812659E-4</c:v>
                </c:pt>
                <c:pt idx="12">
                  <c:v>4.9865175063516537E-4</c:v>
                </c:pt>
                <c:pt idx="13">
                  <c:v>5.0693376110628183E-4</c:v>
                </c:pt>
                <c:pt idx="14">
                  <c:v>5.0969443126332062E-4</c:v>
                </c:pt>
                <c:pt idx="15">
                  <c:v>5.124551014203594E-4</c:v>
                </c:pt>
                <c:pt idx="16">
                  <c:v>5.1521577157739818E-4</c:v>
                </c:pt>
                <c:pt idx="17">
                  <c:v>5.1797644173443708E-4</c:v>
                </c:pt>
                <c:pt idx="18">
                  <c:v>5.2625845220555343E-4</c:v>
                </c:pt>
                <c:pt idx="19">
                  <c:v>5.2901912236259232E-4</c:v>
                </c:pt>
                <c:pt idx="20">
                  <c:v>5.317797925196311E-4</c:v>
                </c:pt>
                <c:pt idx="21">
                  <c:v>5.3454046267666989E-4</c:v>
                </c:pt>
                <c:pt idx="22">
                  <c:v>5.3730113283370867E-4</c:v>
                </c:pt>
                <c:pt idx="23">
                  <c:v>5.4558314330482513E-4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42149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4.4574357503017736E-4</c:v>
                </c:pt>
                <c:pt idx="1">
                  <c:v>4.492985591047041E-4</c:v>
                </c:pt>
                <c:pt idx="2">
                  <c:v>4.5282832686438995E-4</c:v>
                </c:pt>
                <c:pt idx="3">
                  <c:v>4.6326633225440215E-4</c:v>
                </c:pt>
                <c:pt idx="4">
                  <c:v>4.6669523475472444E-4</c:v>
                </c:pt>
                <c:pt idx="5">
                  <c:v>4.7009892094020589E-4</c:v>
                </c:pt>
                <c:pt idx="6">
                  <c:v>4.7347739081084645E-4</c:v>
                </c:pt>
                <c:pt idx="7">
                  <c:v>4.7683064436664601E-4</c:v>
                </c:pt>
                <c:pt idx="8">
                  <c:v>4.8673910714499961E-4</c:v>
                </c:pt>
                <c:pt idx="9">
                  <c:v>4.8999149544143566E-4</c:v>
                </c:pt>
                <c:pt idx="10">
                  <c:v>4.9321866742303092E-4</c:v>
                </c:pt>
                <c:pt idx="11">
                  <c:v>4.964206230897853E-4</c:v>
                </c:pt>
                <c:pt idx="12">
                  <c:v>4.9959736244169868E-4</c:v>
                </c:pt>
                <c:pt idx="13">
                  <c:v>5.0897628260839368E-4</c:v>
                </c:pt>
                <c:pt idx="14">
                  <c:v>5.120521567009436E-4</c:v>
                </c:pt>
                <c:pt idx="15">
                  <c:v>5.1510281447865263E-4</c:v>
                </c:pt>
                <c:pt idx="16">
                  <c:v>5.1812825594152066E-4</c:v>
                </c:pt>
                <c:pt idx="17">
                  <c:v>5.2112848108954791E-4</c:v>
                </c:pt>
                <c:pt idx="18">
                  <c:v>5.2997785864458431E-4</c:v>
                </c:pt>
                <c:pt idx="19">
                  <c:v>5.3287721853324799E-4</c:v>
                </c:pt>
                <c:pt idx="20">
                  <c:v>5.3575136210707078E-4</c:v>
                </c:pt>
                <c:pt idx="21">
                  <c:v>5.3860028936605268E-4</c:v>
                </c:pt>
                <c:pt idx="22">
                  <c:v>5.414240003101937E-4</c:v>
                </c:pt>
                <c:pt idx="23">
                  <c:v>5.4974383525357149E-4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737792"/>
        <c:axId val="625868800"/>
      </c:lineChart>
      <c:dateAx>
        <c:axId val="63673779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5868800"/>
        <c:crosses val="autoZero"/>
        <c:auto val="1"/>
        <c:lblOffset val="100"/>
        <c:baseTimeUnit val="days"/>
      </c:dateAx>
      <c:valAx>
        <c:axId val="6258688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6737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42149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9.4921463123313627E-4</c:v>
                </c:pt>
                <c:pt idx="1">
                  <c:v>9.4921463123313627E-4</c:v>
                </c:pt>
                <c:pt idx="2">
                  <c:v>9.4921463123313627E-4</c:v>
                </c:pt>
                <c:pt idx="3">
                  <c:v>9.4921463123313627E-4</c:v>
                </c:pt>
                <c:pt idx="4">
                  <c:v>9.4921463123313627E-4</c:v>
                </c:pt>
                <c:pt idx="5">
                  <c:v>9.4921463123313627E-4</c:v>
                </c:pt>
                <c:pt idx="6">
                  <c:v>9.4921463123313627E-4</c:v>
                </c:pt>
                <c:pt idx="7">
                  <c:v>9.4921463123313627E-4</c:v>
                </c:pt>
                <c:pt idx="8">
                  <c:v>9.4921463123313627E-4</c:v>
                </c:pt>
                <c:pt idx="9">
                  <c:v>9.4921463123313627E-4</c:v>
                </c:pt>
                <c:pt idx="10">
                  <c:v>9.4921463123313627E-4</c:v>
                </c:pt>
                <c:pt idx="11">
                  <c:v>9.4921463123313627E-4</c:v>
                </c:pt>
                <c:pt idx="12">
                  <c:v>9.4921463123313627E-4</c:v>
                </c:pt>
                <c:pt idx="13">
                  <c:v>9.4921463123313627E-4</c:v>
                </c:pt>
                <c:pt idx="14">
                  <c:v>9.4921463123313627E-4</c:v>
                </c:pt>
                <c:pt idx="15">
                  <c:v>9.4921463123313627E-4</c:v>
                </c:pt>
                <c:pt idx="16">
                  <c:v>9.4921463123313627E-4</c:v>
                </c:pt>
                <c:pt idx="17">
                  <c:v>9.4921463123313627E-4</c:v>
                </c:pt>
                <c:pt idx="18">
                  <c:v>9.4921463123313627E-4</c:v>
                </c:pt>
                <c:pt idx="19">
                  <c:v>9.4921463123313627E-4</c:v>
                </c:pt>
                <c:pt idx="20">
                  <c:v>9.4921463123313627E-4</c:v>
                </c:pt>
                <c:pt idx="21">
                  <c:v>9.4921463123313627E-4</c:v>
                </c:pt>
                <c:pt idx="22">
                  <c:v>9.4921463123313627E-4</c:v>
                </c:pt>
                <c:pt idx="23">
                  <c:v>9.4921463123313627E-4</c:v>
                </c:pt>
                <c:pt idx="24">
                  <c:v>9.4921463123313627E-4</c:v>
                </c:pt>
                <c:pt idx="25">
                  <c:v>9.4921463123313627E-4</c:v>
                </c:pt>
                <c:pt idx="26">
                  <c:v>9.4921463123313627E-4</c:v>
                </c:pt>
                <c:pt idx="27">
                  <c:v>9.4921463123313627E-4</c:v>
                </c:pt>
                <c:pt idx="28">
                  <c:v>9.4921463123313627E-4</c:v>
                </c:pt>
                <c:pt idx="29">
                  <c:v>9.4921463123313627E-4</c:v>
                </c:pt>
                <c:pt idx="30">
                  <c:v>9.4921463123313627E-4</c:v>
                </c:pt>
                <c:pt idx="31">
                  <c:v>9.4921463123313627E-4</c:v>
                </c:pt>
                <c:pt idx="32">
                  <c:v>9.4921463123313627E-4</c:v>
                </c:pt>
                <c:pt idx="33">
                  <c:v>9.4921463123313627E-4</c:v>
                </c:pt>
                <c:pt idx="34">
                  <c:v>9.4921463123313627E-4</c:v>
                </c:pt>
                <c:pt idx="35">
                  <c:v>9.4921463123313627E-4</c:v>
                </c:pt>
                <c:pt idx="36">
                  <c:v>9.4921463123313627E-4</c:v>
                </c:pt>
                <c:pt idx="37">
                  <c:v>9.4921463123313627E-4</c:v>
                </c:pt>
                <c:pt idx="38">
                  <c:v>9.4921463123313627E-4</c:v>
                </c:pt>
                <c:pt idx="39">
                  <c:v>9.4921463123313627E-4</c:v>
                </c:pt>
                <c:pt idx="40">
                  <c:v>9.4921463123313627E-4</c:v>
                </c:pt>
                <c:pt idx="41">
                  <c:v>9.4921463123313627E-4</c:v>
                </c:pt>
                <c:pt idx="42">
                  <c:v>9.4921463123313627E-4</c:v>
                </c:pt>
                <c:pt idx="43">
                  <c:v>9.4921463123313627E-4</c:v>
                </c:pt>
                <c:pt idx="44">
                  <c:v>9.4921463123313627E-4</c:v>
                </c:pt>
                <c:pt idx="45">
                  <c:v>9.4921463123313627E-4</c:v>
                </c:pt>
                <c:pt idx="46">
                  <c:v>9.4921463123313627E-4</c:v>
                </c:pt>
                <c:pt idx="47">
                  <c:v>9.4921463123313627E-4</c:v>
                </c:pt>
                <c:pt idx="48">
                  <c:v>9.4921463123313627E-4</c:v>
                </c:pt>
                <c:pt idx="49">
                  <c:v>9.4921463123313627E-4</c:v>
                </c:pt>
                <c:pt idx="50">
                  <c:v>9.4921463123313627E-4</c:v>
                </c:pt>
                <c:pt idx="51">
                  <c:v>9.4921463123313627E-4</c:v>
                </c:pt>
                <c:pt idx="52">
                  <c:v>9.4921463123313627E-4</c:v>
                </c:pt>
                <c:pt idx="53">
                  <c:v>9.4921463123313627E-4</c:v>
                </c:pt>
                <c:pt idx="54">
                  <c:v>9.4921463123313627E-4</c:v>
                </c:pt>
                <c:pt idx="55">
                  <c:v>9.4921463123313627E-4</c:v>
                </c:pt>
                <c:pt idx="56">
                  <c:v>9.4921463123313627E-4</c:v>
                </c:pt>
                <c:pt idx="57">
                  <c:v>9.4921463123313627E-4</c:v>
                </c:pt>
                <c:pt idx="58">
                  <c:v>9.4921463123313627E-4</c:v>
                </c:pt>
                <c:pt idx="59">
                  <c:v>9.4921463123313627E-4</c:v>
                </c:pt>
                <c:pt idx="60">
                  <c:v>9.4921463123313627E-4</c:v>
                </c:pt>
                <c:pt idx="61">
                  <c:v>9.4921463123313627E-4</c:v>
                </c:pt>
                <c:pt idx="62">
                  <c:v>9.4921463123313627E-4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42149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7.1342249761595974E-4</c:v>
                </c:pt>
                <c:pt idx="1">
                  <c:v>7.1854841356415922E-4</c:v>
                </c:pt>
                <c:pt idx="2">
                  <c:v>7.2367432951235869E-4</c:v>
                </c:pt>
                <c:pt idx="3">
                  <c:v>7.3905207735695713E-4</c:v>
                </c:pt>
                <c:pt idx="4">
                  <c:v>7.4417799330515661E-4</c:v>
                </c:pt>
                <c:pt idx="5">
                  <c:v>7.4930390925335608E-4</c:v>
                </c:pt>
                <c:pt idx="6">
                  <c:v>7.5442982520155556E-4</c:v>
                </c:pt>
                <c:pt idx="7">
                  <c:v>7.5955574114975504E-4</c:v>
                </c:pt>
                <c:pt idx="8">
                  <c:v>7.7493348899435347E-4</c:v>
                </c:pt>
                <c:pt idx="9">
                  <c:v>7.8005940494255295E-4</c:v>
                </c:pt>
                <c:pt idx="10">
                  <c:v>7.8518532089075243E-4</c:v>
                </c:pt>
                <c:pt idx="11">
                  <c:v>7.9031123683895191E-4</c:v>
                </c:pt>
                <c:pt idx="12">
                  <c:v>7.9543715278715139E-4</c:v>
                </c:pt>
                <c:pt idx="13">
                  <c:v>8.1081490063174982E-4</c:v>
                </c:pt>
                <c:pt idx="14">
                  <c:v>8.159408165799493E-4</c:v>
                </c:pt>
                <c:pt idx="15">
                  <c:v>8.2106673252814889E-4</c:v>
                </c:pt>
                <c:pt idx="16">
                  <c:v>8.2619264847634826E-4</c:v>
                </c:pt>
                <c:pt idx="17">
                  <c:v>8.3131856442454773E-4</c:v>
                </c:pt>
                <c:pt idx="18">
                  <c:v>8.4669631226914617E-4</c:v>
                </c:pt>
                <c:pt idx="19">
                  <c:v>8.5182222821734575E-4</c:v>
                </c:pt>
                <c:pt idx="20">
                  <c:v>8.5694814416554523E-4</c:v>
                </c:pt>
                <c:pt idx="21">
                  <c:v>8.6207406011374471E-4</c:v>
                </c:pt>
                <c:pt idx="22">
                  <c:v>8.6719997606194408E-4</c:v>
                </c:pt>
                <c:pt idx="23">
                  <c:v>8.8257772390654262E-4</c:v>
                </c:pt>
                <c:pt idx="24">
                  <c:v>8.877036398547421E-4</c:v>
                </c:pt>
                <c:pt idx="25">
                  <c:v>8.9282955580294158E-4</c:v>
                </c:pt>
                <c:pt idx="26">
                  <c:v>8.9795547175114106E-4</c:v>
                </c:pt>
                <c:pt idx="27">
                  <c:v>9.0308138769934054E-4</c:v>
                </c:pt>
                <c:pt idx="28">
                  <c:v>9.1845913554393897E-4</c:v>
                </c:pt>
                <c:pt idx="29">
                  <c:v>9.2358505149213845E-4</c:v>
                </c:pt>
                <c:pt idx="30">
                  <c:v>9.2871096744033793E-4</c:v>
                </c:pt>
                <c:pt idx="31">
                  <c:v>9.338368833885374E-4</c:v>
                </c:pt>
                <c:pt idx="32">
                  <c:v>9.3896279933673688E-4</c:v>
                </c:pt>
                <c:pt idx="33">
                  <c:v>9.5434054718133532E-4</c:v>
                </c:pt>
                <c:pt idx="34">
                  <c:v>9.594664631295348E-4</c:v>
                </c:pt>
                <c:pt idx="35">
                  <c:v>9.6459237907773427E-4</c:v>
                </c:pt>
                <c:pt idx="36">
                  <c:v>9.6971829502593375E-4</c:v>
                </c:pt>
                <c:pt idx="37">
                  <c:v>9.7484421097413323E-4</c:v>
                </c:pt>
                <c:pt idx="38">
                  <c:v>9.9022195881873177E-4</c:v>
                </c:pt>
                <c:pt idx="39">
                  <c:v>9.9534787476693114E-4</c:v>
                </c:pt>
                <c:pt idx="40">
                  <c:v>1.0004737907151307E-3</c:v>
                </c:pt>
                <c:pt idx="41">
                  <c:v>1.0055997066633301E-3</c:v>
                </c:pt>
                <c:pt idx="42">
                  <c:v>1.0107256226115297E-3</c:v>
                </c:pt>
                <c:pt idx="43">
                  <c:v>1.026103370456128E-3</c:v>
                </c:pt>
                <c:pt idx="44">
                  <c:v>1.0312292864043276E-3</c:v>
                </c:pt>
                <c:pt idx="45">
                  <c:v>1.036355202352527E-3</c:v>
                </c:pt>
                <c:pt idx="46">
                  <c:v>1.0414811183007266E-3</c:v>
                </c:pt>
                <c:pt idx="47">
                  <c:v>1.0466070342489259E-3</c:v>
                </c:pt>
                <c:pt idx="48">
                  <c:v>1.0619847820935245E-3</c:v>
                </c:pt>
                <c:pt idx="49">
                  <c:v>1.0671106980417238E-3</c:v>
                </c:pt>
                <c:pt idx="50">
                  <c:v>1.0722366139899234E-3</c:v>
                </c:pt>
                <c:pt idx="51">
                  <c:v>1.0773625299381228E-3</c:v>
                </c:pt>
                <c:pt idx="52">
                  <c:v>1.0824884458863224E-3</c:v>
                </c:pt>
                <c:pt idx="53">
                  <c:v>1.0978661937309209E-3</c:v>
                </c:pt>
                <c:pt idx="54">
                  <c:v>1.1029921096791203E-3</c:v>
                </c:pt>
                <c:pt idx="55">
                  <c:v>1.1081180256273197E-3</c:v>
                </c:pt>
                <c:pt idx="56">
                  <c:v>1.1132439415755192E-3</c:v>
                </c:pt>
                <c:pt idx="57">
                  <c:v>1.1183698575237186E-3</c:v>
                </c:pt>
                <c:pt idx="58">
                  <c:v>1.1337476053683172E-3</c:v>
                </c:pt>
                <c:pt idx="59">
                  <c:v>1.1388735213165167E-3</c:v>
                </c:pt>
                <c:pt idx="60">
                  <c:v>1.1439994372647161E-3</c:v>
                </c:pt>
                <c:pt idx="61">
                  <c:v>1.1491253532129155E-3</c:v>
                </c:pt>
                <c:pt idx="62">
                  <c:v>1.1542512691611151E-3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42149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7.0866741499123805E-4</c:v>
                </c:pt>
                <c:pt idx="1">
                  <c:v>7.1406227943725741E-4</c:v>
                </c:pt>
                <c:pt idx="2">
                  <c:v>7.1945165513842319E-4</c:v>
                </c:pt>
                <c:pt idx="3">
                  <c:v>7.3558684977279986E-4</c:v>
                </c:pt>
                <c:pt idx="4">
                  <c:v>7.4095427049455183E-4</c:v>
                </c:pt>
                <c:pt idx="5">
                  <c:v>7.4631620247145032E-4</c:v>
                </c:pt>
                <c:pt idx="6">
                  <c:v>7.5167264570349544E-4</c:v>
                </c:pt>
                <c:pt idx="7">
                  <c:v>7.5702360019068687E-4</c:v>
                </c:pt>
                <c:pt idx="8">
                  <c:v>7.7304353118314093E-4</c:v>
                </c:pt>
                <c:pt idx="9">
                  <c:v>7.7837253069091867E-4</c:v>
                </c:pt>
                <c:pt idx="10">
                  <c:v>7.8369604145384292E-4</c:v>
                </c:pt>
                <c:pt idx="11">
                  <c:v>7.8901406347191359E-4</c:v>
                </c:pt>
                <c:pt idx="12">
                  <c:v>7.94326596745131E-4</c:v>
                </c:pt>
                <c:pt idx="13">
                  <c:v>8.1023126409566224E-4</c:v>
                </c:pt>
                <c:pt idx="14">
                  <c:v>8.1552184238946552E-4</c:v>
                </c:pt>
                <c:pt idx="15">
                  <c:v>8.2080693193841553E-4</c:v>
                </c:pt>
                <c:pt idx="16">
                  <c:v>8.2608653274251218E-4</c:v>
                </c:pt>
                <c:pt idx="17">
                  <c:v>8.3136064480175524E-4</c:v>
                </c:pt>
                <c:pt idx="18">
                  <c:v>8.4715004851036355E-4</c:v>
                </c:pt>
                <c:pt idx="19">
                  <c:v>8.5240220559019281E-4</c:v>
                </c:pt>
                <c:pt idx="20">
                  <c:v>8.5764887392516859E-4</c:v>
                </c:pt>
                <c:pt idx="21">
                  <c:v>8.6289005351529089E-4</c:v>
                </c:pt>
                <c:pt idx="22">
                  <c:v>8.681257443605596E-4</c:v>
                </c:pt>
                <c:pt idx="23">
                  <c:v>8.8379988442724531E-4</c:v>
                </c:pt>
                <c:pt idx="24">
                  <c:v>8.8901362029310033E-4</c:v>
                </c:pt>
                <c:pt idx="25">
                  <c:v>8.9422186741410176E-4</c:v>
                </c:pt>
                <c:pt idx="26">
                  <c:v>8.9942462579024982E-4</c:v>
                </c:pt>
                <c:pt idx="27">
                  <c:v>9.046218954215443E-4</c:v>
                </c:pt>
                <c:pt idx="28">
                  <c:v>9.2018077184630729E-4</c:v>
                </c:pt>
                <c:pt idx="29">
                  <c:v>9.2535608649818796E-4</c:v>
                </c:pt>
                <c:pt idx="30">
                  <c:v>9.3052591240521516E-4</c:v>
                </c:pt>
                <c:pt idx="31">
                  <c:v>9.3569024956738887E-4</c:v>
                </c:pt>
                <c:pt idx="32">
                  <c:v>9.4084909798470922E-4</c:v>
                </c:pt>
                <c:pt idx="33">
                  <c:v>9.5629271076754939E-4</c:v>
                </c:pt>
                <c:pt idx="34">
                  <c:v>9.6142960420545593E-4</c:v>
                </c:pt>
                <c:pt idx="35">
                  <c:v>9.6656100889850878E-4</c:v>
                </c:pt>
                <c:pt idx="36">
                  <c:v>9.7168692484670837E-4</c:v>
                </c:pt>
                <c:pt idx="37">
                  <c:v>9.7680735205005458E-4</c:v>
                </c:pt>
                <c:pt idx="38">
                  <c:v>9.9213570119097171E-4</c:v>
                </c:pt>
                <c:pt idx="39">
                  <c:v>9.972341734149038E-4</c:v>
                </c:pt>
                <c:pt idx="40">
                  <c:v>1.0023271568939827E-3</c:v>
                </c:pt>
                <c:pt idx="41">
                  <c:v>1.0074146516282079E-3</c:v>
                </c:pt>
                <c:pt idx="42">
                  <c:v>1.0124966576175798E-3</c:v>
                </c:pt>
                <c:pt idx="43">
                  <c:v>1.0277097431165745E-3</c:v>
                </c:pt>
                <c:pt idx="44">
                  <c:v>1.0327697941265321E-3</c:v>
                </c:pt>
                <c:pt idx="45">
                  <c:v>1.0378243563916366E-3</c:v>
                </c:pt>
                <c:pt idx="46">
                  <c:v>1.0428734299118877E-3</c:v>
                </c:pt>
                <c:pt idx="47">
                  <c:v>1.0479170146872852E-3</c:v>
                </c:pt>
                <c:pt idx="48">
                  <c:v>1.0630148365443572E-3</c:v>
                </c:pt>
                <c:pt idx="49">
                  <c:v>1.0680364663403408E-3</c:v>
                </c:pt>
                <c:pt idx="50">
                  <c:v>1.073052607391471E-3</c:v>
                </c:pt>
                <c:pt idx="51">
                  <c:v>1.0780632596977479E-3</c:v>
                </c:pt>
                <c:pt idx="52">
                  <c:v>1.0830684232591712E-3</c:v>
                </c:pt>
                <c:pt idx="53">
                  <c:v>1.0980509814743204E-3</c:v>
                </c:pt>
                <c:pt idx="54">
                  <c:v>1.1030341900563295E-3</c:v>
                </c:pt>
                <c:pt idx="55">
                  <c:v>1.1080119098934855E-3</c:v>
                </c:pt>
                <c:pt idx="56">
                  <c:v>1.1129841409857882E-3</c:v>
                </c:pt>
                <c:pt idx="57">
                  <c:v>1.1179508833332372E-3</c:v>
                </c:pt>
                <c:pt idx="58">
                  <c:v>1.1328181779064635E-3</c:v>
                </c:pt>
                <c:pt idx="59">
                  <c:v>1.1377629652744986E-3</c:v>
                </c:pt>
                <c:pt idx="60">
                  <c:v>1.1427022638976802E-3</c:v>
                </c:pt>
                <c:pt idx="61">
                  <c:v>1.1476360737760086E-3</c:v>
                </c:pt>
                <c:pt idx="62">
                  <c:v>1.1525643949094834E-3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5923968"/>
        <c:axId val="625925504"/>
      </c:lineChart>
      <c:dateAx>
        <c:axId val="6259239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5925504"/>
        <c:crosses val="autoZero"/>
        <c:auto val="1"/>
        <c:lblOffset val="100"/>
        <c:baseTimeUnit val="days"/>
      </c:dateAx>
      <c:valAx>
        <c:axId val="6259255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5923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42149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42247</c:v>
                </c:pt>
                <c:pt idx="79">
                  <c:v>42248</c:v>
                </c:pt>
                <c:pt idx="80">
                  <c:v>42249</c:v>
                </c:pt>
                <c:pt idx="81">
                  <c:v>42250</c:v>
                </c:pt>
                <c:pt idx="82">
                  <c:v>42251</c:v>
                </c:pt>
                <c:pt idx="83">
                  <c:v>42254</c:v>
                </c:pt>
                <c:pt idx="84">
                  <c:v>42255</c:v>
                </c:pt>
                <c:pt idx="85">
                  <c:v>42256</c:v>
                </c:pt>
                <c:pt idx="86">
                  <c:v>42257</c:v>
                </c:pt>
                <c:pt idx="87">
                  <c:v>42258</c:v>
                </c:pt>
                <c:pt idx="88">
                  <c:v>42261</c:v>
                </c:pt>
                <c:pt idx="89">
                  <c:v>42262</c:v>
                </c:pt>
                <c:pt idx="90">
                  <c:v>42263</c:v>
                </c:pt>
                <c:pt idx="91">
                  <c:v>42264</c:v>
                </c:pt>
                <c:pt idx="92">
                  <c:v>42265</c:v>
                </c:pt>
                <c:pt idx="93">
                  <c:v>42268</c:v>
                </c:pt>
                <c:pt idx="94">
                  <c:v>42269</c:v>
                </c:pt>
                <c:pt idx="95">
                  <c:v>42270</c:v>
                </c:pt>
                <c:pt idx="96">
                  <c:v>42271</c:v>
                </c:pt>
                <c:pt idx="97">
                  <c:v>42272</c:v>
                </c:pt>
                <c:pt idx="98">
                  <c:v>42275</c:v>
                </c:pt>
                <c:pt idx="99">
                  <c:v>42276</c:v>
                </c:pt>
                <c:pt idx="100">
                  <c:v>42277</c:v>
                </c:pt>
                <c:pt idx="101">
                  <c:v>42278</c:v>
                </c:pt>
                <c:pt idx="102">
                  <c:v>42279</c:v>
                </c:pt>
                <c:pt idx="103">
                  <c:v>42282</c:v>
                </c:pt>
                <c:pt idx="104">
                  <c:v>42283</c:v>
                </c:pt>
                <c:pt idx="105">
                  <c:v>42284</c:v>
                </c:pt>
                <c:pt idx="106">
                  <c:v>42285</c:v>
                </c:pt>
                <c:pt idx="107">
                  <c:v>42286</c:v>
                </c:pt>
                <c:pt idx="108">
                  <c:v>42289</c:v>
                </c:pt>
                <c:pt idx="109">
                  <c:v>42290</c:v>
                </c:pt>
                <c:pt idx="110">
                  <c:v>42291</c:v>
                </c:pt>
                <c:pt idx="111">
                  <c:v>42292</c:v>
                </c:pt>
                <c:pt idx="112">
                  <c:v>42293</c:v>
                </c:pt>
                <c:pt idx="113">
                  <c:v>42296</c:v>
                </c:pt>
                <c:pt idx="114">
                  <c:v>42297</c:v>
                </c:pt>
                <c:pt idx="115">
                  <c:v>42298</c:v>
                </c:pt>
                <c:pt idx="116">
                  <c:v>42299</c:v>
                </c:pt>
                <c:pt idx="117">
                  <c:v>42300</c:v>
                </c:pt>
                <c:pt idx="118">
                  <c:v>42303</c:v>
                </c:pt>
                <c:pt idx="119">
                  <c:v>42304</c:v>
                </c:pt>
                <c:pt idx="120">
                  <c:v>42305</c:v>
                </c:pt>
                <c:pt idx="121">
                  <c:v>42306</c:v>
                </c:pt>
                <c:pt idx="122">
                  <c:v>42307</c:v>
                </c:pt>
                <c:pt idx="123">
                  <c:v>42310</c:v>
                </c:pt>
                <c:pt idx="124">
                  <c:v>42311</c:v>
                </c:pt>
                <c:pt idx="125">
                  <c:v>42312</c:v>
                </c:pt>
                <c:pt idx="126">
                  <c:v>42313</c:v>
                </c:pt>
                <c:pt idx="127">
                  <c:v>42314</c:v>
                </c:pt>
                <c:pt idx="128">
                  <c:v>42317</c:v>
                </c:pt>
                <c:pt idx="129">
                  <c:v>42318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1.8410836168803243E-3</c:v>
                </c:pt>
                <c:pt idx="1">
                  <c:v>1.8410836168803243E-3</c:v>
                </c:pt>
                <c:pt idx="2">
                  <c:v>1.8410836168803243E-3</c:v>
                </c:pt>
                <c:pt idx="3">
                  <c:v>1.8410836168803243E-3</c:v>
                </c:pt>
                <c:pt idx="4">
                  <c:v>1.8410836168803243E-3</c:v>
                </c:pt>
                <c:pt idx="5">
                  <c:v>1.8410836168803243E-3</c:v>
                </c:pt>
                <c:pt idx="6">
                  <c:v>1.8410836168803243E-3</c:v>
                </c:pt>
                <c:pt idx="7">
                  <c:v>1.8410836168803243E-3</c:v>
                </c:pt>
                <c:pt idx="8">
                  <c:v>1.8410836168803243E-3</c:v>
                </c:pt>
                <c:pt idx="9">
                  <c:v>1.8410836168803243E-3</c:v>
                </c:pt>
                <c:pt idx="10">
                  <c:v>1.8410836168803243E-3</c:v>
                </c:pt>
                <c:pt idx="11">
                  <c:v>1.8410836168803243E-3</c:v>
                </c:pt>
                <c:pt idx="12">
                  <c:v>1.8410836168803243E-3</c:v>
                </c:pt>
                <c:pt idx="13">
                  <c:v>1.8410836168803243E-3</c:v>
                </c:pt>
                <c:pt idx="14">
                  <c:v>1.8410836168803243E-3</c:v>
                </c:pt>
                <c:pt idx="15">
                  <c:v>1.8410836168803243E-3</c:v>
                </c:pt>
                <c:pt idx="16">
                  <c:v>1.8410836168803243E-3</c:v>
                </c:pt>
                <c:pt idx="17">
                  <c:v>1.8410836168803243E-3</c:v>
                </c:pt>
                <c:pt idx="18">
                  <c:v>1.8410836168803243E-3</c:v>
                </c:pt>
                <c:pt idx="19">
                  <c:v>1.8410836168803243E-3</c:v>
                </c:pt>
                <c:pt idx="20">
                  <c:v>1.8410836168803243E-3</c:v>
                </c:pt>
                <c:pt idx="21">
                  <c:v>1.8410836168803243E-3</c:v>
                </c:pt>
                <c:pt idx="22">
                  <c:v>1.8410836168803243E-3</c:v>
                </c:pt>
                <c:pt idx="23">
                  <c:v>1.8410836168803243E-3</c:v>
                </c:pt>
                <c:pt idx="24">
                  <c:v>1.8410836168803243E-3</c:v>
                </c:pt>
                <c:pt idx="25">
                  <c:v>1.8410836168803243E-3</c:v>
                </c:pt>
                <c:pt idx="26">
                  <c:v>1.8410836168803243E-3</c:v>
                </c:pt>
                <c:pt idx="27">
                  <c:v>1.8410836168803243E-3</c:v>
                </c:pt>
                <c:pt idx="28">
                  <c:v>1.8410836168803243E-3</c:v>
                </c:pt>
                <c:pt idx="29">
                  <c:v>1.8410836168803243E-3</c:v>
                </c:pt>
                <c:pt idx="30">
                  <c:v>1.8410836168803243E-3</c:v>
                </c:pt>
                <c:pt idx="31">
                  <c:v>1.8410836168803243E-3</c:v>
                </c:pt>
                <c:pt idx="32">
                  <c:v>1.8410836168803243E-3</c:v>
                </c:pt>
                <c:pt idx="33">
                  <c:v>1.8410836168803243E-3</c:v>
                </c:pt>
                <c:pt idx="34">
                  <c:v>1.8410836168803243E-3</c:v>
                </c:pt>
                <c:pt idx="35">
                  <c:v>1.8410836168803243E-3</c:v>
                </c:pt>
                <c:pt idx="36">
                  <c:v>1.8410836168803243E-3</c:v>
                </c:pt>
                <c:pt idx="37">
                  <c:v>1.8410836168803243E-3</c:v>
                </c:pt>
                <c:pt idx="38">
                  <c:v>1.8410836168803243E-3</c:v>
                </c:pt>
                <c:pt idx="39">
                  <c:v>1.8410836168803243E-3</c:v>
                </c:pt>
                <c:pt idx="40">
                  <c:v>1.8410836168803243E-3</c:v>
                </c:pt>
                <c:pt idx="41">
                  <c:v>1.8410836168803243E-3</c:v>
                </c:pt>
                <c:pt idx="42">
                  <c:v>1.8410836168803243E-3</c:v>
                </c:pt>
                <c:pt idx="43">
                  <c:v>1.8410836168803243E-3</c:v>
                </c:pt>
                <c:pt idx="44">
                  <c:v>1.8410836168803243E-3</c:v>
                </c:pt>
                <c:pt idx="45">
                  <c:v>1.8410836168803243E-3</c:v>
                </c:pt>
                <c:pt idx="46">
                  <c:v>1.8410836168803243E-3</c:v>
                </c:pt>
                <c:pt idx="47">
                  <c:v>1.8410836168803243E-3</c:v>
                </c:pt>
                <c:pt idx="48">
                  <c:v>1.8410836168803243E-3</c:v>
                </c:pt>
                <c:pt idx="49">
                  <c:v>1.8410836168803243E-3</c:v>
                </c:pt>
                <c:pt idx="50">
                  <c:v>1.8410836168803243E-3</c:v>
                </c:pt>
                <c:pt idx="51">
                  <c:v>1.8410836168803243E-3</c:v>
                </c:pt>
                <c:pt idx="52">
                  <c:v>1.8410836168803243E-3</c:v>
                </c:pt>
                <c:pt idx="53">
                  <c:v>1.8410836168803243E-3</c:v>
                </c:pt>
                <c:pt idx="54">
                  <c:v>1.8410836168803243E-3</c:v>
                </c:pt>
                <c:pt idx="55">
                  <c:v>1.8410836168803243E-3</c:v>
                </c:pt>
                <c:pt idx="56">
                  <c:v>1.8410836168803243E-3</c:v>
                </c:pt>
                <c:pt idx="57">
                  <c:v>1.8410836168803243E-3</c:v>
                </c:pt>
                <c:pt idx="58">
                  <c:v>1.8410836168803243E-3</c:v>
                </c:pt>
                <c:pt idx="59">
                  <c:v>1.8410836168803243E-3</c:v>
                </c:pt>
                <c:pt idx="60">
                  <c:v>1.8410836168803243E-3</c:v>
                </c:pt>
                <c:pt idx="61">
                  <c:v>1.8410836168803243E-3</c:v>
                </c:pt>
                <c:pt idx="62">
                  <c:v>1.8410836168803243E-3</c:v>
                </c:pt>
                <c:pt idx="63">
                  <c:v>1.8410836168803243E-3</c:v>
                </c:pt>
                <c:pt idx="64">
                  <c:v>1.8410836168803243E-3</c:v>
                </c:pt>
                <c:pt idx="65">
                  <c:v>1.8410836168803243E-3</c:v>
                </c:pt>
                <c:pt idx="66">
                  <c:v>1.8410836168803243E-3</c:v>
                </c:pt>
                <c:pt idx="67">
                  <c:v>1.8410836168803243E-3</c:v>
                </c:pt>
                <c:pt idx="68">
                  <c:v>1.8410836168803243E-3</c:v>
                </c:pt>
                <c:pt idx="69">
                  <c:v>1.8410836168803243E-3</c:v>
                </c:pt>
                <c:pt idx="70">
                  <c:v>1.8410836168803243E-3</c:v>
                </c:pt>
                <c:pt idx="71">
                  <c:v>1.8410836168803243E-3</c:v>
                </c:pt>
                <c:pt idx="72">
                  <c:v>1.8410836168803243E-3</c:v>
                </c:pt>
                <c:pt idx="73">
                  <c:v>1.8410836168803243E-3</c:v>
                </c:pt>
                <c:pt idx="74">
                  <c:v>1.8410836168803243E-3</c:v>
                </c:pt>
                <c:pt idx="75">
                  <c:v>1.8410836168803243E-3</c:v>
                </c:pt>
                <c:pt idx="76">
                  <c:v>1.8410836168803243E-3</c:v>
                </c:pt>
                <c:pt idx="77">
                  <c:v>1.8410836168803243E-3</c:v>
                </c:pt>
                <c:pt idx="78">
                  <c:v>1.8410836168803243E-3</c:v>
                </c:pt>
                <c:pt idx="79">
                  <c:v>1.8410836168803243E-3</c:v>
                </c:pt>
                <c:pt idx="80">
                  <c:v>1.8410836168803243E-3</c:v>
                </c:pt>
                <c:pt idx="81">
                  <c:v>1.8410836168803243E-3</c:v>
                </c:pt>
                <c:pt idx="82">
                  <c:v>1.8410836168803243E-3</c:v>
                </c:pt>
                <c:pt idx="83">
                  <c:v>1.8410836168803243E-3</c:v>
                </c:pt>
                <c:pt idx="84">
                  <c:v>1.8410836168803243E-3</c:v>
                </c:pt>
                <c:pt idx="85">
                  <c:v>1.8410836168803243E-3</c:v>
                </c:pt>
                <c:pt idx="86">
                  <c:v>1.8410836168803243E-3</c:v>
                </c:pt>
                <c:pt idx="87">
                  <c:v>1.8410836168803243E-3</c:v>
                </c:pt>
                <c:pt idx="88">
                  <c:v>1.8410836168803243E-3</c:v>
                </c:pt>
                <c:pt idx="89">
                  <c:v>1.8410836168803243E-3</c:v>
                </c:pt>
                <c:pt idx="90">
                  <c:v>1.8410836168803243E-3</c:v>
                </c:pt>
                <c:pt idx="91">
                  <c:v>1.8410836168803243E-3</c:v>
                </c:pt>
                <c:pt idx="92">
                  <c:v>1.8410836168803243E-3</c:v>
                </c:pt>
                <c:pt idx="93">
                  <c:v>1.8410836168803243E-3</c:v>
                </c:pt>
                <c:pt idx="94">
                  <c:v>1.8410836168803243E-3</c:v>
                </c:pt>
                <c:pt idx="95">
                  <c:v>1.8410836168803243E-3</c:v>
                </c:pt>
                <c:pt idx="96">
                  <c:v>1.8410836168803243E-3</c:v>
                </c:pt>
                <c:pt idx="97">
                  <c:v>1.8410836168803243E-3</c:v>
                </c:pt>
                <c:pt idx="98">
                  <c:v>1.8410836168803243E-3</c:v>
                </c:pt>
                <c:pt idx="99">
                  <c:v>1.8410836168803243E-3</c:v>
                </c:pt>
                <c:pt idx="100">
                  <c:v>1.8410836168803243E-3</c:v>
                </c:pt>
                <c:pt idx="101">
                  <c:v>1.8410836168803243E-3</c:v>
                </c:pt>
                <c:pt idx="102">
                  <c:v>1.8410836168803243E-3</c:v>
                </c:pt>
                <c:pt idx="103">
                  <c:v>1.8410836168803243E-3</c:v>
                </c:pt>
                <c:pt idx="104">
                  <c:v>1.8410836168803243E-3</c:v>
                </c:pt>
                <c:pt idx="105">
                  <c:v>1.8410836168803243E-3</c:v>
                </c:pt>
                <c:pt idx="106">
                  <c:v>1.8410836168803243E-3</c:v>
                </c:pt>
                <c:pt idx="107">
                  <c:v>1.8410836168803243E-3</c:v>
                </c:pt>
                <c:pt idx="108">
                  <c:v>1.8410836168803243E-3</c:v>
                </c:pt>
                <c:pt idx="109">
                  <c:v>1.8410836168803243E-3</c:v>
                </c:pt>
                <c:pt idx="110">
                  <c:v>1.8410836168803243E-3</c:v>
                </c:pt>
                <c:pt idx="111">
                  <c:v>1.8410836168803243E-3</c:v>
                </c:pt>
                <c:pt idx="112">
                  <c:v>1.8410836168803243E-3</c:v>
                </c:pt>
                <c:pt idx="113">
                  <c:v>1.8410836168803243E-3</c:v>
                </c:pt>
                <c:pt idx="114">
                  <c:v>1.8410836168803243E-3</c:v>
                </c:pt>
                <c:pt idx="115">
                  <c:v>1.8410836168803243E-3</c:v>
                </c:pt>
                <c:pt idx="116">
                  <c:v>1.8410836168803243E-3</c:v>
                </c:pt>
                <c:pt idx="117">
                  <c:v>1.8410836168803243E-3</c:v>
                </c:pt>
                <c:pt idx="118">
                  <c:v>1.8410836168803243E-3</c:v>
                </c:pt>
                <c:pt idx="119">
                  <c:v>1.8410836168803243E-3</c:v>
                </c:pt>
                <c:pt idx="120">
                  <c:v>1.8410836168803243E-3</c:v>
                </c:pt>
                <c:pt idx="121">
                  <c:v>1.8410836168803243E-3</c:v>
                </c:pt>
                <c:pt idx="122">
                  <c:v>1.8410836168803243E-3</c:v>
                </c:pt>
                <c:pt idx="123">
                  <c:v>1.8410836168803243E-3</c:v>
                </c:pt>
                <c:pt idx="124">
                  <c:v>1.8410836168803243E-3</c:v>
                </c:pt>
                <c:pt idx="125">
                  <c:v>1.8410836168803243E-3</c:v>
                </c:pt>
                <c:pt idx="126">
                  <c:v>1.8410836168803243E-3</c:v>
                </c:pt>
                <c:pt idx="127">
                  <c:v>1.8410836168803243E-3</c:v>
                </c:pt>
                <c:pt idx="128">
                  <c:v>1.8410836168803243E-3</c:v>
                </c:pt>
                <c:pt idx="129">
                  <c:v>1.8410836168803243E-3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42149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42247</c:v>
                </c:pt>
                <c:pt idx="79">
                  <c:v>42248</c:v>
                </c:pt>
                <c:pt idx="80">
                  <c:v>42249</c:v>
                </c:pt>
                <c:pt idx="81">
                  <c:v>42250</c:v>
                </c:pt>
                <c:pt idx="82">
                  <c:v>42251</c:v>
                </c:pt>
                <c:pt idx="83">
                  <c:v>42254</c:v>
                </c:pt>
                <c:pt idx="84">
                  <c:v>42255</c:v>
                </c:pt>
                <c:pt idx="85">
                  <c:v>42256</c:v>
                </c:pt>
                <c:pt idx="86">
                  <c:v>42257</c:v>
                </c:pt>
                <c:pt idx="87">
                  <c:v>42258</c:v>
                </c:pt>
                <c:pt idx="88">
                  <c:v>42261</c:v>
                </c:pt>
                <c:pt idx="89">
                  <c:v>42262</c:v>
                </c:pt>
                <c:pt idx="90">
                  <c:v>42263</c:v>
                </c:pt>
                <c:pt idx="91">
                  <c:v>42264</c:v>
                </c:pt>
                <c:pt idx="92">
                  <c:v>42265</c:v>
                </c:pt>
                <c:pt idx="93">
                  <c:v>42268</c:v>
                </c:pt>
                <c:pt idx="94">
                  <c:v>42269</c:v>
                </c:pt>
                <c:pt idx="95">
                  <c:v>42270</c:v>
                </c:pt>
                <c:pt idx="96">
                  <c:v>42271</c:v>
                </c:pt>
                <c:pt idx="97">
                  <c:v>42272</c:v>
                </c:pt>
                <c:pt idx="98">
                  <c:v>42275</c:v>
                </c:pt>
                <c:pt idx="99">
                  <c:v>42276</c:v>
                </c:pt>
                <c:pt idx="100">
                  <c:v>42277</c:v>
                </c:pt>
                <c:pt idx="101">
                  <c:v>42278</c:v>
                </c:pt>
                <c:pt idx="102">
                  <c:v>42279</c:v>
                </c:pt>
                <c:pt idx="103">
                  <c:v>42282</c:v>
                </c:pt>
                <c:pt idx="104">
                  <c:v>42283</c:v>
                </c:pt>
                <c:pt idx="105">
                  <c:v>42284</c:v>
                </c:pt>
                <c:pt idx="106">
                  <c:v>42285</c:v>
                </c:pt>
                <c:pt idx="107">
                  <c:v>42286</c:v>
                </c:pt>
                <c:pt idx="108">
                  <c:v>42289</c:v>
                </c:pt>
                <c:pt idx="109">
                  <c:v>42290</c:v>
                </c:pt>
                <c:pt idx="110">
                  <c:v>42291</c:v>
                </c:pt>
                <c:pt idx="111">
                  <c:v>42292</c:v>
                </c:pt>
                <c:pt idx="112">
                  <c:v>42293</c:v>
                </c:pt>
                <c:pt idx="113">
                  <c:v>42296</c:v>
                </c:pt>
                <c:pt idx="114">
                  <c:v>42297</c:v>
                </c:pt>
                <c:pt idx="115">
                  <c:v>42298</c:v>
                </c:pt>
                <c:pt idx="116">
                  <c:v>42299</c:v>
                </c:pt>
                <c:pt idx="117">
                  <c:v>42300</c:v>
                </c:pt>
                <c:pt idx="118">
                  <c:v>42303</c:v>
                </c:pt>
                <c:pt idx="119">
                  <c:v>42304</c:v>
                </c:pt>
                <c:pt idx="120">
                  <c:v>42305</c:v>
                </c:pt>
                <c:pt idx="121">
                  <c:v>42306</c:v>
                </c:pt>
                <c:pt idx="122">
                  <c:v>42307</c:v>
                </c:pt>
                <c:pt idx="123">
                  <c:v>42310</c:v>
                </c:pt>
                <c:pt idx="124">
                  <c:v>42311</c:v>
                </c:pt>
                <c:pt idx="125">
                  <c:v>42312</c:v>
                </c:pt>
                <c:pt idx="126">
                  <c:v>42313</c:v>
                </c:pt>
                <c:pt idx="127">
                  <c:v>42314</c:v>
                </c:pt>
                <c:pt idx="128">
                  <c:v>42317</c:v>
                </c:pt>
                <c:pt idx="129">
                  <c:v>42318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1.7707167961982144E-3</c:v>
                </c:pt>
                <c:pt idx="1">
                  <c:v>1.7714816529447591E-3</c:v>
                </c:pt>
                <c:pt idx="2">
                  <c:v>1.7722465096913038E-3</c:v>
                </c:pt>
                <c:pt idx="3">
                  <c:v>1.7745410799309377E-3</c:v>
                </c:pt>
                <c:pt idx="4">
                  <c:v>1.7753059366774823E-3</c:v>
                </c:pt>
                <c:pt idx="5">
                  <c:v>1.776070793424027E-3</c:v>
                </c:pt>
                <c:pt idx="6">
                  <c:v>1.7768356501705717E-3</c:v>
                </c:pt>
                <c:pt idx="7">
                  <c:v>1.7776005069171164E-3</c:v>
                </c:pt>
                <c:pt idx="8">
                  <c:v>1.7798950771567503E-3</c:v>
                </c:pt>
                <c:pt idx="9">
                  <c:v>1.7806599339032949E-3</c:v>
                </c:pt>
                <c:pt idx="10">
                  <c:v>1.7814247906498396E-3</c:v>
                </c:pt>
                <c:pt idx="11">
                  <c:v>1.7821896473963843E-3</c:v>
                </c:pt>
                <c:pt idx="12">
                  <c:v>1.782954504142929E-3</c:v>
                </c:pt>
                <c:pt idx="13">
                  <c:v>1.7852490743825629E-3</c:v>
                </c:pt>
                <c:pt idx="14">
                  <c:v>1.7860139311291076E-3</c:v>
                </c:pt>
                <c:pt idx="15">
                  <c:v>1.7867787878756522E-3</c:v>
                </c:pt>
                <c:pt idx="16">
                  <c:v>1.7875436446221969E-3</c:v>
                </c:pt>
                <c:pt idx="17">
                  <c:v>1.7883085013687416E-3</c:v>
                </c:pt>
                <c:pt idx="18">
                  <c:v>1.7906030716083757E-3</c:v>
                </c:pt>
                <c:pt idx="19">
                  <c:v>1.7913679283549202E-3</c:v>
                </c:pt>
                <c:pt idx="20">
                  <c:v>1.7921327851014648E-3</c:v>
                </c:pt>
                <c:pt idx="21">
                  <c:v>1.7928976418480095E-3</c:v>
                </c:pt>
                <c:pt idx="22">
                  <c:v>1.7936624985945542E-3</c:v>
                </c:pt>
                <c:pt idx="23">
                  <c:v>1.7959570688341883E-3</c:v>
                </c:pt>
                <c:pt idx="24">
                  <c:v>1.7967219255807328E-3</c:v>
                </c:pt>
                <c:pt idx="25">
                  <c:v>1.7974867823272774E-3</c:v>
                </c:pt>
                <c:pt idx="26">
                  <c:v>1.7982516390738221E-3</c:v>
                </c:pt>
                <c:pt idx="27">
                  <c:v>1.7990164958203668E-3</c:v>
                </c:pt>
                <c:pt idx="28">
                  <c:v>1.8013110660600009E-3</c:v>
                </c:pt>
                <c:pt idx="29">
                  <c:v>1.8020759228065456E-3</c:v>
                </c:pt>
                <c:pt idx="30">
                  <c:v>1.80284077955309E-3</c:v>
                </c:pt>
                <c:pt idx="31">
                  <c:v>1.8036056362996347E-3</c:v>
                </c:pt>
                <c:pt idx="32">
                  <c:v>1.8043704930461794E-3</c:v>
                </c:pt>
                <c:pt idx="33">
                  <c:v>1.8066650632858135E-3</c:v>
                </c:pt>
                <c:pt idx="34">
                  <c:v>1.8074299200323582E-3</c:v>
                </c:pt>
                <c:pt idx="35">
                  <c:v>1.8081947767789026E-3</c:v>
                </c:pt>
                <c:pt idx="36">
                  <c:v>1.8089596335254473E-3</c:v>
                </c:pt>
                <c:pt idx="37">
                  <c:v>1.809724490271992E-3</c:v>
                </c:pt>
                <c:pt idx="38">
                  <c:v>1.8120190605116261E-3</c:v>
                </c:pt>
                <c:pt idx="39">
                  <c:v>1.8127839172581708E-3</c:v>
                </c:pt>
                <c:pt idx="40">
                  <c:v>1.8135487740047155E-3</c:v>
                </c:pt>
                <c:pt idx="41">
                  <c:v>1.8143136307512599E-3</c:v>
                </c:pt>
                <c:pt idx="42">
                  <c:v>1.8150784874978046E-3</c:v>
                </c:pt>
                <c:pt idx="43">
                  <c:v>1.8173730577374387E-3</c:v>
                </c:pt>
                <c:pt idx="44">
                  <c:v>1.8181379144839834E-3</c:v>
                </c:pt>
                <c:pt idx="45">
                  <c:v>1.8189027712305281E-3</c:v>
                </c:pt>
                <c:pt idx="46">
                  <c:v>1.8196676279770725E-3</c:v>
                </c:pt>
                <c:pt idx="47">
                  <c:v>1.8204324847236172E-3</c:v>
                </c:pt>
                <c:pt idx="48">
                  <c:v>1.8227270549632513E-3</c:v>
                </c:pt>
                <c:pt idx="49">
                  <c:v>1.823491911709796E-3</c:v>
                </c:pt>
                <c:pt idx="50">
                  <c:v>1.8242567684563407E-3</c:v>
                </c:pt>
                <c:pt idx="51">
                  <c:v>1.8250216252028854E-3</c:v>
                </c:pt>
                <c:pt idx="52">
                  <c:v>1.8257864819494298E-3</c:v>
                </c:pt>
                <c:pt idx="53">
                  <c:v>1.8280810521890639E-3</c:v>
                </c:pt>
                <c:pt idx="54">
                  <c:v>1.8288459089356086E-3</c:v>
                </c:pt>
                <c:pt idx="55">
                  <c:v>1.8296107656821533E-3</c:v>
                </c:pt>
                <c:pt idx="56">
                  <c:v>1.830375622428698E-3</c:v>
                </c:pt>
                <c:pt idx="57">
                  <c:v>1.8311404791752424E-3</c:v>
                </c:pt>
                <c:pt idx="58">
                  <c:v>1.8334350494148765E-3</c:v>
                </c:pt>
                <c:pt idx="59">
                  <c:v>1.8341999061614212E-3</c:v>
                </c:pt>
                <c:pt idx="60">
                  <c:v>1.8349647629079659E-3</c:v>
                </c:pt>
                <c:pt idx="61">
                  <c:v>1.8357296196545106E-3</c:v>
                </c:pt>
                <c:pt idx="62">
                  <c:v>1.8364944764010553E-3</c:v>
                </c:pt>
                <c:pt idx="63">
                  <c:v>1.8387890466406891E-3</c:v>
                </c:pt>
                <c:pt idx="64">
                  <c:v>1.8395539033872338E-3</c:v>
                </c:pt>
                <c:pt idx="65">
                  <c:v>1.8403187601337785E-3</c:v>
                </c:pt>
                <c:pt idx="66">
                  <c:v>1.8410836168803232E-3</c:v>
                </c:pt>
                <c:pt idx="67">
                  <c:v>1.8418484736268679E-3</c:v>
                </c:pt>
                <c:pt idx="68">
                  <c:v>1.8441430438665017E-3</c:v>
                </c:pt>
                <c:pt idx="69">
                  <c:v>1.8449079006130464E-3</c:v>
                </c:pt>
                <c:pt idx="70">
                  <c:v>1.8456727573595911E-3</c:v>
                </c:pt>
                <c:pt idx="71">
                  <c:v>1.8464376141061358E-3</c:v>
                </c:pt>
                <c:pt idx="72">
                  <c:v>1.8472024708526805E-3</c:v>
                </c:pt>
                <c:pt idx="73">
                  <c:v>1.8494970410923143E-3</c:v>
                </c:pt>
                <c:pt idx="74">
                  <c:v>1.850261897838859E-3</c:v>
                </c:pt>
                <c:pt idx="75">
                  <c:v>1.8510267545854037E-3</c:v>
                </c:pt>
                <c:pt idx="76">
                  <c:v>1.8517916113319484E-3</c:v>
                </c:pt>
                <c:pt idx="77">
                  <c:v>1.8525564680784931E-3</c:v>
                </c:pt>
                <c:pt idx="78">
                  <c:v>1.8548510383181269E-3</c:v>
                </c:pt>
                <c:pt idx="79">
                  <c:v>1.8556158950646716E-3</c:v>
                </c:pt>
                <c:pt idx="80">
                  <c:v>1.8563807518112163E-3</c:v>
                </c:pt>
                <c:pt idx="81">
                  <c:v>1.857145608557761E-3</c:v>
                </c:pt>
                <c:pt idx="82">
                  <c:v>1.8579104653043057E-3</c:v>
                </c:pt>
                <c:pt idx="83">
                  <c:v>1.8602050355439395E-3</c:v>
                </c:pt>
                <c:pt idx="84">
                  <c:v>1.8609698922904842E-3</c:v>
                </c:pt>
                <c:pt idx="85">
                  <c:v>1.8617347490370289E-3</c:v>
                </c:pt>
                <c:pt idx="86">
                  <c:v>1.8624996057835736E-3</c:v>
                </c:pt>
                <c:pt idx="87">
                  <c:v>1.8632644625301183E-3</c:v>
                </c:pt>
                <c:pt idx="88">
                  <c:v>1.8655590327697521E-3</c:v>
                </c:pt>
                <c:pt idx="89">
                  <c:v>1.8663238895162968E-3</c:v>
                </c:pt>
                <c:pt idx="90">
                  <c:v>1.8670887462628415E-3</c:v>
                </c:pt>
                <c:pt idx="91">
                  <c:v>1.8678536030093862E-3</c:v>
                </c:pt>
                <c:pt idx="92">
                  <c:v>1.8686184597559309E-3</c:v>
                </c:pt>
                <c:pt idx="93">
                  <c:v>1.8709130299955647E-3</c:v>
                </c:pt>
                <c:pt idx="94">
                  <c:v>1.8716778867421094E-3</c:v>
                </c:pt>
                <c:pt idx="95">
                  <c:v>1.8724427434886541E-3</c:v>
                </c:pt>
                <c:pt idx="96">
                  <c:v>1.8732076002351988E-3</c:v>
                </c:pt>
                <c:pt idx="97">
                  <c:v>1.8739724569817435E-3</c:v>
                </c:pt>
                <c:pt idx="98">
                  <c:v>1.8762670272213775E-3</c:v>
                </c:pt>
                <c:pt idx="99">
                  <c:v>1.8770318839679222E-3</c:v>
                </c:pt>
                <c:pt idx="100">
                  <c:v>1.8777967407144667E-3</c:v>
                </c:pt>
                <c:pt idx="101">
                  <c:v>1.8785615974610114E-3</c:v>
                </c:pt>
                <c:pt idx="102">
                  <c:v>1.8793264542075561E-3</c:v>
                </c:pt>
                <c:pt idx="103">
                  <c:v>1.8816210244471901E-3</c:v>
                </c:pt>
                <c:pt idx="104">
                  <c:v>1.8823858811937348E-3</c:v>
                </c:pt>
                <c:pt idx="105">
                  <c:v>1.8831507379402793E-3</c:v>
                </c:pt>
                <c:pt idx="106">
                  <c:v>1.883915594686824E-3</c:v>
                </c:pt>
                <c:pt idx="107">
                  <c:v>1.8846804514333687E-3</c:v>
                </c:pt>
                <c:pt idx="108">
                  <c:v>1.8869750216730027E-3</c:v>
                </c:pt>
                <c:pt idx="109">
                  <c:v>1.8877398784195474E-3</c:v>
                </c:pt>
                <c:pt idx="110">
                  <c:v>1.8885047351660919E-3</c:v>
                </c:pt>
                <c:pt idx="111">
                  <c:v>1.8892695919126366E-3</c:v>
                </c:pt>
                <c:pt idx="112">
                  <c:v>1.8900344486591813E-3</c:v>
                </c:pt>
                <c:pt idx="113">
                  <c:v>1.8923290188988153E-3</c:v>
                </c:pt>
                <c:pt idx="114">
                  <c:v>1.89309387564536E-3</c:v>
                </c:pt>
                <c:pt idx="115">
                  <c:v>1.8938587323919045E-3</c:v>
                </c:pt>
                <c:pt idx="116">
                  <c:v>1.8946235891384492E-3</c:v>
                </c:pt>
                <c:pt idx="117">
                  <c:v>1.8953884458849939E-3</c:v>
                </c:pt>
                <c:pt idx="118">
                  <c:v>1.8976830161246279E-3</c:v>
                </c:pt>
                <c:pt idx="119">
                  <c:v>1.8984478728711726E-3</c:v>
                </c:pt>
                <c:pt idx="120">
                  <c:v>1.8992127296177173E-3</c:v>
                </c:pt>
                <c:pt idx="121">
                  <c:v>1.899977586364262E-3</c:v>
                </c:pt>
                <c:pt idx="122">
                  <c:v>1.9007424431108065E-3</c:v>
                </c:pt>
                <c:pt idx="123">
                  <c:v>1.9030370133504405E-3</c:v>
                </c:pt>
                <c:pt idx="124">
                  <c:v>1.9038018700969852E-3</c:v>
                </c:pt>
                <c:pt idx="125">
                  <c:v>1.9045667268435299E-3</c:v>
                </c:pt>
                <c:pt idx="126">
                  <c:v>1.9053315835900744E-3</c:v>
                </c:pt>
                <c:pt idx="127">
                  <c:v>1.9060964403366191E-3</c:v>
                </c:pt>
                <c:pt idx="128">
                  <c:v>1.9083910105762531E-3</c:v>
                </c:pt>
                <c:pt idx="129">
                  <c:v>1.9091558673227978E-3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42149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42247</c:v>
                </c:pt>
                <c:pt idx="79">
                  <c:v>42248</c:v>
                </c:pt>
                <c:pt idx="80">
                  <c:v>42249</c:v>
                </c:pt>
                <c:pt idx="81">
                  <c:v>42250</c:v>
                </c:pt>
                <c:pt idx="82">
                  <c:v>42251</c:v>
                </c:pt>
                <c:pt idx="83">
                  <c:v>42254</c:v>
                </c:pt>
                <c:pt idx="84">
                  <c:v>42255</c:v>
                </c:pt>
                <c:pt idx="85">
                  <c:v>42256</c:v>
                </c:pt>
                <c:pt idx="86">
                  <c:v>42257</c:v>
                </c:pt>
                <c:pt idx="87">
                  <c:v>42258</c:v>
                </c:pt>
                <c:pt idx="88">
                  <c:v>42261</c:v>
                </c:pt>
                <c:pt idx="89">
                  <c:v>42262</c:v>
                </c:pt>
                <c:pt idx="90">
                  <c:v>42263</c:v>
                </c:pt>
                <c:pt idx="91">
                  <c:v>42264</c:v>
                </c:pt>
                <c:pt idx="92">
                  <c:v>42265</c:v>
                </c:pt>
                <c:pt idx="93">
                  <c:v>42268</c:v>
                </c:pt>
                <c:pt idx="94">
                  <c:v>42269</c:v>
                </c:pt>
                <c:pt idx="95">
                  <c:v>42270</c:v>
                </c:pt>
                <c:pt idx="96">
                  <c:v>42271</c:v>
                </c:pt>
                <c:pt idx="97">
                  <c:v>42272</c:v>
                </c:pt>
                <c:pt idx="98">
                  <c:v>42275</c:v>
                </c:pt>
                <c:pt idx="99">
                  <c:v>42276</c:v>
                </c:pt>
                <c:pt idx="100">
                  <c:v>42277</c:v>
                </c:pt>
                <c:pt idx="101">
                  <c:v>42278</c:v>
                </c:pt>
                <c:pt idx="102">
                  <c:v>42279</c:v>
                </c:pt>
                <c:pt idx="103">
                  <c:v>42282</c:v>
                </c:pt>
                <c:pt idx="104">
                  <c:v>42283</c:v>
                </c:pt>
                <c:pt idx="105">
                  <c:v>42284</c:v>
                </c:pt>
                <c:pt idx="106">
                  <c:v>42285</c:v>
                </c:pt>
                <c:pt idx="107">
                  <c:v>42286</c:v>
                </c:pt>
                <c:pt idx="108">
                  <c:v>42289</c:v>
                </c:pt>
                <c:pt idx="109">
                  <c:v>42290</c:v>
                </c:pt>
                <c:pt idx="110">
                  <c:v>42291</c:v>
                </c:pt>
                <c:pt idx="111">
                  <c:v>42292</c:v>
                </c:pt>
                <c:pt idx="112">
                  <c:v>42293</c:v>
                </c:pt>
                <c:pt idx="113">
                  <c:v>42296</c:v>
                </c:pt>
                <c:pt idx="114">
                  <c:v>42297</c:v>
                </c:pt>
                <c:pt idx="115">
                  <c:v>42298</c:v>
                </c:pt>
                <c:pt idx="116">
                  <c:v>42299</c:v>
                </c:pt>
                <c:pt idx="117">
                  <c:v>42300</c:v>
                </c:pt>
                <c:pt idx="118">
                  <c:v>42303</c:v>
                </c:pt>
                <c:pt idx="119">
                  <c:v>42304</c:v>
                </c:pt>
                <c:pt idx="120">
                  <c:v>42305</c:v>
                </c:pt>
                <c:pt idx="121">
                  <c:v>42306</c:v>
                </c:pt>
                <c:pt idx="122">
                  <c:v>42307</c:v>
                </c:pt>
                <c:pt idx="123">
                  <c:v>42310</c:v>
                </c:pt>
                <c:pt idx="124">
                  <c:v>42311</c:v>
                </c:pt>
                <c:pt idx="125">
                  <c:v>42312</c:v>
                </c:pt>
                <c:pt idx="126">
                  <c:v>42313</c:v>
                </c:pt>
                <c:pt idx="127">
                  <c:v>42314</c:v>
                </c:pt>
                <c:pt idx="128">
                  <c:v>42317</c:v>
                </c:pt>
                <c:pt idx="129">
                  <c:v>42318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1.7589008009609199E-3</c:v>
                </c:pt>
                <c:pt idx="1">
                  <c:v>1.7599623111635549E-3</c:v>
                </c:pt>
                <c:pt idx="2">
                  <c:v>1.7610210561268709E-3</c:v>
                </c:pt>
                <c:pt idx="3">
                  <c:v>1.7641806995809036E-3</c:v>
                </c:pt>
                <c:pt idx="4">
                  <c:v>1.7652283835869428E-3</c:v>
                </c:pt>
                <c:pt idx="5">
                  <c:v>1.7662733023536628E-3</c:v>
                </c:pt>
                <c:pt idx="6">
                  <c:v>1.7673154558810636E-3</c:v>
                </c:pt>
                <c:pt idx="7">
                  <c:v>1.7683548441691454E-3</c:v>
                </c:pt>
                <c:pt idx="8">
                  <c:v>1.7714564175974751E-3</c:v>
                </c:pt>
                <c:pt idx="9">
                  <c:v>1.7724847449282803E-3</c:v>
                </c:pt>
                <c:pt idx="10">
                  <c:v>1.7735103070197658E-3</c:v>
                </c:pt>
                <c:pt idx="11">
                  <c:v>1.7745331038719323E-3</c:v>
                </c:pt>
                <c:pt idx="12">
                  <c:v>1.7755531354847799E-3</c:v>
                </c:pt>
                <c:pt idx="13">
                  <c:v>1.7785966388874069E-3</c:v>
                </c:pt>
                <c:pt idx="14">
                  <c:v>1.7796056095429776E-3</c:v>
                </c:pt>
                <c:pt idx="15">
                  <c:v>1.7806118149592291E-3</c:v>
                </c:pt>
                <c:pt idx="16">
                  <c:v>1.7816152551361612E-3</c:v>
                </c:pt>
                <c:pt idx="17">
                  <c:v>1.7826159300737745E-3</c:v>
                </c:pt>
                <c:pt idx="18">
                  <c:v>1.7856013634506987E-3</c:v>
                </c:pt>
                <c:pt idx="19">
                  <c:v>1.7865909774310352E-3</c:v>
                </c:pt>
                <c:pt idx="20">
                  <c:v>1.7875778261720523E-3</c:v>
                </c:pt>
                <c:pt idx="21">
                  <c:v>1.7885619096737503E-3</c:v>
                </c:pt>
                <c:pt idx="22">
                  <c:v>1.7895432279361292E-3</c:v>
                </c:pt>
                <c:pt idx="23">
                  <c:v>1.7924705912873507E-3</c:v>
                </c:pt>
                <c:pt idx="24">
                  <c:v>1.7934408485924527E-3</c:v>
                </c:pt>
                <c:pt idx="25">
                  <c:v>1.7944083406582357E-3</c:v>
                </c:pt>
                <c:pt idx="26">
                  <c:v>1.7953730674846993E-3</c:v>
                </c:pt>
                <c:pt idx="27">
                  <c:v>1.7963350290718441E-3</c:v>
                </c:pt>
                <c:pt idx="28">
                  <c:v>1.7992043223973627E-3</c:v>
                </c:pt>
                <c:pt idx="29">
                  <c:v>1.8001552230272305E-3</c:v>
                </c:pt>
                <c:pt idx="30">
                  <c:v>1.8011033584177793E-3</c:v>
                </c:pt>
                <c:pt idx="31">
                  <c:v>1.8020487285690086E-3</c:v>
                </c:pt>
                <c:pt idx="32">
                  <c:v>1.802991333480919E-3</c:v>
                </c:pt>
                <c:pt idx="33">
                  <c:v>1.805802556780735E-3</c:v>
                </c:pt>
                <c:pt idx="34">
                  <c:v>1.8067341007353683E-3</c:v>
                </c:pt>
                <c:pt idx="35">
                  <c:v>1.8076628794506829E-3</c:v>
                </c:pt>
                <c:pt idx="36">
                  <c:v>1.808588892926678E-3</c:v>
                </c:pt>
                <c:pt idx="37">
                  <c:v>1.8095121411633541E-3</c:v>
                </c:pt>
                <c:pt idx="38">
                  <c:v>1.8122652944374672E-3</c:v>
                </c:pt>
                <c:pt idx="39">
                  <c:v>1.8131774817168665E-3</c:v>
                </c:pt>
                <c:pt idx="40">
                  <c:v>1.8140869037569466E-3</c:v>
                </c:pt>
                <c:pt idx="41">
                  <c:v>1.8149935605577074E-3</c:v>
                </c:pt>
                <c:pt idx="42">
                  <c:v>1.8158974521191493E-3</c:v>
                </c:pt>
                <c:pt idx="43">
                  <c:v>1.8185925353675595E-3</c:v>
                </c:pt>
                <c:pt idx="44">
                  <c:v>1.8194853659717245E-3</c:v>
                </c:pt>
                <c:pt idx="45">
                  <c:v>1.8203754313365704E-3</c:v>
                </c:pt>
                <c:pt idx="46">
                  <c:v>1.821262731462097E-3</c:v>
                </c:pt>
                <c:pt idx="47">
                  <c:v>1.8221472663483046E-3</c:v>
                </c:pt>
                <c:pt idx="48">
                  <c:v>1.824784279571012E-3</c:v>
                </c:pt>
                <c:pt idx="49">
                  <c:v>1.8256577534999428E-3</c:v>
                </c:pt>
                <c:pt idx="50">
                  <c:v>1.8265284621895542E-3</c:v>
                </c:pt>
                <c:pt idx="51">
                  <c:v>1.8273964056398468E-3</c:v>
                </c:pt>
                <c:pt idx="52">
                  <c:v>1.82826158385082E-3</c:v>
                </c:pt>
                <c:pt idx="53">
                  <c:v>1.8308405270478247E-3</c:v>
                </c:pt>
                <c:pt idx="54">
                  <c:v>1.831694644301521E-3</c:v>
                </c:pt>
                <c:pt idx="55">
                  <c:v>1.8325459963158984E-3</c:v>
                </c:pt>
                <c:pt idx="56">
                  <c:v>1.8333945830909567E-3</c:v>
                </c:pt>
                <c:pt idx="57">
                  <c:v>1.8342404046266954E-3</c:v>
                </c:pt>
                <c:pt idx="58">
                  <c:v>1.8367612777979974E-3</c:v>
                </c:pt>
                <c:pt idx="59">
                  <c:v>1.8375960383764595E-3</c:v>
                </c:pt>
                <c:pt idx="60">
                  <c:v>1.8384280337156026E-3</c:v>
                </c:pt>
                <c:pt idx="61">
                  <c:v>1.8392572638154265E-3</c:v>
                </c:pt>
                <c:pt idx="62">
                  <c:v>1.8400837286759312E-3</c:v>
                </c:pt>
                <c:pt idx="63">
                  <c:v>1.8425465318215302E-3</c:v>
                </c:pt>
                <c:pt idx="64">
                  <c:v>1.8433619357247581E-3</c:v>
                </c:pt>
                <c:pt idx="65">
                  <c:v>1.8441745743886667E-3</c:v>
                </c:pt>
                <c:pt idx="66">
                  <c:v>1.8449844478132566E-3</c:v>
                </c:pt>
                <c:pt idx="67">
                  <c:v>1.8457915559985268E-3</c:v>
                </c:pt>
                <c:pt idx="68">
                  <c:v>1.8481962891184231E-3</c:v>
                </c:pt>
                <c:pt idx="69">
                  <c:v>1.8489923363464167E-3</c:v>
                </c:pt>
                <c:pt idx="70">
                  <c:v>1.8497856183350911E-3</c:v>
                </c:pt>
                <c:pt idx="71">
                  <c:v>1.8505761350844467E-3</c:v>
                </c:pt>
                <c:pt idx="72">
                  <c:v>1.8513638865944827E-3</c:v>
                </c:pt>
                <c:pt idx="73">
                  <c:v>1.853710549688676E-3</c:v>
                </c:pt>
                <c:pt idx="74">
                  <c:v>1.8544872402414354E-3</c:v>
                </c:pt>
                <c:pt idx="75">
                  <c:v>1.8552611655548756E-3</c:v>
                </c:pt>
                <c:pt idx="76">
                  <c:v>1.8560323256289969E-3</c:v>
                </c:pt>
                <c:pt idx="77">
                  <c:v>1.8568007204637987E-3</c:v>
                </c:pt>
                <c:pt idx="78">
                  <c:v>1.8590893135322893E-3</c:v>
                </c:pt>
                <c:pt idx="79">
                  <c:v>1.8598466474098144E-3</c:v>
                </c:pt>
                <c:pt idx="80">
                  <c:v>1.8606012160480203E-3</c:v>
                </c:pt>
                <c:pt idx="81">
                  <c:v>1.8613530194469072E-3</c:v>
                </c:pt>
                <c:pt idx="82">
                  <c:v>1.8621020576064747E-3</c:v>
                </c:pt>
                <c:pt idx="83">
                  <c:v>1.8643325806492626E-3</c:v>
                </c:pt>
                <c:pt idx="84">
                  <c:v>1.8650705578515533E-3</c:v>
                </c:pt>
                <c:pt idx="85">
                  <c:v>1.865805769814525E-3</c:v>
                </c:pt>
                <c:pt idx="86">
                  <c:v>1.8665382165381776E-3</c:v>
                </c:pt>
                <c:pt idx="87">
                  <c:v>1.8672678980225109E-3</c:v>
                </c:pt>
                <c:pt idx="88">
                  <c:v>1.8694403510395958E-3</c:v>
                </c:pt>
                <c:pt idx="89">
                  <c:v>1.8701589715666525E-3</c:v>
                </c:pt>
                <c:pt idx="90">
                  <c:v>1.8708748268543899E-3</c:v>
                </c:pt>
                <c:pt idx="91">
                  <c:v>1.8715879169028083E-3</c:v>
                </c:pt>
                <c:pt idx="92">
                  <c:v>1.8722982417119073E-3</c:v>
                </c:pt>
                <c:pt idx="93">
                  <c:v>1.8744126247032893E-3</c:v>
                </c:pt>
                <c:pt idx="94">
                  <c:v>1.8751118885551117E-3</c:v>
                </c:pt>
                <c:pt idx="95">
                  <c:v>1.8758083871676149E-3</c:v>
                </c:pt>
                <c:pt idx="96">
                  <c:v>1.8765021205407989E-3</c:v>
                </c:pt>
                <c:pt idx="97">
                  <c:v>1.8771930886746636E-3</c:v>
                </c:pt>
                <c:pt idx="98">
                  <c:v>1.8792494016403429E-3</c:v>
                </c:pt>
                <c:pt idx="99">
                  <c:v>1.879929308816931E-3</c:v>
                </c:pt>
                <c:pt idx="100">
                  <c:v>1.8806064507541998E-3</c:v>
                </c:pt>
                <c:pt idx="101">
                  <c:v>1.8812808274521497E-3</c:v>
                </c:pt>
                <c:pt idx="102">
                  <c:v>1.8819524389107802E-3</c:v>
                </c:pt>
                <c:pt idx="103">
                  <c:v>1.8839506818507568E-3</c:v>
                </c:pt>
                <c:pt idx="104">
                  <c:v>1.8846112323521104E-3</c:v>
                </c:pt>
                <c:pt idx="105">
                  <c:v>1.8852690176141451E-3</c:v>
                </c:pt>
                <c:pt idx="106">
                  <c:v>1.8859240376368606E-3</c:v>
                </c:pt>
                <c:pt idx="107">
                  <c:v>1.8865762924202567E-3</c:v>
                </c:pt>
                <c:pt idx="108">
                  <c:v>1.8885164653345305E-3</c:v>
                </c:pt>
                <c:pt idx="109">
                  <c:v>1.8891576591606499E-3</c:v>
                </c:pt>
                <c:pt idx="110">
                  <c:v>1.8897960877474502E-3</c:v>
                </c:pt>
                <c:pt idx="111">
                  <c:v>1.8904317510949316E-3</c:v>
                </c:pt>
                <c:pt idx="112">
                  <c:v>1.8910646492030934E-3</c:v>
                </c:pt>
                <c:pt idx="113">
                  <c:v>1.8929467520916645E-3</c:v>
                </c:pt>
                <c:pt idx="114">
                  <c:v>1.8935685892425497E-3</c:v>
                </c:pt>
                <c:pt idx="115">
                  <c:v>1.8941876611541159E-3</c:v>
                </c:pt>
                <c:pt idx="116">
                  <c:v>1.8948039678263627E-3</c:v>
                </c:pt>
                <c:pt idx="117">
                  <c:v>1.8954175092592903E-3</c:v>
                </c:pt>
                <c:pt idx="118">
                  <c:v>1.8972415421221584E-3</c:v>
                </c:pt>
                <c:pt idx="119">
                  <c:v>1.8978440225978094E-3</c:v>
                </c:pt>
                <c:pt idx="120">
                  <c:v>1.8984437378341411E-3</c:v>
                </c:pt>
                <c:pt idx="121">
                  <c:v>1.8990406878311539E-3</c:v>
                </c:pt>
                <c:pt idx="122">
                  <c:v>1.8996348725888474E-3</c:v>
                </c:pt>
                <c:pt idx="123">
                  <c:v>1.9014008354260126E-3</c:v>
                </c:pt>
                <c:pt idx="124">
                  <c:v>1.9019839592264293E-3</c:v>
                </c:pt>
                <c:pt idx="125">
                  <c:v>1.902564317787527E-3</c:v>
                </c:pt>
                <c:pt idx="126">
                  <c:v>1.9031419111093053E-3</c:v>
                </c:pt>
                <c:pt idx="127">
                  <c:v>1.9037167391917644E-3</c:v>
                </c:pt>
                <c:pt idx="128">
                  <c:v>1.9054246320032268E-3</c:v>
                </c:pt>
                <c:pt idx="129">
                  <c:v>1.9059883991284093E-3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149952"/>
        <c:axId val="637151488"/>
      </c:lineChart>
      <c:dateAx>
        <c:axId val="6371499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7151488"/>
        <c:crosses val="autoZero"/>
        <c:auto val="1"/>
        <c:lblOffset val="100"/>
        <c:baseTimeUnit val="days"/>
      </c:dateAx>
      <c:valAx>
        <c:axId val="6371514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7149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42149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42247</c:v>
                </c:pt>
                <c:pt idx="79">
                  <c:v>42248</c:v>
                </c:pt>
                <c:pt idx="80">
                  <c:v>42249</c:v>
                </c:pt>
                <c:pt idx="81">
                  <c:v>42250</c:v>
                </c:pt>
                <c:pt idx="82">
                  <c:v>42251</c:v>
                </c:pt>
                <c:pt idx="83">
                  <c:v>42254</c:v>
                </c:pt>
                <c:pt idx="84">
                  <c:v>42255</c:v>
                </c:pt>
                <c:pt idx="85">
                  <c:v>42256</c:v>
                </c:pt>
                <c:pt idx="86">
                  <c:v>42257</c:v>
                </c:pt>
                <c:pt idx="87">
                  <c:v>42258</c:v>
                </c:pt>
                <c:pt idx="88">
                  <c:v>42261</c:v>
                </c:pt>
                <c:pt idx="89">
                  <c:v>42262</c:v>
                </c:pt>
                <c:pt idx="90">
                  <c:v>42263</c:v>
                </c:pt>
                <c:pt idx="91">
                  <c:v>42264</c:v>
                </c:pt>
                <c:pt idx="92">
                  <c:v>42265</c:v>
                </c:pt>
                <c:pt idx="93">
                  <c:v>42268</c:v>
                </c:pt>
                <c:pt idx="94">
                  <c:v>42269</c:v>
                </c:pt>
                <c:pt idx="95">
                  <c:v>42270</c:v>
                </c:pt>
                <c:pt idx="96">
                  <c:v>42271</c:v>
                </c:pt>
                <c:pt idx="97">
                  <c:v>42272</c:v>
                </c:pt>
                <c:pt idx="98">
                  <c:v>42275</c:v>
                </c:pt>
                <c:pt idx="99">
                  <c:v>42276</c:v>
                </c:pt>
                <c:pt idx="100">
                  <c:v>42277</c:v>
                </c:pt>
                <c:pt idx="101">
                  <c:v>42278</c:v>
                </c:pt>
                <c:pt idx="102">
                  <c:v>42279</c:v>
                </c:pt>
                <c:pt idx="103">
                  <c:v>42282</c:v>
                </c:pt>
                <c:pt idx="104">
                  <c:v>42283</c:v>
                </c:pt>
                <c:pt idx="105">
                  <c:v>42284</c:v>
                </c:pt>
                <c:pt idx="106">
                  <c:v>42285</c:v>
                </c:pt>
                <c:pt idx="107">
                  <c:v>42286</c:v>
                </c:pt>
                <c:pt idx="108">
                  <c:v>42289</c:v>
                </c:pt>
                <c:pt idx="109">
                  <c:v>42290</c:v>
                </c:pt>
                <c:pt idx="110">
                  <c:v>42291</c:v>
                </c:pt>
                <c:pt idx="111">
                  <c:v>42292</c:v>
                </c:pt>
                <c:pt idx="112">
                  <c:v>42293</c:v>
                </c:pt>
                <c:pt idx="113">
                  <c:v>42296</c:v>
                </c:pt>
                <c:pt idx="114">
                  <c:v>42297</c:v>
                </c:pt>
                <c:pt idx="115">
                  <c:v>42298</c:v>
                </c:pt>
                <c:pt idx="116">
                  <c:v>42299</c:v>
                </c:pt>
                <c:pt idx="117">
                  <c:v>42300</c:v>
                </c:pt>
                <c:pt idx="118">
                  <c:v>42303</c:v>
                </c:pt>
                <c:pt idx="119">
                  <c:v>42304</c:v>
                </c:pt>
                <c:pt idx="120">
                  <c:v>42305</c:v>
                </c:pt>
                <c:pt idx="121">
                  <c:v>42306</c:v>
                </c:pt>
                <c:pt idx="122">
                  <c:v>42307</c:v>
                </c:pt>
                <c:pt idx="123">
                  <c:v>42310</c:v>
                </c:pt>
                <c:pt idx="124">
                  <c:v>42311</c:v>
                </c:pt>
                <c:pt idx="125">
                  <c:v>42312</c:v>
                </c:pt>
                <c:pt idx="126">
                  <c:v>42313</c:v>
                </c:pt>
                <c:pt idx="127">
                  <c:v>42314</c:v>
                </c:pt>
                <c:pt idx="128">
                  <c:v>42317</c:v>
                </c:pt>
                <c:pt idx="129">
                  <c:v>42318</c:v>
                </c:pt>
                <c:pt idx="130">
                  <c:v>42319</c:v>
                </c:pt>
                <c:pt idx="131">
                  <c:v>42320</c:v>
                </c:pt>
                <c:pt idx="132">
                  <c:v>42321</c:v>
                </c:pt>
                <c:pt idx="133">
                  <c:v>42324</c:v>
                </c:pt>
                <c:pt idx="134">
                  <c:v>42325</c:v>
                </c:pt>
                <c:pt idx="135">
                  <c:v>42326</c:v>
                </c:pt>
                <c:pt idx="136">
                  <c:v>42327</c:v>
                </c:pt>
                <c:pt idx="137">
                  <c:v>42328</c:v>
                </c:pt>
                <c:pt idx="138">
                  <c:v>42331</c:v>
                </c:pt>
                <c:pt idx="139">
                  <c:v>42332</c:v>
                </c:pt>
                <c:pt idx="140">
                  <c:v>42333</c:v>
                </c:pt>
                <c:pt idx="141">
                  <c:v>42334</c:v>
                </c:pt>
                <c:pt idx="142">
                  <c:v>42335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42345</c:v>
                </c:pt>
                <c:pt idx="149">
                  <c:v>42346</c:v>
                </c:pt>
                <c:pt idx="150">
                  <c:v>42347</c:v>
                </c:pt>
                <c:pt idx="151">
                  <c:v>42348</c:v>
                </c:pt>
                <c:pt idx="152">
                  <c:v>42349</c:v>
                </c:pt>
                <c:pt idx="153">
                  <c:v>42352</c:v>
                </c:pt>
                <c:pt idx="154">
                  <c:v>42353</c:v>
                </c:pt>
                <c:pt idx="155">
                  <c:v>42354</c:v>
                </c:pt>
                <c:pt idx="156">
                  <c:v>42355</c:v>
                </c:pt>
                <c:pt idx="157">
                  <c:v>42356</c:v>
                </c:pt>
                <c:pt idx="158">
                  <c:v>42359</c:v>
                </c:pt>
                <c:pt idx="159">
                  <c:v>42360</c:v>
                </c:pt>
                <c:pt idx="160">
                  <c:v>42361</c:v>
                </c:pt>
                <c:pt idx="161">
                  <c:v>42362</c:v>
                </c:pt>
                <c:pt idx="162">
                  <c:v>42366</c:v>
                </c:pt>
                <c:pt idx="163">
                  <c:v>42367</c:v>
                </c:pt>
                <c:pt idx="164">
                  <c:v>42368</c:v>
                </c:pt>
                <c:pt idx="165">
                  <c:v>42369</c:v>
                </c:pt>
                <c:pt idx="166">
                  <c:v>42373</c:v>
                </c:pt>
                <c:pt idx="167">
                  <c:v>42374</c:v>
                </c:pt>
                <c:pt idx="168">
                  <c:v>42375</c:v>
                </c:pt>
                <c:pt idx="169">
                  <c:v>42376</c:v>
                </c:pt>
                <c:pt idx="170">
                  <c:v>42377</c:v>
                </c:pt>
                <c:pt idx="171">
                  <c:v>42380</c:v>
                </c:pt>
                <c:pt idx="172">
                  <c:v>42381</c:v>
                </c:pt>
                <c:pt idx="173">
                  <c:v>42382</c:v>
                </c:pt>
                <c:pt idx="174">
                  <c:v>42383</c:v>
                </c:pt>
                <c:pt idx="175">
                  <c:v>42384</c:v>
                </c:pt>
                <c:pt idx="176">
                  <c:v>42387</c:v>
                </c:pt>
                <c:pt idx="177">
                  <c:v>42388</c:v>
                </c:pt>
                <c:pt idx="178">
                  <c:v>42389</c:v>
                </c:pt>
                <c:pt idx="179">
                  <c:v>42390</c:v>
                </c:pt>
                <c:pt idx="180">
                  <c:v>42391</c:v>
                </c:pt>
                <c:pt idx="181">
                  <c:v>42394</c:v>
                </c:pt>
                <c:pt idx="182">
                  <c:v>42395</c:v>
                </c:pt>
                <c:pt idx="183">
                  <c:v>42396</c:v>
                </c:pt>
                <c:pt idx="184">
                  <c:v>42397</c:v>
                </c:pt>
                <c:pt idx="185">
                  <c:v>42398</c:v>
                </c:pt>
                <c:pt idx="186">
                  <c:v>42401</c:v>
                </c:pt>
                <c:pt idx="187">
                  <c:v>42402</c:v>
                </c:pt>
                <c:pt idx="188">
                  <c:v>42403</c:v>
                </c:pt>
                <c:pt idx="189">
                  <c:v>42404</c:v>
                </c:pt>
                <c:pt idx="190">
                  <c:v>42405</c:v>
                </c:pt>
                <c:pt idx="191">
                  <c:v>42408</c:v>
                </c:pt>
                <c:pt idx="192">
                  <c:v>42409</c:v>
                </c:pt>
                <c:pt idx="193">
                  <c:v>42410</c:v>
                </c:pt>
                <c:pt idx="194">
                  <c:v>42411</c:v>
                </c:pt>
                <c:pt idx="195">
                  <c:v>42412</c:v>
                </c:pt>
                <c:pt idx="196">
                  <c:v>42415</c:v>
                </c:pt>
                <c:pt idx="197">
                  <c:v>42416</c:v>
                </c:pt>
                <c:pt idx="198">
                  <c:v>42417</c:v>
                </c:pt>
                <c:pt idx="199">
                  <c:v>42418</c:v>
                </c:pt>
                <c:pt idx="200">
                  <c:v>42419</c:v>
                </c:pt>
                <c:pt idx="201">
                  <c:v>42422</c:v>
                </c:pt>
                <c:pt idx="202">
                  <c:v>42423</c:v>
                </c:pt>
                <c:pt idx="203">
                  <c:v>42424</c:v>
                </c:pt>
                <c:pt idx="204">
                  <c:v>42425</c:v>
                </c:pt>
                <c:pt idx="205">
                  <c:v>42426</c:v>
                </c:pt>
                <c:pt idx="206">
                  <c:v>42429</c:v>
                </c:pt>
                <c:pt idx="207">
                  <c:v>42430</c:v>
                </c:pt>
                <c:pt idx="208">
                  <c:v>42431</c:v>
                </c:pt>
                <c:pt idx="209">
                  <c:v>42432</c:v>
                </c:pt>
                <c:pt idx="210">
                  <c:v>42433</c:v>
                </c:pt>
                <c:pt idx="211">
                  <c:v>42436</c:v>
                </c:pt>
                <c:pt idx="212">
                  <c:v>42437</c:v>
                </c:pt>
                <c:pt idx="213">
                  <c:v>42438</c:v>
                </c:pt>
                <c:pt idx="214">
                  <c:v>42439</c:v>
                </c:pt>
                <c:pt idx="215">
                  <c:v>42440</c:v>
                </c:pt>
                <c:pt idx="216">
                  <c:v>42443</c:v>
                </c:pt>
                <c:pt idx="217">
                  <c:v>42444</c:v>
                </c:pt>
                <c:pt idx="218">
                  <c:v>42445</c:v>
                </c:pt>
                <c:pt idx="219">
                  <c:v>42446</c:v>
                </c:pt>
                <c:pt idx="220">
                  <c:v>42447</c:v>
                </c:pt>
                <c:pt idx="221">
                  <c:v>42450</c:v>
                </c:pt>
                <c:pt idx="222">
                  <c:v>42451</c:v>
                </c:pt>
                <c:pt idx="223">
                  <c:v>42452</c:v>
                </c:pt>
                <c:pt idx="224">
                  <c:v>42453</c:v>
                </c:pt>
                <c:pt idx="225">
                  <c:v>42458</c:v>
                </c:pt>
                <c:pt idx="226">
                  <c:v>42459</c:v>
                </c:pt>
                <c:pt idx="227">
                  <c:v>42460</c:v>
                </c:pt>
                <c:pt idx="228">
                  <c:v>42461</c:v>
                </c:pt>
                <c:pt idx="229">
                  <c:v>42464</c:v>
                </c:pt>
                <c:pt idx="230">
                  <c:v>42465</c:v>
                </c:pt>
                <c:pt idx="231">
                  <c:v>42466</c:v>
                </c:pt>
                <c:pt idx="232">
                  <c:v>42467</c:v>
                </c:pt>
                <c:pt idx="233">
                  <c:v>42468</c:v>
                </c:pt>
                <c:pt idx="234">
                  <c:v>42471</c:v>
                </c:pt>
                <c:pt idx="235">
                  <c:v>42472</c:v>
                </c:pt>
                <c:pt idx="236">
                  <c:v>42473</c:v>
                </c:pt>
                <c:pt idx="237">
                  <c:v>42474</c:v>
                </c:pt>
                <c:pt idx="238">
                  <c:v>42475</c:v>
                </c:pt>
                <c:pt idx="239">
                  <c:v>42478</c:v>
                </c:pt>
                <c:pt idx="240">
                  <c:v>42479</c:v>
                </c:pt>
                <c:pt idx="241">
                  <c:v>42480</c:v>
                </c:pt>
                <c:pt idx="242">
                  <c:v>42481</c:v>
                </c:pt>
                <c:pt idx="243">
                  <c:v>42482</c:v>
                </c:pt>
                <c:pt idx="244">
                  <c:v>42485</c:v>
                </c:pt>
                <c:pt idx="245">
                  <c:v>42486</c:v>
                </c:pt>
                <c:pt idx="246">
                  <c:v>42487</c:v>
                </c:pt>
                <c:pt idx="247">
                  <c:v>42488</c:v>
                </c:pt>
                <c:pt idx="248">
                  <c:v>42489</c:v>
                </c:pt>
                <c:pt idx="249">
                  <c:v>42492</c:v>
                </c:pt>
                <c:pt idx="250">
                  <c:v>42493</c:v>
                </c:pt>
                <c:pt idx="251">
                  <c:v>42494</c:v>
                </c:pt>
                <c:pt idx="252">
                  <c:v>42495</c:v>
                </c:pt>
                <c:pt idx="253">
                  <c:v>42496</c:v>
                </c:pt>
                <c:pt idx="254">
                  <c:v>42499</c:v>
                </c:pt>
              </c:numCache>
            </c:numRef>
          </c:cat>
          <c:val>
            <c:numRef>
              <c:f>'1YSynthDepo'!$AD$3:$AD$257</c:f>
              <c:numCache>
                <c:formatCode>0.0000%</c:formatCode>
                <c:ptCount val="255"/>
                <c:pt idx="0">
                  <c:v>2.9114415373554252E-3</c:v>
                </c:pt>
                <c:pt idx="1">
                  <c:v>2.9114415373554252E-3</c:v>
                </c:pt>
                <c:pt idx="2">
                  <c:v>2.9114415373554252E-3</c:v>
                </c:pt>
                <c:pt idx="3">
                  <c:v>2.9114415373554252E-3</c:v>
                </c:pt>
                <c:pt idx="4">
                  <c:v>2.9114415373554252E-3</c:v>
                </c:pt>
                <c:pt idx="5">
                  <c:v>2.9114415373554252E-3</c:v>
                </c:pt>
                <c:pt idx="6">
                  <c:v>2.9114415373554252E-3</c:v>
                </c:pt>
                <c:pt idx="7">
                  <c:v>2.9114415373554252E-3</c:v>
                </c:pt>
                <c:pt idx="8">
                  <c:v>2.9114415373554252E-3</c:v>
                </c:pt>
                <c:pt idx="9">
                  <c:v>2.9114415373554252E-3</c:v>
                </c:pt>
                <c:pt idx="10">
                  <c:v>2.9114415373554252E-3</c:v>
                </c:pt>
                <c:pt idx="11">
                  <c:v>2.9114415373554252E-3</c:v>
                </c:pt>
                <c:pt idx="12">
                  <c:v>2.9114415373554252E-3</c:v>
                </c:pt>
                <c:pt idx="13">
                  <c:v>2.9114415373554252E-3</c:v>
                </c:pt>
                <c:pt idx="14">
                  <c:v>2.9114415373554252E-3</c:v>
                </c:pt>
                <c:pt idx="15">
                  <c:v>2.9114415373554252E-3</c:v>
                </c:pt>
                <c:pt idx="16">
                  <c:v>2.9114415373554252E-3</c:v>
                </c:pt>
                <c:pt idx="17">
                  <c:v>2.9114415373554252E-3</c:v>
                </c:pt>
                <c:pt idx="18">
                  <c:v>2.9114415373554252E-3</c:v>
                </c:pt>
                <c:pt idx="19">
                  <c:v>2.9114415373554252E-3</c:v>
                </c:pt>
                <c:pt idx="20">
                  <c:v>2.9114415373554252E-3</c:v>
                </c:pt>
                <c:pt idx="21">
                  <c:v>2.9114415373554252E-3</c:v>
                </c:pt>
                <c:pt idx="22">
                  <c:v>2.9114415373554252E-3</c:v>
                </c:pt>
                <c:pt idx="23">
                  <c:v>2.9114415373554252E-3</c:v>
                </c:pt>
                <c:pt idx="24">
                  <c:v>2.9114415373554252E-3</c:v>
                </c:pt>
                <c:pt idx="25">
                  <c:v>2.9114415373554252E-3</c:v>
                </c:pt>
                <c:pt idx="26">
                  <c:v>2.9114415373554252E-3</c:v>
                </c:pt>
                <c:pt idx="27">
                  <c:v>2.9114415373554252E-3</c:v>
                </c:pt>
                <c:pt idx="28">
                  <c:v>2.9114415373554252E-3</c:v>
                </c:pt>
                <c:pt idx="29">
                  <c:v>2.9114415373554252E-3</c:v>
                </c:pt>
                <c:pt idx="30">
                  <c:v>2.9114415373554252E-3</c:v>
                </c:pt>
                <c:pt idx="31">
                  <c:v>2.9114415373554252E-3</c:v>
                </c:pt>
                <c:pt idx="32">
                  <c:v>2.9114415373554252E-3</c:v>
                </c:pt>
                <c:pt idx="33">
                  <c:v>2.9114415373554252E-3</c:v>
                </c:pt>
                <c:pt idx="34">
                  <c:v>2.9114415373554252E-3</c:v>
                </c:pt>
                <c:pt idx="35">
                  <c:v>2.9114415373554252E-3</c:v>
                </c:pt>
                <c:pt idx="36">
                  <c:v>2.9114415373554252E-3</c:v>
                </c:pt>
                <c:pt idx="37">
                  <c:v>2.9114415373554252E-3</c:v>
                </c:pt>
                <c:pt idx="38">
                  <c:v>2.9114415373554252E-3</c:v>
                </c:pt>
                <c:pt idx="39">
                  <c:v>2.9114415373554252E-3</c:v>
                </c:pt>
                <c:pt idx="40">
                  <c:v>2.9114415373554252E-3</c:v>
                </c:pt>
                <c:pt idx="41">
                  <c:v>2.9114415373554252E-3</c:v>
                </c:pt>
                <c:pt idx="42">
                  <c:v>2.9114415373554252E-3</c:v>
                </c:pt>
                <c:pt idx="43">
                  <c:v>2.9114415373554252E-3</c:v>
                </c:pt>
                <c:pt idx="44">
                  <c:v>2.9114415373554252E-3</c:v>
                </c:pt>
                <c:pt idx="45">
                  <c:v>2.9114415373554252E-3</c:v>
                </c:pt>
                <c:pt idx="46">
                  <c:v>2.9114415373554252E-3</c:v>
                </c:pt>
                <c:pt idx="47">
                  <c:v>2.9114415373554252E-3</c:v>
                </c:pt>
                <c:pt idx="48">
                  <c:v>2.9114415373554252E-3</c:v>
                </c:pt>
                <c:pt idx="49">
                  <c:v>2.9114415373554252E-3</c:v>
                </c:pt>
                <c:pt idx="50">
                  <c:v>2.9114415373554252E-3</c:v>
                </c:pt>
                <c:pt idx="51">
                  <c:v>2.9114415373554252E-3</c:v>
                </c:pt>
                <c:pt idx="52">
                  <c:v>2.9114415373554252E-3</c:v>
                </c:pt>
                <c:pt idx="53">
                  <c:v>2.9114415373554252E-3</c:v>
                </c:pt>
                <c:pt idx="54">
                  <c:v>2.9114415373554252E-3</c:v>
                </c:pt>
                <c:pt idx="55">
                  <c:v>2.9114415373554252E-3</c:v>
                </c:pt>
                <c:pt idx="56">
                  <c:v>2.9114415373554252E-3</c:v>
                </c:pt>
                <c:pt idx="57">
                  <c:v>2.9114415373554252E-3</c:v>
                </c:pt>
                <c:pt idx="58">
                  <c:v>2.9114415373554252E-3</c:v>
                </c:pt>
                <c:pt idx="59">
                  <c:v>2.9114415373554252E-3</c:v>
                </c:pt>
                <c:pt idx="60">
                  <c:v>2.9114415373554252E-3</c:v>
                </c:pt>
                <c:pt idx="61">
                  <c:v>2.9114415373554252E-3</c:v>
                </c:pt>
                <c:pt idx="62">
                  <c:v>2.9114415373554252E-3</c:v>
                </c:pt>
                <c:pt idx="63">
                  <c:v>2.9114415373554252E-3</c:v>
                </c:pt>
                <c:pt idx="64">
                  <c:v>2.9114415373554252E-3</c:v>
                </c:pt>
                <c:pt idx="65">
                  <c:v>2.9114415373554252E-3</c:v>
                </c:pt>
                <c:pt idx="66">
                  <c:v>2.9114415373554252E-3</c:v>
                </c:pt>
                <c:pt idx="67">
                  <c:v>2.9114415373554252E-3</c:v>
                </c:pt>
                <c:pt idx="68">
                  <c:v>2.9114415373554252E-3</c:v>
                </c:pt>
                <c:pt idx="69">
                  <c:v>2.9114415373554252E-3</c:v>
                </c:pt>
                <c:pt idx="70">
                  <c:v>2.9114415373554252E-3</c:v>
                </c:pt>
                <c:pt idx="71">
                  <c:v>2.9114415373554252E-3</c:v>
                </c:pt>
                <c:pt idx="72">
                  <c:v>2.9114415373554252E-3</c:v>
                </c:pt>
                <c:pt idx="73">
                  <c:v>2.9114415373554252E-3</c:v>
                </c:pt>
                <c:pt idx="74">
                  <c:v>2.9114415373554252E-3</c:v>
                </c:pt>
                <c:pt idx="75">
                  <c:v>2.9114415373554252E-3</c:v>
                </c:pt>
                <c:pt idx="76">
                  <c:v>2.9114415373554252E-3</c:v>
                </c:pt>
                <c:pt idx="77">
                  <c:v>2.9114415373554252E-3</c:v>
                </c:pt>
                <c:pt idx="78">
                  <c:v>2.9114415373554252E-3</c:v>
                </c:pt>
                <c:pt idx="79">
                  <c:v>2.9114415373554252E-3</c:v>
                </c:pt>
                <c:pt idx="80">
                  <c:v>2.9114415373554252E-3</c:v>
                </c:pt>
                <c:pt idx="81">
                  <c:v>2.9114415373554252E-3</c:v>
                </c:pt>
                <c:pt idx="82">
                  <c:v>2.9114415373554252E-3</c:v>
                </c:pt>
                <c:pt idx="83">
                  <c:v>2.9114415373554252E-3</c:v>
                </c:pt>
                <c:pt idx="84">
                  <c:v>2.9114415373554252E-3</c:v>
                </c:pt>
                <c:pt idx="85">
                  <c:v>2.9114415373554252E-3</c:v>
                </c:pt>
                <c:pt idx="86">
                  <c:v>2.9114415373554252E-3</c:v>
                </c:pt>
                <c:pt idx="87">
                  <c:v>2.9114415373554252E-3</c:v>
                </c:pt>
                <c:pt idx="88">
                  <c:v>2.9114415373554252E-3</c:v>
                </c:pt>
                <c:pt idx="89">
                  <c:v>2.9114415373554252E-3</c:v>
                </c:pt>
                <c:pt idx="90">
                  <c:v>2.9114415373554252E-3</c:v>
                </c:pt>
                <c:pt idx="91">
                  <c:v>2.9114415373554252E-3</c:v>
                </c:pt>
                <c:pt idx="92">
                  <c:v>2.9114415373554252E-3</c:v>
                </c:pt>
                <c:pt idx="93">
                  <c:v>2.9114415373554252E-3</c:v>
                </c:pt>
                <c:pt idx="94">
                  <c:v>2.9114415373554252E-3</c:v>
                </c:pt>
                <c:pt idx="95">
                  <c:v>2.9114415373554252E-3</c:v>
                </c:pt>
                <c:pt idx="96">
                  <c:v>2.9114415373554252E-3</c:v>
                </c:pt>
                <c:pt idx="97">
                  <c:v>2.9114415373554252E-3</c:v>
                </c:pt>
                <c:pt idx="98">
                  <c:v>2.9114415373554252E-3</c:v>
                </c:pt>
                <c:pt idx="99">
                  <c:v>2.9114415373554252E-3</c:v>
                </c:pt>
                <c:pt idx="100">
                  <c:v>2.9114415373554252E-3</c:v>
                </c:pt>
                <c:pt idx="101">
                  <c:v>2.9114415373554252E-3</c:v>
                </c:pt>
                <c:pt idx="102">
                  <c:v>2.9114415373554252E-3</c:v>
                </c:pt>
                <c:pt idx="103">
                  <c:v>2.9114415373554252E-3</c:v>
                </c:pt>
                <c:pt idx="104">
                  <c:v>2.9114415373554252E-3</c:v>
                </c:pt>
                <c:pt idx="105">
                  <c:v>2.9114415373554252E-3</c:v>
                </c:pt>
                <c:pt idx="106">
                  <c:v>2.9114415373554252E-3</c:v>
                </c:pt>
                <c:pt idx="107">
                  <c:v>2.9114415373554252E-3</c:v>
                </c:pt>
                <c:pt idx="108">
                  <c:v>2.9114415373554252E-3</c:v>
                </c:pt>
                <c:pt idx="109">
                  <c:v>2.9114415373554252E-3</c:v>
                </c:pt>
                <c:pt idx="110">
                  <c:v>2.9114415373554252E-3</c:v>
                </c:pt>
                <c:pt idx="111">
                  <c:v>2.9114415373554252E-3</c:v>
                </c:pt>
                <c:pt idx="112">
                  <c:v>2.9114415373554252E-3</c:v>
                </c:pt>
                <c:pt idx="113">
                  <c:v>2.9114415373554252E-3</c:v>
                </c:pt>
                <c:pt idx="114">
                  <c:v>2.9114415373554252E-3</c:v>
                </c:pt>
                <c:pt idx="115">
                  <c:v>2.9114415373554252E-3</c:v>
                </c:pt>
                <c:pt idx="116">
                  <c:v>2.9114415373554252E-3</c:v>
                </c:pt>
                <c:pt idx="117">
                  <c:v>2.9114415373554252E-3</c:v>
                </c:pt>
                <c:pt idx="118">
                  <c:v>2.9114415373554252E-3</c:v>
                </c:pt>
                <c:pt idx="119">
                  <c:v>2.9114415373554252E-3</c:v>
                </c:pt>
                <c:pt idx="120">
                  <c:v>2.9114415373554252E-3</c:v>
                </c:pt>
                <c:pt idx="121">
                  <c:v>2.9114415373554252E-3</c:v>
                </c:pt>
                <c:pt idx="122">
                  <c:v>2.9114415373554252E-3</c:v>
                </c:pt>
                <c:pt idx="123">
                  <c:v>2.9114415373554252E-3</c:v>
                </c:pt>
                <c:pt idx="124">
                  <c:v>2.9114415373554252E-3</c:v>
                </c:pt>
                <c:pt idx="125">
                  <c:v>2.9114415373554252E-3</c:v>
                </c:pt>
                <c:pt idx="126">
                  <c:v>2.9114415373554252E-3</c:v>
                </c:pt>
                <c:pt idx="127">
                  <c:v>2.9114415373554252E-3</c:v>
                </c:pt>
                <c:pt idx="128">
                  <c:v>2.9114415373554252E-3</c:v>
                </c:pt>
                <c:pt idx="129">
                  <c:v>2.9114415373554252E-3</c:v>
                </c:pt>
                <c:pt idx="130">
                  <c:v>2.9114415373554252E-3</c:v>
                </c:pt>
                <c:pt idx="131">
                  <c:v>2.9114415373554252E-3</c:v>
                </c:pt>
                <c:pt idx="132">
                  <c:v>2.9114415373554252E-3</c:v>
                </c:pt>
                <c:pt idx="133">
                  <c:v>2.9114415373554252E-3</c:v>
                </c:pt>
                <c:pt idx="134">
                  <c:v>2.9114415373554252E-3</c:v>
                </c:pt>
                <c:pt idx="135">
                  <c:v>2.9114415373554252E-3</c:v>
                </c:pt>
                <c:pt idx="136">
                  <c:v>2.9114415373554252E-3</c:v>
                </c:pt>
                <c:pt idx="137">
                  <c:v>2.9114415373554252E-3</c:v>
                </c:pt>
                <c:pt idx="138">
                  <c:v>2.9114415373554252E-3</c:v>
                </c:pt>
                <c:pt idx="139">
                  <c:v>2.9114415373554252E-3</c:v>
                </c:pt>
                <c:pt idx="140">
                  <c:v>2.9114415373554252E-3</c:v>
                </c:pt>
                <c:pt idx="141">
                  <c:v>2.9114415373554252E-3</c:v>
                </c:pt>
                <c:pt idx="142">
                  <c:v>2.9114415373554252E-3</c:v>
                </c:pt>
                <c:pt idx="143">
                  <c:v>2.9114415373554252E-3</c:v>
                </c:pt>
                <c:pt idx="144">
                  <c:v>2.9114415373554252E-3</c:v>
                </c:pt>
                <c:pt idx="145">
                  <c:v>2.9114415373554252E-3</c:v>
                </c:pt>
                <c:pt idx="146">
                  <c:v>2.9114415373554252E-3</c:v>
                </c:pt>
                <c:pt idx="147">
                  <c:v>2.9114415373554252E-3</c:v>
                </c:pt>
                <c:pt idx="148">
                  <c:v>2.9114415373554252E-3</c:v>
                </c:pt>
                <c:pt idx="149">
                  <c:v>2.9114415373554252E-3</c:v>
                </c:pt>
                <c:pt idx="150">
                  <c:v>2.9114415373554252E-3</c:v>
                </c:pt>
                <c:pt idx="151">
                  <c:v>2.9114415373554252E-3</c:v>
                </c:pt>
                <c:pt idx="152">
                  <c:v>2.9114415373554252E-3</c:v>
                </c:pt>
                <c:pt idx="153">
                  <c:v>2.9114415373554252E-3</c:v>
                </c:pt>
                <c:pt idx="154">
                  <c:v>2.9114415373554252E-3</c:v>
                </c:pt>
                <c:pt idx="155">
                  <c:v>2.9114415373554252E-3</c:v>
                </c:pt>
                <c:pt idx="156">
                  <c:v>2.9114415373554252E-3</c:v>
                </c:pt>
                <c:pt idx="157">
                  <c:v>2.9114415373554252E-3</c:v>
                </c:pt>
                <c:pt idx="158">
                  <c:v>2.9114415373554252E-3</c:v>
                </c:pt>
                <c:pt idx="159">
                  <c:v>2.9114415373554252E-3</c:v>
                </c:pt>
                <c:pt idx="160">
                  <c:v>2.9114415373554252E-3</c:v>
                </c:pt>
                <c:pt idx="161">
                  <c:v>2.9114415373554252E-3</c:v>
                </c:pt>
                <c:pt idx="162">
                  <c:v>2.9114415373554252E-3</c:v>
                </c:pt>
                <c:pt idx="163">
                  <c:v>2.9114415373554252E-3</c:v>
                </c:pt>
                <c:pt idx="164">
                  <c:v>2.9114415373554252E-3</c:v>
                </c:pt>
                <c:pt idx="165">
                  <c:v>2.9114415373554252E-3</c:v>
                </c:pt>
                <c:pt idx="166">
                  <c:v>2.9114415373554252E-3</c:v>
                </c:pt>
                <c:pt idx="167">
                  <c:v>2.9114415373554252E-3</c:v>
                </c:pt>
                <c:pt idx="168">
                  <c:v>2.9114415373554252E-3</c:v>
                </c:pt>
                <c:pt idx="169">
                  <c:v>2.9114415373554252E-3</c:v>
                </c:pt>
                <c:pt idx="170">
                  <c:v>2.9114415373554252E-3</c:v>
                </c:pt>
                <c:pt idx="171">
                  <c:v>2.9114415373554252E-3</c:v>
                </c:pt>
                <c:pt idx="172">
                  <c:v>2.9114415373554252E-3</c:v>
                </c:pt>
                <c:pt idx="173">
                  <c:v>2.9114415373554252E-3</c:v>
                </c:pt>
                <c:pt idx="174">
                  <c:v>2.9114415373554252E-3</c:v>
                </c:pt>
                <c:pt idx="175">
                  <c:v>2.9114415373554252E-3</c:v>
                </c:pt>
                <c:pt idx="176">
                  <c:v>2.9114415373554252E-3</c:v>
                </c:pt>
                <c:pt idx="177">
                  <c:v>2.9114415373554252E-3</c:v>
                </c:pt>
                <c:pt idx="178">
                  <c:v>2.9114415373554252E-3</c:v>
                </c:pt>
                <c:pt idx="179">
                  <c:v>2.9114415373554252E-3</c:v>
                </c:pt>
                <c:pt idx="180">
                  <c:v>2.9114415373554252E-3</c:v>
                </c:pt>
                <c:pt idx="181">
                  <c:v>2.9114415373554252E-3</c:v>
                </c:pt>
                <c:pt idx="182">
                  <c:v>2.9114415373554252E-3</c:v>
                </c:pt>
                <c:pt idx="183">
                  <c:v>2.9114415373554252E-3</c:v>
                </c:pt>
                <c:pt idx="184">
                  <c:v>2.9114415373554252E-3</c:v>
                </c:pt>
                <c:pt idx="185">
                  <c:v>2.9114415373554252E-3</c:v>
                </c:pt>
                <c:pt idx="186">
                  <c:v>2.9114415373554252E-3</c:v>
                </c:pt>
                <c:pt idx="187">
                  <c:v>2.9114415373554252E-3</c:v>
                </c:pt>
                <c:pt idx="188">
                  <c:v>2.9114415373554252E-3</c:v>
                </c:pt>
                <c:pt idx="189">
                  <c:v>2.9114415373554252E-3</c:v>
                </c:pt>
                <c:pt idx="190">
                  <c:v>2.9114415373554252E-3</c:v>
                </c:pt>
                <c:pt idx="191">
                  <c:v>2.9114415373554252E-3</c:v>
                </c:pt>
                <c:pt idx="192">
                  <c:v>2.9114415373554252E-3</c:v>
                </c:pt>
                <c:pt idx="193">
                  <c:v>2.9114415373554252E-3</c:v>
                </c:pt>
                <c:pt idx="194">
                  <c:v>2.9114415373554252E-3</c:v>
                </c:pt>
                <c:pt idx="195">
                  <c:v>2.9114415373554252E-3</c:v>
                </c:pt>
                <c:pt idx="196">
                  <c:v>2.9114415373554252E-3</c:v>
                </c:pt>
                <c:pt idx="197">
                  <c:v>2.9114415373554252E-3</c:v>
                </c:pt>
                <c:pt idx="198">
                  <c:v>2.9114415373554252E-3</c:v>
                </c:pt>
                <c:pt idx="199">
                  <c:v>2.9114415373554252E-3</c:v>
                </c:pt>
                <c:pt idx="200">
                  <c:v>2.9114415373554252E-3</c:v>
                </c:pt>
                <c:pt idx="201">
                  <c:v>2.9114415373554252E-3</c:v>
                </c:pt>
                <c:pt idx="202">
                  <c:v>2.9114415373554252E-3</c:v>
                </c:pt>
                <c:pt idx="203">
                  <c:v>2.9114415373554252E-3</c:v>
                </c:pt>
                <c:pt idx="204">
                  <c:v>2.9114415373554252E-3</c:v>
                </c:pt>
                <c:pt idx="205">
                  <c:v>2.9114415373554252E-3</c:v>
                </c:pt>
                <c:pt idx="206">
                  <c:v>2.9114415373554252E-3</c:v>
                </c:pt>
                <c:pt idx="207">
                  <c:v>2.9114415373554252E-3</c:v>
                </c:pt>
                <c:pt idx="208">
                  <c:v>2.9114415373554252E-3</c:v>
                </c:pt>
                <c:pt idx="209">
                  <c:v>2.9114415373554252E-3</c:v>
                </c:pt>
                <c:pt idx="210">
                  <c:v>2.9114415373554252E-3</c:v>
                </c:pt>
                <c:pt idx="211">
                  <c:v>2.9114415373554252E-3</c:v>
                </c:pt>
                <c:pt idx="212">
                  <c:v>2.9114415373554252E-3</c:v>
                </c:pt>
                <c:pt idx="213">
                  <c:v>2.9114415373554252E-3</c:v>
                </c:pt>
                <c:pt idx="214">
                  <c:v>2.9114415373554252E-3</c:v>
                </c:pt>
                <c:pt idx="215">
                  <c:v>2.9114415373554252E-3</c:v>
                </c:pt>
                <c:pt idx="216">
                  <c:v>2.9114415373554252E-3</c:v>
                </c:pt>
                <c:pt idx="217">
                  <c:v>2.9114415373554252E-3</c:v>
                </c:pt>
                <c:pt idx="218">
                  <c:v>2.9114415373554252E-3</c:v>
                </c:pt>
                <c:pt idx="219">
                  <c:v>2.9114415373554252E-3</c:v>
                </c:pt>
                <c:pt idx="220">
                  <c:v>2.9114415373554252E-3</c:v>
                </c:pt>
                <c:pt idx="221">
                  <c:v>2.9114415373554252E-3</c:v>
                </c:pt>
                <c:pt idx="222">
                  <c:v>2.9114415373554252E-3</c:v>
                </c:pt>
                <c:pt idx="223">
                  <c:v>2.9114415373554252E-3</c:v>
                </c:pt>
                <c:pt idx="224">
                  <c:v>2.9114415373554252E-3</c:v>
                </c:pt>
                <c:pt idx="225">
                  <c:v>2.9114415373554252E-3</c:v>
                </c:pt>
                <c:pt idx="226">
                  <c:v>2.9114415373554252E-3</c:v>
                </c:pt>
                <c:pt idx="227">
                  <c:v>2.9114415373554252E-3</c:v>
                </c:pt>
                <c:pt idx="228">
                  <c:v>2.9114415373554252E-3</c:v>
                </c:pt>
                <c:pt idx="229">
                  <c:v>2.9114415373554252E-3</c:v>
                </c:pt>
                <c:pt idx="230">
                  <c:v>2.9114415373554252E-3</c:v>
                </c:pt>
                <c:pt idx="231">
                  <c:v>2.9114415373554252E-3</c:v>
                </c:pt>
                <c:pt idx="232">
                  <c:v>2.9114415373554252E-3</c:v>
                </c:pt>
                <c:pt idx="233">
                  <c:v>2.9114415373554252E-3</c:v>
                </c:pt>
                <c:pt idx="234">
                  <c:v>2.9114415373554252E-3</c:v>
                </c:pt>
                <c:pt idx="235">
                  <c:v>2.9114415373554252E-3</c:v>
                </c:pt>
                <c:pt idx="236">
                  <c:v>2.9114415373554252E-3</c:v>
                </c:pt>
                <c:pt idx="237">
                  <c:v>2.9114415373554252E-3</c:v>
                </c:pt>
                <c:pt idx="238">
                  <c:v>2.9114415373554252E-3</c:v>
                </c:pt>
                <c:pt idx="239">
                  <c:v>2.9114415373554252E-3</c:v>
                </c:pt>
                <c:pt idx="240">
                  <c:v>2.9114415373554252E-3</c:v>
                </c:pt>
                <c:pt idx="241">
                  <c:v>2.9114415373554252E-3</c:v>
                </c:pt>
                <c:pt idx="242">
                  <c:v>2.9114415373554252E-3</c:v>
                </c:pt>
                <c:pt idx="243">
                  <c:v>2.9114415373554252E-3</c:v>
                </c:pt>
                <c:pt idx="244">
                  <c:v>2.9114415373554252E-3</c:v>
                </c:pt>
                <c:pt idx="245">
                  <c:v>2.9114415373554252E-3</c:v>
                </c:pt>
                <c:pt idx="246">
                  <c:v>2.9114415373554252E-3</c:v>
                </c:pt>
                <c:pt idx="247">
                  <c:v>2.9114415373554252E-3</c:v>
                </c:pt>
                <c:pt idx="248">
                  <c:v>2.9114415373554252E-3</c:v>
                </c:pt>
                <c:pt idx="249">
                  <c:v>2.9114415373554252E-3</c:v>
                </c:pt>
                <c:pt idx="250">
                  <c:v>2.9114415373554252E-3</c:v>
                </c:pt>
                <c:pt idx="251">
                  <c:v>2.9114415373554252E-3</c:v>
                </c:pt>
                <c:pt idx="252">
                  <c:v>2.9114415373554252E-3</c:v>
                </c:pt>
                <c:pt idx="253">
                  <c:v>2.9114415373554252E-3</c:v>
                </c:pt>
                <c:pt idx="254">
                  <c:v>2.9114415373554252E-3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42149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42247</c:v>
                </c:pt>
                <c:pt idx="79">
                  <c:v>42248</c:v>
                </c:pt>
                <c:pt idx="80">
                  <c:v>42249</c:v>
                </c:pt>
                <c:pt idx="81">
                  <c:v>42250</c:v>
                </c:pt>
                <c:pt idx="82">
                  <c:v>42251</c:v>
                </c:pt>
                <c:pt idx="83">
                  <c:v>42254</c:v>
                </c:pt>
                <c:pt idx="84">
                  <c:v>42255</c:v>
                </c:pt>
                <c:pt idx="85">
                  <c:v>42256</c:v>
                </c:pt>
                <c:pt idx="86">
                  <c:v>42257</c:v>
                </c:pt>
                <c:pt idx="87">
                  <c:v>42258</c:v>
                </c:pt>
                <c:pt idx="88">
                  <c:v>42261</c:v>
                </c:pt>
                <c:pt idx="89">
                  <c:v>42262</c:v>
                </c:pt>
                <c:pt idx="90">
                  <c:v>42263</c:v>
                </c:pt>
                <c:pt idx="91">
                  <c:v>42264</c:v>
                </c:pt>
                <c:pt idx="92">
                  <c:v>42265</c:v>
                </c:pt>
                <c:pt idx="93">
                  <c:v>42268</c:v>
                </c:pt>
                <c:pt idx="94">
                  <c:v>42269</c:v>
                </c:pt>
                <c:pt idx="95">
                  <c:v>42270</c:v>
                </c:pt>
                <c:pt idx="96">
                  <c:v>42271</c:v>
                </c:pt>
                <c:pt idx="97">
                  <c:v>42272</c:v>
                </c:pt>
                <c:pt idx="98">
                  <c:v>42275</c:v>
                </c:pt>
                <c:pt idx="99">
                  <c:v>42276</c:v>
                </c:pt>
                <c:pt idx="100">
                  <c:v>42277</c:v>
                </c:pt>
                <c:pt idx="101">
                  <c:v>42278</c:v>
                </c:pt>
                <c:pt idx="102">
                  <c:v>42279</c:v>
                </c:pt>
                <c:pt idx="103">
                  <c:v>42282</c:v>
                </c:pt>
                <c:pt idx="104">
                  <c:v>42283</c:v>
                </c:pt>
                <c:pt idx="105">
                  <c:v>42284</c:v>
                </c:pt>
                <c:pt idx="106">
                  <c:v>42285</c:v>
                </c:pt>
                <c:pt idx="107">
                  <c:v>42286</c:v>
                </c:pt>
                <c:pt idx="108">
                  <c:v>42289</c:v>
                </c:pt>
                <c:pt idx="109">
                  <c:v>42290</c:v>
                </c:pt>
                <c:pt idx="110">
                  <c:v>42291</c:v>
                </c:pt>
                <c:pt idx="111">
                  <c:v>42292</c:v>
                </c:pt>
                <c:pt idx="112">
                  <c:v>42293</c:v>
                </c:pt>
                <c:pt idx="113">
                  <c:v>42296</c:v>
                </c:pt>
                <c:pt idx="114">
                  <c:v>42297</c:v>
                </c:pt>
                <c:pt idx="115">
                  <c:v>42298</c:v>
                </c:pt>
                <c:pt idx="116">
                  <c:v>42299</c:v>
                </c:pt>
                <c:pt idx="117">
                  <c:v>42300</c:v>
                </c:pt>
                <c:pt idx="118">
                  <c:v>42303</c:v>
                </c:pt>
                <c:pt idx="119">
                  <c:v>42304</c:v>
                </c:pt>
                <c:pt idx="120">
                  <c:v>42305</c:v>
                </c:pt>
                <c:pt idx="121">
                  <c:v>42306</c:v>
                </c:pt>
                <c:pt idx="122">
                  <c:v>42307</c:v>
                </c:pt>
                <c:pt idx="123">
                  <c:v>42310</c:v>
                </c:pt>
                <c:pt idx="124">
                  <c:v>42311</c:v>
                </c:pt>
                <c:pt idx="125">
                  <c:v>42312</c:v>
                </c:pt>
                <c:pt idx="126">
                  <c:v>42313</c:v>
                </c:pt>
                <c:pt idx="127">
                  <c:v>42314</c:v>
                </c:pt>
                <c:pt idx="128">
                  <c:v>42317</c:v>
                </c:pt>
                <c:pt idx="129">
                  <c:v>42318</c:v>
                </c:pt>
                <c:pt idx="130">
                  <c:v>42319</c:v>
                </c:pt>
                <c:pt idx="131">
                  <c:v>42320</c:v>
                </c:pt>
                <c:pt idx="132">
                  <c:v>42321</c:v>
                </c:pt>
                <c:pt idx="133">
                  <c:v>42324</c:v>
                </c:pt>
                <c:pt idx="134">
                  <c:v>42325</c:v>
                </c:pt>
                <c:pt idx="135">
                  <c:v>42326</c:v>
                </c:pt>
                <c:pt idx="136">
                  <c:v>42327</c:v>
                </c:pt>
                <c:pt idx="137">
                  <c:v>42328</c:v>
                </c:pt>
                <c:pt idx="138">
                  <c:v>42331</c:v>
                </c:pt>
                <c:pt idx="139">
                  <c:v>42332</c:v>
                </c:pt>
                <c:pt idx="140">
                  <c:v>42333</c:v>
                </c:pt>
                <c:pt idx="141">
                  <c:v>42334</c:v>
                </c:pt>
                <c:pt idx="142">
                  <c:v>42335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42345</c:v>
                </c:pt>
                <c:pt idx="149">
                  <c:v>42346</c:v>
                </c:pt>
                <c:pt idx="150">
                  <c:v>42347</c:v>
                </c:pt>
                <c:pt idx="151">
                  <c:v>42348</c:v>
                </c:pt>
                <c:pt idx="152">
                  <c:v>42349</c:v>
                </c:pt>
                <c:pt idx="153">
                  <c:v>42352</c:v>
                </c:pt>
                <c:pt idx="154">
                  <c:v>42353</c:v>
                </c:pt>
                <c:pt idx="155">
                  <c:v>42354</c:v>
                </c:pt>
                <c:pt idx="156">
                  <c:v>42355</c:v>
                </c:pt>
                <c:pt idx="157">
                  <c:v>42356</c:v>
                </c:pt>
                <c:pt idx="158">
                  <c:v>42359</c:v>
                </c:pt>
                <c:pt idx="159">
                  <c:v>42360</c:v>
                </c:pt>
                <c:pt idx="160">
                  <c:v>42361</c:v>
                </c:pt>
                <c:pt idx="161">
                  <c:v>42362</c:v>
                </c:pt>
                <c:pt idx="162">
                  <c:v>42366</c:v>
                </c:pt>
                <c:pt idx="163">
                  <c:v>42367</c:v>
                </c:pt>
                <c:pt idx="164">
                  <c:v>42368</c:v>
                </c:pt>
                <c:pt idx="165">
                  <c:v>42369</c:v>
                </c:pt>
                <c:pt idx="166">
                  <c:v>42373</c:v>
                </c:pt>
                <c:pt idx="167">
                  <c:v>42374</c:v>
                </c:pt>
                <c:pt idx="168">
                  <c:v>42375</c:v>
                </c:pt>
                <c:pt idx="169">
                  <c:v>42376</c:v>
                </c:pt>
                <c:pt idx="170">
                  <c:v>42377</c:v>
                </c:pt>
                <c:pt idx="171">
                  <c:v>42380</c:v>
                </c:pt>
                <c:pt idx="172">
                  <c:v>42381</c:v>
                </c:pt>
                <c:pt idx="173">
                  <c:v>42382</c:v>
                </c:pt>
                <c:pt idx="174">
                  <c:v>42383</c:v>
                </c:pt>
                <c:pt idx="175">
                  <c:v>42384</c:v>
                </c:pt>
                <c:pt idx="176">
                  <c:v>42387</c:v>
                </c:pt>
                <c:pt idx="177">
                  <c:v>42388</c:v>
                </c:pt>
                <c:pt idx="178">
                  <c:v>42389</c:v>
                </c:pt>
                <c:pt idx="179">
                  <c:v>42390</c:v>
                </c:pt>
                <c:pt idx="180">
                  <c:v>42391</c:v>
                </c:pt>
                <c:pt idx="181">
                  <c:v>42394</c:v>
                </c:pt>
                <c:pt idx="182">
                  <c:v>42395</c:v>
                </c:pt>
                <c:pt idx="183">
                  <c:v>42396</c:v>
                </c:pt>
                <c:pt idx="184">
                  <c:v>42397</c:v>
                </c:pt>
                <c:pt idx="185">
                  <c:v>42398</c:v>
                </c:pt>
                <c:pt idx="186">
                  <c:v>42401</c:v>
                </c:pt>
                <c:pt idx="187">
                  <c:v>42402</c:v>
                </c:pt>
                <c:pt idx="188">
                  <c:v>42403</c:v>
                </c:pt>
                <c:pt idx="189">
                  <c:v>42404</c:v>
                </c:pt>
                <c:pt idx="190">
                  <c:v>42405</c:v>
                </c:pt>
                <c:pt idx="191">
                  <c:v>42408</c:v>
                </c:pt>
                <c:pt idx="192">
                  <c:v>42409</c:v>
                </c:pt>
                <c:pt idx="193">
                  <c:v>42410</c:v>
                </c:pt>
                <c:pt idx="194">
                  <c:v>42411</c:v>
                </c:pt>
                <c:pt idx="195">
                  <c:v>42412</c:v>
                </c:pt>
                <c:pt idx="196">
                  <c:v>42415</c:v>
                </c:pt>
                <c:pt idx="197">
                  <c:v>42416</c:v>
                </c:pt>
                <c:pt idx="198">
                  <c:v>42417</c:v>
                </c:pt>
                <c:pt idx="199">
                  <c:v>42418</c:v>
                </c:pt>
                <c:pt idx="200">
                  <c:v>42419</c:v>
                </c:pt>
                <c:pt idx="201">
                  <c:v>42422</c:v>
                </c:pt>
                <c:pt idx="202">
                  <c:v>42423</c:v>
                </c:pt>
                <c:pt idx="203">
                  <c:v>42424</c:v>
                </c:pt>
                <c:pt idx="204">
                  <c:v>42425</c:v>
                </c:pt>
                <c:pt idx="205">
                  <c:v>42426</c:v>
                </c:pt>
                <c:pt idx="206">
                  <c:v>42429</c:v>
                </c:pt>
                <c:pt idx="207">
                  <c:v>42430</c:v>
                </c:pt>
                <c:pt idx="208">
                  <c:v>42431</c:v>
                </c:pt>
                <c:pt idx="209">
                  <c:v>42432</c:v>
                </c:pt>
                <c:pt idx="210">
                  <c:v>42433</c:v>
                </c:pt>
                <c:pt idx="211">
                  <c:v>42436</c:v>
                </c:pt>
                <c:pt idx="212">
                  <c:v>42437</c:v>
                </c:pt>
                <c:pt idx="213">
                  <c:v>42438</c:v>
                </c:pt>
                <c:pt idx="214">
                  <c:v>42439</c:v>
                </c:pt>
                <c:pt idx="215">
                  <c:v>42440</c:v>
                </c:pt>
                <c:pt idx="216">
                  <c:v>42443</c:v>
                </c:pt>
                <c:pt idx="217">
                  <c:v>42444</c:v>
                </c:pt>
                <c:pt idx="218">
                  <c:v>42445</c:v>
                </c:pt>
                <c:pt idx="219">
                  <c:v>42446</c:v>
                </c:pt>
                <c:pt idx="220">
                  <c:v>42447</c:v>
                </c:pt>
                <c:pt idx="221">
                  <c:v>42450</c:v>
                </c:pt>
                <c:pt idx="222">
                  <c:v>42451</c:v>
                </c:pt>
                <c:pt idx="223">
                  <c:v>42452</c:v>
                </c:pt>
                <c:pt idx="224">
                  <c:v>42453</c:v>
                </c:pt>
                <c:pt idx="225">
                  <c:v>42458</c:v>
                </c:pt>
                <c:pt idx="226">
                  <c:v>42459</c:v>
                </c:pt>
                <c:pt idx="227">
                  <c:v>42460</c:v>
                </c:pt>
                <c:pt idx="228">
                  <c:v>42461</c:v>
                </c:pt>
                <c:pt idx="229">
                  <c:v>42464</c:v>
                </c:pt>
                <c:pt idx="230">
                  <c:v>42465</c:v>
                </c:pt>
                <c:pt idx="231">
                  <c:v>42466</c:v>
                </c:pt>
                <c:pt idx="232">
                  <c:v>42467</c:v>
                </c:pt>
                <c:pt idx="233">
                  <c:v>42468</c:v>
                </c:pt>
                <c:pt idx="234">
                  <c:v>42471</c:v>
                </c:pt>
                <c:pt idx="235">
                  <c:v>42472</c:v>
                </c:pt>
                <c:pt idx="236">
                  <c:v>42473</c:v>
                </c:pt>
                <c:pt idx="237">
                  <c:v>42474</c:v>
                </c:pt>
                <c:pt idx="238">
                  <c:v>42475</c:v>
                </c:pt>
                <c:pt idx="239">
                  <c:v>42478</c:v>
                </c:pt>
                <c:pt idx="240">
                  <c:v>42479</c:v>
                </c:pt>
                <c:pt idx="241">
                  <c:v>42480</c:v>
                </c:pt>
                <c:pt idx="242">
                  <c:v>42481</c:v>
                </c:pt>
                <c:pt idx="243">
                  <c:v>42482</c:v>
                </c:pt>
                <c:pt idx="244">
                  <c:v>42485</c:v>
                </c:pt>
                <c:pt idx="245">
                  <c:v>42486</c:v>
                </c:pt>
                <c:pt idx="246">
                  <c:v>42487</c:v>
                </c:pt>
                <c:pt idx="247">
                  <c:v>42488</c:v>
                </c:pt>
                <c:pt idx="248">
                  <c:v>42489</c:v>
                </c:pt>
                <c:pt idx="249">
                  <c:v>42492</c:v>
                </c:pt>
                <c:pt idx="250">
                  <c:v>42493</c:v>
                </c:pt>
                <c:pt idx="251">
                  <c:v>42494</c:v>
                </c:pt>
                <c:pt idx="252">
                  <c:v>42495</c:v>
                </c:pt>
                <c:pt idx="253">
                  <c:v>42496</c:v>
                </c:pt>
                <c:pt idx="254">
                  <c:v>42499</c:v>
                </c:pt>
              </c:numCache>
            </c:numRef>
          </c:cat>
          <c:val>
            <c:numRef>
              <c:f>'1YSynthDepo'!$AE$3:$AE$257</c:f>
              <c:numCache>
                <c:formatCode>0.0000%</c:formatCode>
                <c:ptCount val="255"/>
                <c:pt idx="0">
                  <c:v>2.6229561999241788E-3</c:v>
                </c:pt>
                <c:pt idx="1">
                  <c:v>2.624532622533093E-3</c:v>
                </c:pt>
                <c:pt idx="2">
                  <c:v>2.6261090451420066E-3</c:v>
                </c:pt>
                <c:pt idx="3">
                  <c:v>2.6308383129687485E-3</c:v>
                </c:pt>
                <c:pt idx="4">
                  <c:v>2.6324147355776622E-3</c:v>
                </c:pt>
                <c:pt idx="5">
                  <c:v>2.6339911581865763E-3</c:v>
                </c:pt>
                <c:pt idx="6">
                  <c:v>2.6355675807954899E-3</c:v>
                </c:pt>
                <c:pt idx="7">
                  <c:v>2.637144003404404E-3</c:v>
                </c:pt>
                <c:pt idx="8">
                  <c:v>2.6418732712311455E-3</c:v>
                </c:pt>
                <c:pt idx="9">
                  <c:v>2.6434496938400596E-3</c:v>
                </c:pt>
                <c:pt idx="10">
                  <c:v>2.6450261164489733E-3</c:v>
                </c:pt>
                <c:pt idx="11">
                  <c:v>2.6466025390578874E-3</c:v>
                </c:pt>
                <c:pt idx="12">
                  <c:v>2.6481789616668015E-3</c:v>
                </c:pt>
                <c:pt idx="13">
                  <c:v>2.6529082294935429E-3</c:v>
                </c:pt>
                <c:pt idx="14">
                  <c:v>2.654484652102457E-3</c:v>
                </c:pt>
                <c:pt idx="15">
                  <c:v>2.6560610747113707E-3</c:v>
                </c:pt>
                <c:pt idx="16">
                  <c:v>2.6576374973202848E-3</c:v>
                </c:pt>
                <c:pt idx="17">
                  <c:v>2.6592139199291985E-3</c:v>
                </c:pt>
                <c:pt idx="18">
                  <c:v>2.6639431877559403E-3</c:v>
                </c:pt>
                <c:pt idx="19">
                  <c:v>2.665519610364854E-3</c:v>
                </c:pt>
                <c:pt idx="20">
                  <c:v>2.6670960329737681E-3</c:v>
                </c:pt>
                <c:pt idx="21">
                  <c:v>2.6686724555826818E-3</c:v>
                </c:pt>
                <c:pt idx="22">
                  <c:v>2.6702488781915959E-3</c:v>
                </c:pt>
                <c:pt idx="23">
                  <c:v>2.6749781460183378E-3</c:v>
                </c:pt>
                <c:pt idx="24">
                  <c:v>2.6765545686272514E-3</c:v>
                </c:pt>
                <c:pt idx="25">
                  <c:v>2.6781309912361656E-3</c:v>
                </c:pt>
                <c:pt idx="26">
                  <c:v>2.6797074138450792E-3</c:v>
                </c:pt>
                <c:pt idx="27">
                  <c:v>2.6812838364539933E-3</c:v>
                </c:pt>
                <c:pt idx="28">
                  <c:v>2.6860131042807348E-3</c:v>
                </c:pt>
                <c:pt idx="29">
                  <c:v>2.6875895268896489E-3</c:v>
                </c:pt>
                <c:pt idx="30">
                  <c:v>2.6891659494985625E-3</c:v>
                </c:pt>
                <c:pt idx="31">
                  <c:v>2.6907423721074766E-3</c:v>
                </c:pt>
                <c:pt idx="32">
                  <c:v>2.6923187947163903E-3</c:v>
                </c:pt>
                <c:pt idx="33">
                  <c:v>2.6970480625431322E-3</c:v>
                </c:pt>
                <c:pt idx="34">
                  <c:v>2.6986244851520463E-3</c:v>
                </c:pt>
                <c:pt idx="35">
                  <c:v>2.70020090776096E-3</c:v>
                </c:pt>
                <c:pt idx="36">
                  <c:v>2.7017773303698741E-3</c:v>
                </c:pt>
                <c:pt idx="37">
                  <c:v>2.7033537529787877E-3</c:v>
                </c:pt>
                <c:pt idx="38">
                  <c:v>2.7080830208055296E-3</c:v>
                </c:pt>
                <c:pt idx="39">
                  <c:v>2.7096594434144433E-3</c:v>
                </c:pt>
                <c:pt idx="40">
                  <c:v>2.7112358660233574E-3</c:v>
                </c:pt>
                <c:pt idx="41">
                  <c:v>2.7128122886322711E-3</c:v>
                </c:pt>
                <c:pt idx="42">
                  <c:v>2.7143887112411852E-3</c:v>
                </c:pt>
                <c:pt idx="43">
                  <c:v>2.7191179790679271E-3</c:v>
                </c:pt>
                <c:pt idx="44">
                  <c:v>2.7206944016768407E-3</c:v>
                </c:pt>
                <c:pt idx="45">
                  <c:v>2.7222708242857548E-3</c:v>
                </c:pt>
                <c:pt idx="46">
                  <c:v>2.7238472468946685E-3</c:v>
                </c:pt>
                <c:pt idx="47">
                  <c:v>2.7254236695035826E-3</c:v>
                </c:pt>
                <c:pt idx="48">
                  <c:v>2.730152937330324E-3</c:v>
                </c:pt>
                <c:pt idx="49">
                  <c:v>2.7317293599392382E-3</c:v>
                </c:pt>
                <c:pt idx="50">
                  <c:v>2.7333057825481518E-3</c:v>
                </c:pt>
                <c:pt idx="51">
                  <c:v>2.7348822051570659E-3</c:v>
                </c:pt>
                <c:pt idx="52">
                  <c:v>2.7364586277659796E-3</c:v>
                </c:pt>
                <c:pt idx="53">
                  <c:v>2.7411878955927215E-3</c:v>
                </c:pt>
                <c:pt idx="54">
                  <c:v>2.7427643182016356E-3</c:v>
                </c:pt>
                <c:pt idx="55">
                  <c:v>2.7443407408105492E-3</c:v>
                </c:pt>
                <c:pt idx="56">
                  <c:v>2.7459171634194634E-3</c:v>
                </c:pt>
                <c:pt idx="57">
                  <c:v>2.747493586028377E-3</c:v>
                </c:pt>
                <c:pt idx="58">
                  <c:v>2.7522228538551189E-3</c:v>
                </c:pt>
                <c:pt idx="59">
                  <c:v>2.7537992764640326E-3</c:v>
                </c:pt>
                <c:pt idx="60">
                  <c:v>2.7553756990729467E-3</c:v>
                </c:pt>
                <c:pt idx="61">
                  <c:v>2.7569521216818603E-3</c:v>
                </c:pt>
                <c:pt idx="62">
                  <c:v>2.7585285442907745E-3</c:v>
                </c:pt>
                <c:pt idx="63">
                  <c:v>2.7632578121175163E-3</c:v>
                </c:pt>
                <c:pt idx="64">
                  <c:v>2.76483423472643E-3</c:v>
                </c:pt>
                <c:pt idx="65">
                  <c:v>2.7664106573353437E-3</c:v>
                </c:pt>
                <c:pt idx="66">
                  <c:v>2.7679870799442578E-3</c:v>
                </c:pt>
                <c:pt idx="67">
                  <c:v>2.7695635025531719E-3</c:v>
                </c:pt>
                <c:pt idx="68">
                  <c:v>2.7742927703799133E-3</c:v>
                </c:pt>
                <c:pt idx="69">
                  <c:v>2.7758691929888274E-3</c:v>
                </c:pt>
                <c:pt idx="70">
                  <c:v>2.7774456155977411E-3</c:v>
                </c:pt>
                <c:pt idx="71">
                  <c:v>2.7790220382066552E-3</c:v>
                </c:pt>
                <c:pt idx="72">
                  <c:v>2.7805984608155689E-3</c:v>
                </c:pt>
                <c:pt idx="73">
                  <c:v>2.7853277286423108E-3</c:v>
                </c:pt>
                <c:pt idx="74">
                  <c:v>2.7869041512512244E-3</c:v>
                </c:pt>
                <c:pt idx="75">
                  <c:v>2.7884805738601385E-3</c:v>
                </c:pt>
                <c:pt idx="76">
                  <c:v>2.7900569964690526E-3</c:v>
                </c:pt>
                <c:pt idx="77">
                  <c:v>2.7916334190779663E-3</c:v>
                </c:pt>
                <c:pt idx="78">
                  <c:v>2.7963626869047082E-3</c:v>
                </c:pt>
                <c:pt idx="79">
                  <c:v>2.7979391095136219E-3</c:v>
                </c:pt>
                <c:pt idx="80">
                  <c:v>2.799515532122536E-3</c:v>
                </c:pt>
                <c:pt idx="81">
                  <c:v>2.8010919547314496E-3</c:v>
                </c:pt>
                <c:pt idx="82">
                  <c:v>2.8026683773403637E-3</c:v>
                </c:pt>
                <c:pt idx="83">
                  <c:v>2.8073976451671052E-3</c:v>
                </c:pt>
                <c:pt idx="84">
                  <c:v>2.8089740677760193E-3</c:v>
                </c:pt>
                <c:pt idx="85">
                  <c:v>2.8105504903849329E-3</c:v>
                </c:pt>
                <c:pt idx="86">
                  <c:v>2.8121269129938471E-3</c:v>
                </c:pt>
                <c:pt idx="87">
                  <c:v>2.8137033356027612E-3</c:v>
                </c:pt>
                <c:pt idx="88">
                  <c:v>2.8184326034295026E-3</c:v>
                </c:pt>
                <c:pt idx="89">
                  <c:v>2.8200090260384167E-3</c:v>
                </c:pt>
                <c:pt idx="90">
                  <c:v>2.8215854486473304E-3</c:v>
                </c:pt>
                <c:pt idx="91">
                  <c:v>2.8231618712562445E-3</c:v>
                </c:pt>
                <c:pt idx="92">
                  <c:v>2.8247382938651582E-3</c:v>
                </c:pt>
                <c:pt idx="93">
                  <c:v>2.8294675616919E-3</c:v>
                </c:pt>
                <c:pt idx="94">
                  <c:v>2.8310439843008137E-3</c:v>
                </c:pt>
                <c:pt idx="95">
                  <c:v>2.8326204069097278E-3</c:v>
                </c:pt>
                <c:pt idx="96">
                  <c:v>2.8341968295186419E-3</c:v>
                </c:pt>
                <c:pt idx="97">
                  <c:v>2.8357732521275556E-3</c:v>
                </c:pt>
                <c:pt idx="98">
                  <c:v>2.8405025199542975E-3</c:v>
                </c:pt>
                <c:pt idx="99">
                  <c:v>2.8420789425632111E-3</c:v>
                </c:pt>
                <c:pt idx="100">
                  <c:v>2.8436553651721252E-3</c:v>
                </c:pt>
                <c:pt idx="101">
                  <c:v>2.8452317877810389E-3</c:v>
                </c:pt>
                <c:pt idx="102">
                  <c:v>2.846808210389953E-3</c:v>
                </c:pt>
                <c:pt idx="103">
                  <c:v>2.8515374782166945E-3</c:v>
                </c:pt>
                <c:pt idx="104">
                  <c:v>2.8531139008256086E-3</c:v>
                </c:pt>
                <c:pt idx="105">
                  <c:v>2.8546903234345222E-3</c:v>
                </c:pt>
                <c:pt idx="106">
                  <c:v>2.8562667460434363E-3</c:v>
                </c:pt>
                <c:pt idx="107">
                  <c:v>2.85784316865235E-3</c:v>
                </c:pt>
                <c:pt idx="108">
                  <c:v>2.8625724364790919E-3</c:v>
                </c:pt>
                <c:pt idx="109">
                  <c:v>2.864148859088006E-3</c:v>
                </c:pt>
                <c:pt idx="110">
                  <c:v>2.8657252816969197E-3</c:v>
                </c:pt>
                <c:pt idx="111">
                  <c:v>2.8673017043058338E-3</c:v>
                </c:pt>
                <c:pt idx="112">
                  <c:v>2.8688781269147474E-3</c:v>
                </c:pt>
                <c:pt idx="113">
                  <c:v>2.8736073947414893E-3</c:v>
                </c:pt>
                <c:pt idx="114">
                  <c:v>2.875183817350403E-3</c:v>
                </c:pt>
                <c:pt idx="115">
                  <c:v>2.8767602399593171E-3</c:v>
                </c:pt>
                <c:pt idx="116">
                  <c:v>2.8783366625682308E-3</c:v>
                </c:pt>
                <c:pt idx="117">
                  <c:v>2.8799130851771449E-3</c:v>
                </c:pt>
                <c:pt idx="118">
                  <c:v>2.8846423530038867E-3</c:v>
                </c:pt>
                <c:pt idx="119">
                  <c:v>2.8862187756128004E-3</c:v>
                </c:pt>
                <c:pt idx="120">
                  <c:v>2.8877951982217145E-3</c:v>
                </c:pt>
                <c:pt idx="121">
                  <c:v>2.8893716208306282E-3</c:v>
                </c:pt>
                <c:pt idx="122">
                  <c:v>2.8909480434395423E-3</c:v>
                </c:pt>
                <c:pt idx="123">
                  <c:v>2.8956773112662837E-3</c:v>
                </c:pt>
                <c:pt idx="124">
                  <c:v>2.8972537338751978E-3</c:v>
                </c:pt>
                <c:pt idx="125">
                  <c:v>2.8988301564841115E-3</c:v>
                </c:pt>
                <c:pt idx="126">
                  <c:v>2.9004065790930256E-3</c:v>
                </c:pt>
                <c:pt idx="127">
                  <c:v>2.9019830017019393E-3</c:v>
                </c:pt>
                <c:pt idx="128">
                  <c:v>2.9067122695286812E-3</c:v>
                </c:pt>
                <c:pt idx="129">
                  <c:v>2.9082886921375948E-3</c:v>
                </c:pt>
                <c:pt idx="130">
                  <c:v>2.9098651147465089E-3</c:v>
                </c:pt>
                <c:pt idx="131">
                  <c:v>2.911441537355423E-3</c:v>
                </c:pt>
                <c:pt idx="132">
                  <c:v>2.9130179599643367E-3</c:v>
                </c:pt>
                <c:pt idx="133">
                  <c:v>2.9177472277910786E-3</c:v>
                </c:pt>
                <c:pt idx="134">
                  <c:v>2.9193236503999923E-3</c:v>
                </c:pt>
                <c:pt idx="135">
                  <c:v>2.9209000730089064E-3</c:v>
                </c:pt>
                <c:pt idx="136">
                  <c:v>2.92247649561782E-3</c:v>
                </c:pt>
                <c:pt idx="137">
                  <c:v>2.9240529182267341E-3</c:v>
                </c:pt>
                <c:pt idx="138">
                  <c:v>2.9287821860534756E-3</c:v>
                </c:pt>
                <c:pt idx="139">
                  <c:v>2.9303586086623897E-3</c:v>
                </c:pt>
                <c:pt idx="140">
                  <c:v>2.9319350312713034E-3</c:v>
                </c:pt>
                <c:pt idx="141">
                  <c:v>2.9335114538802175E-3</c:v>
                </c:pt>
                <c:pt idx="142">
                  <c:v>2.9350878764891316E-3</c:v>
                </c:pt>
                <c:pt idx="143">
                  <c:v>2.939817144315873E-3</c:v>
                </c:pt>
                <c:pt idx="144">
                  <c:v>2.9413935669247871E-3</c:v>
                </c:pt>
                <c:pt idx="145">
                  <c:v>2.9429699895337008E-3</c:v>
                </c:pt>
                <c:pt idx="146">
                  <c:v>2.9445464121426149E-3</c:v>
                </c:pt>
                <c:pt idx="147">
                  <c:v>2.9461228347515286E-3</c:v>
                </c:pt>
                <c:pt idx="148">
                  <c:v>2.9508521025782704E-3</c:v>
                </c:pt>
                <c:pt idx="149">
                  <c:v>2.9524285251871845E-3</c:v>
                </c:pt>
                <c:pt idx="150">
                  <c:v>2.9540049477960982E-3</c:v>
                </c:pt>
                <c:pt idx="151">
                  <c:v>2.9555813704050123E-3</c:v>
                </c:pt>
                <c:pt idx="152">
                  <c:v>2.957157793013926E-3</c:v>
                </c:pt>
                <c:pt idx="153">
                  <c:v>2.9618870608406679E-3</c:v>
                </c:pt>
                <c:pt idx="154">
                  <c:v>2.9634634834495815E-3</c:v>
                </c:pt>
                <c:pt idx="155">
                  <c:v>2.9650399060584956E-3</c:v>
                </c:pt>
                <c:pt idx="156">
                  <c:v>2.9666163286674093E-3</c:v>
                </c:pt>
                <c:pt idx="157">
                  <c:v>2.9681927512763234E-3</c:v>
                </c:pt>
                <c:pt idx="158">
                  <c:v>2.9729220191030649E-3</c:v>
                </c:pt>
                <c:pt idx="159">
                  <c:v>2.974498441711979E-3</c:v>
                </c:pt>
                <c:pt idx="160">
                  <c:v>2.9760748643208931E-3</c:v>
                </c:pt>
                <c:pt idx="161">
                  <c:v>2.9776512869298067E-3</c:v>
                </c:pt>
                <c:pt idx="162">
                  <c:v>2.9839569773654623E-3</c:v>
                </c:pt>
                <c:pt idx="163">
                  <c:v>2.9855333999743764E-3</c:v>
                </c:pt>
                <c:pt idx="164">
                  <c:v>2.9871098225832901E-3</c:v>
                </c:pt>
                <c:pt idx="165">
                  <c:v>2.9886862451922042E-3</c:v>
                </c:pt>
                <c:pt idx="166">
                  <c:v>2.9949919356278597E-3</c:v>
                </c:pt>
                <c:pt idx="167">
                  <c:v>2.9965683582367734E-3</c:v>
                </c:pt>
                <c:pt idx="168">
                  <c:v>2.9981447808456875E-3</c:v>
                </c:pt>
                <c:pt idx="169">
                  <c:v>2.9997212034546012E-3</c:v>
                </c:pt>
                <c:pt idx="170">
                  <c:v>3.0012976260635153E-3</c:v>
                </c:pt>
                <c:pt idx="171">
                  <c:v>3.0060268938902571E-3</c:v>
                </c:pt>
                <c:pt idx="172">
                  <c:v>3.0076033164991708E-3</c:v>
                </c:pt>
                <c:pt idx="173">
                  <c:v>3.0091797391080849E-3</c:v>
                </c:pt>
                <c:pt idx="174">
                  <c:v>3.0107561617169986E-3</c:v>
                </c:pt>
                <c:pt idx="175">
                  <c:v>3.0123325843259127E-3</c:v>
                </c:pt>
                <c:pt idx="176">
                  <c:v>3.0170618521526541E-3</c:v>
                </c:pt>
                <c:pt idx="177">
                  <c:v>3.0186382747615682E-3</c:v>
                </c:pt>
                <c:pt idx="178">
                  <c:v>3.0202146973704819E-3</c:v>
                </c:pt>
                <c:pt idx="179">
                  <c:v>3.021791119979396E-3</c:v>
                </c:pt>
                <c:pt idx="180">
                  <c:v>3.0233675425883101E-3</c:v>
                </c:pt>
                <c:pt idx="181">
                  <c:v>3.0280968104150516E-3</c:v>
                </c:pt>
                <c:pt idx="182">
                  <c:v>3.0296732330239657E-3</c:v>
                </c:pt>
                <c:pt idx="183">
                  <c:v>3.0312496556328793E-3</c:v>
                </c:pt>
                <c:pt idx="184">
                  <c:v>3.0328260782417934E-3</c:v>
                </c:pt>
                <c:pt idx="185">
                  <c:v>3.0344025008507071E-3</c:v>
                </c:pt>
                <c:pt idx="186">
                  <c:v>3.039131768677449E-3</c:v>
                </c:pt>
                <c:pt idx="187">
                  <c:v>3.0407081912863627E-3</c:v>
                </c:pt>
                <c:pt idx="188">
                  <c:v>3.0422846138952768E-3</c:v>
                </c:pt>
                <c:pt idx="189">
                  <c:v>3.0438610365041904E-3</c:v>
                </c:pt>
                <c:pt idx="190">
                  <c:v>3.0454374591131045E-3</c:v>
                </c:pt>
                <c:pt idx="191">
                  <c:v>3.050166726939846E-3</c:v>
                </c:pt>
                <c:pt idx="192">
                  <c:v>3.0517431495487601E-3</c:v>
                </c:pt>
                <c:pt idx="193">
                  <c:v>3.0533195721576742E-3</c:v>
                </c:pt>
                <c:pt idx="194">
                  <c:v>3.0548959947665879E-3</c:v>
                </c:pt>
                <c:pt idx="195">
                  <c:v>3.056472417375502E-3</c:v>
                </c:pt>
                <c:pt idx="196">
                  <c:v>3.0612016852022434E-3</c:v>
                </c:pt>
                <c:pt idx="197">
                  <c:v>3.0627781078111575E-3</c:v>
                </c:pt>
                <c:pt idx="198">
                  <c:v>3.0643545304200712E-3</c:v>
                </c:pt>
                <c:pt idx="199">
                  <c:v>3.0659309530289853E-3</c:v>
                </c:pt>
                <c:pt idx="200">
                  <c:v>3.067507375637899E-3</c:v>
                </c:pt>
                <c:pt idx="201">
                  <c:v>3.0722366434646408E-3</c:v>
                </c:pt>
                <c:pt idx="202">
                  <c:v>3.0738130660735545E-3</c:v>
                </c:pt>
                <c:pt idx="203">
                  <c:v>3.0753894886824686E-3</c:v>
                </c:pt>
                <c:pt idx="204">
                  <c:v>3.0769659112913827E-3</c:v>
                </c:pt>
                <c:pt idx="205">
                  <c:v>3.0785423339002964E-3</c:v>
                </c:pt>
                <c:pt idx="206">
                  <c:v>3.0832716017270383E-3</c:v>
                </c:pt>
                <c:pt idx="207">
                  <c:v>3.0848480243359519E-3</c:v>
                </c:pt>
                <c:pt idx="208">
                  <c:v>3.086424446944866E-3</c:v>
                </c:pt>
                <c:pt idx="209">
                  <c:v>3.0880008695537797E-3</c:v>
                </c:pt>
                <c:pt idx="210">
                  <c:v>3.0895772921626938E-3</c:v>
                </c:pt>
                <c:pt idx="211">
                  <c:v>3.0943065599894357E-3</c:v>
                </c:pt>
                <c:pt idx="212">
                  <c:v>3.0958829825983494E-3</c:v>
                </c:pt>
                <c:pt idx="213">
                  <c:v>3.0974594052072635E-3</c:v>
                </c:pt>
                <c:pt idx="214">
                  <c:v>3.0990358278161771E-3</c:v>
                </c:pt>
                <c:pt idx="215">
                  <c:v>3.1006122504250912E-3</c:v>
                </c:pt>
                <c:pt idx="216">
                  <c:v>3.1053415182518327E-3</c:v>
                </c:pt>
                <c:pt idx="217">
                  <c:v>3.1069179408607468E-3</c:v>
                </c:pt>
                <c:pt idx="218">
                  <c:v>3.1084943634696605E-3</c:v>
                </c:pt>
                <c:pt idx="219">
                  <c:v>3.1100707860785746E-3</c:v>
                </c:pt>
                <c:pt idx="220">
                  <c:v>3.1116472086874887E-3</c:v>
                </c:pt>
                <c:pt idx="221">
                  <c:v>3.1163764765142301E-3</c:v>
                </c:pt>
                <c:pt idx="222">
                  <c:v>3.1179528991231442E-3</c:v>
                </c:pt>
                <c:pt idx="223">
                  <c:v>3.1195293217320579E-3</c:v>
                </c:pt>
                <c:pt idx="224">
                  <c:v>3.1211057443409716E-3</c:v>
                </c:pt>
                <c:pt idx="225">
                  <c:v>3.1289878573855412E-3</c:v>
                </c:pt>
                <c:pt idx="226">
                  <c:v>3.1305642799944553E-3</c:v>
                </c:pt>
                <c:pt idx="227">
                  <c:v>3.132140702603369E-3</c:v>
                </c:pt>
                <c:pt idx="228">
                  <c:v>3.1337171252122831E-3</c:v>
                </c:pt>
                <c:pt idx="229">
                  <c:v>3.1384463930390245E-3</c:v>
                </c:pt>
                <c:pt idx="230">
                  <c:v>3.1400228156479386E-3</c:v>
                </c:pt>
                <c:pt idx="231">
                  <c:v>3.1415992382568527E-3</c:v>
                </c:pt>
                <c:pt idx="232">
                  <c:v>3.1431756608657664E-3</c:v>
                </c:pt>
                <c:pt idx="233">
                  <c:v>3.1447520834746801E-3</c:v>
                </c:pt>
                <c:pt idx="234">
                  <c:v>3.149481351301422E-3</c:v>
                </c:pt>
                <c:pt idx="235">
                  <c:v>3.1510577739103361E-3</c:v>
                </c:pt>
                <c:pt idx="236">
                  <c:v>3.1526341965192497E-3</c:v>
                </c:pt>
                <c:pt idx="237">
                  <c:v>3.1542106191281638E-3</c:v>
                </c:pt>
                <c:pt idx="238">
                  <c:v>3.1557870417370775E-3</c:v>
                </c:pt>
                <c:pt idx="239">
                  <c:v>3.1605163095638194E-3</c:v>
                </c:pt>
                <c:pt idx="240">
                  <c:v>3.1620927321727331E-3</c:v>
                </c:pt>
                <c:pt idx="241">
                  <c:v>3.1636691547816472E-3</c:v>
                </c:pt>
                <c:pt idx="242">
                  <c:v>3.1652455773905613E-3</c:v>
                </c:pt>
                <c:pt idx="243">
                  <c:v>3.1668219999994749E-3</c:v>
                </c:pt>
                <c:pt idx="244">
                  <c:v>3.1715512678262168E-3</c:v>
                </c:pt>
                <c:pt idx="245">
                  <c:v>3.1731276904351305E-3</c:v>
                </c:pt>
                <c:pt idx="246">
                  <c:v>3.1747041130440446E-3</c:v>
                </c:pt>
                <c:pt idx="247">
                  <c:v>3.1762805356529583E-3</c:v>
                </c:pt>
                <c:pt idx="248">
                  <c:v>3.1778569582618724E-3</c:v>
                </c:pt>
                <c:pt idx="249">
                  <c:v>3.1825862260886142E-3</c:v>
                </c:pt>
                <c:pt idx="250">
                  <c:v>3.1841626486975279E-3</c:v>
                </c:pt>
                <c:pt idx="251">
                  <c:v>3.1857390713064416E-3</c:v>
                </c:pt>
                <c:pt idx="252">
                  <c:v>3.1873154939153557E-3</c:v>
                </c:pt>
                <c:pt idx="253">
                  <c:v>3.1888919165242698E-3</c:v>
                </c:pt>
                <c:pt idx="254">
                  <c:v>3.1936211843510112E-3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42149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42247</c:v>
                </c:pt>
                <c:pt idx="79">
                  <c:v>42248</c:v>
                </c:pt>
                <c:pt idx="80">
                  <c:v>42249</c:v>
                </c:pt>
                <c:pt idx="81">
                  <c:v>42250</c:v>
                </c:pt>
                <c:pt idx="82">
                  <c:v>42251</c:v>
                </c:pt>
                <c:pt idx="83">
                  <c:v>42254</c:v>
                </c:pt>
                <c:pt idx="84">
                  <c:v>42255</c:v>
                </c:pt>
                <c:pt idx="85">
                  <c:v>42256</c:v>
                </c:pt>
                <c:pt idx="86">
                  <c:v>42257</c:v>
                </c:pt>
                <c:pt idx="87">
                  <c:v>42258</c:v>
                </c:pt>
                <c:pt idx="88">
                  <c:v>42261</c:v>
                </c:pt>
                <c:pt idx="89">
                  <c:v>42262</c:v>
                </c:pt>
                <c:pt idx="90">
                  <c:v>42263</c:v>
                </c:pt>
                <c:pt idx="91">
                  <c:v>42264</c:v>
                </c:pt>
                <c:pt idx="92">
                  <c:v>42265</c:v>
                </c:pt>
                <c:pt idx="93">
                  <c:v>42268</c:v>
                </c:pt>
                <c:pt idx="94">
                  <c:v>42269</c:v>
                </c:pt>
                <c:pt idx="95">
                  <c:v>42270</c:v>
                </c:pt>
                <c:pt idx="96">
                  <c:v>42271</c:v>
                </c:pt>
                <c:pt idx="97">
                  <c:v>42272</c:v>
                </c:pt>
                <c:pt idx="98">
                  <c:v>42275</c:v>
                </c:pt>
                <c:pt idx="99">
                  <c:v>42276</c:v>
                </c:pt>
                <c:pt idx="100">
                  <c:v>42277</c:v>
                </c:pt>
                <c:pt idx="101">
                  <c:v>42278</c:v>
                </c:pt>
                <c:pt idx="102">
                  <c:v>42279</c:v>
                </c:pt>
                <c:pt idx="103">
                  <c:v>42282</c:v>
                </c:pt>
                <c:pt idx="104">
                  <c:v>42283</c:v>
                </c:pt>
                <c:pt idx="105">
                  <c:v>42284</c:v>
                </c:pt>
                <c:pt idx="106">
                  <c:v>42285</c:v>
                </c:pt>
                <c:pt idx="107">
                  <c:v>42286</c:v>
                </c:pt>
                <c:pt idx="108">
                  <c:v>42289</c:v>
                </c:pt>
                <c:pt idx="109">
                  <c:v>42290</c:v>
                </c:pt>
                <c:pt idx="110">
                  <c:v>42291</c:v>
                </c:pt>
                <c:pt idx="111">
                  <c:v>42292</c:v>
                </c:pt>
                <c:pt idx="112">
                  <c:v>42293</c:v>
                </c:pt>
                <c:pt idx="113">
                  <c:v>42296</c:v>
                </c:pt>
                <c:pt idx="114">
                  <c:v>42297</c:v>
                </c:pt>
                <c:pt idx="115">
                  <c:v>42298</c:v>
                </c:pt>
                <c:pt idx="116">
                  <c:v>42299</c:v>
                </c:pt>
                <c:pt idx="117">
                  <c:v>42300</c:v>
                </c:pt>
                <c:pt idx="118">
                  <c:v>42303</c:v>
                </c:pt>
                <c:pt idx="119">
                  <c:v>42304</c:v>
                </c:pt>
                <c:pt idx="120">
                  <c:v>42305</c:v>
                </c:pt>
                <c:pt idx="121">
                  <c:v>42306</c:v>
                </c:pt>
                <c:pt idx="122">
                  <c:v>42307</c:v>
                </c:pt>
                <c:pt idx="123">
                  <c:v>42310</c:v>
                </c:pt>
                <c:pt idx="124">
                  <c:v>42311</c:v>
                </c:pt>
                <c:pt idx="125">
                  <c:v>42312</c:v>
                </c:pt>
                <c:pt idx="126">
                  <c:v>42313</c:v>
                </c:pt>
                <c:pt idx="127">
                  <c:v>42314</c:v>
                </c:pt>
                <c:pt idx="128">
                  <c:v>42317</c:v>
                </c:pt>
                <c:pt idx="129">
                  <c:v>42318</c:v>
                </c:pt>
                <c:pt idx="130">
                  <c:v>42319</c:v>
                </c:pt>
                <c:pt idx="131">
                  <c:v>42320</c:v>
                </c:pt>
                <c:pt idx="132">
                  <c:v>42321</c:v>
                </c:pt>
                <c:pt idx="133">
                  <c:v>42324</c:v>
                </c:pt>
                <c:pt idx="134">
                  <c:v>42325</c:v>
                </c:pt>
                <c:pt idx="135">
                  <c:v>42326</c:v>
                </c:pt>
                <c:pt idx="136">
                  <c:v>42327</c:v>
                </c:pt>
                <c:pt idx="137">
                  <c:v>42328</c:v>
                </c:pt>
                <c:pt idx="138">
                  <c:v>42331</c:v>
                </c:pt>
                <c:pt idx="139">
                  <c:v>42332</c:v>
                </c:pt>
                <c:pt idx="140">
                  <c:v>42333</c:v>
                </c:pt>
                <c:pt idx="141">
                  <c:v>42334</c:v>
                </c:pt>
                <c:pt idx="142">
                  <c:v>42335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42345</c:v>
                </c:pt>
                <c:pt idx="149">
                  <c:v>42346</c:v>
                </c:pt>
                <c:pt idx="150">
                  <c:v>42347</c:v>
                </c:pt>
                <c:pt idx="151">
                  <c:v>42348</c:v>
                </c:pt>
                <c:pt idx="152">
                  <c:v>42349</c:v>
                </c:pt>
                <c:pt idx="153">
                  <c:v>42352</c:v>
                </c:pt>
                <c:pt idx="154">
                  <c:v>42353</c:v>
                </c:pt>
                <c:pt idx="155">
                  <c:v>42354</c:v>
                </c:pt>
                <c:pt idx="156">
                  <c:v>42355</c:v>
                </c:pt>
                <c:pt idx="157">
                  <c:v>42356</c:v>
                </c:pt>
                <c:pt idx="158">
                  <c:v>42359</c:v>
                </c:pt>
                <c:pt idx="159">
                  <c:v>42360</c:v>
                </c:pt>
                <c:pt idx="160">
                  <c:v>42361</c:v>
                </c:pt>
                <c:pt idx="161">
                  <c:v>42362</c:v>
                </c:pt>
                <c:pt idx="162">
                  <c:v>42366</c:v>
                </c:pt>
                <c:pt idx="163">
                  <c:v>42367</c:v>
                </c:pt>
                <c:pt idx="164">
                  <c:v>42368</c:v>
                </c:pt>
                <c:pt idx="165">
                  <c:v>42369</c:v>
                </c:pt>
                <c:pt idx="166">
                  <c:v>42373</c:v>
                </c:pt>
                <c:pt idx="167">
                  <c:v>42374</c:v>
                </c:pt>
                <c:pt idx="168">
                  <c:v>42375</c:v>
                </c:pt>
                <c:pt idx="169">
                  <c:v>42376</c:v>
                </c:pt>
                <c:pt idx="170">
                  <c:v>42377</c:v>
                </c:pt>
                <c:pt idx="171">
                  <c:v>42380</c:v>
                </c:pt>
                <c:pt idx="172">
                  <c:v>42381</c:v>
                </c:pt>
                <c:pt idx="173">
                  <c:v>42382</c:v>
                </c:pt>
                <c:pt idx="174">
                  <c:v>42383</c:v>
                </c:pt>
                <c:pt idx="175">
                  <c:v>42384</c:v>
                </c:pt>
                <c:pt idx="176">
                  <c:v>42387</c:v>
                </c:pt>
                <c:pt idx="177">
                  <c:v>42388</c:v>
                </c:pt>
                <c:pt idx="178">
                  <c:v>42389</c:v>
                </c:pt>
                <c:pt idx="179">
                  <c:v>42390</c:v>
                </c:pt>
                <c:pt idx="180">
                  <c:v>42391</c:v>
                </c:pt>
                <c:pt idx="181">
                  <c:v>42394</c:v>
                </c:pt>
                <c:pt idx="182">
                  <c:v>42395</c:v>
                </c:pt>
                <c:pt idx="183">
                  <c:v>42396</c:v>
                </c:pt>
                <c:pt idx="184">
                  <c:v>42397</c:v>
                </c:pt>
                <c:pt idx="185">
                  <c:v>42398</c:v>
                </c:pt>
                <c:pt idx="186">
                  <c:v>42401</c:v>
                </c:pt>
                <c:pt idx="187">
                  <c:v>42402</c:v>
                </c:pt>
                <c:pt idx="188">
                  <c:v>42403</c:v>
                </c:pt>
                <c:pt idx="189">
                  <c:v>42404</c:v>
                </c:pt>
                <c:pt idx="190">
                  <c:v>42405</c:v>
                </c:pt>
                <c:pt idx="191">
                  <c:v>42408</c:v>
                </c:pt>
                <c:pt idx="192">
                  <c:v>42409</c:v>
                </c:pt>
                <c:pt idx="193">
                  <c:v>42410</c:v>
                </c:pt>
                <c:pt idx="194">
                  <c:v>42411</c:v>
                </c:pt>
                <c:pt idx="195">
                  <c:v>42412</c:v>
                </c:pt>
                <c:pt idx="196">
                  <c:v>42415</c:v>
                </c:pt>
                <c:pt idx="197">
                  <c:v>42416</c:v>
                </c:pt>
                <c:pt idx="198">
                  <c:v>42417</c:v>
                </c:pt>
                <c:pt idx="199">
                  <c:v>42418</c:v>
                </c:pt>
                <c:pt idx="200">
                  <c:v>42419</c:v>
                </c:pt>
                <c:pt idx="201">
                  <c:v>42422</c:v>
                </c:pt>
                <c:pt idx="202">
                  <c:v>42423</c:v>
                </c:pt>
                <c:pt idx="203">
                  <c:v>42424</c:v>
                </c:pt>
                <c:pt idx="204">
                  <c:v>42425</c:v>
                </c:pt>
                <c:pt idx="205">
                  <c:v>42426</c:v>
                </c:pt>
                <c:pt idx="206">
                  <c:v>42429</c:v>
                </c:pt>
                <c:pt idx="207">
                  <c:v>42430</c:v>
                </c:pt>
                <c:pt idx="208">
                  <c:v>42431</c:v>
                </c:pt>
                <c:pt idx="209">
                  <c:v>42432</c:v>
                </c:pt>
                <c:pt idx="210">
                  <c:v>42433</c:v>
                </c:pt>
                <c:pt idx="211">
                  <c:v>42436</c:v>
                </c:pt>
                <c:pt idx="212">
                  <c:v>42437</c:v>
                </c:pt>
                <c:pt idx="213">
                  <c:v>42438</c:v>
                </c:pt>
                <c:pt idx="214">
                  <c:v>42439</c:v>
                </c:pt>
                <c:pt idx="215">
                  <c:v>42440</c:v>
                </c:pt>
                <c:pt idx="216">
                  <c:v>42443</c:v>
                </c:pt>
                <c:pt idx="217">
                  <c:v>42444</c:v>
                </c:pt>
                <c:pt idx="218">
                  <c:v>42445</c:v>
                </c:pt>
                <c:pt idx="219">
                  <c:v>42446</c:v>
                </c:pt>
                <c:pt idx="220">
                  <c:v>42447</c:v>
                </c:pt>
                <c:pt idx="221">
                  <c:v>42450</c:v>
                </c:pt>
                <c:pt idx="222">
                  <c:v>42451</c:v>
                </c:pt>
                <c:pt idx="223">
                  <c:v>42452</c:v>
                </c:pt>
                <c:pt idx="224">
                  <c:v>42453</c:v>
                </c:pt>
                <c:pt idx="225">
                  <c:v>42458</c:v>
                </c:pt>
                <c:pt idx="226">
                  <c:v>42459</c:v>
                </c:pt>
                <c:pt idx="227">
                  <c:v>42460</c:v>
                </c:pt>
                <c:pt idx="228">
                  <c:v>42461</c:v>
                </c:pt>
                <c:pt idx="229">
                  <c:v>42464</c:v>
                </c:pt>
                <c:pt idx="230">
                  <c:v>42465</c:v>
                </c:pt>
                <c:pt idx="231">
                  <c:v>42466</c:v>
                </c:pt>
                <c:pt idx="232">
                  <c:v>42467</c:v>
                </c:pt>
                <c:pt idx="233">
                  <c:v>42468</c:v>
                </c:pt>
                <c:pt idx="234">
                  <c:v>42471</c:v>
                </c:pt>
                <c:pt idx="235">
                  <c:v>42472</c:v>
                </c:pt>
                <c:pt idx="236">
                  <c:v>42473</c:v>
                </c:pt>
                <c:pt idx="237">
                  <c:v>42474</c:v>
                </c:pt>
                <c:pt idx="238">
                  <c:v>42475</c:v>
                </c:pt>
                <c:pt idx="239">
                  <c:v>42478</c:v>
                </c:pt>
                <c:pt idx="240">
                  <c:v>42479</c:v>
                </c:pt>
                <c:pt idx="241">
                  <c:v>42480</c:v>
                </c:pt>
                <c:pt idx="242">
                  <c:v>42481</c:v>
                </c:pt>
                <c:pt idx="243">
                  <c:v>42482</c:v>
                </c:pt>
                <c:pt idx="244">
                  <c:v>42485</c:v>
                </c:pt>
                <c:pt idx="245">
                  <c:v>42486</c:v>
                </c:pt>
                <c:pt idx="246">
                  <c:v>42487</c:v>
                </c:pt>
                <c:pt idx="247">
                  <c:v>42488</c:v>
                </c:pt>
                <c:pt idx="248">
                  <c:v>42489</c:v>
                </c:pt>
                <c:pt idx="249">
                  <c:v>42492</c:v>
                </c:pt>
                <c:pt idx="250">
                  <c:v>42493</c:v>
                </c:pt>
                <c:pt idx="251">
                  <c:v>42494</c:v>
                </c:pt>
                <c:pt idx="252">
                  <c:v>42495</c:v>
                </c:pt>
                <c:pt idx="253">
                  <c:v>42496</c:v>
                </c:pt>
                <c:pt idx="254">
                  <c:v>42499</c:v>
                </c:pt>
              </c:numCache>
            </c:numRef>
          </c:cat>
          <c:val>
            <c:numRef>
              <c:f>'1YSynthDepo'!$AF$3:$AF$257</c:f>
              <c:numCache>
                <c:formatCode>0.0000%</c:formatCode>
                <c:ptCount val="255"/>
                <c:pt idx="0">
                  <c:v>2.9176503849862329E-3</c:v>
                </c:pt>
                <c:pt idx="1">
                  <c:v>2.9158074538582434E-3</c:v>
                </c:pt>
                <c:pt idx="2">
                  <c:v>2.9139794116438246E-3</c:v>
                </c:pt>
                <c:pt idx="3">
                  <c:v>2.9085846184819936E-3</c:v>
                </c:pt>
                <c:pt idx="4">
                  <c:v>2.9068161319218584E-3</c:v>
                </c:pt>
                <c:pt idx="5">
                  <c:v>2.9050625342752941E-3</c:v>
                </c:pt>
                <c:pt idx="6">
                  <c:v>2.9033238255423005E-3</c:v>
                </c:pt>
                <c:pt idx="7">
                  <c:v>2.9016000057228777E-3</c:v>
                </c:pt>
                <c:pt idx="8">
                  <c:v>2.8965178797460346E-3</c:v>
                </c:pt>
                <c:pt idx="9">
                  <c:v>2.8948536155808955E-3</c:v>
                </c:pt>
                <c:pt idx="10">
                  <c:v>2.8932042403293271E-3</c:v>
                </c:pt>
                <c:pt idx="11">
                  <c:v>2.8915697539913295E-3</c:v>
                </c:pt>
                <c:pt idx="12">
                  <c:v>2.8899501565669032E-3</c:v>
                </c:pt>
                <c:pt idx="13">
                  <c:v>2.885180697775048E-3</c:v>
                </c:pt>
                <c:pt idx="14">
                  <c:v>2.8836206560049048E-3</c:v>
                </c:pt>
                <c:pt idx="15">
                  <c:v>2.8820755031483325E-3</c:v>
                </c:pt>
                <c:pt idx="16">
                  <c:v>2.8805452392053309E-3</c:v>
                </c:pt>
                <c:pt idx="17">
                  <c:v>2.8790298641759001E-3</c:v>
                </c:pt>
                <c:pt idx="18">
                  <c:v>2.8745730725690333E-3</c:v>
                </c:pt>
                <c:pt idx="19">
                  <c:v>2.8731172531938861E-3</c:v>
                </c:pt>
                <c:pt idx="20">
                  <c:v>2.8716763227323101E-3</c:v>
                </c:pt>
                <c:pt idx="21">
                  <c:v>2.8702502811843041E-3</c:v>
                </c:pt>
                <c:pt idx="22">
                  <c:v>2.8688391285498697E-3</c:v>
                </c:pt>
                <c:pt idx="23">
                  <c:v>2.8646950041279909E-3</c:v>
                </c:pt>
                <c:pt idx="24">
                  <c:v>2.8633434071478401E-3</c:v>
                </c:pt>
                <c:pt idx="25">
                  <c:v>2.8620066990812597E-3</c:v>
                </c:pt>
                <c:pt idx="26">
                  <c:v>2.8606848799282497E-3</c:v>
                </c:pt>
                <c:pt idx="27">
                  <c:v>2.8593779496888113E-3</c:v>
                </c:pt>
                <c:pt idx="28">
                  <c:v>2.8555464924519209E-3</c:v>
                </c:pt>
                <c:pt idx="29">
                  <c:v>2.8542991178667656E-3</c:v>
                </c:pt>
                <c:pt idx="30">
                  <c:v>2.8530666321951812E-3</c:v>
                </c:pt>
                <c:pt idx="31">
                  <c:v>2.8518490354371676E-3</c:v>
                </c:pt>
                <c:pt idx="32">
                  <c:v>2.8506463275927252E-3</c:v>
                </c:pt>
                <c:pt idx="33">
                  <c:v>2.8471275375408227E-3</c:v>
                </c:pt>
                <c:pt idx="34">
                  <c:v>2.8459843853506635E-3</c:v>
                </c:pt>
                <c:pt idx="35">
                  <c:v>2.844856122074075E-3</c:v>
                </c:pt>
                <c:pt idx="36">
                  <c:v>2.8437427477110578E-3</c:v>
                </c:pt>
                <c:pt idx="37">
                  <c:v>2.8426442622616109E-3</c:v>
                </c:pt>
                <c:pt idx="38">
                  <c:v>2.8394381393946969E-3</c:v>
                </c:pt>
                <c:pt idx="39">
                  <c:v>2.8383992095995332E-3</c:v>
                </c:pt>
                <c:pt idx="40">
                  <c:v>2.8373751687179411E-3</c:v>
                </c:pt>
                <c:pt idx="41">
                  <c:v>2.8363660167499199E-3</c:v>
                </c:pt>
                <c:pt idx="42">
                  <c:v>2.8353717536954695E-3</c:v>
                </c:pt>
                <c:pt idx="43">
                  <c:v>2.8324782980135429E-3</c:v>
                </c:pt>
                <c:pt idx="44">
                  <c:v>2.8315435906133756E-3</c:v>
                </c:pt>
                <c:pt idx="45">
                  <c:v>2.8306237721267792E-3</c:v>
                </c:pt>
                <c:pt idx="46">
                  <c:v>2.8297188425537539E-3</c:v>
                </c:pt>
                <c:pt idx="47">
                  <c:v>2.8288288018942995E-3</c:v>
                </c:pt>
                <c:pt idx="48">
                  <c:v>2.8262480133973609E-3</c:v>
                </c:pt>
                <c:pt idx="49">
                  <c:v>2.82541752839219E-3</c:v>
                </c:pt>
                <c:pt idx="50">
                  <c:v>2.82460193230059E-3</c:v>
                </c:pt>
                <c:pt idx="51">
                  <c:v>2.8238012251225607E-3</c:v>
                </c:pt>
                <c:pt idx="52">
                  <c:v>2.8230154068581022E-3</c:v>
                </c:pt>
                <c:pt idx="53">
                  <c:v>2.8207472855461516E-3</c:v>
                </c:pt>
                <c:pt idx="54">
                  <c:v>2.8200210229359763E-3</c:v>
                </c:pt>
                <c:pt idx="55">
                  <c:v>2.8193096492393722E-3</c:v>
                </c:pt>
                <c:pt idx="56">
                  <c:v>2.8186131644563389E-3</c:v>
                </c:pt>
                <c:pt idx="57">
                  <c:v>2.8179315685868764E-3</c:v>
                </c:pt>
                <c:pt idx="58">
                  <c:v>2.8159761144599142E-3</c:v>
                </c:pt>
                <c:pt idx="59">
                  <c:v>2.8153540742447353E-3</c:v>
                </c:pt>
                <c:pt idx="60">
                  <c:v>2.8147469229431272E-3</c:v>
                </c:pt>
                <c:pt idx="61">
                  <c:v>2.8141546605550899E-3</c:v>
                </c:pt>
                <c:pt idx="62">
                  <c:v>2.8135772870806234E-3</c:v>
                </c:pt>
                <c:pt idx="63">
                  <c:v>2.8119345001386491E-3</c:v>
                </c:pt>
                <c:pt idx="64">
                  <c:v>2.8114166823184662E-3</c:v>
                </c:pt>
                <c:pt idx="65">
                  <c:v>2.8109137534118537E-3</c:v>
                </c:pt>
                <c:pt idx="66">
                  <c:v>2.8104257134188128E-3</c:v>
                </c:pt>
                <c:pt idx="67">
                  <c:v>2.8099525623393419E-3</c:v>
                </c:pt>
                <c:pt idx="68">
                  <c:v>2.8086224425823559E-3</c:v>
                </c:pt>
                <c:pt idx="69">
                  <c:v>2.808208847157169E-3</c:v>
                </c:pt>
                <c:pt idx="70">
                  <c:v>2.8078101406455529E-3</c:v>
                </c:pt>
                <c:pt idx="71">
                  <c:v>2.8074263230475076E-3</c:v>
                </c:pt>
                <c:pt idx="72">
                  <c:v>2.8070573943630331E-3</c:v>
                </c:pt>
                <c:pt idx="73">
                  <c:v>2.8060399417910351E-3</c:v>
                </c:pt>
                <c:pt idx="74">
                  <c:v>2.8057305687608442E-3</c:v>
                </c:pt>
                <c:pt idx="75">
                  <c:v>2.805436084644224E-3</c:v>
                </c:pt>
                <c:pt idx="76">
                  <c:v>2.8051564894411747E-3</c:v>
                </c:pt>
                <c:pt idx="77">
                  <c:v>2.8048917831516962E-3</c:v>
                </c:pt>
                <c:pt idx="78">
                  <c:v>2.8041869977646862E-3</c:v>
                </c:pt>
                <c:pt idx="79">
                  <c:v>2.8039818471294916E-3</c:v>
                </c:pt>
                <c:pt idx="80">
                  <c:v>2.8037915854078675E-3</c:v>
                </c:pt>
                <c:pt idx="81">
                  <c:v>2.8036162125998137E-3</c:v>
                </c:pt>
                <c:pt idx="82">
                  <c:v>2.8034557287053316E-3</c:v>
                </c:pt>
                <c:pt idx="83">
                  <c:v>2.80306361050331E-3</c:v>
                </c:pt>
                <c:pt idx="84">
                  <c:v>2.802962682263111E-3</c:v>
                </c:pt>
                <c:pt idx="85">
                  <c:v>2.8028766429364824E-3</c:v>
                </c:pt>
                <c:pt idx="86">
                  <c:v>2.8028054925234255E-3</c:v>
                </c:pt>
                <c:pt idx="87">
                  <c:v>2.8027492310239389E-3</c:v>
                </c:pt>
                <c:pt idx="88">
                  <c:v>2.8026697800069052E-3</c:v>
                </c:pt>
                <c:pt idx="89">
                  <c:v>2.8026730741617023E-3</c:v>
                </c:pt>
                <c:pt idx="90">
                  <c:v>2.8026912572300701E-3</c:v>
                </c:pt>
                <c:pt idx="91">
                  <c:v>2.8027243292120091E-3</c:v>
                </c:pt>
                <c:pt idx="92">
                  <c:v>2.8027722901075186E-3</c:v>
                </c:pt>
                <c:pt idx="93">
                  <c:v>2.8030055062754728E-3</c:v>
                </c:pt>
                <c:pt idx="94">
                  <c:v>2.8031130228252663E-3</c:v>
                </c:pt>
                <c:pt idx="95">
                  <c:v>2.8032354282886297E-3</c:v>
                </c:pt>
                <c:pt idx="96">
                  <c:v>2.8033727226655647E-3</c:v>
                </c:pt>
                <c:pt idx="97">
                  <c:v>2.8035249059560705E-3</c:v>
                </c:pt>
                <c:pt idx="98">
                  <c:v>2.8040707893090123E-3</c:v>
                </c:pt>
                <c:pt idx="99">
                  <c:v>2.8042825282538018E-3</c:v>
                </c:pt>
                <c:pt idx="100">
                  <c:v>2.8045091561121616E-3</c:v>
                </c:pt>
                <c:pt idx="101">
                  <c:v>2.8047506728840926E-3</c:v>
                </c:pt>
                <c:pt idx="102">
                  <c:v>2.8050070785695944E-3</c:v>
                </c:pt>
                <c:pt idx="103">
                  <c:v>2.8058656291075246E-3</c:v>
                </c:pt>
                <c:pt idx="104">
                  <c:v>2.8061815904473096E-3</c:v>
                </c:pt>
                <c:pt idx="105">
                  <c:v>2.8065124407006658E-3</c:v>
                </c:pt>
                <c:pt idx="106">
                  <c:v>2.8068581798675928E-3</c:v>
                </c:pt>
                <c:pt idx="107">
                  <c:v>2.8072188079480906E-3</c:v>
                </c:pt>
                <c:pt idx="108">
                  <c:v>2.8083900256710087E-3</c:v>
                </c:pt>
                <c:pt idx="109">
                  <c:v>2.8088102094057897E-3</c:v>
                </c:pt>
                <c:pt idx="110">
                  <c:v>2.8092452820541419E-3</c:v>
                </c:pt>
                <c:pt idx="111">
                  <c:v>2.8096952436160649E-3</c:v>
                </c:pt>
                <c:pt idx="112">
                  <c:v>2.8101600940915587E-3</c:v>
                </c:pt>
                <c:pt idx="113">
                  <c:v>2.8116439789994648E-3</c:v>
                </c:pt>
                <c:pt idx="114">
                  <c:v>2.8121683851292422E-3</c:v>
                </c:pt>
                <c:pt idx="115">
                  <c:v>2.8127076801725904E-3</c:v>
                </c:pt>
                <c:pt idx="116">
                  <c:v>2.8132618641295093E-3</c:v>
                </c:pt>
                <c:pt idx="117">
                  <c:v>2.8138309369999991E-3</c:v>
                </c:pt>
                <c:pt idx="118">
                  <c:v>2.8156274890928936E-3</c:v>
                </c:pt>
                <c:pt idx="119">
                  <c:v>2.816256117617667E-3</c:v>
                </c:pt>
                <c:pt idx="120">
                  <c:v>2.8168996350560107E-3</c:v>
                </c:pt>
                <c:pt idx="121">
                  <c:v>2.8175580414079261E-3</c:v>
                </c:pt>
                <c:pt idx="122">
                  <c:v>2.8182313366734118E-3</c:v>
                </c:pt>
                <c:pt idx="123">
                  <c:v>2.8203405559512943E-3</c:v>
                </c:pt>
                <c:pt idx="124">
                  <c:v>2.8210734068710632E-3</c:v>
                </c:pt>
                <c:pt idx="125">
                  <c:v>2.8218211467044034E-3</c:v>
                </c:pt>
                <c:pt idx="126">
                  <c:v>2.8225837754513147E-3</c:v>
                </c:pt>
                <c:pt idx="127">
                  <c:v>2.8233612931117965E-3</c:v>
                </c:pt>
                <c:pt idx="128">
                  <c:v>2.8257831795746669E-3</c:v>
                </c:pt>
                <c:pt idx="129">
                  <c:v>2.8266202528894322E-3</c:v>
                </c:pt>
                <c:pt idx="130">
                  <c:v>2.8274722151177684E-3</c:v>
                </c:pt>
                <c:pt idx="131">
                  <c:v>2.8283390662596753E-3</c:v>
                </c:pt>
                <c:pt idx="132">
                  <c:v>2.8292208063151534E-3</c:v>
                </c:pt>
                <c:pt idx="133">
                  <c:v>2.8319553599630118E-3</c:v>
                </c:pt>
                <c:pt idx="134">
                  <c:v>2.8328966556727731E-3</c:v>
                </c:pt>
                <c:pt idx="135">
                  <c:v>2.8338528402961053E-3</c:v>
                </c:pt>
                <c:pt idx="136">
                  <c:v>2.8348239138330082E-3</c:v>
                </c:pt>
                <c:pt idx="137">
                  <c:v>2.8358098762834819E-3</c:v>
                </c:pt>
                <c:pt idx="138">
                  <c:v>2.8388570971163291E-3</c:v>
                </c:pt>
                <c:pt idx="139">
                  <c:v>2.8399026152210864E-3</c:v>
                </c:pt>
                <c:pt idx="140">
                  <c:v>2.8409630222394145E-3</c:v>
                </c:pt>
                <c:pt idx="141">
                  <c:v>2.8420383181713134E-3</c:v>
                </c:pt>
                <c:pt idx="142">
                  <c:v>2.8431285030167831E-3</c:v>
                </c:pt>
                <c:pt idx="143">
                  <c:v>2.8464883910346182E-3</c:v>
                </c:pt>
                <c:pt idx="144">
                  <c:v>2.8476381315343715E-3</c:v>
                </c:pt>
                <c:pt idx="145">
                  <c:v>2.8488027609476952E-3</c:v>
                </c:pt>
                <c:pt idx="146">
                  <c:v>2.8499822792745905E-3</c:v>
                </c:pt>
                <c:pt idx="147">
                  <c:v>2.8511766865150566E-3</c:v>
                </c:pt>
                <c:pt idx="148">
                  <c:v>2.8548492417178797E-3</c:v>
                </c:pt>
                <c:pt idx="149">
                  <c:v>2.8561032046126285E-3</c:v>
                </c:pt>
                <c:pt idx="150">
                  <c:v>2.857372056420949E-3</c:v>
                </c:pt>
                <c:pt idx="151">
                  <c:v>2.8586557971428399E-3</c:v>
                </c:pt>
                <c:pt idx="152">
                  <c:v>2.859954426778302E-3</c:v>
                </c:pt>
                <c:pt idx="153">
                  <c:v>2.863939649166113E-3</c:v>
                </c:pt>
                <c:pt idx="154">
                  <c:v>2.8652978344558579E-3</c:v>
                </c:pt>
                <c:pt idx="155">
                  <c:v>2.8666709086591744E-3</c:v>
                </c:pt>
                <c:pt idx="156">
                  <c:v>2.8680588717760616E-3</c:v>
                </c:pt>
                <c:pt idx="157">
                  <c:v>2.8694617238065193E-3</c:v>
                </c:pt>
                <c:pt idx="158">
                  <c:v>2.8737596133793183E-3</c:v>
                </c:pt>
                <c:pt idx="159">
                  <c:v>2.8752220210640595E-3</c:v>
                </c:pt>
                <c:pt idx="160">
                  <c:v>2.876699317662372E-3</c:v>
                </c:pt>
                <c:pt idx="161">
                  <c:v>2.8781915031742553E-3</c:v>
                </c:pt>
                <c:pt idx="162">
                  <c:v>2.8843091343574963E-3</c:v>
                </c:pt>
                <c:pt idx="163">
                  <c:v>2.8858757644372336E-3</c:v>
                </c:pt>
                <c:pt idx="164">
                  <c:v>2.887457283430542E-3</c:v>
                </c:pt>
                <c:pt idx="165">
                  <c:v>2.8890536913374213E-3</c:v>
                </c:pt>
                <c:pt idx="166">
                  <c:v>2.8955882121006462E-3</c:v>
                </c:pt>
                <c:pt idx="167">
                  <c:v>2.8972590645753795E-3</c:v>
                </c:pt>
                <c:pt idx="168">
                  <c:v>2.8989448059636839E-3</c:v>
                </c:pt>
                <c:pt idx="169">
                  <c:v>2.9006454362655591E-3</c:v>
                </c:pt>
                <c:pt idx="170">
                  <c:v>2.9023609554810052E-3</c:v>
                </c:pt>
                <c:pt idx="171">
                  <c:v>2.9075968466087685E-3</c:v>
                </c:pt>
                <c:pt idx="172">
                  <c:v>2.9093719214784977E-3</c:v>
                </c:pt>
                <c:pt idx="173">
                  <c:v>2.9111618852617981E-3</c:v>
                </c:pt>
                <c:pt idx="174">
                  <c:v>2.9129667379586693E-3</c:v>
                </c:pt>
                <c:pt idx="175">
                  <c:v>2.9147864795691114E-3</c:v>
                </c:pt>
                <c:pt idx="176">
                  <c:v>2.9203350378818626E-3</c:v>
                </c:pt>
                <c:pt idx="177">
                  <c:v>2.9222143351465878E-3</c:v>
                </c:pt>
                <c:pt idx="178">
                  <c:v>2.9241085213248842E-3</c:v>
                </c:pt>
                <c:pt idx="179">
                  <c:v>2.9260175964167514E-3</c:v>
                </c:pt>
                <c:pt idx="180">
                  <c:v>2.9279415604221894E-3</c:v>
                </c:pt>
                <c:pt idx="181">
                  <c:v>2.9338027859199291E-3</c:v>
                </c:pt>
                <c:pt idx="182">
                  <c:v>2.9357863055796507E-3</c:v>
                </c:pt>
                <c:pt idx="183">
                  <c:v>2.9377847141529431E-3</c:v>
                </c:pt>
                <c:pt idx="184">
                  <c:v>2.9397980116398063E-3</c:v>
                </c:pt>
                <c:pt idx="185">
                  <c:v>2.9418261980402398E-3</c:v>
                </c:pt>
                <c:pt idx="186">
                  <c:v>2.9480000907229674E-3</c:v>
                </c:pt>
                <c:pt idx="187">
                  <c:v>2.950087832777685E-3</c:v>
                </c:pt>
                <c:pt idx="188">
                  <c:v>2.9521904637459734E-3</c:v>
                </c:pt>
                <c:pt idx="189">
                  <c:v>2.954307983627833E-3</c:v>
                </c:pt>
                <c:pt idx="190">
                  <c:v>2.9564403924232626E-3</c:v>
                </c:pt>
                <c:pt idx="191">
                  <c:v>2.9629269522909781E-3</c:v>
                </c:pt>
                <c:pt idx="192">
                  <c:v>2.9651189167406917E-3</c:v>
                </c:pt>
                <c:pt idx="193">
                  <c:v>2.9673257701039761E-3</c:v>
                </c:pt>
                <c:pt idx="194">
                  <c:v>2.9695475123808317E-3</c:v>
                </c:pt>
                <c:pt idx="195">
                  <c:v>2.9717841435712572E-3</c:v>
                </c:pt>
                <c:pt idx="196">
                  <c:v>2.9785833706239611E-3</c:v>
                </c:pt>
                <c:pt idx="197">
                  <c:v>2.9808795574686707E-3</c:v>
                </c:pt>
                <c:pt idx="198">
                  <c:v>2.9831906332269511E-3</c:v>
                </c:pt>
                <c:pt idx="199">
                  <c:v>2.9855165978988022E-3</c:v>
                </c:pt>
                <c:pt idx="200">
                  <c:v>2.9878574514842246E-3</c:v>
                </c:pt>
                <c:pt idx="201">
                  <c:v>2.994969345721916E-3</c:v>
                </c:pt>
                <c:pt idx="202">
                  <c:v>2.9973697549616216E-3</c:v>
                </c:pt>
                <c:pt idx="203">
                  <c:v>2.9997850531148979E-3</c:v>
                </c:pt>
                <c:pt idx="204">
                  <c:v>3.0022152401817455E-3</c:v>
                </c:pt>
                <c:pt idx="205">
                  <c:v>3.0046603161621634E-3</c:v>
                </c:pt>
                <c:pt idx="206">
                  <c:v>3.0120848775848433E-3</c:v>
                </c:pt>
                <c:pt idx="207">
                  <c:v>3.0145895092195448E-3</c:v>
                </c:pt>
                <c:pt idx="208">
                  <c:v>3.0171090297678171E-3</c:v>
                </c:pt>
                <c:pt idx="209">
                  <c:v>3.0196434392296603E-3</c:v>
                </c:pt>
                <c:pt idx="210">
                  <c:v>3.0221927376050746E-3</c:v>
                </c:pt>
                <c:pt idx="211">
                  <c:v>3.0299299662127424E-3</c:v>
                </c:pt>
                <c:pt idx="212">
                  <c:v>3.0325388202424404E-3</c:v>
                </c:pt>
                <c:pt idx="213">
                  <c:v>3.0351625631857087E-3</c:v>
                </c:pt>
                <c:pt idx="214">
                  <c:v>3.0378011950425478E-3</c:v>
                </c:pt>
                <c:pt idx="215">
                  <c:v>3.0404547158129581E-3</c:v>
                </c:pt>
                <c:pt idx="216">
                  <c:v>3.0485046116056139E-3</c:v>
                </c:pt>
                <c:pt idx="217">
                  <c:v>3.0512176880303074E-3</c:v>
                </c:pt>
                <c:pt idx="218">
                  <c:v>3.0539456533685721E-3</c:v>
                </c:pt>
                <c:pt idx="219">
                  <c:v>3.0566885076204076E-3</c:v>
                </c:pt>
                <c:pt idx="220">
                  <c:v>3.0594462507858139E-3</c:v>
                </c:pt>
                <c:pt idx="221">
                  <c:v>3.0678088137634577E-3</c:v>
                </c:pt>
                <c:pt idx="222">
                  <c:v>3.0706261125831471E-3</c:v>
                </c:pt>
                <c:pt idx="223">
                  <c:v>3.0734583003164079E-3</c:v>
                </c:pt>
                <c:pt idx="224">
                  <c:v>3.0763053769632394E-3</c:v>
                </c:pt>
                <c:pt idx="225">
                  <c:v>3.0907640939009592E-3</c:v>
                </c:pt>
                <c:pt idx="226">
                  <c:v>3.0937005040292155E-3</c:v>
                </c:pt>
                <c:pt idx="227">
                  <c:v>3.0966518030710434E-3</c:v>
                </c:pt>
                <c:pt idx="228">
                  <c:v>3.0996179910264413E-3</c:v>
                </c:pt>
                <c:pt idx="229">
                  <c:v>3.1086058883740613E-3</c:v>
                </c:pt>
                <c:pt idx="230">
                  <c:v>3.1116316319837432E-3</c:v>
                </c:pt>
                <c:pt idx="231">
                  <c:v>3.1146722645069955E-3</c:v>
                </c:pt>
                <c:pt idx="232">
                  <c:v>3.117727785943819E-3</c:v>
                </c:pt>
                <c:pt idx="233">
                  <c:v>3.1207981962942132E-3</c:v>
                </c:pt>
                <c:pt idx="234">
                  <c:v>3.1300987608268212E-3</c:v>
                </c:pt>
                <c:pt idx="235">
                  <c:v>3.1332287268314991E-3</c:v>
                </c:pt>
                <c:pt idx="236">
                  <c:v>3.1363735817497478E-3</c:v>
                </c:pt>
                <c:pt idx="237">
                  <c:v>3.1395333255815668E-3</c:v>
                </c:pt>
                <c:pt idx="238">
                  <c:v>3.1427079583269575E-3</c:v>
                </c:pt>
                <c:pt idx="239">
                  <c:v>3.1523211900445535E-3</c:v>
                </c:pt>
                <c:pt idx="240">
                  <c:v>3.1555553784442273E-3</c:v>
                </c:pt>
                <c:pt idx="241">
                  <c:v>3.158804455757472E-3</c:v>
                </c:pt>
                <c:pt idx="242">
                  <c:v>3.1620684219842874E-3</c:v>
                </c:pt>
                <c:pt idx="243">
                  <c:v>3.1653472771246737E-3</c:v>
                </c:pt>
                <c:pt idx="244">
                  <c:v>3.175273176027258E-3</c:v>
                </c:pt>
                <c:pt idx="245">
                  <c:v>3.1786115868219279E-3</c:v>
                </c:pt>
                <c:pt idx="246">
                  <c:v>3.1819648865301685E-3</c:v>
                </c:pt>
                <c:pt idx="247">
                  <c:v>3.1853330751519795E-3</c:v>
                </c:pt>
                <c:pt idx="248">
                  <c:v>3.1887161526873622E-3</c:v>
                </c:pt>
                <c:pt idx="249">
                  <c:v>3.1989547187749345E-3</c:v>
                </c:pt>
                <c:pt idx="250">
                  <c:v>3.2023973519645999E-3</c:v>
                </c:pt>
                <c:pt idx="251">
                  <c:v>3.2058548740678374E-3</c:v>
                </c:pt>
                <c:pt idx="252">
                  <c:v>3.2093272850846444E-3</c:v>
                </c:pt>
                <c:pt idx="253">
                  <c:v>3.212814585015023E-3</c:v>
                </c:pt>
                <c:pt idx="254">
                  <c:v>3.2233658182875833E-3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780544"/>
        <c:axId val="636782080"/>
      </c:lineChart>
      <c:dateAx>
        <c:axId val="63678054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6782080"/>
        <c:crosses val="autoZero"/>
        <c:auto val="1"/>
        <c:lblOffset val="100"/>
        <c:baseTimeUnit val="days"/>
      </c:dateAx>
      <c:valAx>
        <c:axId val="63678208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6780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42137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1.0002291780291789E-3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42170</c:v>
                </c:pt>
                <c:pt idx="1">
                  <c:v>42198</c:v>
                </c:pt>
                <c:pt idx="2">
                  <c:v>42229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1.1464000759937583E-3</c:v>
                </c:pt>
                <c:pt idx="1">
                  <c:v>1.1779933474327371E-3</c:v>
                </c:pt>
                <c:pt idx="2">
                  <c:v>1.1890362679583735E-3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42144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9.8494059151808268E-4</c:v>
                </c:pt>
                <c:pt idx="1">
                  <c:v>1.1257486558444911E-3</c:v>
                </c:pt>
                <c:pt idx="2">
                  <c:v>1.2028386067589518E-3</c:v>
                </c:pt>
                <c:pt idx="3">
                  <c:v>1.2865157885093791E-3</c:v>
                </c:pt>
                <c:pt idx="4">
                  <c:v>1.2945833235278991E-3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42149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42247</c:v>
                </c:pt>
                <c:pt idx="79">
                  <c:v>42248</c:v>
                </c:pt>
                <c:pt idx="80">
                  <c:v>42249</c:v>
                </c:pt>
                <c:pt idx="81">
                  <c:v>42250</c:v>
                </c:pt>
                <c:pt idx="82">
                  <c:v>42251</c:v>
                </c:pt>
                <c:pt idx="83">
                  <c:v>42254</c:v>
                </c:pt>
                <c:pt idx="84">
                  <c:v>42255</c:v>
                </c:pt>
                <c:pt idx="85">
                  <c:v>42256</c:v>
                </c:pt>
                <c:pt idx="86">
                  <c:v>42257</c:v>
                </c:pt>
                <c:pt idx="87">
                  <c:v>42258</c:v>
                </c:pt>
                <c:pt idx="88">
                  <c:v>42261</c:v>
                </c:pt>
                <c:pt idx="89">
                  <c:v>42262</c:v>
                </c:pt>
                <c:pt idx="90">
                  <c:v>42263</c:v>
                </c:pt>
                <c:pt idx="91">
                  <c:v>42264</c:v>
                </c:pt>
                <c:pt idx="92">
                  <c:v>42265</c:v>
                </c:pt>
                <c:pt idx="93">
                  <c:v>42268</c:v>
                </c:pt>
                <c:pt idx="94">
                  <c:v>42269</c:v>
                </c:pt>
                <c:pt idx="95">
                  <c:v>42270</c:v>
                </c:pt>
                <c:pt idx="96">
                  <c:v>42271</c:v>
                </c:pt>
                <c:pt idx="97">
                  <c:v>42272</c:v>
                </c:pt>
                <c:pt idx="98">
                  <c:v>42275</c:v>
                </c:pt>
                <c:pt idx="99">
                  <c:v>42276</c:v>
                </c:pt>
                <c:pt idx="100">
                  <c:v>42277</c:v>
                </c:pt>
                <c:pt idx="101">
                  <c:v>42278</c:v>
                </c:pt>
                <c:pt idx="102">
                  <c:v>42279</c:v>
                </c:pt>
                <c:pt idx="103">
                  <c:v>42282</c:v>
                </c:pt>
                <c:pt idx="104">
                  <c:v>42283</c:v>
                </c:pt>
                <c:pt idx="105">
                  <c:v>42284</c:v>
                </c:pt>
                <c:pt idx="106">
                  <c:v>42285</c:v>
                </c:pt>
                <c:pt idx="107">
                  <c:v>42286</c:v>
                </c:pt>
                <c:pt idx="108">
                  <c:v>42289</c:v>
                </c:pt>
                <c:pt idx="109">
                  <c:v>42290</c:v>
                </c:pt>
                <c:pt idx="110">
                  <c:v>42291</c:v>
                </c:pt>
                <c:pt idx="111">
                  <c:v>42292</c:v>
                </c:pt>
                <c:pt idx="112">
                  <c:v>42293</c:v>
                </c:pt>
                <c:pt idx="113">
                  <c:v>42296</c:v>
                </c:pt>
                <c:pt idx="114">
                  <c:v>42297</c:v>
                </c:pt>
                <c:pt idx="115">
                  <c:v>42298</c:v>
                </c:pt>
                <c:pt idx="116">
                  <c:v>42299</c:v>
                </c:pt>
                <c:pt idx="117">
                  <c:v>42300</c:v>
                </c:pt>
                <c:pt idx="118">
                  <c:v>42303</c:v>
                </c:pt>
                <c:pt idx="119">
                  <c:v>42304</c:v>
                </c:pt>
                <c:pt idx="120">
                  <c:v>42305</c:v>
                </c:pt>
                <c:pt idx="121">
                  <c:v>42306</c:v>
                </c:pt>
                <c:pt idx="122">
                  <c:v>42307</c:v>
                </c:pt>
                <c:pt idx="123">
                  <c:v>42310</c:v>
                </c:pt>
                <c:pt idx="124">
                  <c:v>42311</c:v>
                </c:pt>
                <c:pt idx="125">
                  <c:v>42312</c:v>
                </c:pt>
                <c:pt idx="126">
                  <c:v>42313</c:v>
                </c:pt>
                <c:pt idx="127">
                  <c:v>42314</c:v>
                </c:pt>
                <c:pt idx="128">
                  <c:v>42317</c:v>
                </c:pt>
                <c:pt idx="129">
                  <c:v>42318</c:v>
                </c:pt>
                <c:pt idx="130">
                  <c:v>42319</c:v>
                </c:pt>
                <c:pt idx="131">
                  <c:v>42320</c:v>
                </c:pt>
                <c:pt idx="132">
                  <c:v>42321</c:v>
                </c:pt>
                <c:pt idx="133">
                  <c:v>42324</c:v>
                </c:pt>
                <c:pt idx="134">
                  <c:v>42325</c:v>
                </c:pt>
                <c:pt idx="135">
                  <c:v>42326</c:v>
                </c:pt>
                <c:pt idx="136">
                  <c:v>42327</c:v>
                </c:pt>
                <c:pt idx="137">
                  <c:v>42328</c:v>
                </c:pt>
                <c:pt idx="138">
                  <c:v>42331</c:v>
                </c:pt>
                <c:pt idx="139">
                  <c:v>42332</c:v>
                </c:pt>
                <c:pt idx="140">
                  <c:v>42333</c:v>
                </c:pt>
                <c:pt idx="141">
                  <c:v>42334</c:v>
                </c:pt>
                <c:pt idx="142">
                  <c:v>42335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42345</c:v>
                </c:pt>
                <c:pt idx="149">
                  <c:v>42346</c:v>
                </c:pt>
                <c:pt idx="150">
                  <c:v>42347</c:v>
                </c:pt>
                <c:pt idx="151">
                  <c:v>42348</c:v>
                </c:pt>
                <c:pt idx="152">
                  <c:v>42349</c:v>
                </c:pt>
                <c:pt idx="153">
                  <c:v>42352</c:v>
                </c:pt>
                <c:pt idx="154">
                  <c:v>42353</c:v>
                </c:pt>
                <c:pt idx="155">
                  <c:v>42354</c:v>
                </c:pt>
                <c:pt idx="156">
                  <c:v>42355</c:v>
                </c:pt>
                <c:pt idx="157">
                  <c:v>42356</c:v>
                </c:pt>
                <c:pt idx="158">
                  <c:v>42359</c:v>
                </c:pt>
                <c:pt idx="159">
                  <c:v>42360</c:v>
                </c:pt>
                <c:pt idx="160">
                  <c:v>42361</c:v>
                </c:pt>
                <c:pt idx="161">
                  <c:v>42362</c:v>
                </c:pt>
                <c:pt idx="162">
                  <c:v>42366</c:v>
                </c:pt>
                <c:pt idx="163">
                  <c:v>42367</c:v>
                </c:pt>
                <c:pt idx="164">
                  <c:v>42368</c:v>
                </c:pt>
                <c:pt idx="165">
                  <c:v>42369</c:v>
                </c:pt>
                <c:pt idx="166">
                  <c:v>42373</c:v>
                </c:pt>
                <c:pt idx="167">
                  <c:v>42374</c:v>
                </c:pt>
                <c:pt idx="168">
                  <c:v>42375</c:v>
                </c:pt>
                <c:pt idx="169">
                  <c:v>42376</c:v>
                </c:pt>
                <c:pt idx="170">
                  <c:v>42377</c:v>
                </c:pt>
                <c:pt idx="171">
                  <c:v>42380</c:v>
                </c:pt>
                <c:pt idx="172">
                  <c:v>42381</c:v>
                </c:pt>
                <c:pt idx="173">
                  <c:v>42382</c:v>
                </c:pt>
                <c:pt idx="174">
                  <c:v>42383</c:v>
                </c:pt>
                <c:pt idx="175">
                  <c:v>42384</c:v>
                </c:pt>
                <c:pt idx="176">
                  <c:v>42387</c:v>
                </c:pt>
                <c:pt idx="177">
                  <c:v>42388</c:v>
                </c:pt>
                <c:pt idx="178">
                  <c:v>42389</c:v>
                </c:pt>
                <c:pt idx="179">
                  <c:v>42390</c:v>
                </c:pt>
                <c:pt idx="180">
                  <c:v>42391</c:v>
                </c:pt>
                <c:pt idx="181">
                  <c:v>42394</c:v>
                </c:pt>
                <c:pt idx="182">
                  <c:v>42395</c:v>
                </c:pt>
                <c:pt idx="183">
                  <c:v>42396</c:v>
                </c:pt>
                <c:pt idx="184">
                  <c:v>42397</c:v>
                </c:pt>
                <c:pt idx="185">
                  <c:v>42398</c:v>
                </c:pt>
                <c:pt idx="186">
                  <c:v>42401</c:v>
                </c:pt>
                <c:pt idx="187">
                  <c:v>42402</c:v>
                </c:pt>
                <c:pt idx="188">
                  <c:v>42403</c:v>
                </c:pt>
                <c:pt idx="189">
                  <c:v>42404</c:v>
                </c:pt>
                <c:pt idx="190">
                  <c:v>42405</c:v>
                </c:pt>
                <c:pt idx="191">
                  <c:v>42408</c:v>
                </c:pt>
                <c:pt idx="192">
                  <c:v>42409</c:v>
                </c:pt>
                <c:pt idx="193">
                  <c:v>42410</c:v>
                </c:pt>
                <c:pt idx="194">
                  <c:v>42411</c:v>
                </c:pt>
                <c:pt idx="195">
                  <c:v>42412</c:v>
                </c:pt>
                <c:pt idx="196">
                  <c:v>42415</c:v>
                </c:pt>
                <c:pt idx="197">
                  <c:v>42416</c:v>
                </c:pt>
                <c:pt idx="198">
                  <c:v>42417</c:v>
                </c:pt>
                <c:pt idx="199">
                  <c:v>42418</c:v>
                </c:pt>
                <c:pt idx="200">
                  <c:v>42419</c:v>
                </c:pt>
                <c:pt idx="201">
                  <c:v>42422</c:v>
                </c:pt>
                <c:pt idx="202">
                  <c:v>42423</c:v>
                </c:pt>
                <c:pt idx="203">
                  <c:v>42424</c:v>
                </c:pt>
                <c:pt idx="204">
                  <c:v>42425</c:v>
                </c:pt>
                <c:pt idx="205">
                  <c:v>42426</c:v>
                </c:pt>
                <c:pt idx="206">
                  <c:v>42429</c:v>
                </c:pt>
                <c:pt idx="207">
                  <c:v>42430</c:v>
                </c:pt>
                <c:pt idx="208">
                  <c:v>42431</c:v>
                </c:pt>
                <c:pt idx="209">
                  <c:v>42432</c:v>
                </c:pt>
                <c:pt idx="210">
                  <c:v>42433</c:v>
                </c:pt>
                <c:pt idx="211">
                  <c:v>42436</c:v>
                </c:pt>
                <c:pt idx="212">
                  <c:v>42437</c:v>
                </c:pt>
                <c:pt idx="213">
                  <c:v>42438</c:v>
                </c:pt>
                <c:pt idx="214">
                  <c:v>42439</c:v>
                </c:pt>
                <c:pt idx="215">
                  <c:v>42440</c:v>
                </c:pt>
                <c:pt idx="216">
                  <c:v>42443</c:v>
                </c:pt>
                <c:pt idx="217">
                  <c:v>42444</c:v>
                </c:pt>
                <c:pt idx="218">
                  <c:v>42445</c:v>
                </c:pt>
                <c:pt idx="219">
                  <c:v>42446</c:v>
                </c:pt>
                <c:pt idx="220">
                  <c:v>42447</c:v>
                </c:pt>
                <c:pt idx="221">
                  <c:v>42450</c:v>
                </c:pt>
                <c:pt idx="222">
                  <c:v>42451</c:v>
                </c:pt>
                <c:pt idx="223">
                  <c:v>42452</c:v>
                </c:pt>
                <c:pt idx="224">
                  <c:v>42453</c:v>
                </c:pt>
                <c:pt idx="225">
                  <c:v>42458</c:v>
                </c:pt>
                <c:pt idx="226">
                  <c:v>42459</c:v>
                </c:pt>
                <c:pt idx="227">
                  <c:v>42460</c:v>
                </c:pt>
                <c:pt idx="228">
                  <c:v>42461</c:v>
                </c:pt>
                <c:pt idx="229">
                  <c:v>42464</c:v>
                </c:pt>
                <c:pt idx="230">
                  <c:v>42465</c:v>
                </c:pt>
                <c:pt idx="231">
                  <c:v>42466</c:v>
                </c:pt>
                <c:pt idx="232">
                  <c:v>42467</c:v>
                </c:pt>
                <c:pt idx="233">
                  <c:v>42468</c:v>
                </c:pt>
                <c:pt idx="234">
                  <c:v>42471</c:v>
                </c:pt>
                <c:pt idx="235">
                  <c:v>42472</c:v>
                </c:pt>
                <c:pt idx="236">
                  <c:v>42473</c:v>
                </c:pt>
                <c:pt idx="237">
                  <c:v>42474</c:v>
                </c:pt>
                <c:pt idx="238">
                  <c:v>42475</c:v>
                </c:pt>
                <c:pt idx="239">
                  <c:v>42478</c:v>
                </c:pt>
                <c:pt idx="240">
                  <c:v>42479</c:v>
                </c:pt>
                <c:pt idx="241">
                  <c:v>42480</c:v>
                </c:pt>
                <c:pt idx="242">
                  <c:v>42481</c:v>
                </c:pt>
                <c:pt idx="243">
                  <c:v>42482</c:v>
                </c:pt>
                <c:pt idx="244">
                  <c:v>42485</c:v>
                </c:pt>
                <c:pt idx="245">
                  <c:v>42486</c:v>
                </c:pt>
                <c:pt idx="246">
                  <c:v>42487</c:v>
                </c:pt>
                <c:pt idx="247">
                  <c:v>42488</c:v>
                </c:pt>
                <c:pt idx="248">
                  <c:v>42489</c:v>
                </c:pt>
                <c:pt idx="249">
                  <c:v>42492</c:v>
                </c:pt>
                <c:pt idx="250">
                  <c:v>42493</c:v>
                </c:pt>
                <c:pt idx="251">
                  <c:v>42494</c:v>
                </c:pt>
                <c:pt idx="252">
                  <c:v>42495</c:v>
                </c:pt>
                <c:pt idx="253">
                  <c:v>42496</c:v>
                </c:pt>
                <c:pt idx="254">
                  <c:v>42499</c:v>
                </c:pt>
                <c:pt idx="255">
                  <c:v>42500</c:v>
                </c:pt>
                <c:pt idx="256">
                  <c:v>42501</c:v>
                </c:pt>
                <c:pt idx="257">
                  <c:v>42502</c:v>
                </c:pt>
                <c:pt idx="258">
                  <c:v>42503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9.4906527271435763E-4</c:v>
                </c:pt>
                <c:pt idx="1">
                  <c:v>9.5370503316592823E-4</c:v>
                </c:pt>
                <c:pt idx="2">
                  <c:v>9.5853115208624604E-4</c:v>
                </c:pt>
                <c:pt idx="3">
                  <c:v>9.7398007903083672E-4</c:v>
                </c:pt>
                <c:pt idx="4">
                  <c:v>9.7940405119729739E-4</c:v>
                </c:pt>
                <c:pt idx="5">
                  <c:v>9.8494059151808268E-4</c:v>
                </c:pt>
                <c:pt idx="6">
                  <c:v>9.9057494193030777E-4</c:v>
                </c:pt>
                <c:pt idx="7">
                  <c:v>9.9629234437108804E-4</c:v>
                </c:pt>
                <c:pt idx="8">
                  <c:v>1.013795283235915E-3</c:v>
                </c:pt>
                <c:pt idx="9">
                  <c:v>1.0196973131620709E-3</c:v>
                </c:pt>
                <c:pt idx="10">
                  <c:v>1.0256086048023594E-3</c:v>
                </c:pt>
                <c:pt idx="11">
                  <c:v>1.0315144000938958E-3</c:v>
                </c:pt>
                <c:pt idx="12">
                  <c:v>1.0373999409737957E-3</c:v>
                </c:pt>
                <c:pt idx="13">
                  <c:v>1.05478745651483E-3</c:v>
                </c:pt>
                <c:pt idx="14">
                  <c:v>1.0604443991193381E-3</c:v>
                </c:pt>
                <c:pt idx="15">
                  <c:v>1.0660072969977867E-3</c:v>
                </c:pt>
                <c:pt idx="16">
                  <c:v>1.0714613920872916E-3</c:v>
                </c:pt>
                <c:pt idx="17">
                  <c:v>1.076791926324968E-3</c:v>
                </c:pt>
                <c:pt idx="18">
                  <c:v>1.0918945832981812E-3</c:v>
                </c:pt>
                <c:pt idx="19">
                  <c:v>1.0965832934996982E-3</c:v>
                </c:pt>
                <c:pt idx="20">
                  <c:v>1.1010746525349643E-3</c:v>
                </c:pt>
                <c:pt idx="21">
                  <c:v>1.1053539023410945E-3</c:v>
                </c:pt>
                <c:pt idx="22">
                  <c:v>1.1094062848552046E-3</c:v>
                </c:pt>
                <c:pt idx="23">
                  <c:v>1.1200546480165674E-3</c:v>
                </c:pt>
                <c:pt idx="24">
                  <c:v>1.1230519807337506E-3</c:v>
                </c:pt>
                <c:pt idx="25">
                  <c:v>1.1257486558444911E-3</c:v>
                </c:pt>
                <c:pt idx="26">
                  <c:v>1.1282604033663406E-3</c:v>
                </c:pt>
                <c:pt idx="27">
                  <c:v>1.1307132836218369E-3</c:v>
                </c:pt>
                <c:pt idx="28">
                  <c:v>1.1377260947361362E-3</c:v>
                </c:pt>
                <c:pt idx="29">
                  <c:v>1.1399508798721498E-3</c:v>
                </c:pt>
                <c:pt idx="30">
                  <c:v>1.1421204847147756E-3</c:v>
                </c:pt>
                <c:pt idx="31">
                  <c:v>1.1442356466586068E-3</c:v>
                </c:pt>
                <c:pt idx="32">
                  <c:v>1.146297103098236E-3</c:v>
                </c:pt>
                <c:pt idx="33">
                  <c:v>1.1521666133378454E-3</c:v>
                </c:pt>
                <c:pt idx="34">
                  <c:v>1.1540206217065991E-3</c:v>
                </c:pt>
                <c:pt idx="35">
                  <c:v>1.1558246115441167E-3</c:v>
                </c:pt>
                <c:pt idx="36">
                  <c:v>1.1575793202449915E-3</c:v>
                </c:pt>
                <c:pt idx="37">
                  <c:v>1.1592854852038163E-3</c:v>
                </c:pt>
                <c:pt idx="38">
                  <c:v>1.1641200915739217E-3</c:v>
                </c:pt>
                <c:pt idx="39">
                  <c:v>1.1656394555104779E-3</c:v>
                </c:pt>
                <c:pt idx="40">
                  <c:v>1.1671139626779493E-3</c:v>
                </c:pt>
                <c:pt idx="41">
                  <c:v>1.1685443504709297E-3</c:v>
                </c:pt>
                <c:pt idx="42">
                  <c:v>1.1699313562840118E-3</c:v>
                </c:pt>
                <c:pt idx="43">
                  <c:v>1.1738394557898001E-3</c:v>
                </c:pt>
                <c:pt idx="44">
                  <c:v>1.1750603076292204E-3</c:v>
                </c:pt>
                <c:pt idx="45">
                  <c:v>1.176241464461708E-3</c:v>
                </c:pt>
                <c:pt idx="46">
                  <c:v>1.1773836636818562E-3</c:v>
                </c:pt>
                <c:pt idx="47">
                  <c:v>1.1784876426842578E-3</c:v>
                </c:pt>
                <c:pt idx="48">
                  <c:v>1.1815776323309151E-3</c:v>
                </c:pt>
                <c:pt idx="49">
                  <c:v>1.1825361044082619E-3</c:v>
                </c:pt>
                <c:pt idx="50">
                  <c:v>1.1834600432408277E-3</c:v>
                </c:pt>
                <c:pt idx="51">
                  <c:v>1.1843501862232057E-3</c:v>
                </c:pt>
                <c:pt idx="52">
                  <c:v>1.185207270749989E-3</c:v>
                </c:pt>
                <c:pt idx="53">
                  <c:v>1.1875875475427016E-3</c:v>
                </c:pt>
                <c:pt idx="54">
                  <c:v>1.1883197721930369E-3</c:v>
                </c:pt>
                <c:pt idx="55">
                  <c:v>1.1890226253607431E-3</c:v>
                </c:pt>
                <c:pt idx="56">
                  <c:v>1.1896968444404131E-3</c:v>
                </c:pt>
                <c:pt idx="57">
                  <c:v>1.1903431668266401E-3</c:v>
                </c:pt>
                <c:pt idx="58">
                  <c:v>1.1921221277705943E-3</c:v>
                </c:pt>
                <c:pt idx="59">
                  <c:v>1.1926642373289804E-3</c:v>
                </c:pt>
                <c:pt idx="60">
                  <c:v>1.1931821371668888E-3</c:v>
                </c:pt>
                <c:pt idx="61">
                  <c:v>1.1936765646789131E-3</c:v>
                </c:pt>
                <c:pt idx="62">
                  <c:v>1.194148257259646E-3</c:v>
                </c:pt>
                <c:pt idx="63">
                  <c:v>1.1954342993600281E-3</c:v>
                </c:pt>
                <c:pt idx="64">
                  <c:v>1.1958224261615269E-3</c:v>
                </c:pt>
                <c:pt idx="65">
                  <c:v>1.1961915050047E-3</c:v>
                </c:pt>
                <c:pt idx="66">
                  <c:v>1.1965422732841404E-3</c:v>
                </c:pt>
                <c:pt idx="67">
                  <c:v>1.1968754683944413E-3</c:v>
                </c:pt>
                <c:pt idx="68">
                  <c:v>1.1977769886564378E-3</c:v>
                </c:pt>
                <c:pt idx="69">
                  <c:v>1.1980472650361116E-3</c:v>
                </c:pt>
                <c:pt idx="70">
                  <c:v>1.1983036552196112E-3</c:v>
                </c:pt>
                <c:pt idx="71">
                  <c:v>1.19854689660153E-3</c:v>
                </c:pt>
                <c:pt idx="72">
                  <c:v>1.1987777265764609E-3</c:v>
                </c:pt>
                <c:pt idx="73">
                  <c:v>1.199403122005258E-3</c:v>
                </c:pt>
                <c:pt idx="74">
                  <c:v>1.1995916802981688E-3</c:v>
                </c:pt>
                <c:pt idx="75">
                  <c:v>1.1997715141570571E-3</c:v>
                </c:pt>
                <c:pt idx="76">
                  <c:v>1.1999433609765164E-3</c:v>
                </c:pt>
                <c:pt idx="77">
                  <c:v>1.2001079581511395E-3</c:v>
                </c:pt>
                <c:pt idx="78">
                  <c:v>1.2005656257519236E-3</c:v>
                </c:pt>
                <c:pt idx="79">
                  <c:v>1.2007085982931333E-3</c:v>
                </c:pt>
                <c:pt idx="80">
                  <c:v>1.2008480081624727E-3</c:v>
                </c:pt>
                <c:pt idx="81">
                  <c:v>1.2009845927545345E-3</c:v>
                </c:pt>
                <c:pt idx="82">
                  <c:v>1.201119089463912E-3</c:v>
                </c:pt>
                <c:pt idx="83">
                  <c:v>1.2015174262418693E-3</c:v>
                </c:pt>
                <c:pt idx="84">
                  <c:v>1.2016509453664404E-3</c:v>
                </c:pt>
                <c:pt idx="85">
                  <c:v>1.2017860635812926E-3</c:v>
                </c:pt>
                <c:pt idx="86">
                  <c:v>1.2019235182810192E-3</c:v>
                </c:pt>
                <c:pt idx="87">
                  <c:v>1.2020640468602131E-3</c:v>
                </c:pt>
                <c:pt idx="88">
                  <c:v>1.2025114498205301E-3</c:v>
                </c:pt>
                <c:pt idx="89">
                  <c:v>1.2026716478635245E-3</c:v>
                </c:pt>
                <c:pt idx="90">
                  <c:v>1.2028386067589518E-3</c:v>
                </c:pt>
                <c:pt idx="91">
                  <c:v>1.2030326648817225E-3</c:v>
                </c:pt>
                <c:pt idx="92">
                  <c:v>1.2032729915505637E-3</c:v>
                </c:pt>
                <c:pt idx="93">
                  <c:v>1.2042614209366838E-3</c:v>
                </c:pt>
                <c:pt idx="94">
                  <c:v>1.2046766598929812E-3</c:v>
                </c:pt>
                <c:pt idx="95">
                  <c:v>1.2051330864469361E-3</c:v>
                </c:pt>
                <c:pt idx="96">
                  <c:v>1.2056296844088665E-3</c:v>
                </c:pt>
                <c:pt idx="97">
                  <c:v>1.2061654375890895E-3</c:v>
                </c:pt>
                <c:pt idx="98">
                  <c:v>1.20799746654269E-3</c:v>
                </c:pt>
                <c:pt idx="99">
                  <c:v>1.2086796786992592E-3</c:v>
                </c:pt>
                <c:pt idx="100">
                  <c:v>1.2093959651257083E-3</c:v>
                </c:pt>
                <c:pt idx="101">
                  <c:v>1.2101453096323551E-3</c:v>
                </c:pt>
                <c:pt idx="102">
                  <c:v>1.2109266960295172E-3</c:v>
                </c:pt>
                <c:pt idx="103">
                  <c:v>1.2134529446672694E-3</c:v>
                </c:pt>
                <c:pt idx="104">
                  <c:v>1.2143523367296671E-3</c:v>
                </c:pt>
                <c:pt idx="105">
                  <c:v>1.2152786897341673E-3</c:v>
                </c:pt>
                <c:pt idx="106">
                  <c:v>1.2162309874910878E-3</c:v>
                </c:pt>
                <c:pt idx="107">
                  <c:v>1.2172082138107458E-3</c:v>
                </c:pt>
                <c:pt idx="108">
                  <c:v>1.2202793022493207E-3</c:v>
                </c:pt>
                <c:pt idx="109">
                  <c:v>1.2213460809231043E-3</c:v>
                </c:pt>
                <c:pt idx="110">
                  <c:v>1.2224327072112126E-3</c:v>
                </c:pt>
                <c:pt idx="111">
                  <c:v>1.2235381649239637E-3</c:v>
                </c:pt>
                <c:pt idx="112">
                  <c:v>1.2246614378716748E-3</c:v>
                </c:pt>
                <c:pt idx="113">
                  <c:v>1.2281279862277434E-3</c:v>
                </c:pt>
                <c:pt idx="114">
                  <c:v>1.2293123582184698E-3</c:v>
                </c:pt>
                <c:pt idx="115">
                  <c:v>1.2305094644957436E-3</c:v>
                </c:pt>
                <c:pt idx="116">
                  <c:v>1.2317182888698821E-3</c:v>
                </c:pt>
                <c:pt idx="117">
                  <c:v>1.2329378151512034E-3</c:v>
                </c:pt>
                <c:pt idx="118">
                  <c:v>1.236650443541437E-3</c:v>
                </c:pt>
                <c:pt idx="119">
                  <c:v>1.2379026155546632E-3</c:v>
                </c:pt>
                <c:pt idx="120">
                  <c:v>1.2391604085266591E-3</c:v>
                </c:pt>
                <c:pt idx="121">
                  <c:v>1.2404228062677426E-3</c:v>
                </c:pt>
                <c:pt idx="122">
                  <c:v>1.2416887925882308E-3</c:v>
                </c:pt>
                <c:pt idx="123">
                  <c:v>1.2454981211293004E-3</c:v>
                </c:pt>
                <c:pt idx="124">
                  <c:v>1.2467682998705833E-3</c:v>
                </c:pt>
                <c:pt idx="125">
                  <c:v>1.2480369862428588E-3</c:v>
                </c:pt>
                <c:pt idx="126">
                  <c:v>1.2493031640564438E-3</c:v>
                </c:pt>
                <c:pt idx="127">
                  <c:v>1.2505658171216563E-3</c:v>
                </c:pt>
                <c:pt idx="128">
                  <c:v>1.254322465930233E-3</c:v>
                </c:pt>
                <c:pt idx="129">
                  <c:v>1.2555608581051299E-3</c:v>
                </c:pt>
                <c:pt idx="130">
                  <c:v>1.2567906445832416E-3</c:v>
                </c:pt>
                <c:pt idx="131">
                  <c:v>1.2580108091748855E-3</c:v>
                </c:pt>
                <c:pt idx="132">
                  <c:v>1.2592203356903793E-3</c:v>
                </c:pt>
                <c:pt idx="133">
                  <c:v>1.2627749248831342E-3</c:v>
                </c:pt>
                <c:pt idx="134">
                  <c:v>1.263931737197202E-3</c:v>
                </c:pt>
                <c:pt idx="135">
                  <c:v>1.2650728304867069E-3</c:v>
                </c:pt>
                <c:pt idx="136">
                  <c:v>1.2661971885619668E-3</c:v>
                </c:pt>
                <c:pt idx="137">
                  <c:v>1.2673037952332987E-3</c:v>
                </c:pt>
                <c:pt idx="138">
                  <c:v>1.2705069449269028E-3</c:v>
                </c:pt>
                <c:pt idx="139">
                  <c:v>1.2715323840856987E-3</c:v>
                </c:pt>
                <c:pt idx="140">
                  <c:v>1.2725349908921542E-3</c:v>
                </c:pt>
                <c:pt idx="141">
                  <c:v>1.2735137491565868E-3</c:v>
                </c:pt>
                <c:pt idx="142">
                  <c:v>1.2744676426893141E-3</c:v>
                </c:pt>
                <c:pt idx="143">
                  <c:v>1.2771699730004388E-3</c:v>
                </c:pt>
                <c:pt idx="144">
                  <c:v>1.2780142457095194E-3</c:v>
                </c:pt>
                <c:pt idx="145">
                  <c:v>1.2788285727384824E-3</c:v>
                </c:pt>
                <c:pt idx="146">
                  <c:v>1.2796119378976449E-3</c:v>
                </c:pt>
                <c:pt idx="147">
                  <c:v>1.2803633249973245E-3</c:v>
                </c:pt>
                <c:pt idx="148">
                  <c:v>1.2824154560426408E-3</c:v>
                </c:pt>
                <c:pt idx="149">
                  <c:v>1.2830287690075637E-3</c:v>
                </c:pt>
                <c:pt idx="150">
                  <c:v>1.2836050229645909E-3</c:v>
                </c:pt>
                <c:pt idx="151">
                  <c:v>1.2841432017240404E-3</c:v>
                </c:pt>
                <c:pt idx="152">
                  <c:v>1.2846422890962293E-3</c:v>
                </c:pt>
                <c:pt idx="153">
                  <c:v>1.2858948409924082E-3</c:v>
                </c:pt>
                <c:pt idx="154">
                  <c:v>1.2862274009187303E-3</c:v>
                </c:pt>
                <c:pt idx="155">
                  <c:v>1.2865157885093791E-3</c:v>
                </c:pt>
                <c:pt idx="156">
                  <c:v>1.2867785529780123E-3</c:v>
                </c:pt>
                <c:pt idx="157">
                  <c:v>1.2870349765438376E-3</c:v>
                </c:pt>
                <c:pt idx="158">
                  <c:v>1.2877670350108987E-3</c:v>
                </c:pt>
                <c:pt idx="159">
                  <c:v>1.2879989281519247E-3</c:v>
                </c:pt>
                <c:pt idx="160">
                  <c:v>1.288224896983359E-3</c:v>
                </c:pt>
                <c:pt idx="161">
                  <c:v>1.2884450248238446E-3</c:v>
                </c:pt>
                <c:pt idx="162">
                  <c:v>1.2892687926491658E-3</c:v>
                </c:pt>
                <c:pt idx="163">
                  <c:v>1.2894609653145569E-3</c:v>
                </c:pt>
                <c:pt idx="164">
                  <c:v>1.2896477969008586E-3</c:v>
                </c:pt>
                <c:pt idx="165">
                  <c:v>1.2898293707267142E-3</c:v>
                </c:pt>
                <c:pt idx="166">
                  <c:v>1.2905047547985408E-3</c:v>
                </c:pt>
                <c:pt idx="167">
                  <c:v>1.2906612896018143E-3</c:v>
                </c:pt>
                <c:pt idx="168">
                  <c:v>1.2908130665565012E-3</c:v>
                </c:pt>
                <c:pt idx="169">
                  <c:v>1.2909601689812446E-3</c:v>
                </c:pt>
                <c:pt idx="170">
                  <c:v>1.2911026801946876E-3</c:v>
                </c:pt>
                <c:pt idx="171">
                  <c:v>1.2915034997536467E-3</c:v>
                </c:pt>
                <c:pt idx="172">
                  <c:v>1.2916284793083204E-3</c:v>
                </c:pt>
                <c:pt idx="173">
                  <c:v>1.29174928424491E-3</c:v>
                </c:pt>
                <c:pt idx="174">
                  <c:v>1.2918659978820586E-3</c:v>
                </c:pt>
                <c:pt idx="175">
                  <c:v>1.2919787035384094E-3</c:v>
                </c:pt>
                <c:pt idx="176">
                  <c:v>1.2922936058091068E-3</c:v>
                </c:pt>
                <c:pt idx="177">
                  <c:v>1.2923911127286985E-3</c:v>
                </c:pt>
                <c:pt idx="178">
                  <c:v>1.2924850282607083E-3</c:v>
                </c:pt>
                <c:pt idx="179">
                  <c:v>1.2925754357237798E-3</c:v>
                </c:pt>
                <c:pt idx="180">
                  <c:v>1.2926624184365558E-3</c:v>
                </c:pt>
                <c:pt idx="181">
                  <c:v>1.2929036512595443E-3</c:v>
                </c:pt>
                <c:pt idx="182">
                  <c:v>1.2929777681575715E-3</c:v>
                </c:pt>
                <c:pt idx="183">
                  <c:v>1.2930488768985193E-3</c:v>
                </c:pt>
                <c:pt idx="184">
                  <c:v>1.293117060801031E-3</c:v>
                </c:pt>
                <c:pt idx="185">
                  <c:v>1.29318240318375E-3</c:v>
                </c:pt>
                <c:pt idx="186">
                  <c:v>1.2933622143995827E-3</c:v>
                </c:pt>
                <c:pt idx="187">
                  <c:v>1.2934170238895627E-3</c:v>
                </c:pt>
                <c:pt idx="188">
                  <c:v>1.2934694084529659E-3</c:v>
                </c:pt>
                <c:pt idx="189">
                  <c:v>1.2935194514084359E-3</c:v>
                </c:pt>
                <c:pt idx="190">
                  <c:v>1.2935672360746154E-3</c:v>
                </c:pt>
                <c:pt idx="191">
                  <c:v>1.2936978735238447E-3</c:v>
                </c:pt>
                <c:pt idx="192">
                  <c:v>1.2937374582192953E-3</c:v>
                </c:pt>
                <c:pt idx="193">
                  <c:v>1.2937752012186718E-3</c:v>
                </c:pt>
                <c:pt idx="194">
                  <c:v>1.2938111858406174E-3</c:v>
                </c:pt>
                <c:pt idx="195">
                  <c:v>1.2938454954037749E-3</c:v>
                </c:pt>
                <c:pt idx="196">
                  <c:v>1.2939392069269539E-3</c:v>
                </c:pt>
                <c:pt idx="197">
                  <c:v>1.2939676494413926E-3</c:v>
                </c:pt>
                <c:pt idx="198">
                  <c:v>1.2939948334902598E-3</c:v>
                </c:pt>
                <c:pt idx="199">
                  <c:v>1.2940208423921986E-3</c:v>
                </c:pt>
                <c:pt idx="200">
                  <c:v>1.2940457594658521E-3</c:v>
                </c:pt>
                <c:pt idx="201">
                  <c:v>1.2941147929035333E-3</c:v>
                </c:pt>
                <c:pt idx="202">
                  <c:v>1.2941361758504778E-3</c:v>
                </c:pt>
                <c:pt idx="203">
                  <c:v>1.2941568835623534E-3</c:v>
                </c:pt>
                <c:pt idx="204">
                  <c:v>1.2941769993578031E-3</c:v>
                </c:pt>
                <c:pt idx="205">
                  <c:v>1.2941966065554698E-3</c:v>
                </c:pt>
                <c:pt idx="206">
                  <c:v>1.2942532097482062E-3</c:v>
                </c:pt>
                <c:pt idx="207">
                  <c:v>1.2942716157411742E-3</c:v>
                </c:pt>
                <c:pt idx="208">
                  <c:v>1.2942899297295758E-3</c:v>
                </c:pt>
                <c:pt idx="209">
                  <c:v>1.2943082350320536E-3</c:v>
                </c:pt>
                <c:pt idx="210">
                  <c:v>1.2943266149672515E-3</c:v>
                </c:pt>
                <c:pt idx="211">
                  <c:v>1.2943830357555958E-3</c:v>
                </c:pt>
                <c:pt idx="212">
                  <c:v>1.2944025474081048E-3</c:v>
                </c:pt>
                <c:pt idx="213">
                  <c:v>1.2944225502865498E-3</c:v>
                </c:pt>
                <c:pt idx="214">
                  <c:v>1.294443127709574E-3</c:v>
                </c:pt>
                <c:pt idx="215">
                  <c:v>1.2944643629958202E-3</c:v>
                </c:pt>
                <c:pt idx="216">
                  <c:v>1.2945328492203253E-3</c:v>
                </c:pt>
                <c:pt idx="217">
                  <c:v>1.294557549145893E-3</c:v>
                </c:pt>
                <c:pt idx="218">
                  <c:v>1.2945833235278991E-3</c:v>
                </c:pt>
                <c:pt idx="219">
                  <c:v>1.2946151295446452E-3</c:v>
                </c:pt>
                <c:pt idx="220">
                  <c:v>1.294658037661114E-3</c:v>
                </c:pt>
                <c:pt idx="221">
                  <c:v>1.2948559070955082E-3</c:v>
                </c:pt>
                <c:pt idx="222">
                  <c:v>1.2949457560975188E-3</c:v>
                </c:pt>
                <c:pt idx="223">
                  <c:v>1.295047973442578E-3</c:v>
                </c:pt>
                <c:pt idx="224">
                  <c:v>1.2951628123793501E-3</c:v>
                </c:pt>
                <c:pt idx="225">
                  <c:v>1.295935194642188E-3</c:v>
                </c:pt>
                <c:pt idx="226">
                  <c:v>1.2961310813512064E-3</c:v>
                </c:pt>
                <c:pt idx="227">
                  <c:v>1.2963413623925937E-3</c:v>
                </c:pt>
                <c:pt idx="228">
                  <c:v>1.2965662910150147E-3</c:v>
                </c:pt>
                <c:pt idx="229">
                  <c:v>1.2973314948551322E-3</c:v>
                </c:pt>
                <c:pt idx="230">
                  <c:v>1.2976175462883397E-3</c:v>
                </c:pt>
                <c:pt idx="231">
                  <c:v>1.2979195115459066E-3</c:v>
                </c:pt>
                <c:pt idx="232">
                  <c:v>1.2982376438764977E-3</c:v>
                </c:pt>
                <c:pt idx="233">
                  <c:v>1.2985721965287783E-3</c:v>
                </c:pt>
                <c:pt idx="234">
                  <c:v>1.2996769089024074E-3</c:v>
                </c:pt>
                <c:pt idx="235">
                  <c:v>1.3000796753280964E-3</c:v>
                </c:pt>
                <c:pt idx="236">
                  <c:v>1.3005001283188003E-3</c:v>
                </c:pt>
                <c:pt idx="237">
                  <c:v>1.3009385211231843E-3</c:v>
                </c:pt>
                <c:pt idx="238">
                  <c:v>1.3013951069899129E-3</c:v>
                </c:pt>
                <c:pt idx="239">
                  <c:v>1.3028765554508202E-3</c:v>
                </c:pt>
                <c:pt idx="240">
                  <c:v>1.3034084460535797E-3</c:v>
                </c:pt>
                <c:pt idx="241">
                  <c:v>1.3039597959620098E-3</c:v>
                </c:pt>
                <c:pt idx="242">
                  <c:v>1.3045308584247752E-3</c:v>
                </c:pt>
                <c:pt idx="243">
                  <c:v>1.3051218866905411E-3</c:v>
                </c:pt>
                <c:pt idx="244">
                  <c:v>1.3070172987924929E-3</c:v>
                </c:pt>
                <c:pt idx="245">
                  <c:v>1.3076907227569119E-3</c:v>
                </c:pt>
                <c:pt idx="246">
                  <c:v>1.3083853787676566E-3</c:v>
                </c:pt>
                <c:pt idx="247">
                  <c:v>1.3091015200733926E-3</c:v>
                </c:pt>
                <c:pt idx="248">
                  <c:v>1.3098393999227845E-3</c:v>
                </c:pt>
                <c:pt idx="249">
                  <c:v>1.3121860032195476E-3</c:v>
                </c:pt>
                <c:pt idx="250">
                  <c:v>1.3130133697302146E-3</c:v>
                </c:pt>
                <c:pt idx="251">
                  <c:v>1.3138637410278632E-3</c:v>
                </c:pt>
                <c:pt idx="252">
                  <c:v>1.3147373703611583E-3</c:v>
                </c:pt>
                <c:pt idx="253">
                  <c:v>1.3156345109787649E-3</c:v>
                </c:pt>
                <c:pt idx="254">
                  <c:v>1.3184695330241058E-3</c:v>
                </c:pt>
                <c:pt idx="255">
                  <c:v>1.3194632512656098E-3</c:v>
                </c:pt>
                <c:pt idx="256">
                  <c:v>1.320481747034751E-3</c:v>
                </c:pt>
                <c:pt idx="257">
                  <c:v>1.3215252735801941E-3</c:v>
                </c:pt>
                <c:pt idx="258">
                  <c:v>1.3225940841506045E-3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359616"/>
        <c:axId val="637361152"/>
      </c:scatterChart>
      <c:valAx>
        <c:axId val="6373596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7361152"/>
        <c:crosses val="autoZero"/>
        <c:crossBetween val="midCat"/>
      </c:valAx>
      <c:valAx>
        <c:axId val="637361152"/>
        <c:scaling>
          <c:orientation val="minMax"/>
          <c:max val="1.6000000000000005E-3"/>
          <c:min val="1.0000000000000002E-3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37359616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42137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1.7794587234214172E-3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42170</c:v>
                </c:pt>
                <c:pt idx="1">
                  <c:v>42198</c:v>
                </c:pt>
                <c:pt idx="2">
                  <c:v>42229</c:v>
                </c:pt>
                <c:pt idx="3">
                  <c:v>42261</c:v>
                </c:pt>
                <c:pt idx="4">
                  <c:v>42290</c:v>
                </c:pt>
                <c:pt idx="5">
                  <c:v>42321</c:v>
                </c:pt>
                <c:pt idx="6">
                  <c:v>42352</c:v>
                </c:pt>
                <c:pt idx="7">
                  <c:v>42382</c:v>
                </c:pt>
                <c:pt idx="8">
                  <c:v>42415</c:v>
                </c:pt>
                <c:pt idx="9">
                  <c:v>42443</c:v>
                </c:pt>
                <c:pt idx="10">
                  <c:v>42473</c:v>
                </c:pt>
                <c:pt idx="11">
                  <c:v>42503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1.8656540836878449E-3</c:v>
                </c:pt>
                <c:pt idx="1">
                  <c:v>1.8849652174868585E-3</c:v>
                </c:pt>
                <c:pt idx="2">
                  <c:v>1.9238915023886373E-3</c:v>
                </c:pt>
                <c:pt idx="3">
                  <c:v>1.9432655759946886E-3</c:v>
                </c:pt>
                <c:pt idx="4">
                  <c:v>1.9663115701457788E-3</c:v>
                </c:pt>
                <c:pt idx="5">
                  <c:v>1.9862090259968853E-3</c:v>
                </c:pt>
                <c:pt idx="6">
                  <c:v>2.0122369401462518E-3</c:v>
                </c:pt>
                <c:pt idx="7">
                  <c:v>2.057301101625495E-3</c:v>
                </c:pt>
                <c:pt idx="8">
                  <c:v>2.0562867750984399E-3</c:v>
                </c:pt>
                <c:pt idx="9">
                  <c:v>2.0611819311202135E-3</c:v>
                </c:pt>
                <c:pt idx="10">
                  <c:v>2.0979142512438202E-3</c:v>
                </c:pt>
                <c:pt idx="11">
                  <c:v>2.1364238457560378E-3</c:v>
                </c:pt>
                <c:pt idx="12">
                  <c:v>2.1599968221314514E-3</c:v>
                </c:pt>
                <c:pt idx="13">
                  <c:v>2.1414321014951417E-3</c:v>
                </c:pt>
                <c:pt idx="14">
                  <c:v>2.1844248595357003E-3</c:v>
                </c:pt>
                <c:pt idx="15">
                  <c:v>2.1908513600639367E-3</c:v>
                </c:pt>
                <c:pt idx="16">
                  <c:v>2.2048828043052119E-3</c:v>
                </c:pt>
                <c:pt idx="17">
                  <c:v>2.1857458135062652E-3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42137</c:v>
                </c:pt>
                <c:pt idx="1">
                  <c:v>42138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42149</c:v>
                </c:pt>
                <c:pt idx="9">
                  <c:v>42150</c:v>
                </c:pt>
                <c:pt idx="10">
                  <c:v>42151</c:v>
                </c:pt>
                <c:pt idx="11">
                  <c:v>42152</c:v>
                </c:pt>
                <c:pt idx="12">
                  <c:v>42153</c:v>
                </c:pt>
                <c:pt idx="13">
                  <c:v>42156</c:v>
                </c:pt>
                <c:pt idx="14">
                  <c:v>42157</c:v>
                </c:pt>
                <c:pt idx="15">
                  <c:v>42158</c:v>
                </c:pt>
                <c:pt idx="16">
                  <c:v>42159</c:v>
                </c:pt>
                <c:pt idx="17">
                  <c:v>42160</c:v>
                </c:pt>
                <c:pt idx="18">
                  <c:v>42163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42219</c:v>
                </c:pt>
                <c:pt idx="59">
                  <c:v>42220</c:v>
                </c:pt>
                <c:pt idx="60">
                  <c:v>42221</c:v>
                </c:pt>
                <c:pt idx="61">
                  <c:v>42222</c:v>
                </c:pt>
                <c:pt idx="62">
                  <c:v>42223</c:v>
                </c:pt>
                <c:pt idx="63">
                  <c:v>42226</c:v>
                </c:pt>
                <c:pt idx="64">
                  <c:v>42227</c:v>
                </c:pt>
                <c:pt idx="65">
                  <c:v>42228</c:v>
                </c:pt>
                <c:pt idx="66">
                  <c:v>42229</c:v>
                </c:pt>
                <c:pt idx="67">
                  <c:v>42230</c:v>
                </c:pt>
                <c:pt idx="68">
                  <c:v>42233</c:v>
                </c:pt>
                <c:pt idx="69">
                  <c:v>42234</c:v>
                </c:pt>
                <c:pt idx="70">
                  <c:v>42235</c:v>
                </c:pt>
                <c:pt idx="71">
                  <c:v>42236</c:v>
                </c:pt>
                <c:pt idx="72">
                  <c:v>42237</c:v>
                </c:pt>
                <c:pt idx="73">
                  <c:v>42240</c:v>
                </c:pt>
                <c:pt idx="74">
                  <c:v>42241</c:v>
                </c:pt>
                <c:pt idx="75">
                  <c:v>42242</c:v>
                </c:pt>
                <c:pt idx="76">
                  <c:v>42243</c:v>
                </c:pt>
                <c:pt idx="77">
                  <c:v>42244</c:v>
                </c:pt>
                <c:pt idx="78">
                  <c:v>42247</c:v>
                </c:pt>
                <c:pt idx="79">
                  <c:v>42248</c:v>
                </c:pt>
                <c:pt idx="80">
                  <c:v>42249</c:v>
                </c:pt>
                <c:pt idx="81">
                  <c:v>42250</c:v>
                </c:pt>
                <c:pt idx="82">
                  <c:v>42251</c:v>
                </c:pt>
                <c:pt idx="83">
                  <c:v>42254</c:v>
                </c:pt>
                <c:pt idx="84">
                  <c:v>42255</c:v>
                </c:pt>
                <c:pt idx="85">
                  <c:v>42256</c:v>
                </c:pt>
                <c:pt idx="86">
                  <c:v>42257</c:v>
                </c:pt>
                <c:pt idx="87">
                  <c:v>42258</c:v>
                </c:pt>
                <c:pt idx="88">
                  <c:v>42261</c:v>
                </c:pt>
                <c:pt idx="89">
                  <c:v>42262</c:v>
                </c:pt>
                <c:pt idx="90">
                  <c:v>42263</c:v>
                </c:pt>
                <c:pt idx="91">
                  <c:v>42264</c:v>
                </c:pt>
                <c:pt idx="92">
                  <c:v>42265</c:v>
                </c:pt>
                <c:pt idx="93">
                  <c:v>42268</c:v>
                </c:pt>
                <c:pt idx="94">
                  <c:v>42269</c:v>
                </c:pt>
                <c:pt idx="95">
                  <c:v>42270</c:v>
                </c:pt>
                <c:pt idx="96">
                  <c:v>42271</c:v>
                </c:pt>
                <c:pt idx="97">
                  <c:v>42272</c:v>
                </c:pt>
                <c:pt idx="98">
                  <c:v>42275</c:v>
                </c:pt>
                <c:pt idx="99">
                  <c:v>42276</c:v>
                </c:pt>
                <c:pt idx="100">
                  <c:v>42277</c:v>
                </c:pt>
                <c:pt idx="101">
                  <c:v>42278</c:v>
                </c:pt>
                <c:pt idx="102">
                  <c:v>42279</c:v>
                </c:pt>
                <c:pt idx="103">
                  <c:v>42282</c:v>
                </c:pt>
                <c:pt idx="104">
                  <c:v>42283</c:v>
                </c:pt>
                <c:pt idx="105">
                  <c:v>42284</c:v>
                </c:pt>
                <c:pt idx="106">
                  <c:v>42285</c:v>
                </c:pt>
                <c:pt idx="107">
                  <c:v>42286</c:v>
                </c:pt>
                <c:pt idx="108">
                  <c:v>42289</c:v>
                </c:pt>
                <c:pt idx="109">
                  <c:v>42290</c:v>
                </c:pt>
                <c:pt idx="110">
                  <c:v>42291</c:v>
                </c:pt>
                <c:pt idx="111">
                  <c:v>42292</c:v>
                </c:pt>
                <c:pt idx="112">
                  <c:v>42293</c:v>
                </c:pt>
                <c:pt idx="113">
                  <c:v>42296</c:v>
                </c:pt>
                <c:pt idx="114">
                  <c:v>42297</c:v>
                </c:pt>
                <c:pt idx="115">
                  <c:v>42298</c:v>
                </c:pt>
                <c:pt idx="116">
                  <c:v>42299</c:v>
                </c:pt>
                <c:pt idx="117">
                  <c:v>42300</c:v>
                </c:pt>
                <c:pt idx="118">
                  <c:v>42303</c:v>
                </c:pt>
                <c:pt idx="119">
                  <c:v>42304</c:v>
                </c:pt>
                <c:pt idx="120">
                  <c:v>42305</c:v>
                </c:pt>
                <c:pt idx="121">
                  <c:v>42306</c:v>
                </c:pt>
                <c:pt idx="122">
                  <c:v>42307</c:v>
                </c:pt>
                <c:pt idx="123">
                  <c:v>42310</c:v>
                </c:pt>
                <c:pt idx="124">
                  <c:v>42311</c:v>
                </c:pt>
                <c:pt idx="125">
                  <c:v>42312</c:v>
                </c:pt>
                <c:pt idx="126">
                  <c:v>42313</c:v>
                </c:pt>
                <c:pt idx="127">
                  <c:v>42314</c:v>
                </c:pt>
                <c:pt idx="128">
                  <c:v>42317</c:v>
                </c:pt>
                <c:pt idx="129">
                  <c:v>42318</c:v>
                </c:pt>
                <c:pt idx="130">
                  <c:v>42319</c:v>
                </c:pt>
                <c:pt idx="131">
                  <c:v>42320</c:v>
                </c:pt>
                <c:pt idx="132">
                  <c:v>42321</c:v>
                </c:pt>
                <c:pt idx="133">
                  <c:v>42324</c:v>
                </c:pt>
                <c:pt idx="134">
                  <c:v>42325</c:v>
                </c:pt>
                <c:pt idx="135">
                  <c:v>42326</c:v>
                </c:pt>
                <c:pt idx="136">
                  <c:v>42327</c:v>
                </c:pt>
                <c:pt idx="137">
                  <c:v>42328</c:v>
                </c:pt>
                <c:pt idx="138">
                  <c:v>42331</c:v>
                </c:pt>
                <c:pt idx="139">
                  <c:v>42332</c:v>
                </c:pt>
                <c:pt idx="140">
                  <c:v>42333</c:v>
                </c:pt>
                <c:pt idx="141">
                  <c:v>42334</c:v>
                </c:pt>
                <c:pt idx="142">
                  <c:v>42335</c:v>
                </c:pt>
                <c:pt idx="143">
                  <c:v>42338</c:v>
                </c:pt>
                <c:pt idx="144">
                  <c:v>42339</c:v>
                </c:pt>
                <c:pt idx="145">
                  <c:v>42340</c:v>
                </c:pt>
                <c:pt idx="146">
                  <c:v>42341</c:v>
                </c:pt>
                <c:pt idx="147">
                  <c:v>42342</c:v>
                </c:pt>
                <c:pt idx="148">
                  <c:v>42345</c:v>
                </c:pt>
                <c:pt idx="149">
                  <c:v>42346</c:v>
                </c:pt>
                <c:pt idx="150">
                  <c:v>42347</c:v>
                </c:pt>
                <c:pt idx="151">
                  <c:v>42348</c:v>
                </c:pt>
                <c:pt idx="152">
                  <c:v>42349</c:v>
                </c:pt>
                <c:pt idx="153">
                  <c:v>42352</c:v>
                </c:pt>
                <c:pt idx="154">
                  <c:v>42353</c:v>
                </c:pt>
                <c:pt idx="155">
                  <c:v>42354</c:v>
                </c:pt>
                <c:pt idx="156">
                  <c:v>42355</c:v>
                </c:pt>
                <c:pt idx="157">
                  <c:v>42356</c:v>
                </c:pt>
                <c:pt idx="158">
                  <c:v>42359</c:v>
                </c:pt>
                <c:pt idx="159">
                  <c:v>42360</c:v>
                </c:pt>
                <c:pt idx="160">
                  <c:v>42361</c:v>
                </c:pt>
                <c:pt idx="161">
                  <c:v>42362</c:v>
                </c:pt>
                <c:pt idx="162">
                  <c:v>42366</c:v>
                </c:pt>
                <c:pt idx="163">
                  <c:v>42367</c:v>
                </c:pt>
                <c:pt idx="164">
                  <c:v>42368</c:v>
                </c:pt>
                <c:pt idx="165">
                  <c:v>42369</c:v>
                </c:pt>
                <c:pt idx="166">
                  <c:v>42373</c:v>
                </c:pt>
                <c:pt idx="167">
                  <c:v>42374</c:v>
                </c:pt>
                <c:pt idx="168">
                  <c:v>42375</c:v>
                </c:pt>
                <c:pt idx="169">
                  <c:v>42376</c:v>
                </c:pt>
                <c:pt idx="170">
                  <c:v>42377</c:v>
                </c:pt>
                <c:pt idx="171">
                  <c:v>42380</c:v>
                </c:pt>
                <c:pt idx="172">
                  <c:v>42381</c:v>
                </c:pt>
                <c:pt idx="173">
                  <c:v>42382</c:v>
                </c:pt>
                <c:pt idx="174">
                  <c:v>42383</c:v>
                </c:pt>
                <c:pt idx="175">
                  <c:v>42384</c:v>
                </c:pt>
                <c:pt idx="176">
                  <c:v>42387</c:v>
                </c:pt>
                <c:pt idx="177">
                  <c:v>42388</c:v>
                </c:pt>
                <c:pt idx="178">
                  <c:v>42389</c:v>
                </c:pt>
                <c:pt idx="179">
                  <c:v>42390</c:v>
                </c:pt>
                <c:pt idx="180">
                  <c:v>42391</c:v>
                </c:pt>
                <c:pt idx="181">
                  <c:v>42394</c:v>
                </c:pt>
                <c:pt idx="182">
                  <c:v>42395</c:v>
                </c:pt>
                <c:pt idx="183">
                  <c:v>42396</c:v>
                </c:pt>
                <c:pt idx="184">
                  <c:v>42397</c:v>
                </c:pt>
                <c:pt idx="185">
                  <c:v>42398</c:v>
                </c:pt>
                <c:pt idx="186">
                  <c:v>42401</c:v>
                </c:pt>
                <c:pt idx="187">
                  <c:v>42402</c:v>
                </c:pt>
                <c:pt idx="188">
                  <c:v>42403</c:v>
                </c:pt>
                <c:pt idx="189">
                  <c:v>42404</c:v>
                </c:pt>
                <c:pt idx="190">
                  <c:v>42405</c:v>
                </c:pt>
                <c:pt idx="191">
                  <c:v>42408</c:v>
                </c:pt>
                <c:pt idx="192">
                  <c:v>42409</c:v>
                </c:pt>
                <c:pt idx="193">
                  <c:v>42410</c:v>
                </c:pt>
                <c:pt idx="194">
                  <c:v>42411</c:v>
                </c:pt>
                <c:pt idx="195">
                  <c:v>42412</c:v>
                </c:pt>
                <c:pt idx="196">
                  <c:v>42415</c:v>
                </c:pt>
                <c:pt idx="197">
                  <c:v>42416</c:v>
                </c:pt>
                <c:pt idx="198">
                  <c:v>42417</c:v>
                </c:pt>
                <c:pt idx="199">
                  <c:v>42418</c:v>
                </c:pt>
                <c:pt idx="200">
                  <c:v>42419</c:v>
                </c:pt>
                <c:pt idx="201">
                  <c:v>42422</c:v>
                </c:pt>
                <c:pt idx="202">
                  <c:v>42423</c:v>
                </c:pt>
                <c:pt idx="203">
                  <c:v>42424</c:v>
                </c:pt>
                <c:pt idx="204">
                  <c:v>42425</c:v>
                </c:pt>
                <c:pt idx="205">
                  <c:v>42426</c:v>
                </c:pt>
                <c:pt idx="206">
                  <c:v>42429</c:v>
                </c:pt>
                <c:pt idx="207">
                  <c:v>42430</c:v>
                </c:pt>
                <c:pt idx="208">
                  <c:v>42431</c:v>
                </c:pt>
                <c:pt idx="209">
                  <c:v>42432</c:v>
                </c:pt>
                <c:pt idx="210">
                  <c:v>42433</c:v>
                </c:pt>
                <c:pt idx="211">
                  <c:v>42436</c:v>
                </c:pt>
                <c:pt idx="212">
                  <c:v>42437</c:v>
                </c:pt>
                <c:pt idx="213">
                  <c:v>42438</c:v>
                </c:pt>
                <c:pt idx="214">
                  <c:v>42439</c:v>
                </c:pt>
                <c:pt idx="215">
                  <c:v>42440</c:v>
                </c:pt>
                <c:pt idx="216">
                  <c:v>42443</c:v>
                </c:pt>
                <c:pt idx="217">
                  <c:v>42444</c:v>
                </c:pt>
                <c:pt idx="218">
                  <c:v>42445</c:v>
                </c:pt>
                <c:pt idx="219">
                  <c:v>42446</c:v>
                </c:pt>
                <c:pt idx="220">
                  <c:v>42447</c:v>
                </c:pt>
                <c:pt idx="221">
                  <c:v>42450</c:v>
                </c:pt>
                <c:pt idx="222">
                  <c:v>42451</c:v>
                </c:pt>
                <c:pt idx="223">
                  <c:v>42452</c:v>
                </c:pt>
                <c:pt idx="224">
                  <c:v>42453</c:v>
                </c:pt>
                <c:pt idx="225">
                  <c:v>42458</c:v>
                </c:pt>
                <c:pt idx="226">
                  <c:v>42459</c:v>
                </c:pt>
                <c:pt idx="227">
                  <c:v>42460</c:v>
                </c:pt>
                <c:pt idx="228">
                  <c:v>42461</c:v>
                </c:pt>
                <c:pt idx="229">
                  <c:v>42464</c:v>
                </c:pt>
                <c:pt idx="230">
                  <c:v>42465</c:v>
                </c:pt>
                <c:pt idx="231">
                  <c:v>42466</c:v>
                </c:pt>
                <c:pt idx="232">
                  <c:v>42467</c:v>
                </c:pt>
                <c:pt idx="233">
                  <c:v>42468</c:v>
                </c:pt>
                <c:pt idx="234">
                  <c:v>42471</c:v>
                </c:pt>
                <c:pt idx="235">
                  <c:v>42472</c:v>
                </c:pt>
                <c:pt idx="236">
                  <c:v>42473</c:v>
                </c:pt>
                <c:pt idx="237">
                  <c:v>42474</c:v>
                </c:pt>
                <c:pt idx="238">
                  <c:v>42475</c:v>
                </c:pt>
                <c:pt idx="239">
                  <c:v>42478</c:v>
                </c:pt>
                <c:pt idx="240">
                  <c:v>42479</c:v>
                </c:pt>
                <c:pt idx="241">
                  <c:v>42480</c:v>
                </c:pt>
                <c:pt idx="242">
                  <c:v>42481</c:v>
                </c:pt>
                <c:pt idx="243">
                  <c:v>42482</c:v>
                </c:pt>
                <c:pt idx="244">
                  <c:v>42485</c:v>
                </c:pt>
                <c:pt idx="245">
                  <c:v>42486</c:v>
                </c:pt>
                <c:pt idx="246">
                  <c:v>42487</c:v>
                </c:pt>
                <c:pt idx="247">
                  <c:v>42488</c:v>
                </c:pt>
                <c:pt idx="248">
                  <c:v>42489</c:v>
                </c:pt>
                <c:pt idx="249">
                  <c:v>42492</c:v>
                </c:pt>
                <c:pt idx="250">
                  <c:v>42493</c:v>
                </c:pt>
                <c:pt idx="251">
                  <c:v>42494</c:v>
                </c:pt>
                <c:pt idx="252">
                  <c:v>42495</c:v>
                </c:pt>
                <c:pt idx="253">
                  <c:v>42496</c:v>
                </c:pt>
                <c:pt idx="254">
                  <c:v>42499</c:v>
                </c:pt>
                <c:pt idx="255">
                  <c:v>42500</c:v>
                </c:pt>
                <c:pt idx="256">
                  <c:v>42501</c:v>
                </c:pt>
                <c:pt idx="257">
                  <c:v>42502</c:v>
                </c:pt>
                <c:pt idx="258">
                  <c:v>42503</c:v>
                </c:pt>
                <c:pt idx="259">
                  <c:v>42506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1.8408491403314599E-3</c:v>
                </c:pt>
                <c:pt idx="1">
                  <c:v>1.8420234994733771E-3</c:v>
                </c:pt>
                <c:pt idx="2">
                  <c:v>1.8431588406899043E-3</c:v>
                </c:pt>
                <c:pt idx="3">
                  <c:v>1.8463429498888312E-3</c:v>
                </c:pt>
                <c:pt idx="4">
                  <c:v>1.8473344125054833E-3</c:v>
                </c:pt>
                <c:pt idx="5">
                  <c:v>1.8482929537475877E-3</c:v>
                </c:pt>
                <c:pt idx="6">
                  <c:v>1.8492197929253127E-3</c:v>
                </c:pt>
                <c:pt idx="7">
                  <c:v>1.8501161493488271E-3</c:v>
                </c:pt>
                <c:pt idx="8">
                  <c:v>1.8526345151957892E-3</c:v>
                </c:pt>
                <c:pt idx="9">
                  <c:v>1.8534211337041444E-3</c:v>
                </c:pt>
                <c:pt idx="10">
                  <c:v>1.8541833660091309E-3</c:v>
                </c:pt>
                <c:pt idx="11">
                  <c:v>1.8549224314209174E-3</c:v>
                </c:pt>
                <c:pt idx="12">
                  <c:v>1.8556395492496719E-3</c:v>
                </c:pt>
                <c:pt idx="13">
                  <c:v>1.8576714103394289E-3</c:v>
                </c:pt>
                <c:pt idx="14">
                  <c:v>1.8583129309377405E-3</c:v>
                </c:pt>
                <c:pt idx="15">
                  <c:v>1.8589386005038626E-3</c:v>
                </c:pt>
                <c:pt idx="16">
                  <c:v>1.8595496383479635E-3</c:v>
                </c:pt>
                <c:pt idx="17">
                  <c:v>1.8601472637802114E-3</c:v>
                </c:pt>
                <c:pt idx="18">
                  <c:v>1.8618718587075232E-3</c:v>
                </c:pt>
                <c:pt idx="19">
                  <c:v>1.8624280275940446E-3</c:v>
                </c:pt>
                <c:pt idx="20">
                  <c:v>1.8629768806195553E-3</c:v>
                </c:pt>
                <c:pt idx="21">
                  <c:v>1.8635196370942238E-3</c:v>
                </c:pt>
                <c:pt idx="22">
                  <c:v>1.8640575163282186E-3</c:v>
                </c:pt>
                <c:pt idx="23">
                  <c:v>1.8656540836878449E-3</c:v>
                </c:pt>
                <c:pt idx="24">
                  <c:v>1.8661846470608291E-3</c:v>
                </c:pt>
                <c:pt idx="25">
                  <c:v>1.8667164297439818E-3</c:v>
                </c:pt>
                <c:pt idx="26">
                  <c:v>1.8672506510474711E-3</c:v>
                </c:pt>
                <c:pt idx="27">
                  <c:v>1.8677885302814659E-3</c:v>
                </c:pt>
                <c:pt idx="28">
                  <c:v>1.8694363086681665E-3</c:v>
                </c:pt>
                <c:pt idx="29">
                  <c:v>1.8700010127258668E-3</c:v>
                </c:pt>
                <c:pt idx="30">
                  <c:v>1.8705754712649147E-3</c:v>
                </c:pt>
                <c:pt idx="31">
                  <c:v>1.8711609035954784E-3</c:v>
                </c:pt>
                <c:pt idx="32">
                  <c:v>1.8717585290277262E-3</c:v>
                </c:pt>
                <c:pt idx="33">
                  <c:v>1.8736367570362609E-3</c:v>
                </c:pt>
                <c:pt idx="34">
                  <c:v>1.8742953479769305E-3</c:v>
                </c:pt>
                <c:pt idx="35">
                  <c:v>1.8749722285701267E-3</c:v>
                </c:pt>
                <c:pt idx="36">
                  <c:v>1.8756686181260179E-3</c:v>
                </c:pt>
                <c:pt idx="37">
                  <c:v>1.8763857359547723E-3</c:v>
                </c:pt>
                <c:pt idx="38">
                  <c:v>1.8786736521799006E-3</c:v>
                </c:pt>
                <c:pt idx="39">
                  <c:v>1.8794858762017929E-3</c:v>
                </c:pt>
                <c:pt idx="40">
                  <c:v>1.8803249250473907E-3</c:v>
                </c:pt>
                <c:pt idx="41">
                  <c:v>1.8811920180268626E-3</c:v>
                </c:pt>
                <c:pt idx="42">
                  <c:v>1.882088374450377E-3</c:v>
                </c:pt>
                <c:pt idx="43">
                  <c:v>1.8849652174868585E-3</c:v>
                </c:pt>
                <c:pt idx="44">
                  <c:v>1.8859903243089455E-3</c:v>
                </c:pt>
                <c:pt idx="45">
                  <c:v>1.8870478122502293E-3</c:v>
                </c:pt>
                <c:pt idx="46">
                  <c:v>1.8881359217451904E-3</c:v>
                </c:pt>
                <c:pt idx="47">
                  <c:v>1.8892528932283098E-3</c:v>
                </c:pt>
                <c:pt idx="48">
                  <c:v>1.8927593839514231E-3</c:v>
                </c:pt>
                <c:pt idx="49">
                  <c:v>1.8939742077319817E-3</c:v>
                </c:pt>
                <c:pt idx="50">
                  <c:v>1.8952090956731015E-3</c:v>
                </c:pt>
                <c:pt idx="51">
                  <c:v>1.8964622882092633E-3</c:v>
                </c:pt>
                <c:pt idx="52">
                  <c:v>1.897732025774948E-3</c:v>
                </c:pt>
                <c:pt idx="53">
                  <c:v>1.9016229129939454E-3</c:v>
                </c:pt>
                <c:pt idx="54">
                  <c:v>1.9029412350225277E-3</c:v>
                </c:pt>
                <c:pt idx="55">
                  <c:v>1.904267304253036E-3</c:v>
                </c:pt>
                <c:pt idx="56">
                  <c:v>1.905599361119951E-3</c:v>
                </c:pt>
                <c:pt idx="57">
                  <c:v>1.9069356460577535E-3</c:v>
                </c:pt>
                <c:pt idx="58">
                  <c:v>1.9109522736412918E-3</c:v>
                </c:pt>
                <c:pt idx="59">
                  <c:v>1.9122878752074503E-3</c:v>
                </c:pt>
                <c:pt idx="60">
                  <c:v>1.9136189070168995E-3</c:v>
                </c:pt>
                <c:pt idx="61">
                  <c:v>1.91494360950412E-3</c:v>
                </c:pt>
                <c:pt idx="62">
                  <c:v>1.9162602231035928E-3</c:v>
                </c:pt>
                <c:pt idx="63">
                  <c:v>1.9201439349203291E-3</c:v>
                </c:pt>
                <c:pt idx="64">
                  <c:v>1.9214105973136162E-3</c:v>
                </c:pt>
                <c:pt idx="65">
                  <c:v>1.9226603729915587E-3</c:v>
                </c:pt>
                <c:pt idx="66">
                  <c:v>1.9238915023886373E-3</c:v>
                </c:pt>
                <c:pt idx="67">
                  <c:v>1.9251025658464699E-3</c:v>
                </c:pt>
                <c:pt idx="68">
                  <c:v>1.9286161199147242E-3</c:v>
                </c:pt>
                <c:pt idx="69">
                  <c:v>1.92974835876008E-3</c:v>
                </c:pt>
                <c:pt idx="70">
                  <c:v>1.9308615911455809E-3</c:v>
                </c:pt>
                <c:pt idx="71">
                  <c:v>1.9319560969485324E-3</c:v>
                </c:pt>
                <c:pt idx="72">
                  <c:v>1.9330321560462405E-3</c:v>
                </c:pt>
                <c:pt idx="73">
                  <c:v>1.9361524518809591E-3</c:v>
                </c:pt>
                <c:pt idx="74">
                  <c:v>1.9371575229307494E-3</c:v>
                </c:pt>
                <c:pt idx="75">
                  <c:v>1.9381455466618242E-3</c:v>
                </c:pt>
                <c:pt idx="76">
                  <c:v>1.9391168029514894E-3</c:v>
                </c:pt>
                <c:pt idx="77">
                  <c:v>1.940071571677051E-3</c:v>
                </c:pt>
                <c:pt idx="78">
                  <c:v>1.9428397512421685E-3</c:v>
                </c:pt>
                <c:pt idx="79">
                  <c:v>1.9437313684843712E-3</c:v>
                </c:pt>
                <c:pt idx="80">
                  <c:v>1.9446078975489983E-3</c:v>
                </c:pt>
                <c:pt idx="81">
                  <c:v>1.9454696183133556E-3</c:v>
                </c:pt>
                <c:pt idx="82">
                  <c:v>1.9463168106547486E-3</c:v>
                </c:pt>
                <c:pt idx="83">
                  <c:v>1.9487740159141996E-3</c:v>
                </c:pt>
                <c:pt idx="84">
                  <c:v>1.9495658933367929E-3</c:v>
                </c:pt>
                <c:pt idx="85">
                  <c:v>1.9503446417229503E-3</c:v>
                </c:pt>
                <c:pt idx="86">
                  <c:v>1.9511105409499776E-3</c:v>
                </c:pt>
                <c:pt idx="87">
                  <c:v>1.9518638708951805E-3</c:v>
                </c:pt>
                <c:pt idx="88">
                  <c:v>1.9540512438128996E-3</c:v>
                </c:pt>
                <c:pt idx="89">
                  <c:v>1.9547570954038616E-3</c:v>
                </c:pt>
                <c:pt idx="90">
                  <c:v>1.9554517770995275E-3</c:v>
                </c:pt>
                <c:pt idx="91">
                  <c:v>1.9561355687772028E-3</c:v>
                </c:pt>
                <c:pt idx="92">
                  <c:v>1.956808750314194E-3</c:v>
                </c:pt>
                <c:pt idx="93">
                  <c:v>1.9587674328541151E-3</c:v>
                </c:pt>
                <c:pt idx="94">
                  <c:v>1.9594009726014239E-3</c:v>
                </c:pt>
                <c:pt idx="95">
                  <c:v>1.9600253015945768E-3</c:v>
                </c:pt>
                <c:pt idx="96">
                  <c:v>1.9606406997108787E-3</c:v>
                </c:pt>
                <c:pt idx="97">
                  <c:v>1.9612474468276354E-3</c:v>
                </c:pt>
                <c:pt idx="98">
                  <c:v>1.9630185809536935E-3</c:v>
                </c:pt>
                <c:pt idx="99">
                  <c:v>1.9635935228453278E-3</c:v>
                </c:pt>
                <c:pt idx="100">
                  <c:v>1.964161213123945E-3</c:v>
                </c:pt>
                <c:pt idx="101">
                  <c:v>1.9647219316668517E-3</c:v>
                </c:pt>
                <c:pt idx="102">
                  <c:v>1.965275958351353E-3</c:v>
                </c:pt>
                <c:pt idx="103">
                  <c:v>1.9669006860274824E-3</c:v>
                </c:pt>
                <c:pt idx="104">
                  <c:v>1.9674307440514199E-3</c:v>
                </c:pt>
                <c:pt idx="105">
                  <c:v>1.96795550960348E-3</c:v>
                </c:pt>
                <c:pt idx="106">
                  <c:v>1.9684752625609694E-3</c:v>
                </c:pt>
                <c:pt idx="107">
                  <c:v>1.9689902828011934E-3</c:v>
                </c:pt>
                <c:pt idx="108">
                  <c:v>1.9705097459913287E-3</c:v>
                </c:pt>
                <c:pt idx="109">
                  <c:v>1.9710086341355472E-3</c:v>
                </c:pt>
                <c:pt idx="110">
                  <c:v>1.9715041889490285E-3</c:v>
                </c:pt>
                <c:pt idx="111">
                  <c:v>1.9719966903090787E-3</c:v>
                </c:pt>
                <c:pt idx="112">
                  <c:v>1.9724864180930032E-3</c:v>
                </c:pt>
                <c:pt idx="113">
                  <c:v>1.973941758761079E-3</c:v>
                </c:pt>
                <c:pt idx="114">
                  <c:v>1.9744231910135573E-3</c:v>
                </c:pt>
                <c:pt idx="115">
                  <c:v>1.9749032490764379E-3</c:v>
                </c:pt>
                <c:pt idx="116">
                  <c:v>1.9753822128270272E-3</c:v>
                </c:pt>
                <c:pt idx="117">
                  <c:v>1.9758603621426304E-3</c:v>
                </c:pt>
                <c:pt idx="118">
                  <c:v>1.9772927222525809E-3</c:v>
                </c:pt>
                <c:pt idx="119">
                  <c:v>1.9777704126012967E-3</c:v>
                </c:pt>
                <c:pt idx="120">
                  <c:v>1.9782486879015553E-3</c:v>
                </c:pt>
                <c:pt idx="121">
                  <c:v>1.9787278280306614E-3</c:v>
                </c:pt>
                <c:pt idx="122">
                  <c:v>1.9792081128659216E-3</c:v>
                </c:pt>
                <c:pt idx="123">
                  <c:v>1.9806586343816815E-3</c:v>
                </c:pt>
                <c:pt idx="124">
                  <c:v>1.9811462968146133E-3</c:v>
                </c:pt>
                <c:pt idx="125">
                  <c:v>1.9816365033402273E-3</c:v>
                </c:pt>
                <c:pt idx="126">
                  <c:v>1.9821295338358288E-3</c:v>
                </c:pt>
                <c:pt idx="127">
                  <c:v>1.9826256681787242E-3</c:v>
                </c:pt>
                <c:pt idx="128">
                  <c:v>1.9841354930642276E-3</c:v>
                </c:pt>
                <c:pt idx="129">
                  <c:v>1.9846468415693538E-3</c:v>
                </c:pt>
                <c:pt idx="130">
                  <c:v>1.9851626933083013E-3</c:v>
                </c:pt>
                <c:pt idx="131">
                  <c:v>1.9856833281583766E-3</c:v>
                </c:pt>
                <c:pt idx="132">
                  <c:v>1.9862090259968853E-3</c:v>
                </c:pt>
                <c:pt idx="133">
                  <c:v>1.9878179330909242E-3</c:v>
                </c:pt>
                <c:pt idx="134">
                  <c:v>1.9883648136699151E-3</c:v>
                </c:pt>
                <c:pt idx="135">
                  <c:v>1.9889169449570743E-3</c:v>
                </c:pt>
                <c:pt idx="136">
                  <c:v>1.9894743039130087E-3</c:v>
                </c:pt>
                <c:pt idx="137">
                  <c:v>1.9900368674983251E-3</c:v>
                </c:pt>
                <c:pt idx="138">
                  <c:v>1.9917555556366417E-3</c:v>
                </c:pt>
                <c:pt idx="139">
                  <c:v>1.9923387073455603E-3</c:v>
                </c:pt>
                <c:pt idx="140">
                  <c:v>1.9929269484868979E-3</c:v>
                </c:pt>
                <c:pt idx="141">
                  <c:v>1.993520256021261E-3</c:v>
                </c:pt>
                <c:pt idx="142">
                  <c:v>1.9941186069092572E-3</c:v>
                </c:pt>
                <c:pt idx="143">
                  <c:v>1.9959436893011175E-3</c:v>
                </c:pt>
                <c:pt idx="144">
                  <c:v>1.9965619832097194E-3</c:v>
                </c:pt>
                <c:pt idx="145">
                  <c:v>1.99718520527499E-3</c:v>
                </c:pt>
                <c:pt idx="146">
                  <c:v>1.9978133324575374E-3</c:v>
                </c:pt>
                <c:pt idx="147">
                  <c:v>1.9984463417179687E-3</c:v>
                </c:pt>
                <c:pt idx="148">
                  <c:v>2.0003744315726388E-3</c:v>
                </c:pt>
                <c:pt idx="149">
                  <c:v>2.0010267387506782E-3</c:v>
                </c:pt>
                <c:pt idx="150">
                  <c:v>2.0016838128096379E-3</c:v>
                </c:pt>
                <c:pt idx="151">
                  <c:v>2.0023456307101247E-3</c:v>
                </c:pt>
                <c:pt idx="152">
                  <c:v>2.0030121694127466E-3</c:v>
                </c:pt>
                <c:pt idx="153">
                  <c:v>2.0050398799394916E-3</c:v>
                </c:pt>
                <c:pt idx="154">
                  <c:v>2.0057250714567245E-3</c:v>
                </c:pt>
                <c:pt idx="155">
                  <c:v>2.0064148685791281E-3</c:v>
                </c:pt>
                <c:pt idx="156">
                  <c:v>2.0071092482673099E-3</c:v>
                </c:pt>
                <c:pt idx="157">
                  <c:v>2.0078081874818771E-3</c:v>
                </c:pt>
                <c:pt idx="158">
                  <c:v>2.0099321318899637E-3</c:v>
                </c:pt>
                <c:pt idx="159">
                  <c:v>2.0106490788161448E-3</c:v>
                </c:pt>
                <c:pt idx="160">
                  <c:v>2.0113704700717478E-3</c:v>
                </c:pt>
                <c:pt idx="161">
                  <c:v>2.0120962826173797E-3</c:v>
                </c:pt>
                <c:pt idx="162">
                  <c:v>2.0150432849123413E-3</c:v>
                </c:pt>
                <c:pt idx="163">
                  <c:v>2.0157908583172263E-3</c:v>
                </c:pt>
                <c:pt idx="164">
                  <c:v>2.0165427147757838E-3</c:v>
                </c:pt>
                <c:pt idx="165">
                  <c:v>2.017298831248621E-3</c:v>
                </c:pt>
                <c:pt idx="166">
                  <c:v>2.0203654364949111E-3</c:v>
                </c:pt>
                <c:pt idx="167">
                  <c:v>2.0211425074482554E-3</c:v>
                </c:pt>
                <c:pt idx="168">
                  <c:v>2.0219237001795226E-3</c:v>
                </c:pt>
                <c:pt idx="169">
                  <c:v>2.0227089916493206E-3</c:v>
                </c:pt>
                <c:pt idx="170">
                  <c:v>2.0234983588182558E-3</c:v>
                </c:pt>
                <c:pt idx="171">
                  <c:v>2.0258906841259606E-3</c:v>
                </c:pt>
                <c:pt idx="172">
                  <c:v>2.0266961236975194E-3</c:v>
                </c:pt>
                <c:pt idx="173">
                  <c:v>2.0275055237712518E-3</c:v>
                </c:pt>
                <c:pt idx="174">
                  <c:v>2.0283188613077654E-3</c:v>
                </c:pt>
                <c:pt idx="175">
                  <c:v>2.0291361132676673E-3</c:v>
                </c:pt>
                <c:pt idx="176">
                  <c:v>2.0316111252937767E-3</c:v>
                </c:pt>
                <c:pt idx="177">
                  <c:v>2.0324438045533047E-3</c:v>
                </c:pt>
                <c:pt idx="178">
                  <c:v>2.0332802830392576E-3</c:v>
                </c:pt>
                <c:pt idx="179">
                  <c:v>2.0341205377122423E-3</c:v>
                </c:pt>
                <c:pt idx="180">
                  <c:v>2.0349645455328661E-3</c:v>
                </c:pt>
                <c:pt idx="181">
                  <c:v>2.0375188574866454E-3</c:v>
                </c:pt>
                <c:pt idx="182">
                  <c:v>2.0383776475038987E-3</c:v>
                </c:pt>
                <c:pt idx="183">
                  <c:v>2.039240075471827E-3</c:v>
                </c:pt>
                <c:pt idx="184">
                  <c:v>2.040106118351038E-3</c:v>
                </c:pt>
                <c:pt idx="185">
                  <c:v>2.0409757531021392E-3</c:v>
                </c:pt>
                <c:pt idx="186">
                  <c:v>2.0436059781928544E-3</c:v>
                </c:pt>
                <c:pt idx="187">
                  <c:v>2.0444897500375876E-3</c:v>
                </c:pt>
                <c:pt idx="188">
                  <c:v>2.0453769985572471E-3</c:v>
                </c:pt>
                <c:pt idx="189">
                  <c:v>2.0462677007124399E-3</c:v>
                </c:pt>
                <c:pt idx="190">
                  <c:v>2.0471618334637733E-3</c:v>
                </c:pt>
                <c:pt idx="191">
                  <c:v>2.0498645849006901E-3</c:v>
                </c:pt>
                <c:pt idx="192">
                  <c:v>2.0507722096426589E-3</c:v>
                </c:pt>
                <c:pt idx="193">
                  <c:v>2.0516831497838046E-3</c:v>
                </c:pt>
                <c:pt idx="194">
                  <c:v>2.0525973822847344E-3</c:v>
                </c:pt>
                <c:pt idx="195">
                  <c:v>2.0535148841060555E-3</c:v>
                </c:pt>
                <c:pt idx="196">
                  <c:v>2.0562867750984399E-3</c:v>
                </c:pt>
                <c:pt idx="197">
                  <c:v>2.0572171072559499E-3</c:v>
                </c:pt>
                <c:pt idx="198">
                  <c:v>2.05815049422819E-3</c:v>
                </c:pt>
                <c:pt idx="199">
                  <c:v>2.0590868136670711E-3</c:v>
                </c:pt>
                <c:pt idx="200">
                  <c:v>2.0600259432245029E-3</c:v>
                </c:pt>
                <c:pt idx="201">
                  <c:v>2.0628589691272037E-3</c:v>
                </c:pt>
                <c:pt idx="202">
                  <c:v>2.0638081156779398E-3</c:v>
                </c:pt>
                <c:pt idx="203">
                  <c:v>2.0647594606067773E-3</c:v>
                </c:pt>
                <c:pt idx="204">
                  <c:v>2.065712881565626E-3</c:v>
                </c:pt>
                <c:pt idx="205">
                  <c:v>2.0666682562063962E-3</c:v>
                </c:pt>
                <c:pt idx="206">
                  <c:v>2.0695448787393374E-3</c:v>
                </c:pt>
                <c:pt idx="207">
                  <c:v>2.0705068446268951E-3</c:v>
                </c:pt>
                <c:pt idx="208">
                  <c:v>2.0714701524559248E-3</c:v>
                </c:pt>
                <c:pt idx="209">
                  <c:v>2.072434679878337E-3</c:v>
                </c:pt>
                <c:pt idx="210">
                  <c:v>2.0734003045460416E-3</c:v>
                </c:pt>
                <c:pt idx="211">
                  <c:v>2.0763025385400098E-3</c:v>
                </c:pt>
                <c:pt idx="212">
                  <c:v>2.0772713287079848E-3</c:v>
                </c:pt>
                <c:pt idx="213">
                  <c:v>2.0782406043808026E-3</c:v>
                </c:pt>
                <c:pt idx="214">
                  <c:v>2.0792102432103735E-3</c:v>
                </c:pt>
                <c:pt idx="215">
                  <c:v>2.0801801228486076E-3</c:v>
                </c:pt>
                <c:pt idx="216">
                  <c:v>2.0830899831343896E-3</c:v>
                </c:pt>
                <c:pt idx="217">
                  <c:v>2.0840596025263778E-3</c:v>
                </c:pt>
                <c:pt idx="218">
                  <c:v>2.085028850986579E-3</c:v>
                </c:pt>
                <c:pt idx="219">
                  <c:v>2.0859976061669045E-3</c:v>
                </c:pt>
                <c:pt idx="220">
                  <c:v>2.0869657457192638E-3</c:v>
                </c:pt>
                <c:pt idx="221">
                  <c:v>2.0898652471276467E-3</c:v>
                </c:pt>
                <c:pt idx="222">
                  <c:v>2.0908297006872428E-3</c:v>
                </c:pt>
                <c:pt idx="223">
                  <c:v>2.0917929268784237E-3</c:v>
                </c:pt>
                <c:pt idx="224">
                  <c:v>2.0927548033530989E-3</c:v>
                </c:pt>
                <c:pt idx="225">
                  <c:v>2.0975396577957496E-3</c:v>
                </c:pt>
                <c:pt idx="226">
                  <c:v>2.0984908666615049E-3</c:v>
                </c:pt>
                <c:pt idx="227">
                  <c:v>2.0994398693741259E-3</c:v>
                </c:pt>
                <c:pt idx="228">
                  <c:v>2.1003865435855226E-3</c:v>
                </c:pt>
                <c:pt idx="229">
                  <c:v>2.1032113717314666E-3</c:v>
                </c:pt>
                <c:pt idx="230">
                  <c:v>2.1041475084570662E-3</c:v>
                </c:pt>
                <c:pt idx="231">
                  <c:v>2.1050807049409924E-3</c:v>
                </c:pt>
                <c:pt idx="232">
                  <c:v>2.1060108388351543E-3</c:v>
                </c:pt>
                <c:pt idx="233">
                  <c:v>2.1069377877914628E-3</c:v>
                </c:pt>
                <c:pt idx="234">
                  <c:v>2.1096983015523678E-3</c:v>
                </c:pt>
                <c:pt idx="235">
                  <c:v>2.1106112872763625E-3</c:v>
                </c:pt>
                <c:pt idx="236">
                  <c:v>2.1115204763220547E-3</c:v>
                </c:pt>
                <c:pt idx="237">
                  <c:v>2.1124257463413535E-3</c:v>
                </c:pt>
                <c:pt idx="238">
                  <c:v>2.1133269749861695E-3</c:v>
                </c:pt>
                <c:pt idx="239">
                  <c:v>2.1160051891928218E-3</c:v>
                </c:pt>
                <c:pt idx="240">
                  <c:v>2.1168890288588075E-3</c:v>
                </c:pt>
                <c:pt idx="241">
                  <c:v>2.1177682154098609E-3</c:v>
                </c:pt>
                <c:pt idx="242">
                  <c:v>2.1186426264978922E-3</c:v>
                </c:pt>
                <c:pt idx="243">
                  <c:v>2.1195121397748116E-3</c:v>
                </c:pt>
                <c:pt idx="244">
                  <c:v>2.1220900692579979E-3</c:v>
                </c:pt>
                <c:pt idx="245">
                  <c:v>2.1229387678095698E-3</c:v>
                </c:pt>
                <c:pt idx="246">
                  <c:v>2.1237819568095803E-3</c:v>
                </c:pt>
                <c:pt idx="247">
                  <c:v>2.1246195139099392E-3</c:v>
                </c:pt>
                <c:pt idx="248">
                  <c:v>2.1254513167625571E-3</c:v>
                </c:pt>
                <c:pt idx="249">
                  <c:v>2.1279109763530646E-3</c:v>
                </c:pt>
                <c:pt idx="250">
                  <c:v>2.1287185387338183E-3</c:v>
                </c:pt>
                <c:pt idx="251">
                  <c:v>2.1295197351263815E-3</c:v>
                </c:pt>
                <c:pt idx="252">
                  <c:v>2.1303144431826641E-3</c:v>
                </c:pt>
                <c:pt idx="253">
                  <c:v>2.1311025405545765E-3</c:v>
                </c:pt>
                <c:pt idx="254">
                  <c:v>2.1334259450831914E-3</c:v>
                </c:pt>
                <c:pt idx="255">
                  <c:v>2.1341863762367225E-3</c:v>
                </c:pt>
                <c:pt idx="256">
                  <c:v>2.1349395849654339E-3</c:v>
                </c:pt>
                <c:pt idx="257">
                  <c:v>2.1356854489212357E-3</c:v>
                </c:pt>
                <c:pt idx="258">
                  <c:v>2.1364238457560378E-3</c:v>
                </c:pt>
                <c:pt idx="259">
                  <c:v>2.138593745228659E-3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014592"/>
        <c:axId val="638016128"/>
      </c:scatterChart>
      <c:valAx>
        <c:axId val="6380145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8016128"/>
        <c:crosses val="autoZero"/>
        <c:crossBetween val="midCat"/>
      </c:valAx>
      <c:valAx>
        <c:axId val="638016128"/>
        <c:scaling>
          <c:orientation val="minMax"/>
          <c:max val="2.5000000000000005E-3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801459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571501</xdr:colOff>
      <xdr:row>13</xdr:row>
      <xdr:rowOff>66674</xdr:rowOff>
    </xdr:from>
    <xdr:to>
      <xdr:col>25</xdr:col>
      <xdr:colOff>504825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76199</xdr:rowOff>
    </xdr:from>
    <xdr:to>
      <xdr:col>13</xdr:col>
      <xdr:colOff>500025</xdr:colOff>
      <xdr:row>40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</v>
          </cell>
        </row>
        <row r="7">
          <cell r="D7">
            <v>0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K5</v>
          </cell>
        </row>
        <row r="7">
          <cell r="D7" t="str">
            <v>M5</v>
          </cell>
        </row>
      </sheetData>
      <sheetData sheetId="10">
        <row r="6">
          <cell r="D6" t="str">
            <v>Future Code</v>
          </cell>
        </row>
        <row r="7">
          <cell r="D7" t="str">
            <v>K5</v>
          </cell>
        </row>
      </sheetData>
      <sheetData sheetId="11">
        <row r="6">
          <cell r="D6" t="str">
            <v>K5</v>
          </cell>
        </row>
        <row r="7">
          <cell r="D7" t="str">
            <v>M5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Z5</v>
          </cell>
        </row>
        <row r="7">
          <cell r="D7" t="str">
            <v>H6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42132</v>
          </cell>
        </row>
        <row r="7">
          <cell r="D7">
            <v>42131</v>
          </cell>
        </row>
      </sheetData>
      <sheetData sheetId="29">
        <row r="6">
          <cell r="D6">
            <v>42132</v>
          </cell>
        </row>
        <row r="7">
          <cell r="D7">
            <v>42131</v>
          </cell>
        </row>
      </sheetData>
      <sheetData sheetId="30">
        <row r="6">
          <cell r="D6">
            <v>42135</v>
          </cell>
        </row>
        <row r="7">
          <cell r="D7">
            <v>42132</v>
          </cell>
        </row>
      </sheetData>
      <sheetData sheetId="31">
        <row r="6">
          <cell r="D6" t="str">
            <v>EURSWD_Mx_Quote#0000</v>
          </cell>
        </row>
        <row r="7">
          <cell r="D7" t="str">
            <v>EUR2WD_Mx_Quote#0000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119" customWidth="1"/>
    <col min="3" max="3" width="24.33203125" style="119" customWidth="1"/>
    <col min="4" max="4" width="35.83203125" style="119" customWidth="1"/>
    <col min="5" max="7" width="2.83203125" style="119" customWidth="1"/>
    <col min="8" max="8" width="27.5" style="119" bestFit="1" customWidth="1"/>
    <col min="9" max="9" width="39.33203125" style="119" bestFit="1" customWidth="1"/>
    <col min="10" max="10" width="2.83203125" style="119" customWidth="1"/>
    <col min="11" max="16384" width="10.6640625" style="119"/>
  </cols>
  <sheetData>
    <row r="1" spans="1:34" x14ac:dyDescent="0.2">
      <c r="B1" s="119" t="str">
        <f>_xll.qlxlVersion(TRUE,EvaluationDate)</f>
        <v>QuantLibXL 1.6.0 - MS VC++ (version unknown) - Multithreaded Dynamic Runtime library - Release Configuration - May  8 2015 13:08:40</v>
      </c>
    </row>
    <row r="2" spans="1:34" ht="19.5" thickBot="1" x14ac:dyDescent="0.25">
      <c r="B2" s="403" t="s">
        <v>0</v>
      </c>
      <c r="C2" s="404"/>
      <c r="D2" s="404"/>
      <c r="E2" s="405"/>
      <c r="G2" s="403" t="s">
        <v>142</v>
      </c>
      <c r="H2" s="404"/>
      <c r="I2" s="404"/>
      <c r="J2" s="405"/>
    </row>
    <row r="3" spans="1:34" x14ac:dyDescent="0.2">
      <c r="B3" s="406"/>
      <c r="C3" s="1"/>
      <c r="D3" s="1"/>
      <c r="E3" s="407"/>
      <c r="G3" s="414"/>
      <c r="H3" s="5"/>
      <c r="I3" s="5"/>
      <c r="J3" s="415"/>
    </row>
    <row r="4" spans="1:34" x14ac:dyDescent="0.2">
      <c r="B4" s="406"/>
      <c r="C4" s="2" t="s">
        <v>1</v>
      </c>
      <c r="D4" s="3" t="s">
        <v>2</v>
      </c>
      <c r="E4" s="407"/>
      <c r="G4" s="414"/>
      <c r="H4" s="7" t="s">
        <v>8</v>
      </c>
      <c r="I4" s="122" t="b">
        <v>1</v>
      </c>
      <c r="J4" s="416"/>
    </row>
    <row r="5" spans="1:34" s="120" customFormat="1" x14ac:dyDescent="0.2">
      <c r="A5" s="119"/>
      <c r="B5" s="406"/>
      <c r="C5" s="2" t="s">
        <v>3</v>
      </c>
      <c r="D5" s="4" t="s">
        <v>4</v>
      </c>
      <c r="E5" s="407"/>
      <c r="F5" s="119"/>
      <c r="G5" s="414"/>
      <c r="H5" s="7" t="s">
        <v>9</v>
      </c>
      <c r="I5" s="122" t="b">
        <v>1</v>
      </c>
      <c r="J5" s="416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</row>
    <row r="6" spans="1:34" s="120" customFormat="1" x14ac:dyDescent="0.2">
      <c r="A6" s="119"/>
      <c r="B6" s="406"/>
      <c r="C6" s="2" t="s">
        <v>5</v>
      </c>
      <c r="D6" s="4" t="str">
        <f>IF(UPPER(Currency)&lt;&gt;"EUR","L","")&amp;"ibor"</f>
        <v>ibor</v>
      </c>
      <c r="E6" s="407"/>
      <c r="F6" s="119"/>
      <c r="G6" s="414"/>
      <c r="H6" s="7" t="s">
        <v>11</v>
      </c>
      <c r="I6" s="122" t="b">
        <v>0</v>
      </c>
      <c r="J6" s="416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</row>
    <row r="7" spans="1:34" x14ac:dyDescent="0.2">
      <c r="B7" s="406"/>
      <c r="C7" s="2" t="s">
        <v>6</v>
      </c>
      <c r="D7" s="6" t="s">
        <v>7</v>
      </c>
      <c r="E7" s="407"/>
      <c r="G7" s="414"/>
      <c r="H7" s="7" t="s">
        <v>12</v>
      </c>
      <c r="I7" s="123"/>
      <c r="J7" s="416"/>
    </row>
    <row r="8" spans="1:34" x14ac:dyDescent="0.2">
      <c r="B8" s="406"/>
      <c r="C8" s="2" t="s">
        <v>119</v>
      </c>
      <c r="D8" s="9" t="s">
        <v>120</v>
      </c>
      <c r="E8" s="407"/>
      <c r="G8" s="414"/>
      <c r="H8" s="7" t="s">
        <v>14</v>
      </c>
      <c r="I8" s="124" t="b">
        <v>1</v>
      </c>
      <c r="J8" s="416"/>
    </row>
    <row r="9" spans="1:34" x14ac:dyDescent="0.2">
      <c r="B9" s="406"/>
      <c r="C9" s="2" t="s">
        <v>148</v>
      </c>
      <c r="D9" s="9" t="s">
        <v>15</v>
      </c>
      <c r="E9" s="407"/>
      <c r="G9" s="414"/>
      <c r="H9" s="5"/>
      <c r="I9" s="5"/>
      <c r="J9" s="415"/>
    </row>
    <row r="10" spans="1:34" x14ac:dyDescent="0.2">
      <c r="B10" s="408"/>
      <c r="C10" s="409"/>
      <c r="D10" s="409"/>
      <c r="E10" s="407"/>
      <c r="G10" s="414"/>
      <c r="H10" s="7" t="s">
        <v>16</v>
      </c>
      <c r="I10" s="124" t="s">
        <v>17</v>
      </c>
      <c r="J10" s="416"/>
    </row>
    <row r="11" spans="1:34" x14ac:dyDescent="0.2">
      <c r="B11" s="406"/>
      <c r="C11" s="35" t="s">
        <v>20</v>
      </c>
      <c r="D11" s="36">
        <v>42135.711875000001</v>
      </c>
      <c r="E11" s="407"/>
      <c r="G11" s="414"/>
      <c r="H11" s="7" t="s">
        <v>18</v>
      </c>
      <c r="I11" s="125">
        <v>1E-4</v>
      </c>
      <c r="J11" s="416"/>
    </row>
    <row r="12" spans="1:34" x14ac:dyDescent="0.2">
      <c r="B12" s="406"/>
      <c r="C12" s="35" t="s">
        <v>21</v>
      </c>
      <c r="D12" s="37" t="b">
        <v>0</v>
      </c>
      <c r="E12" s="407"/>
      <c r="G12" s="414"/>
      <c r="H12" s="7" t="s">
        <v>19</v>
      </c>
      <c r="I12" s="126">
        <v>-0.01</v>
      </c>
      <c r="J12" s="416"/>
    </row>
    <row r="13" spans="1:34" x14ac:dyDescent="0.2">
      <c r="B13" s="410"/>
      <c r="C13" s="411"/>
      <c r="D13" s="412"/>
      <c r="E13" s="413"/>
      <c r="G13" s="417"/>
      <c r="H13" s="418"/>
      <c r="I13" s="418"/>
      <c r="J13" s="419"/>
    </row>
    <row r="14" spans="1:34" x14ac:dyDescent="0.2">
      <c r="C14" s="121"/>
      <c r="D14" s="121"/>
      <c r="E14" s="121"/>
    </row>
    <row r="15" spans="1:34" ht="18.75" x14ac:dyDescent="0.2">
      <c r="B15" s="425" t="s">
        <v>95</v>
      </c>
      <c r="C15" s="426"/>
      <c r="D15" s="426"/>
      <c r="E15" s="427"/>
      <c r="G15" s="425" t="s">
        <v>103</v>
      </c>
      <c r="H15" s="426"/>
      <c r="I15" s="426"/>
      <c r="J15" s="427"/>
    </row>
    <row r="16" spans="1:34" x14ac:dyDescent="0.2">
      <c r="B16" s="408"/>
      <c r="C16" s="22"/>
      <c r="D16" s="23"/>
      <c r="E16" s="422"/>
      <c r="G16" s="420"/>
      <c r="H16" s="10"/>
      <c r="I16" s="10"/>
      <c r="J16" s="263"/>
    </row>
    <row r="17" spans="2:10" x14ac:dyDescent="0.2">
      <c r="B17" s="406"/>
      <c r="C17" s="26" t="s">
        <v>10</v>
      </c>
      <c r="D17" s="8">
        <f>_xll.qlCalendarAdvance(Calendar,EvaluationDate,"2D","f")</f>
        <v>42137</v>
      </c>
      <c r="E17" s="407"/>
      <c r="G17" s="420"/>
      <c r="H17" s="2" t="s">
        <v>22</v>
      </c>
      <c r="I17" s="428">
        <v>42135.721666666665</v>
      </c>
      <c r="J17" s="263"/>
    </row>
    <row r="18" spans="2:10" x14ac:dyDescent="0.2">
      <c r="B18" s="406"/>
      <c r="C18" s="26" t="s">
        <v>13</v>
      </c>
      <c r="D18" s="9" t="str">
        <f>_xll.qlDiscountingSwapEngine(,OisCurve,,,,,EvaluationDate)</f>
        <v>obj_005b4#0000</v>
      </c>
      <c r="E18" s="407"/>
      <c r="G18" s="420"/>
      <c r="H18" s="2" t="s">
        <v>23</v>
      </c>
      <c r="I18" s="39">
        <f>_xll.qlSettingsEvaluationDate(Trigger)</f>
        <v>42135</v>
      </c>
      <c r="J18" s="263"/>
    </row>
    <row r="19" spans="2:10" x14ac:dyDescent="0.2">
      <c r="B19" s="406"/>
      <c r="C19" s="38"/>
      <c r="D19" s="38"/>
      <c r="E19" s="407"/>
      <c r="G19" s="420"/>
      <c r="H19" s="2" t="s">
        <v>24</v>
      </c>
      <c r="I19" s="40">
        <f>[1]!TriggerCounter</f>
        <v>2</v>
      </c>
      <c r="J19" s="263"/>
    </row>
    <row r="20" spans="2:10" x14ac:dyDescent="0.2">
      <c r="B20" s="406"/>
      <c r="C20" s="38"/>
      <c r="D20" s="38"/>
      <c r="E20" s="407"/>
      <c r="G20" s="420"/>
      <c r="H20" s="2" t="s">
        <v>25</v>
      </c>
      <c r="I20" s="41">
        <f>[1]!LastFixingsTrigger</f>
        <v>0</v>
      </c>
      <c r="J20" s="263"/>
    </row>
    <row r="21" spans="2:10" x14ac:dyDescent="0.2">
      <c r="B21" s="406"/>
      <c r="C21" s="38"/>
      <c r="D21" s="38"/>
      <c r="E21" s="407"/>
      <c r="G21" s="420"/>
      <c r="H21" s="2" t="s">
        <v>28</v>
      </c>
      <c r="I21" s="3">
        <f>_xll.ohTrigger(Contribution!U16,Contribution!U22,Contribution!U29,Contribution!U39,Contribution!U55)</f>
        <v>2</v>
      </c>
      <c r="J21" s="263"/>
    </row>
    <row r="22" spans="2:10" x14ac:dyDescent="0.2">
      <c r="B22" s="410"/>
      <c r="C22" s="423"/>
      <c r="D22" s="423"/>
      <c r="E22" s="413"/>
      <c r="G22" s="421"/>
      <c r="H22" s="270"/>
      <c r="I22" s="270"/>
      <c r="J22" s="271"/>
    </row>
    <row r="24" spans="2:10" ht="18.75" x14ac:dyDescent="0.2">
      <c r="B24" s="425" t="str">
        <f>IborTenor&amp;" Curve Settings"</f>
        <v>1Y Curve Settings</v>
      </c>
      <c r="C24" s="426"/>
      <c r="D24" s="426"/>
      <c r="E24" s="427"/>
      <c r="G24" s="425" t="str">
        <f>I26&amp;" Curve Settings"</f>
        <v>1M Curve Settings</v>
      </c>
      <c r="H24" s="426"/>
      <c r="I24" s="426"/>
      <c r="J24" s="427"/>
    </row>
    <row r="25" spans="2:10" x14ac:dyDescent="0.2">
      <c r="B25" s="406"/>
      <c r="C25" s="1"/>
      <c r="D25" s="1"/>
      <c r="E25" s="407"/>
      <c r="G25" s="406"/>
      <c r="H25" s="1"/>
      <c r="I25" s="1"/>
      <c r="J25" s="407"/>
    </row>
    <row r="26" spans="2:10" x14ac:dyDescent="0.2">
      <c r="B26" s="406"/>
      <c r="C26" s="26" t="s">
        <v>26</v>
      </c>
      <c r="D26" s="3" t="s">
        <v>27</v>
      </c>
      <c r="E26" s="407"/>
      <c r="G26" s="406"/>
      <c r="H26" s="26" t="s">
        <v>26</v>
      </c>
      <c r="I26" s="3" t="s">
        <v>40</v>
      </c>
      <c r="J26" s="407"/>
    </row>
    <row r="27" spans="2:10" x14ac:dyDescent="0.2">
      <c r="B27" s="406"/>
      <c r="C27" s="26" t="s">
        <v>29</v>
      </c>
      <c r="D27" s="24">
        <v>2</v>
      </c>
      <c r="E27" s="407"/>
      <c r="G27" s="406"/>
      <c r="H27" s="26" t="s">
        <v>29</v>
      </c>
      <c r="I27" s="24">
        <v>2</v>
      </c>
      <c r="J27" s="407"/>
    </row>
    <row r="28" spans="2:10" x14ac:dyDescent="0.2">
      <c r="B28" s="406"/>
      <c r="C28" s="2" t="s">
        <v>97</v>
      </c>
      <c r="D28" s="27" t="str">
        <f>_xll.qlEuribor(,IborTenor,YieldCurve,,D33)</f>
        <v>obj_005d2#0000</v>
      </c>
      <c r="E28" s="407"/>
      <c r="G28" s="406"/>
      <c r="H28" s="2" t="s">
        <v>97</v>
      </c>
      <c r="I28" s="66" t="str">
        <f>_xll.qlEuribor(,"1M",I34,,Trigger)</f>
        <v>obj_005d0#0000</v>
      </c>
      <c r="J28" s="407"/>
    </row>
    <row r="29" spans="2:10" x14ac:dyDescent="0.2">
      <c r="B29" s="408"/>
      <c r="C29" s="409"/>
      <c r="D29" s="409"/>
      <c r="E29" s="422"/>
      <c r="G29" s="408"/>
      <c r="H29" s="409"/>
      <c r="I29" s="409"/>
      <c r="J29" s="422"/>
    </row>
    <row r="30" spans="2:10" x14ac:dyDescent="0.2">
      <c r="B30" s="406"/>
      <c r="C30" s="26" t="s">
        <v>30</v>
      </c>
      <c r="D30" s="4" t="e">
        <v>#N/A</v>
      </c>
      <c r="E30" s="407"/>
      <c r="G30" s="406"/>
      <c r="H30" s="26" t="s">
        <v>30</v>
      </c>
      <c r="I30" s="4" t="e">
        <v>#N/A</v>
      </c>
      <c r="J30" s="407"/>
    </row>
    <row r="31" spans="2:10" x14ac:dyDescent="0.2">
      <c r="B31" s="406"/>
      <c r="C31" s="26" t="s">
        <v>31</v>
      </c>
      <c r="D31" s="6" t="s">
        <v>32</v>
      </c>
      <c r="E31" s="407"/>
      <c r="G31" s="406"/>
      <c r="H31" s="26" t="s">
        <v>31</v>
      </c>
      <c r="I31" s="6" t="s">
        <v>32</v>
      </c>
      <c r="J31" s="407"/>
    </row>
    <row r="32" spans="2:10" x14ac:dyDescent="0.2">
      <c r="B32" s="406"/>
      <c r="C32" s="26" t="s">
        <v>33</v>
      </c>
      <c r="D32" s="9" t="s">
        <v>136</v>
      </c>
      <c r="E32" s="407"/>
      <c r="G32" s="406"/>
      <c r="H32" s="26" t="s">
        <v>33</v>
      </c>
      <c r="I32" s="9" t="s">
        <v>136</v>
      </c>
      <c r="J32" s="407"/>
    </row>
    <row r="33" spans="2:10" x14ac:dyDescent="0.2">
      <c r="B33" s="406"/>
      <c r="C33" s="26" t="s">
        <v>96</v>
      </c>
      <c r="D33" s="25" t="b">
        <f>_xll.qlExtrapolatorEnableExtrapolation(YieldCurve,TRUE)</f>
        <v>1</v>
      </c>
      <c r="E33" s="407"/>
      <c r="G33" s="408"/>
      <c r="H33" s="113"/>
      <c r="I33" s="114"/>
      <c r="J33" s="407"/>
    </row>
    <row r="34" spans="2:10" x14ac:dyDescent="0.2">
      <c r="B34" s="406"/>
      <c r="C34" s="33" t="s">
        <v>101</v>
      </c>
      <c r="D34" s="127" t="str">
        <f>_xll.qlPiecewiseYieldCurve(,NDays,Calendar,_xll.ohPack('1Y Delta'!M14:M27),DayCounter,,,Accuracy,TraitsID,InterpolatorID)</f>
        <v>obj_005d1#0000</v>
      </c>
      <c r="E34" s="407"/>
      <c r="G34" s="406"/>
      <c r="H34" s="33" t="s">
        <v>101</v>
      </c>
      <c r="I34" s="127" t="str">
        <f>_xll.qlPiecewiseYieldCurve(,NDays,Calendar,_xll.ohPack('Delta 1M'!M13:M21),"actual/365",,,Accuracy,I31,I32,,Trigger)</f>
        <v>obj_005cf#0000</v>
      </c>
      <c r="J34" s="407"/>
    </row>
    <row r="35" spans="2:10" x14ac:dyDescent="0.2">
      <c r="B35" s="406"/>
      <c r="C35" s="34" t="s">
        <v>102</v>
      </c>
      <c r="D35" s="128" t="str">
        <f>_xll.ohRangeRetrieveError(YieldCurve)</f>
        <v/>
      </c>
      <c r="E35" s="407"/>
      <c r="G35" s="406"/>
      <c r="H35" s="34" t="s">
        <v>102</v>
      </c>
      <c r="I35" s="128" t="str">
        <f>_xll.ohRangeRetrieveError(YieldCurve)</f>
        <v/>
      </c>
      <c r="J35" s="424"/>
    </row>
    <row r="36" spans="2:10" x14ac:dyDescent="0.2">
      <c r="B36" s="408"/>
      <c r="C36" s="409"/>
      <c r="D36" s="409"/>
      <c r="E36" s="422"/>
      <c r="G36" s="408"/>
      <c r="H36" s="409"/>
      <c r="I36" s="409"/>
      <c r="J36" s="424"/>
    </row>
    <row r="37" spans="2:10" x14ac:dyDescent="0.2">
      <c r="B37" s="406"/>
      <c r="C37" s="29">
        <f>_xll.qlTermStructureReferenceDate(YieldCurve)</f>
        <v>42137</v>
      </c>
      <c r="D37" s="30">
        <f>_xll.qlYieldTSDiscount(YieldCurve,C37,,Trigger)</f>
        <v>1</v>
      </c>
      <c r="E37" s="407"/>
      <c r="G37" s="406"/>
      <c r="H37" s="29">
        <f>_xll.qlTermStructureReferenceDate(I34)</f>
        <v>42137</v>
      </c>
      <c r="I37" s="82">
        <f>_xll.qlYieldTSDiscount(I34,H37,,Trigger)</f>
        <v>1</v>
      </c>
      <c r="J37" s="424"/>
    </row>
    <row r="38" spans="2:10" x14ac:dyDescent="0.2">
      <c r="B38" s="406"/>
      <c r="C38" s="31">
        <f>_xll.qlTermStructureMaxDate(D34)</f>
        <v>44694</v>
      </c>
      <c r="D38" s="32">
        <f>_xll.qlYieldTSDiscount(YieldCurve,C38,,Trigger)</f>
        <v>0.95173525765284206</v>
      </c>
      <c r="E38" s="407"/>
      <c r="G38" s="406"/>
      <c r="H38" s="31">
        <f>_xll.qlTermStructureMaxDate(I34)</f>
        <v>42290</v>
      </c>
      <c r="I38" s="83">
        <f>_xll.qlYieldTSDiscount(I34,H38,,Trigger)</f>
        <v>1.000238080079707</v>
      </c>
      <c r="J38" s="424"/>
    </row>
    <row r="39" spans="2:10" x14ac:dyDescent="0.2">
      <c r="B39" s="408"/>
      <c r="C39" s="409"/>
      <c r="D39" s="409"/>
      <c r="E39" s="422"/>
      <c r="G39" s="410"/>
      <c r="H39" s="423"/>
      <c r="I39" s="423"/>
      <c r="J39" s="413"/>
    </row>
    <row r="40" spans="2:10" x14ac:dyDescent="0.2">
      <c r="B40" s="406"/>
      <c r="C40" s="2" t="s">
        <v>98</v>
      </c>
      <c r="D40" s="25" t="s">
        <v>100</v>
      </c>
      <c r="E40" s="407"/>
    </row>
    <row r="41" spans="2:10" x14ac:dyDescent="0.2">
      <c r="B41" s="406"/>
      <c r="C41" s="2" t="s">
        <v>99</v>
      </c>
      <c r="D41" s="28" t="str">
        <f>_xll.qlInterpolation(,BasisInterpolation,'1Y Delta'!Q31:Q36,'1Y Delta'!Y31:Y36)</f>
        <v>obj_00604#0002</v>
      </c>
      <c r="E41" s="407"/>
    </row>
    <row r="42" spans="2:10" x14ac:dyDescent="0.2">
      <c r="B42" s="410"/>
      <c r="C42" s="423"/>
      <c r="D42" s="423"/>
      <c r="E42" s="413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 I32: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29" customWidth="1"/>
    <col min="3" max="5" width="22.83203125" style="129" customWidth="1"/>
    <col min="6" max="6" width="10.5" style="129" bestFit="1" customWidth="1"/>
    <col min="7" max="8" width="14.1640625" style="129" bestFit="1" customWidth="1"/>
    <col min="9" max="12" width="10.5" style="129" bestFit="1" customWidth="1"/>
    <col min="13" max="13" width="10.83203125" style="129" customWidth="1"/>
    <col min="14" max="14" width="13.1640625" style="129" customWidth="1"/>
    <col min="15" max="17" width="6.83203125" style="129" customWidth="1"/>
    <col min="18" max="18" width="2.33203125" style="129" bestFit="1" customWidth="1"/>
    <col min="19" max="19" width="10.83203125" style="129" customWidth="1"/>
    <col min="20" max="20" width="2.33203125" style="129" bestFit="1" customWidth="1"/>
    <col min="21" max="21" width="10.83203125" style="129" customWidth="1"/>
    <col min="22" max="22" width="12.5" style="129" bestFit="1" customWidth="1"/>
    <col min="23" max="25" width="9.33203125" style="129" bestFit="1" customWidth="1"/>
    <col min="26" max="27" width="9.5" style="129"/>
    <col min="28" max="28" width="20.33203125" style="129" bestFit="1" customWidth="1"/>
    <col min="29" max="29" width="8.1640625" style="129" bestFit="1" customWidth="1"/>
    <col min="30" max="31" width="9.5" style="129" bestFit="1" customWidth="1"/>
    <col min="32" max="32" width="12.1640625" style="129" customWidth="1"/>
    <col min="33" max="16384" width="9.5" style="129"/>
  </cols>
  <sheetData>
    <row r="2" spans="1:32" ht="19.5" customHeight="1" x14ac:dyDescent="0.2">
      <c r="C2" s="156" t="s">
        <v>106</v>
      </c>
      <c r="D2" s="156" t="s">
        <v>91</v>
      </c>
      <c r="E2" s="156" t="s">
        <v>92</v>
      </c>
      <c r="F2" s="156" t="s">
        <v>147</v>
      </c>
      <c r="G2" s="156" t="s">
        <v>151</v>
      </c>
      <c r="H2" s="156" t="s">
        <v>152</v>
      </c>
      <c r="I2" s="156" t="s">
        <v>113</v>
      </c>
      <c r="J2" s="157" t="s">
        <v>114</v>
      </c>
      <c r="K2" s="156" t="s">
        <v>115</v>
      </c>
      <c r="L2" s="156" t="s">
        <v>122</v>
      </c>
      <c r="S2" s="146" t="s">
        <v>111</v>
      </c>
      <c r="W2" s="429" t="s">
        <v>110</v>
      </c>
      <c r="X2" s="429"/>
      <c r="Y2" s="429"/>
      <c r="AB2" s="156" t="s">
        <v>91</v>
      </c>
      <c r="AC2" s="156" t="s">
        <v>143</v>
      </c>
      <c r="AD2" s="156" t="s">
        <v>39</v>
      </c>
      <c r="AE2" s="156" t="s">
        <v>104</v>
      </c>
      <c r="AF2" s="156" t="s">
        <v>105</v>
      </c>
    </row>
    <row r="3" spans="1:32" ht="12" customHeight="1" x14ac:dyDescent="0.2">
      <c r="C3" s="161" t="str">
        <f>$D$10&amp;"LastFixing"&amp;QuoteSuffix</f>
        <v>Euribor1MLastFixing_Quote</v>
      </c>
      <c r="D3" s="162">
        <f>_xll.qlCalendarAdvance(Calendar,_xll.qlLastFixingQuoteReferenceDate($C$3),_xll.qlInterestRateIndexFixingDays($D$10)&amp;"D","f",,LastFixingsTrigger)</f>
        <v>42137</v>
      </c>
      <c r="E3" s="162">
        <f>_xll.qlInterestRateIndexMaturity($D$10,D3)</f>
        <v>42170</v>
      </c>
      <c r="F3" s="163">
        <f>'Delta 1M'!X26</f>
        <v>4.5836274523754443E-5</v>
      </c>
      <c r="G3" s="164">
        <f>_xll.qlDayCounterYearFraction(DayCounter,SettlementDate,D3,,,Trigger)</f>
        <v>0</v>
      </c>
      <c r="H3" s="164">
        <f>_xll.qlDayCounterYearFraction(DayCounter,SettlementDate,E3,,,Trigger)</f>
        <v>9.166666666666666E-2</v>
      </c>
      <c r="I3" s="164">
        <f>H3-G3</f>
        <v>9.166666666666666E-2</v>
      </c>
      <c r="J3" s="164">
        <f>(H3^2-G3^2)/2</f>
        <v>4.2013888888888882E-3</v>
      </c>
      <c r="K3" s="164">
        <f>(H3^3-G3^3)/3</f>
        <v>2.5675154320987649E-4</v>
      </c>
      <c r="L3" s="165" t="b">
        <f>IF(D12="fixing",TRUE,FALSE)</f>
        <v>0</v>
      </c>
      <c r="N3" s="430" t="s">
        <v>107</v>
      </c>
      <c r="O3" s="141">
        <f t="array" ref="O3:O5">_xll.ohFilter(K3:K7,L3:L7)</f>
        <v>2.5675154320987649E-4</v>
      </c>
      <c r="P3" s="147">
        <f t="array" ref="P3:P5">_xll.ohFilter(J3:J7,L3:L7)</f>
        <v>4.2013888888888882E-3</v>
      </c>
      <c r="Q3" s="142">
        <f t="array" ref="Q3:Q5">_xll.ohFilter(I3:I7,L3:L7)</f>
        <v>9.166666666666666E-2</v>
      </c>
      <c r="R3" s="148"/>
      <c r="S3" s="143">
        <f t="array" ref="S3:S5">MMULT(W3:Y5,U3:U5)</f>
        <v>-1.6340172016894514E-3</v>
      </c>
      <c r="T3" s="149"/>
      <c r="U3" s="144">
        <f t="array" ref="U3:U5">_xll.ohFilter(F3:F7,L3:L7)</f>
        <v>4.5836274523754443E-5</v>
      </c>
      <c r="W3" s="141">
        <f t="array" ref="W3:Y5">MINVERSE(O3:Q5)</f>
        <v>739.68899258028023</v>
      </c>
      <c r="X3" s="147">
        <v>-1712.9639828174911</v>
      </c>
      <c r="Y3" s="142">
        <v>870.29621707662875</v>
      </c>
      <c r="AB3" s="178">
        <f>SettlementDate</f>
        <v>42137</v>
      </c>
      <c r="AC3" s="169">
        <f>_xll.qlDayCounterYearFraction(DayCounter,SettlementDate,AB3,,,Trigger)</f>
        <v>0</v>
      </c>
      <c r="AD3" s="194">
        <f t="shared" ref="AD3:AD26" si="0">$S$13</f>
        <v>5.0003208571368493E-4</v>
      </c>
      <c r="AE3" s="194">
        <f t="shared" ref="AE3:AE23" si="1">$S$10+$S$9*AC3</f>
        <v>4.544810281225444E-4</v>
      </c>
      <c r="AF3" s="194">
        <f t="shared" ref="AF3:AF23" si="2">($S$5+$S$4*AC3+$S$3*AC3^2)</f>
        <v>4.4574357503017736E-4</v>
      </c>
    </row>
    <row r="4" spans="1:32" ht="12" customHeight="1" x14ac:dyDescent="0.2">
      <c r="A4" s="129">
        <v>0</v>
      </c>
      <c r="B4" s="130">
        <f>A4+SUBSTITUTE($D$9,"M","")</f>
        <v>1</v>
      </c>
      <c r="C4" s="166" t="str">
        <f>"Delta("&amp;A4&amp;"M,"&amp;B4&amp;"M)"</f>
        <v>Delta(0M,1M)</v>
      </c>
      <c r="D4" s="167">
        <f>SettlementDate</f>
        <v>42137</v>
      </c>
      <c r="E4" s="167">
        <f>_xll.qlInterestRateIndexMaturity($D$10,D4)</f>
        <v>42170</v>
      </c>
      <c r="F4" s="168">
        <f t="array" ref="F4:F7">Delta1M</f>
        <v>4.5836274523754443E-5</v>
      </c>
      <c r="G4" s="169">
        <f>_xll.qlDayCounterYearFraction(DayCounter,SettlementDate,D4,,,Trigger)</f>
        <v>0</v>
      </c>
      <c r="H4" s="169">
        <f>_xll.qlDayCounterYearFraction(DayCounter,SettlementDate,E4,,,Trigger)</f>
        <v>9.166666666666666E-2</v>
      </c>
      <c r="I4" s="169">
        <f>H4-G4</f>
        <v>9.166666666666666E-2</v>
      </c>
      <c r="J4" s="169">
        <f>(H4^2-G4^2)/2</f>
        <v>4.2013888888888882E-3</v>
      </c>
      <c r="K4" s="169">
        <f>(H4^3-G4^3)/3</f>
        <v>2.5675154320987649E-4</v>
      </c>
      <c r="L4" s="170" t="b">
        <f>IF(D12="fixing",FALSE,TRUE)</f>
        <v>1</v>
      </c>
      <c r="N4" s="430"/>
      <c r="O4" s="141">
        <v>1.5297067901234565E-3</v>
      </c>
      <c r="P4" s="147">
        <v>1.111111111111111E-2</v>
      </c>
      <c r="Q4" s="142">
        <v>8.3333333333333329E-2</v>
      </c>
      <c r="R4" s="150" t="s">
        <v>37</v>
      </c>
      <c r="S4" s="143">
        <v>1.2843332035009838E-3</v>
      </c>
      <c r="T4" s="150" t="s">
        <v>38</v>
      </c>
      <c r="U4" s="144">
        <v>4.891609963836729E-5</v>
      </c>
      <c r="W4" s="141">
        <v>-256.17559002293007</v>
      </c>
      <c r="X4" s="147">
        <v>441.66978742152219</v>
      </c>
      <c r="Y4" s="142">
        <v>-154.71932748028954</v>
      </c>
      <c r="AB4" s="183">
        <f>_xll.qlCalendarAdvance(Calendar,AB3,"1d","mf",,Trigger)</f>
        <v>42138</v>
      </c>
      <c r="AC4" s="169">
        <f>_xll.qlDayCounterYearFraction(DayCounter,SettlementDate,AB4,,,Trigger)</f>
        <v>2.7777777777777779E-3</v>
      </c>
      <c r="AD4" s="181">
        <f t="shared" si="0"/>
        <v>5.0003208571368493E-4</v>
      </c>
      <c r="AE4" s="181">
        <f t="shared" si="1"/>
        <v>4.5724169827958318E-4</v>
      </c>
      <c r="AF4" s="181">
        <f t="shared" si="2"/>
        <v>4.492985591047041E-4</v>
      </c>
    </row>
    <row r="5" spans="1:32" ht="12" customHeight="1" x14ac:dyDescent="0.2">
      <c r="A5" s="131">
        <v>1</v>
      </c>
      <c r="B5" s="130">
        <f t="shared" ref="B5:B7" si="3">A5+SUBSTITUTE($D$9,"M","")</f>
        <v>2</v>
      </c>
      <c r="C5" s="166" t="str">
        <f>"Delta("&amp;A5&amp;"M,"&amp;B5&amp;"M)"</f>
        <v>Delta(1M,2M)</v>
      </c>
      <c r="D5" s="167">
        <f>_xll.qlCalendarAdvance(Calendar,SettlementDate,A5&amp;"M","f")</f>
        <v>42170</v>
      </c>
      <c r="E5" s="167">
        <f>_xll.qlInterestRateIndexMaturity($D$10,D5)</f>
        <v>42200</v>
      </c>
      <c r="F5" s="168">
        <v>4.891609963836729E-5</v>
      </c>
      <c r="G5" s="169">
        <f>_xll.qlDayCounterYearFraction(DayCounter,SettlementDate,D5,,,Trigger)</f>
        <v>9.166666666666666E-2</v>
      </c>
      <c r="H5" s="169">
        <f>_xll.qlDayCounterYearFraction(DayCounter,SettlementDate,E5,,,Trigger)</f>
        <v>0.17499999999999999</v>
      </c>
      <c r="I5" s="169">
        <f>H5-G5</f>
        <v>8.3333333333333329E-2</v>
      </c>
      <c r="J5" s="169">
        <f>(H5^2-G5^2)/2</f>
        <v>1.111111111111111E-2</v>
      </c>
      <c r="K5" s="169">
        <f>(H5^3-G5^3)/3</f>
        <v>1.5297067901234565E-3</v>
      </c>
      <c r="L5" s="170" t="b">
        <v>1</v>
      </c>
      <c r="N5" s="430"/>
      <c r="O5" s="141">
        <v>3.9416652377686308E-3</v>
      </c>
      <c r="P5" s="147">
        <v>1.8298611111111102E-2</v>
      </c>
      <c r="Q5" s="142">
        <v>8.6111111111111083E-2</v>
      </c>
      <c r="R5" s="131"/>
      <c r="S5" s="143">
        <v>4.4574357503017736E-4</v>
      </c>
      <c r="T5" s="150"/>
      <c r="U5" s="144">
        <v>5.5444239542624268E-5</v>
      </c>
      <c r="W5" s="141">
        <v>20.578658042035066</v>
      </c>
      <c r="X5" s="147">
        <v>-15.445313360502254</v>
      </c>
      <c r="Y5" s="142">
        <v>4.6536672718680823</v>
      </c>
      <c r="AB5" s="183">
        <f>_xll.qlCalendarAdvance(Calendar,AB4,"1d","mf",,Trigger)</f>
        <v>42139</v>
      </c>
      <c r="AC5" s="169">
        <f>_xll.qlDayCounterYearFraction(DayCounter,SettlementDate,AB5,,,Trigger)</f>
        <v>5.5555555555555558E-3</v>
      </c>
      <c r="AD5" s="181">
        <f t="shared" si="0"/>
        <v>5.0003208571368493E-4</v>
      </c>
      <c r="AE5" s="181">
        <f t="shared" si="1"/>
        <v>4.6000236843662202E-4</v>
      </c>
      <c r="AF5" s="181">
        <f t="shared" si="2"/>
        <v>4.5282832686438995E-4</v>
      </c>
    </row>
    <row r="6" spans="1:32" ht="12" customHeight="1" x14ac:dyDescent="0.2">
      <c r="A6" s="131">
        <v>2</v>
      </c>
      <c r="B6" s="132">
        <f t="shared" si="3"/>
        <v>3</v>
      </c>
      <c r="C6" s="166" t="str">
        <f>"Delta("&amp;A6&amp;"M,"&amp;B6&amp;"M)"</f>
        <v>Delta(2M,3M)</v>
      </c>
      <c r="D6" s="167">
        <f>_xll.qlCalendarAdvance(Calendar,SettlementDate,A6&amp;"M","f")</f>
        <v>42198</v>
      </c>
      <c r="E6" s="167">
        <f>_xll.qlInterestRateIndexMaturity($D$10,D6)</f>
        <v>42229</v>
      </c>
      <c r="F6" s="168">
        <v>5.5444239542624268E-5</v>
      </c>
      <c r="G6" s="169">
        <f>_xll.qlDayCounterYearFraction(DayCounter,SettlementDate,D6,,,Trigger)</f>
        <v>0.16944444444444445</v>
      </c>
      <c r="H6" s="169">
        <f>_xll.qlDayCounterYearFraction(DayCounter,SettlementDate,E6,,,Trigger)</f>
        <v>0.25555555555555554</v>
      </c>
      <c r="I6" s="169">
        <f>H6-G6</f>
        <v>8.6111111111111083E-2</v>
      </c>
      <c r="J6" s="169">
        <f>(H6^2-G6^2)/2</f>
        <v>1.8298611111111102E-2</v>
      </c>
      <c r="K6" s="169">
        <f>(H6^3-G6^3)/3</f>
        <v>3.9416652377686308E-3</v>
      </c>
      <c r="L6" s="170" t="b">
        <v>1</v>
      </c>
      <c r="S6" s="145"/>
      <c r="T6" s="138"/>
      <c r="U6" s="139"/>
      <c r="AB6" s="183">
        <f>_xll.qlCalendarAdvance(Calendar,AB5,"1d","mf",,Trigger)</f>
        <v>42142</v>
      </c>
      <c r="AC6" s="169">
        <f>_xll.qlDayCounterYearFraction(DayCounter,SettlementDate,AB6,,,Trigger)</f>
        <v>1.3888888888888888E-2</v>
      </c>
      <c r="AD6" s="181">
        <f t="shared" si="0"/>
        <v>5.0003208571368493E-4</v>
      </c>
      <c r="AE6" s="181">
        <f t="shared" si="1"/>
        <v>4.6828437890773843E-4</v>
      </c>
      <c r="AF6" s="181">
        <f t="shared" si="2"/>
        <v>4.6326633225440215E-4</v>
      </c>
    </row>
    <row r="7" spans="1:32" ht="12" customHeight="1" x14ac:dyDescent="0.2">
      <c r="A7" s="131">
        <v>3</v>
      </c>
      <c r="B7" s="132">
        <f t="shared" si="3"/>
        <v>4</v>
      </c>
      <c r="C7" s="171" t="str">
        <f>"Delta("&amp;A7&amp;"M,"&amp;B7&amp;"M)"</f>
        <v>Delta(3M,4M)</v>
      </c>
      <c r="D7" s="172">
        <f>_xll.qlCalendarAdvance(Calendar,SettlementDate,A7&amp;"M","f")</f>
        <v>42229</v>
      </c>
      <c r="E7" s="172">
        <f>_xll.qlInterestRateIndexMaturity($D$10,D7)</f>
        <v>42261</v>
      </c>
      <c r="F7" s="173">
        <v>5.5143043483873312E-5</v>
      </c>
      <c r="G7" s="174">
        <f>_xll.qlDayCounterYearFraction(DayCounter,SettlementDate,D7,,,Trigger)</f>
        <v>0.25555555555555554</v>
      </c>
      <c r="H7" s="174">
        <f>_xll.qlDayCounterYearFraction(DayCounter,SettlementDate,E7,,,Trigger)</f>
        <v>0.34444444444444444</v>
      </c>
      <c r="I7" s="174">
        <f>H7-G7</f>
        <v>8.8888888888888906E-2</v>
      </c>
      <c r="J7" s="174">
        <f>(H7^2-G7^2)/2</f>
        <v>2.6666666666666672E-2</v>
      </c>
      <c r="K7" s="174">
        <f>(H7^3-G7^3)/3</f>
        <v>8.0585276634659361E-3</v>
      </c>
      <c r="L7" s="175" t="b">
        <v>0</v>
      </c>
      <c r="S7" s="145"/>
      <c r="T7" s="138"/>
      <c r="U7" s="139"/>
      <c r="AB7" s="183">
        <f>_xll.qlCalendarAdvance(Calendar,AB6,"1d","mf",,Trigger)</f>
        <v>42143</v>
      </c>
      <c r="AC7" s="169">
        <f>_xll.qlDayCounterYearFraction(DayCounter,SettlementDate,AB7,,,Trigger)</f>
        <v>1.6666666666666666E-2</v>
      </c>
      <c r="AD7" s="181">
        <f t="shared" si="0"/>
        <v>5.0003208571368493E-4</v>
      </c>
      <c r="AE7" s="181">
        <f t="shared" si="1"/>
        <v>4.7104504906477727E-4</v>
      </c>
      <c r="AF7" s="181">
        <f t="shared" si="2"/>
        <v>4.6669523475472444E-4</v>
      </c>
    </row>
    <row r="8" spans="1:32" ht="12" customHeight="1" x14ac:dyDescent="0.2">
      <c r="A8" s="131"/>
      <c r="B8" s="132"/>
      <c r="C8" s="132"/>
      <c r="D8" s="133"/>
      <c r="E8" s="133"/>
      <c r="F8" s="134"/>
      <c r="G8" s="135"/>
      <c r="H8" s="135"/>
      <c r="I8" s="135"/>
      <c r="J8" s="135"/>
      <c r="K8" s="135"/>
      <c r="L8" s="136"/>
      <c r="S8" s="137" t="s">
        <v>112</v>
      </c>
      <c r="T8" s="138"/>
      <c r="U8" s="139"/>
      <c r="AB8" s="183">
        <f>_xll.qlCalendarAdvance(Calendar,AB7,"1d","mf",,Trigger)</f>
        <v>42144</v>
      </c>
      <c r="AC8" s="169">
        <f>_xll.qlDayCounterYearFraction(DayCounter,SettlementDate,AB8,,,Trigger)</f>
        <v>1.9444444444444445E-2</v>
      </c>
      <c r="AD8" s="181">
        <f t="shared" si="0"/>
        <v>5.0003208571368493E-4</v>
      </c>
      <c r="AE8" s="181">
        <f t="shared" si="1"/>
        <v>4.7380571922181605E-4</v>
      </c>
      <c r="AF8" s="181">
        <f t="shared" si="2"/>
        <v>4.7009892094020589E-4</v>
      </c>
    </row>
    <row r="9" spans="1:32" ht="12" customHeight="1" x14ac:dyDescent="0.2">
      <c r="C9" s="156" t="s">
        <v>159</v>
      </c>
      <c r="D9" s="191" t="s">
        <v>40</v>
      </c>
      <c r="N9" s="429" t="s">
        <v>108</v>
      </c>
      <c r="O9" s="140"/>
      <c r="P9" s="141">
        <f t="array" ref="P9:P10">_xll.ohFilter(J3:J7,L3:L7)</f>
        <v>4.2013888888888882E-3</v>
      </c>
      <c r="Q9" s="142">
        <f t="array" ref="Q9:Q10">_xll.ohFilter(I3:I7,L3:L7)</f>
        <v>9.166666666666666E-2</v>
      </c>
      <c r="R9" s="431" t="s">
        <v>37</v>
      </c>
      <c r="S9" s="143">
        <f t="array" ref="S9:S10">MMULT(W9:X10,U9:U10)</f>
        <v>9.9384125653397166E-4</v>
      </c>
      <c r="T9" s="431" t="s">
        <v>38</v>
      </c>
      <c r="U9" s="144">
        <f t="array" ref="U9:U10">_xll.ohFilter(F3:F7,L3:L7)</f>
        <v>4.5836274523754443E-5</v>
      </c>
      <c r="W9" s="141">
        <f t="array" ref="W9:X10">MINVERSE(P9:Q10)</f>
        <v>-124.6753246753247</v>
      </c>
      <c r="X9" s="142">
        <v>137.14285714285714</v>
      </c>
      <c r="AB9" s="183">
        <f>_xll.qlCalendarAdvance(Calendar,AB8,"1d","mf",,Trigger)</f>
        <v>42145</v>
      </c>
      <c r="AC9" s="169">
        <f>_xll.qlDayCounterYearFraction(DayCounter,SettlementDate,AB9,,,Trigger)</f>
        <v>2.2222222222222223E-2</v>
      </c>
      <c r="AD9" s="181">
        <f t="shared" si="0"/>
        <v>5.0003208571368493E-4</v>
      </c>
      <c r="AE9" s="181">
        <f t="shared" si="1"/>
        <v>4.7656638937885489E-4</v>
      </c>
      <c r="AF9" s="181">
        <f t="shared" si="2"/>
        <v>4.7347739081084645E-4</v>
      </c>
    </row>
    <row r="10" spans="1:32" ht="12" customHeight="1" x14ac:dyDescent="0.2">
      <c r="C10" s="156" t="s">
        <v>121</v>
      </c>
      <c r="D10" s="191" t="str">
        <f>PROPER(Currency)&amp;IborType&amp;D9</f>
        <v>Euribor1M</v>
      </c>
      <c r="N10" s="429"/>
      <c r="O10" s="140"/>
      <c r="P10" s="141">
        <v>1.111111111111111E-2</v>
      </c>
      <c r="Q10" s="142">
        <v>8.3333333333333329E-2</v>
      </c>
      <c r="R10" s="431"/>
      <c r="S10" s="143">
        <v>4.544810281225444E-4</v>
      </c>
      <c r="T10" s="431"/>
      <c r="U10" s="144">
        <v>4.891609963836729E-5</v>
      </c>
      <c r="W10" s="141">
        <v>16.623376623376625</v>
      </c>
      <c r="X10" s="142">
        <v>-6.2857142857142865</v>
      </c>
      <c r="AB10" s="183">
        <f>_xll.qlCalendarAdvance(Calendar,AB9,"1d","mf",,Trigger)</f>
        <v>42146</v>
      </c>
      <c r="AC10" s="169">
        <f>_xll.qlDayCounterYearFraction(DayCounter,SettlementDate,AB10,,,Trigger)</f>
        <v>2.5000000000000001E-2</v>
      </c>
      <c r="AD10" s="181">
        <f t="shared" si="0"/>
        <v>5.0003208571368493E-4</v>
      </c>
      <c r="AE10" s="181">
        <f t="shared" si="1"/>
        <v>4.7932705953589367E-4</v>
      </c>
      <c r="AF10" s="181">
        <f t="shared" si="2"/>
        <v>4.7683064436664601E-4</v>
      </c>
    </row>
    <row r="11" spans="1:32" ht="12" customHeight="1" x14ac:dyDescent="0.2">
      <c r="C11" s="156" t="s">
        <v>150</v>
      </c>
      <c r="D11" s="192" t="s">
        <v>100</v>
      </c>
      <c r="S11" s="145"/>
      <c r="T11" s="138"/>
      <c r="U11" s="139"/>
      <c r="AB11" s="183">
        <f>_xll.qlCalendarAdvance(Calendar,AB10,"1d","mf",,Trigger)</f>
        <v>42149</v>
      </c>
      <c r="AC11" s="169">
        <f>_xll.qlDayCounterYearFraction(DayCounter,SettlementDate,AB11,,,Trigger)</f>
        <v>3.3333333333333333E-2</v>
      </c>
      <c r="AD11" s="181">
        <f t="shared" si="0"/>
        <v>5.0003208571368493E-4</v>
      </c>
      <c r="AE11" s="181">
        <f t="shared" si="1"/>
        <v>4.8760907000701013E-4</v>
      </c>
      <c r="AF11" s="181">
        <f t="shared" si="2"/>
        <v>4.8673910714499961E-4</v>
      </c>
    </row>
    <row r="12" spans="1:32" ht="12" customHeight="1" x14ac:dyDescent="0.2">
      <c r="C12" s="156" t="s">
        <v>149</v>
      </c>
      <c r="D12" s="191" t="s">
        <v>155</v>
      </c>
      <c r="S12" s="146" t="s">
        <v>35</v>
      </c>
      <c r="T12" s="138"/>
      <c r="U12" s="139"/>
      <c r="AB12" s="183">
        <f>_xll.qlCalendarAdvance(Calendar,AB11,"1d","mf",,Trigger)</f>
        <v>42150</v>
      </c>
      <c r="AC12" s="169">
        <f>_xll.qlDayCounterYearFraction(DayCounter,SettlementDate,AB12,,,Trigger)</f>
        <v>3.6111111111111108E-2</v>
      </c>
      <c r="AD12" s="181">
        <f t="shared" si="0"/>
        <v>5.0003208571368493E-4</v>
      </c>
      <c r="AE12" s="181">
        <f t="shared" si="1"/>
        <v>4.9036974016404891E-4</v>
      </c>
      <c r="AF12" s="181">
        <f t="shared" si="2"/>
        <v>4.8999149544143566E-4</v>
      </c>
    </row>
    <row r="13" spans="1:32" ht="12" customHeight="1" x14ac:dyDescent="0.2">
      <c r="J13" s="158" t="str">
        <f>"Synthetic Deposits "&amp;D9</f>
        <v>Synthetic Deposits 1M</v>
      </c>
      <c r="K13" s="158"/>
      <c r="L13" s="158"/>
      <c r="N13" s="151" t="s">
        <v>109</v>
      </c>
      <c r="Q13" s="152">
        <f t="array" ref="Q13">_xll.ohFilter(I3:I7,L3:L7)</f>
        <v>9.166666666666666E-2</v>
      </c>
      <c r="R13" s="151" t="s">
        <v>37</v>
      </c>
      <c r="S13" s="143">
        <f>MMULT(W13,U13)</f>
        <v>5.0003208571368493E-4</v>
      </c>
      <c r="T13" s="151" t="s">
        <v>38</v>
      </c>
      <c r="U13" s="144">
        <f t="array" ref="U13">_xll.ohFilter(F3:F7,L3:L7)</f>
        <v>4.5836274523754443E-5</v>
      </c>
      <c r="W13" s="152">
        <f>MINVERSE(Q13)</f>
        <v>10.90909090909091</v>
      </c>
      <c r="AB13" s="183">
        <f>_xll.qlCalendarAdvance(Calendar,AB12,"1d","mf",,Trigger)</f>
        <v>42151</v>
      </c>
      <c r="AC13" s="169">
        <f>_xll.qlDayCounterYearFraction(DayCounter,SettlementDate,AB13,,,Trigger)</f>
        <v>3.888888888888889E-2</v>
      </c>
      <c r="AD13" s="181">
        <f t="shared" si="0"/>
        <v>5.0003208571368493E-4</v>
      </c>
      <c r="AE13" s="181">
        <f t="shared" si="1"/>
        <v>4.931304103210877E-4</v>
      </c>
      <c r="AF13" s="181">
        <f t="shared" si="2"/>
        <v>4.9321866742303092E-4</v>
      </c>
    </row>
    <row r="14" spans="1:32" ht="12" customHeight="1" x14ac:dyDescent="0.2">
      <c r="C14" s="156" t="s">
        <v>116</v>
      </c>
      <c r="D14" s="156" t="s">
        <v>91</v>
      </c>
      <c r="E14" s="156" t="s">
        <v>92</v>
      </c>
      <c r="F14" s="156" t="s">
        <v>143</v>
      </c>
      <c r="G14" s="156" t="s">
        <v>144</v>
      </c>
      <c r="H14" s="156" t="s">
        <v>145</v>
      </c>
      <c r="I14" s="157" t="s">
        <v>146</v>
      </c>
      <c r="J14" s="159" t="s">
        <v>109</v>
      </c>
      <c r="K14" s="159" t="s">
        <v>108</v>
      </c>
      <c r="L14" s="159" t="s">
        <v>135</v>
      </c>
      <c r="AB14" s="183">
        <f>_xll.qlCalendarAdvance(Calendar,AB13,"1d","mf",,Trigger)</f>
        <v>42152</v>
      </c>
      <c r="AC14" s="169">
        <f>_xll.qlDayCounterYearFraction(DayCounter,SettlementDate,AB14,,,Trigger)</f>
        <v>4.1666666666666664E-2</v>
      </c>
      <c r="AD14" s="181">
        <f t="shared" si="0"/>
        <v>5.0003208571368493E-4</v>
      </c>
      <c r="AE14" s="181">
        <f t="shared" si="1"/>
        <v>4.9589108047812659E-4</v>
      </c>
      <c r="AF14" s="181">
        <f t="shared" si="2"/>
        <v>4.964206230897853E-4</v>
      </c>
    </row>
    <row r="15" spans="1:32" ht="12" customHeight="1" x14ac:dyDescent="0.2">
      <c r="C15" s="176" t="s">
        <v>43</v>
      </c>
      <c r="D15" s="177">
        <f t="shared" ref="D15:D19" si="4">SettlementDate</f>
        <v>42137</v>
      </c>
      <c r="E15" s="178">
        <f>_xll.qlCalendarAdvance(Calendar,SettlementDate,C15,"Following",,Trigger)</f>
        <v>42138</v>
      </c>
      <c r="F15" s="179">
        <f>_xll.qlDayCounterYearFraction(DayCounter,D15,E15,,,Trigger)</f>
        <v>2.7777777777777779E-3</v>
      </c>
      <c r="G15" s="180">
        <f>_xll.qlYieldTSDiscount(Discounting,D15,,AllTriggers)</f>
        <v>1.0000055555787037</v>
      </c>
      <c r="H15" s="180">
        <f>_xll.qlYieldTSDiscount(Discounting,E15,,AllTriggers)</f>
        <v>1.0000083109335718</v>
      </c>
      <c r="I15" s="181">
        <f>(G15/H15-1)/F15</f>
        <v>-9.9191950873045442E-4</v>
      </c>
      <c r="J15" s="181">
        <f>((1+I15*F15)*EXP($S$13*F15)-1)/F15</f>
        <v>-4.9188845348879795E-4</v>
      </c>
      <c r="K15" s="181">
        <f>((1+F15*I15)*EXP($S$10*F15+0.5*$S$9*F15^2)-1)/F15</f>
        <v>-5.3605911297882614E-4</v>
      </c>
      <c r="L15" s="181">
        <f>((1+F15*I15)*EXP($S$5*F15+0.5*$S$4*F15^2+1/3*$S$3*F15^3)-1)/F15</f>
        <v>-5.4439729520350255E-4</v>
      </c>
      <c r="AB15" s="183">
        <f>_xll.qlCalendarAdvance(Calendar,AB14,"1d","mf",,Trigger)</f>
        <v>42153</v>
      </c>
      <c r="AC15" s="169">
        <f>_xll.qlDayCounterYearFraction(DayCounter,SettlementDate,AB15,,,Trigger)</f>
        <v>4.4444444444444446E-2</v>
      </c>
      <c r="AD15" s="181">
        <f t="shared" si="0"/>
        <v>5.0003208571368493E-4</v>
      </c>
      <c r="AE15" s="181">
        <f t="shared" si="1"/>
        <v>4.9865175063516537E-4</v>
      </c>
      <c r="AF15" s="181">
        <f t="shared" si="2"/>
        <v>4.9959736244169868E-4</v>
      </c>
    </row>
    <row r="16" spans="1:32" ht="12" customHeight="1" x14ac:dyDescent="0.2">
      <c r="C16" s="182" t="s">
        <v>44</v>
      </c>
      <c r="D16" s="167">
        <f>SettlementDate</f>
        <v>42137</v>
      </c>
      <c r="E16" s="183">
        <f>_xll.qlCalendarAdvance(Calendar,SettlementDate,C16,"Following",,Trigger)</f>
        <v>42144</v>
      </c>
      <c r="F16" s="169">
        <f>_xll.qlDayCounterYearFraction(DayCounter,D16,E16,,,Trigger)</f>
        <v>1.9444444444444445E-2</v>
      </c>
      <c r="G16" s="184">
        <f>_xll.qlYieldTSDiscount(Discounting,D16,,AllTriggers)</f>
        <v>1.0000055555787037</v>
      </c>
      <c r="H16" s="185">
        <f>_xll.qlYieldTSDiscount(Discounting,E16,,AllTriggers)</f>
        <v>1.000024611603247</v>
      </c>
      <c r="I16" s="181">
        <f t="shared" ref="I16:I19" si="5">(G16/H16-1)/F16</f>
        <v>-9.7999999999614259E-4</v>
      </c>
      <c r="J16" s="181">
        <f t="shared" ref="J16:J19" si="6">((1+I16*F16)*EXP($S$13*F16)-1)/F16</f>
        <v>-4.7997501183846429E-4</v>
      </c>
      <c r="K16" s="181">
        <f t="shared" ref="K16:K19" si="7">((1+F16*I16)*EXP($S$10*F16+0.5*$S$9*F16^2)-1)/F16</f>
        <v>-5.1586337641573721E-4</v>
      </c>
      <c r="L16" s="181">
        <f t="shared" ref="L16:L19" si="8">((1+F16*I16)*EXP($S$5*F16+0.5*$S$4*F16^2+1/3*$S$3*F16^3)-1)/F16</f>
        <v>-5.2198247374743033E-4</v>
      </c>
      <c r="AB16" s="183">
        <f>_xll.qlCalendarAdvance(Calendar,AB15,"1d","mf",,Trigger)</f>
        <v>42156</v>
      </c>
      <c r="AC16" s="169">
        <f>_xll.qlDayCounterYearFraction(DayCounter,SettlementDate,AB16,,,Trigger)</f>
        <v>5.2777777777777778E-2</v>
      </c>
      <c r="AD16" s="181">
        <f t="shared" si="0"/>
        <v>5.0003208571368493E-4</v>
      </c>
      <c r="AE16" s="181">
        <f t="shared" si="1"/>
        <v>5.0693376110628183E-4</v>
      </c>
      <c r="AF16" s="181">
        <f t="shared" si="2"/>
        <v>5.0897628260839368E-4</v>
      </c>
    </row>
    <row r="17" spans="3:32" ht="12" customHeight="1" x14ac:dyDescent="0.2">
      <c r="C17" s="182" t="s">
        <v>45</v>
      </c>
      <c r="D17" s="167">
        <f t="shared" si="4"/>
        <v>42137</v>
      </c>
      <c r="E17" s="183">
        <f>_xll.qlCalendarAdvance(Calendar,SettlementDate,C17,"Following",,Trigger)</f>
        <v>42151</v>
      </c>
      <c r="F17" s="169">
        <f>_xll.qlDayCounterYearFraction(DayCounter,D17,E17,,,Trigger)</f>
        <v>3.888888888888889E-2</v>
      </c>
      <c r="G17" s="184">
        <f>_xll.qlYieldTSDiscount(Discounting,D17,,AllTriggers)</f>
        <v>1.0000055555787037</v>
      </c>
      <c r="H17" s="185">
        <f>_xll.qlYieldTSDiscount(Discounting,E17,,AllTriggers)</f>
        <v>1.0000440572749105</v>
      </c>
      <c r="I17" s="181">
        <f t="shared" si="5"/>
        <v>-9.9000000004416974E-4</v>
      </c>
      <c r="J17" s="181">
        <f t="shared" si="6"/>
        <v>-4.8998230398484513E-4</v>
      </c>
      <c r="K17" s="181">
        <f t="shared" si="7"/>
        <v>-5.1620815736524203E-4</v>
      </c>
      <c r="L17" s="181">
        <f t="shared" si="8"/>
        <v>-5.2012081003852519E-4</v>
      </c>
      <c r="AB17" s="183">
        <f>_xll.qlCalendarAdvance(Calendar,AB16,"1d","mf",,Trigger)</f>
        <v>42157</v>
      </c>
      <c r="AC17" s="169">
        <f>_xll.qlDayCounterYearFraction(DayCounter,SettlementDate,AB17,,,Trigger)</f>
        <v>5.5555555555555552E-2</v>
      </c>
      <c r="AD17" s="181">
        <f t="shared" si="0"/>
        <v>5.0003208571368493E-4</v>
      </c>
      <c r="AE17" s="181">
        <f t="shared" si="1"/>
        <v>5.0969443126332062E-4</v>
      </c>
      <c r="AF17" s="181">
        <f t="shared" si="2"/>
        <v>5.120521567009436E-4</v>
      </c>
    </row>
    <row r="18" spans="3:32" ht="12" customHeight="1" x14ac:dyDescent="0.2">
      <c r="C18" s="182" t="s">
        <v>46</v>
      </c>
      <c r="D18" s="167">
        <f t="shared" si="4"/>
        <v>42137</v>
      </c>
      <c r="E18" s="183">
        <f>_xll.qlCalendarAdvance(Calendar,SettlementDate,C18,"Following",,Trigger)</f>
        <v>42158</v>
      </c>
      <c r="F18" s="169">
        <f>_xll.qlDayCounterYearFraction(DayCounter,D18,E18,,,Trigger)</f>
        <v>5.8333333333333334E-2</v>
      </c>
      <c r="G18" s="184">
        <f>_xll.qlYieldTSDiscount(Discounting,D18,,AllTriggers)</f>
        <v>1.0000055555787037</v>
      </c>
      <c r="H18" s="185">
        <f>_xll.qlYieldTSDiscount(Discounting,E18,,AllTriggers)</f>
        <v>1.0000586420249531</v>
      </c>
      <c r="I18" s="181">
        <f t="shared" si="5"/>
        <v>-9.1000000003203601E-4</v>
      </c>
      <c r="J18" s="181">
        <f t="shared" si="6"/>
        <v>-4.0998716540206558E-4</v>
      </c>
      <c r="K18" s="181">
        <f t="shared" si="7"/>
        <v>-4.2655078219829993E-4</v>
      </c>
      <c r="L18" s="181">
        <f t="shared" si="8"/>
        <v>-4.2866889981103232E-4</v>
      </c>
      <c r="AB18" s="183">
        <f>_xll.qlCalendarAdvance(Calendar,AB17,"1d","mf",,Trigger)</f>
        <v>42158</v>
      </c>
      <c r="AC18" s="169">
        <f>_xll.qlDayCounterYearFraction(DayCounter,SettlementDate,AB18,,,Trigger)</f>
        <v>5.8333333333333334E-2</v>
      </c>
      <c r="AD18" s="181">
        <f t="shared" si="0"/>
        <v>5.0003208571368493E-4</v>
      </c>
      <c r="AE18" s="181">
        <f t="shared" si="1"/>
        <v>5.124551014203594E-4</v>
      </c>
      <c r="AF18" s="181">
        <f t="shared" si="2"/>
        <v>5.1510281447865263E-4</v>
      </c>
    </row>
    <row r="19" spans="3:32" ht="12" customHeight="1" x14ac:dyDescent="0.2">
      <c r="C19" s="186" t="s">
        <v>40</v>
      </c>
      <c r="D19" s="172">
        <f t="shared" si="4"/>
        <v>42137</v>
      </c>
      <c r="E19" s="187">
        <f>_xll.qlCalendarAdvance(Calendar,SettlementDate,C19,"mf",TRUE,Trigger)</f>
        <v>42170</v>
      </c>
      <c r="F19" s="174">
        <f>_xll.qlDayCounterYearFraction(DayCounter,D19,E19,,,Trigger)</f>
        <v>9.166666666666666E-2</v>
      </c>
      <c r="G19" s="188">
        <f>_xll.qlYieldTSDiscount(Discounting,D19,,AllTriggers)</f>
        <v>1.0000055555787037</v>
      </c>
      <c r="H19" s="189">
        <f>_xll.qlYieldTSDiscount(Discounting,E19,,AllTriggers)</f>
        <v>1.0000926469800662</v>
      </c>
      <c r="I19" s="190">
        <f t="shared" si="5"/>
        <v>-9.5000000023210361E-4</v>
      </c>
      <c r="J19" s="190">
        <f t="shared" si="6"/>
        <v>-4.4999999999870903E-4</v>
      </c>
      <c r="K19" s="190">
        <f t="shared" si="7"/>
        <v>-4.4999999999870903E-4</v>
      </c>
      <c r="L19" s="190">
        <f t="shared" si="8"/>
        <v>-4.4999999999870903E-4</v>
      </c>
      <c r="AB19" s="183">
        <f>_xll.qlCalendarAdvance(Calendar,AB18,"1d","mf",,Trigger)</f>
        <v>42159</v>
      </c>
      <c r="AC19" s="169">
        <f>_xll.qlDayCounterYearFraction(DayCounter,SettlementDate,AB19,,,Trigger)</f>
        <v>6.1111111111111109E-2</v>
      </c>
      <c r="AD19" s="181">
        <f t="shared" si="0"/>
        <v>5.0003208571368493E-4</v>
      </c>
      <c r="AE19" s="181">
        <f t="shared" si="1"/>
        <v>5.1521577157739818E-4</v>
      </c>
      <c r="AF19" s="181">
        <f t="shared" si="2"/>
        <v>5.1812825594152066E-4</v>
      </c>
    </row>
    <row r="20" spans="3:32" ht="12" customHeight="1" x14ac:dyDescent="0.2">
      <c r="AB20" s="183">
        <f>_xll.qlCalendarAdvance(Calendar,AB19,"1d","mf",,Trigger)</f>
        <v>42160</v>
      </c>
      <c r="AC20" s="169">
        <f>_xll.qlDayCounterYearFraction(DayCounter,SettlementDate,AB20,,,Trigger)</f>
        <v>6.3888888888888884E-2</v>
      </c>
      <c r="AD20" s="181">
        <f t="shared" si="0"/>
        <v>5.0003208571368493E-4</v>
      </c>
      <c r="AE20" s="181">
        <f t="shared" si="1"/>
        <v>5.1797644173443708E-4</v>
      </c>
      <c r="AF20" s="181">
        <f t="shared" si="2"/>
        <v>5.2112848108954791E-4</v>
      </c>
    </row>
    <row r="21" spans="3:32" ht="12" customHeight="1" x14ac:dyDescent="0.2">
      <c r="C21" s="156" t="s">
        <v>123</v>
      </c>
      <c r="AB21" s="183">
        <f>_xll.qlCalendarAdvance(Calendar,AB20,"1d","mf",,Trigger)</f>
        <v>42163</v>
      </c>
      <c r="AC21" s="169">
        <f>_xll.qlDayCounterYearFraction(DayCounter,SettlementDate,AB21,,,Trigger)</f>
        <v>7.2222222222222215E-2</v>
      </c>
      <c r="AD21" s="181">
        <f t="shared" si="0"/>
        <v>5.0003208571368493E-4</v>
      </c>
      <c r="AE21" s="181">
        <f t="shared" si="1"/>
        <v>5.2625845220555343E-4</v>
      </c>
      <c r="AF21" s="181">
        <f t="shared" si="2"/>
        <v>5.2997785864458431E-4</v>
      </c>
    </row>
    <row r="22" spans="3:32" ht="12" customHeight="1" x14ac:dyDescent="0.2">
      <c r="C22" s="193" t="s">
        <v>107</v>
      </c>
      <c r="AB22" s="183">
        <f>_xll.qlCalendarAdvance(Calendar,AB21,"1d","mf",,Trigger)</f>
        <v>42164</v>
      </c>
      <c r="AC22" s="169">
        <f>_xll.qlDayCounterYearFraction(DayCounter,SettlementDate,AB22,,,Trigger)</f>
        <v>7.4999999999999997E-2</v>
      </c>
      <c r="AD22" s="181">
        <f t="shared" si="0"/>
        <v>5.0003208571368493E-4</v>
      </c>
      <c r="AE22" s="181">
        <f t="shared" si="1"/>
        <v>5.2901912236259232E-4</v>
      </c>
      <c r="AF22" s="181">
        <f t="shared" si="2"/>
        <v>5.3287721853324799E-4</v>
      </c>
    </row>
    <row r="23" spans="3:32" ht="12" customHeight="1" x14ac:dyDescent="0.2">
      <c r="C23" s="181">
        <f>IF($C$22="FLAT",J15,IF($C$22="linear",K15,L15))</f>
        <v>-5.4439729520350255E-4</v>
      </c>
      <c r="AB23" s="183">
        <f>_xll.qlCalendarAdvance(Calendar,AB22,"1d","mf",,Trigger)</f>
        <v>42165</v>
      </c>
      <c r="AC23" s="169">
        <f>_xll.qlDayCounterYearFraction(DayCounter,SettlementDate,AB23,,,Trigger)</f>
        <v>7.7777777777777779E-2</v>
      </c>
      <c r="AD23" s="181">
        <f t="shared" si="0"/>
        <v>5.0003208571368493E-4</v>
      </c>
      <c r="AE23" s="181">
        <f t="shared" si="1"/>
        <v>5.317797925196311E-4</v>
      </c>
      <c r="AF23" s="181">
        <f t="shared" si="2"/>
        <v>5.3575136210707078E-4</v>
      </c>
    </row>
    <row r="24" spans="3:32" ht="12" customHeight="1" x14ac:dyDescent="0.2">
      <c r="C24" s="181">
        <f>IF($C$22="FLAT",J16,IF($C$22="linear",K16,L16))</f>
        <v>-5.2198247374743033E-4</v>
      </c>
      <c r="AB24" s="183">
        <f>_xll.qlCalendarAdvance(Calendar,AB23,"1d","mf",,Trigger)</f>
        <v>42166</v>
      </c>
      <c r="AC24" s="169">
        <f>_xll.qlDayCounterYearFraction(DayCounter,SettlementDate,AB24,,,Trigger)</f>
        <v>8.0555555555555561E-2</v>
      </c>
      <c r="AD24" s="181">
        <f t="shared" si="0"/>
        <v>5.0003208571368493E-4</v>
      </c>
      <c r="AE24" s="181">
        <f t="shared" ref="AE24:AE26" si="9">$S$10+$S$9*AC24</f>
        <v>5.3454046267666989E-4</v>
      </c>
      <c r="AF24" s="181">
        <f t="shared" ref="AF24:AF26" si="10">($S$5+$S$4*AC24+$S$3*AC24^2)</f>
        <v>5.3860028936605268E-4</v>
      </c>
    </row>
    <row r="25" spans="3:32" ht="12" customHeight="1" x14ac:dyDescent="0.2">
      <c r="C25" s="181">
        <f>IF($C$22="FLAT",J17,IF($C$22="linear",K17,L17))</f>
        <v>-5.2012081003852519E-4</v>
      </c>
      <c r="AB25" s="183">
        <f>_xll.qlCalendarAdvance(Calendar,AB24,"1d","mf",,Trigger)</f>
        <v>42167</v>
      </c>
      <c r="AC25" s="169">
        <f>_xll.qlDayCounterYearFraction(DayCounter,SettlementDate,AB25,,,Trigger)</f>
        <v>8.3333333333333329E-2</v>
      </c>
      <c r="AD25" s="181">
        <f t="shared" si="0"/>
        <v>5.0003208571368493E-4</v>
      </c>
      <c r="AE25" s="181">
        <f t="shared" si="9"/>
        <v>5.3730113283370867E-4</v>
      </c>
      <c r="AF25" s="181">
        <f t="shared" si="10"/>
        <v>5.414240003101937E-4</v>
      </c>
    </row>
    <row r="26" spans="3:32" ht="12" customHeight="1" x14ac:dyDescent="0.2">
      <c r="C26" s="181">
        <f>IF($C$22="FLAT",J18,IF($C$22="linear",K18,L18))</f>
        <v>-4.2866889981103232E-4</v>
      </c>
      <c r="AB26" s="187">
        <f>_xll.qlCalendarAdvance(Calendar,AB25,"1d","mf",,Trigger)</f>
        <v>42170</v>
      </c>
      <c r="AC26" s="174">
        <f>_xll.qlDayCounterYearFraction(DayCounter,SettlementDate,AB26,,,Trigger)</f>
        <v>9.166666666666666E-2</v>
      </c>
      <c r="AD26" s="190">
        <f t="shared" si="0"/>
        <v>5.0003208571368493E-4</v>
      </c>
      <c r="AE26" s="190">
        <f t="shared" si="9"/>
        <v>5.4558314330482513E-4</v>
      </c>
      <c r="AF26" s="190">
        <f t="shared" si="10"/>
        <v>5.4974383525357149E-4</v>
      </c>
    </row>
    <row r="27" spans="3:32" ht="12" customHeight="1" x14ac:dyDescent="0.2">
      <c r="C27" s="190">
        <f>IF($C$22="FLAT",J19,IF($C$22="linear",K19,L19))</f>
        <v>-4.4999999999870903E-4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54"/>
      <c r="J39" s="154"/>
    </row>
    <row r="43" spans="9:13" ht="11.25" customHeight="1" x14ac:dyDescent="0.2"/>
    <row r="44" spans="9:13" x14ac:dyDescent="0.2">
      <c r="M44" s="153"/>
    </row>
    <row r="45" spans="9:13" x14ac:dyDescent="0.2">
      <c r="M45" s="153"/>
    </row>
    <row r="46" spans="9:13" x14ac:dyDescent="0.2">
      <c r="M46" s="153"/>
    </row>
    <row r="47" spans="9:13" x14ac:dyDescent="0.2">
      <c r="M47" s="153"/>
    </row>
    <row r="48" spans="9:13" x14ac:dyDescent="0.2">
      <c r="M48" s="153"/>
    </row>
    <row r="58" spans="9:10" x14ac:dyDescent="0.2">
      <c r="I58" s="154"/>
    </row>
    <row r="59" spans="9:10" x14ac:dyDescent="0.2">
      <c r="I59" s="154"/>
    </row>
    <row r="60" spans="9:10" x14ac:dyDescent="0.2">
      <c r="I60" s="154"/>
    </row>
    <row r="61" spans="9:10" x14ac:dyDescent="0.2">
      <c r="I61" s="154"/>
    </row>
    <row r="62" spans="9:10" x14ac:dyDescent="0.2">
      <c r="I62" s="154"/>
    </row>
    <row r="63" spans="9:10" x14ac:dyDescent="0.2">
      <c r="I63" s="154"/>
    </row>
    <row r="64" spans="9:10" x14ac:dyDescent="0.2">
      <c r="I64" s="154"/>
      <c r="J64" s="154"/>
    </row>
    <row r="65" spans="9:10" x14ac:dyDescent="0.2">
      <c r="I65" s="154"/>
      <c r="J65" s="154"/>
    </row>
    <row r="66" spans="9:10" x14ac:dyDescent="0.2">
      <c r="I66" s="154"/>
      <c r="J66" s="154"/>
    </row>
    <row r="67" spans="9:10" x14ac:dyDescent="0.2">
      <c r="I67" s="154"/>
      <c r="J67" s="154"/>
    </row>
    <row r="68" spans="9:10" x14ac:dyDescent="0.2">
      <c r="I68" s="154"/>
      <c r="J68" s="154"/>
    </row>
    <row r="69" spans="9:10" x14ac:dyDescent="0.2">
      <c r="I69" s="154"/>
      <c r="J69" s="154"/>
    </row>
    <row r="70" spans="9:10" x14ac:dyDescent="0.2">
      <c r="I70" s="154"/>
      <c r="J70" s="154"/>
    </row>
    <row r="71" spans="9:10" x14ac:dyDescent="0.2">
      <c r="I71" s="154"/>
      <c r="J71" s="154"/>
    </row>
    <row r="72" spans="9:10" x14ac:dyDescent="0.2">
      <c r="I72" s="154"/>
      <c r="J72" s="154"/>
    </row>
    <row r="73" spans="9:10" x14ac:dyDescent="0.2">
      <c r="I73" s="154"/>
      <c r="J73" s="154"/>
    </row>
    <row r="74" spans="9:10" x14ac:dyDescent="0.2">
      <c r="I74" s="154"/>
      <c r="J74" s="154"/>
    </row>
    <row r="75" spans="9:10" x14ac:dyDescent="0.2">
      <c r="I75" s="154"/>
      <c r="J75" s="154"/>
    </row>
    <row r="76" spans="9:10" x14ac:dyDescent="0.2">
      <c r="I76" s="154"/>
      <c r="J76" s="154"/>
    </row>
    <row r="77" spans="9:10" x14ac:dyDescent="0.2">
      <c r="I77" s="154"/>
      <c r="J77" s="154"/>
    </row>
    <row r="78" spans="9:10" x14ac:dyDescent="0.2">
      <c r="I78" s="154"/>
      <c r="J78" s="154"/>
    </row>
    <row r="79" spans="9:10" x14ac:dyDescent="0.2">
      <c r="I79" s="154"/>
      <c r="J79" s="154"/>
    </row>
    <row r="80" spans="9:10" x14ac:dyDescent="0.2">
      <c r="I80" s="154"/>
      <c r="J80" s="154"/>
    </row>
    <row r="81" spans="9:10" x14ac:dyDescent="0.2">
      <c r="I81" s="154"/>
      <c r="J81" s="154"/>
    </row>
    <row r="82" spans="9:10" x14ac:dyDescent="0.2">
      <c r="I82" s="154"/>
      <c r="J82" s="154"/>
    </row>
    <row r="83" spans="9:10" x14ac:dyDescent="0.2">
      <c r="I83" s="154"/>
      <c r="J83" s="154"/>
    </row>
    <row r="84" spans="9:10" x14ac:dyDescent="0.2">
      <c r="I84" s="154"/>
      <c r="J84" s="154"/>
    </row>
    <row r="85" spans="9:10" x14ac:dyDescent="0.2">
      <c r="I85" s="154"/>
      <c r="J85" s="154"/>
    </row>
    <row r="86" spans="9:10" x14ac:dyDescent="0.2">
      <c r="I86" s="154"/>
      <c r="J86" s="154"/>
    </row>
    <row r="87" spans="9:10" x14ac:dyDescent="0.2">
      <c r="I87" s="154"/>
      <c r="J87" s="154"/>
    </row>
    <row r="88" spans="9:10" x14ac:dyDescent="0.2">
      <c r="I88" s="154"/>
      <c r="J88" s="154"/>
    </row>
    <row r="89" spans="9:10" x14ac:dyDescent="0.2">
      <c r="I89" s="154"/>
      <c r="J89" s="154"/>
    </row>
    <row r="90" spans="9:10" x14ac:dyDescent="0.2">
      <c r="I90" s="154"/>
      <c r="J90" s="154"/>
    </row>
    <row r="91" spans="9:10" x14ac:dyDescent="0.2">
      <c r="I91" s="154"/>
      <c r="J91" s="154"/>
    </row>
    <row r="92" spans="9:10" x14ac:dyDescent="0.2">
      <c r="I92" s="154"/>
      <c r="J92" s="154"/>
    </row>
    <row r="93" spans="9:10" x14ac:dyDescent="0.2">
      <c r="I93" s="154"/>
      <c r="J93" s="154"/>
    </row>
    <row r="94" spans="9:10" x14ac:dyDescent="0.2">
      <c r="I94" s="154"/>
      <c r="J94" s="154"/>
    </row>
    <row r="95" spans="9:10" x14ac:dyDescent="0.2">
      <c r="I95" s="154"/>
      <c r="J95" s="154"/>
    </row>
    <row r="96" spans="9:10" x14ac:dyDescent="0.2">
      <c r="I96" s="154"/>
      <c r="J96" s="154"/>
    </row>
    <row r="97" spans="9:10" x14ac:dyDescent="0.2">
      <c r="I97" s="154"/>
      <c r="J97" s="154"/>
    </row>
    <row r="98" spans="9:10" x14ac:dyDescent="0.2">
      <c r="I98" s="154"/>
      <c r="J98" s="154"/>
    </row>
    <row r="99" spans="9:10" x14ac:dyDescent="0.2">
      <c r="I99" s="154"/>
      <c r="J99" s="154"/>
    </row>
    <row r="100" spans="9:10" x14ac:dyDescent="0.2">
      <c r="I100" s="154"/>
      <c r="J100" s="154"/>
    </row>
    <row r="101" spans="9:10" x14ac:dyDescent="0.2">
      <c r="I101" s="154"/>
      <c r="J101" s="154"/>
    </row>
    <row r="102" spans="9:10" x14ac:dyDescent="0.2">
      <c r="I102" s="154"/>
      <c r="J102" s="154"/>
    </row>
    <row r="103" spans="9:10" x14ac:dyDescent="0.2">
      <c r="I103" s="154"/>
      <c r="J103" s="154"/>
    </row>
    <row r="104" spans="9:10" x14ac:dyDescent="0.2">
      <c r="I104" s="154"/>
      <c r="J104" s="154"/>
    </row>
    <row r="105" spans="9:10" x14ac:dyDescent="0.2">
      <c r="I105" s="154"/>
      <c r="J105" s="154"/>
    </row>
    <row r="106" spans="9:10" x14ac:dyDescent="0.2">
      <c r="I106" s="154"/>
      <c r="J106" s="154"/>
    </row>
    <row r="107" spans="9:10" x14ac:dyDescent="0.2">
      <c r="I107" s="154"/>
      <c r="J107" s="154"/>
    </row>
    <row r="108" spans="9:10" x14ac:dyDescent="0.2">
      <c r="I108" s="154"/>
      <c r="J108" s="154"/>
    </row>
    <row r="109" spans="9:10" x14ac:dyDescent="0.2">
      <c r="I109" s="154"/>
      <c r="J109" s="154"/>
    </row>
    <row r="110" spans="9:10" x14ac:dyDescent="0.2">
      <c r="I110" s="154"/>
      <c r="J110" s="154"/>
    </row>
    <row r="111" spans="9:10" x14ac:dyDescent="0.2">
      <c r="I111" s="155"/>
      <c r="J111" s="154"/>
    </row>
    <row r="112" spans="9:10" x14ac:dyDescent="0.2">
      <c r="I112" s="155"/>
      <c r="J112" s="154"/>
    </row>
    <row r="113" spans="9:10" x14ac:dyDescent="0.2">
      <c r="I113" s="155"/>
      <c r="J113" s="154"/>
    </row>
    <row r="114" spans="9:10" x14ac:dyDescent="0.2">
      <c r="I114" s="155"/>
      <c r="J114" s="154"/>
    </row>
    <row r="115" spans="9:10" x14ac:dyDescent="0.2">
      <c r="I115" s="155"/>
      <c r="J115" s="154"/>
    </row>
    <row r="116" spans="9:10" x14ac:dyDescent="0.2">
      <c r="I116" s="155"/>
      <c r="J116" s="154"/>
    </row>
    <row r="117" spans="9:10" x14ac:dyDescent="0.2">
      <c r="I117" s="155"/>
      <c r="J117" s="155"/>
    </row>
    <row r="118" spans="9:10" x14ac:dyDescent="0.2">
      <c r="I118" s="155"/>
      <c r="J118" s="155"/>
    </row>
    <row r="119" spans="9:10" x14ac:dyDescent="0.2">
      <c r="I119" s="155"/>
      <c r="J119" s="155"/>
    </row>
    <row r="120" spans="9:10" x14ac:dyDescent="0.2">
      <c r="I120" s="155"/>
      <c r="J120" s="155"/>
    </row>
    <row r="121" spans="9:10" x14ac:dyDescent="0.2">
      <c r="I121" s="155"/>
      <c r="J121" s="155"/>
    </row>
    <row r="122" spans="9:10" x14ac:dyDescent="0.2">
      <c r="I122" s="155"/>
      <c r="J122" s="155"/>
    </row>
    <row r="123" spans="9:10" x14ac:dyDescent="0.2">
      <c r="I123" s="155"/>
      <c r="J123" s="155"/>
    </row>
    <row r="124" spans="9:10" x14ac:dyDescent="0.2">
      <c r="I124" s="155"/>
      <c r="J124" s="155"/>
    </row>
    <row r="125" spans="9:10" x14ac:dyDescent="0.2">
      <c r="I125" s="155"/>
      <c r="J125" s="155"/>
    </row>
    <row r="126" spans="9:10" x14ac:dyDescent="0.2">
      <c r="I126" s="155"/>
      <c r="J126" s="155"/>
    </row>
    <row r="127" spans="9:10" x14ac:dyDescent="0.2">
      <c r="J127" s="155"/>
    </row>
    <row r="128" spans="9:10" x14ac:dyDescent="0.2">
      <c r="J128" s="155"/>
    </row>
    <row r="129" spans="10:10" x14ac:dyDescent="0.2">
      <c r="J129" s="155"/>
    </row>
    <row r="130" spans="10:10" x14ac:dyDescent="0.2">
      <c r="J130" s="155"/>
    </row>
    <row r="131" spans="10:10" x14ac:dyDescent="0.2">
      <c r="J131" s="155"/>
    </row>
    <row r="132" spans="10:10" x14ac:dyDescent="0.2">
      <c r="J132" s="155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29" customWidth="1"/>
    <col min="3" max="5" width="22.83203125" style="129" customWidth="1"/>
    <col min="6" max="7" width="14.1640625" style="129" hidden="1" customWidth="1" outlineLevel="1"/>
    <col min="8" max="8" width="8.1640625" style="129" hidden="1" customWidth="1" outlineLevel="1"/>
    <col min="9" max="9" width="10.5" style="129" hidden="1" customWidth="1" outlineLevel="1"/>
    <col min="10" max="10" width="10.5" style="129" bestFit="1" customWidth="1" collapsed="1"/>
    <col min="11" max="12" width="14.1640625" style="129" bestFit="1" customWidth="1"/>
    <col min="13" max="16" width="10.5" style="129" bestFit="1" customWidth="1"/>
    <col min="17" max="17" width="10.83203125" style="129" customWidth="1"/>
    <col min="18" max="18" width="13.1640625" style="129" customWidth="1"/>
    <col min="19" max="21" width="6.83203125" style="129" customWidth="1"/>
    <col min="22" max="22" width="2.33203125" style="129" bestFit="1" customWidth="1"/>
    <col min="23" max="23" width="10.83203125" style="129" customWidth="1"/>
    <col min="24" max="24" width="2.33203125" style="129" bestFit="1" customWidth="1"/>
    <col min="25" max="25" width="10.83203125" style="129" customWidth="1"/>
    <col min="26" max="26" width="12.5" style="129" bestFit="1" customWidth="1"/>
    <col min="27" max="29" width="9.33203125" style="129" bestFit="1" customWidth="1"/>
    <col min="30" max="31" width="9.5" style="129"/>
    <col min="32" max="32" width="20.33203125" style="129" bestFit="1" customWidth="1"/>
    <col min="33" max="33" width="8.1640625" style="129" bestFit="1" customWidth="1"/>
    <col min="34" max="35" width="9.5" style="129" bestFit="1" customWidth="1"/>
    <col min="36" max="36" width="12.1640625" style="129" customWidth="1"/>
    <col min="37" max="16384" width="9.5" style="129"/>
  </cols>
  <sheetData>
    <row r="2" spans="1:36" ht="19.5" customHeight="1" x14ac:dyDescent="0.2">
      <c r="C2" s="156" t="s">
        <v>106</v>
      </c>
      <c r="D2" s="156" t="s">
        <v>91</v>
      </c>
      <c r="E2" s="156" t="s">
        <v>92</v>
      </c>
      <c r="F2" s="156" t="s">
        <v>144</v>
      </c>
      <c r="G2" s="156" t="s">
        <v>145</v>
      </c>
      <c r="H2" s="156" t="s">
        <v>143</v>
      </c>
      <c r="I2" s="156" t="s">
        <v>146</v>
      </c>
      <c r="J2" s="156" t="s">
        <v>147</v>
      </c>
      <c r="K2" s="156" t="s">
        <v>151</v>
      </c>
      <c r="L2" s="156" t="s">
        <v>152</v>
      </c>
      <c r="M2" s="156" t="s">
        <v>113</v>
      </c>
      <c r="N2" s="157" t="s">
        <v>114</v>
      </c>
      <c r="O2" s="156" t="s">
        <v>115</v>
      </c>
      <c r="P2" s="156" t="s">
        <v>122</v>
      </c>
      <c r="W2" s="146" t="s">
        <v>111</v>
      </c>
      <c r="AA2" s="429" t="s">
        <v>110</v>
      </c>
      <c r="AB2" s="429"/>
      <c r="AC2" s="429"/>
      <c r="AF2" s="156" t="s">
        <v>91</v>
      </c>
      <c r="AG2" s="156" t="s">
        <v>143</v>
      </c>
      <c r="AH2" s="156" t="s">
        <v>39</v>
      </c>
      <c r="AI2" s="156" t="s">
        <v>104</v>
      </c>
      <c r="AJ2" s="156" t="s">
        <v>105</v>
      </c>
    </row>
    <row r="3" spans="1:36" ht="12" customHeight="1" x14ac:dyDescent="0.2">
      <c r="C3" s="161" t="str">
        <f>$D$10&amp;"LastFixing"&amp;QuoteSuffix</f>
        <v>Euribor3MLastFixing_Quote</v>
      </c>
      <c r="D3" s="162">
        <f>_xll.qlCalendarAdvance(Calendar,_xll.qlLastFixingQuoteReferenceDate($C$3),_xll.qlInterestRateIndexFixingDays($D$10)&amp;"D","f",,LastFixingsTrigger)</f>
        <v>42137</v>
      </c>
      <c r="E3" s="162">
        <f>_xll.qlInterestRateIndexMaturity($D$10,D3)</f>
        <v>42229</v>
      </c>
      <c r="F3" s="196">
        <f>_xll.qlYieldTSDiscount(Discounting,D3,,AllTriggers)</f>
        <v>1.0000055555787037</v>
      </c>
      <c r="G3" s="196">
        <f>_xll.qlYieldTSDiscount(Discounting,E3,,AllTriggers)</f>
        <v>1.0002842488977353</v>
      </c>
      <c r="H3" s="197">
        <f>_xll.qlDayCounterYearFraction(DayCounter,D3,E3,,,Trigger)</f>
        <v>0.25555555555555554</v>
      </c>
      <c r="I3" s="198">
        <f>(F3/G3-1)/H3</f>
        <v>-1.0902291780291789E-3</v>
      </c>
      <c r="J3" s="163">
        <f>'Delta 3M'!P3</f>
        <v>2.5565267889574549E-4</v>
      </c>
      <c r="K3" s="164">
        <f>_xll.qlDayCounterYearFraction(DayCounter,SettlementDate,D3,,,Trigger)</f>
        <v>0</v>
      </c>
      <c r="L3" s="164">
        <f>_xll.qlDayCounterYearFraction(DayCounter,SettlementDate,E3,,,Trigger)</f>
        <v>0.25555555555555554</v>
      </c>
      <c r="M3" s="164">
        <f>L3-K3</f>
        <v>0.25555555555555554</v>
      </c>
      <c r="N3" s="164">
        <f>(L3^2-K3^2)/2</f>
        <v>3.2654320987654313E-2</v>
      </c>
      <c r="O3" s="164">
        <f>(L3^3-K3^3)/3</f>
        <v>5.5633287608596238E-3</v>
      </c>
      <c r="P3" s="165" t="b">
        <f>IF(D12="fixing",TRUE,FALSE)</f>
        <v>0</v>
      </c>
      <c r="R3" s="430" t="s">
        <v>107</v>
      </c>
      <c r="S3" s="141">
        <f t="array" ref="S3:S5">_xll.ohFilter(O3:O7,P3:P7)</f>
        <v>5.5633287608596238E-3</v>
      </c>
      <c r="T3" s="147">
        <f t="array" ref="T3:T5">_xll.ohFilter(N3:N7,P3:P7)</f>
        <v>3.2654320987654313E-2</v>
      </c>
      <c r="U3" s="142">
        <f t="array" ref="U3:U5">_xll.ohFilter(M3:M7,P3:P7)</f>
        <v>0.25555555555555554</v>
      </c>
      <c r="V3" s="148"/>
      <c r="W3" s="143">
        <f t="array" ref="W3:W5">MMULT(AA3:AC5,Y3:Y5)</f>
        <v>-3.5567066650452062E-4</v>
      </c>
      <c r="X3" s="149"/>
      <c r="Y3" s="144">
        <f t="array" ref="Y3:Y5">_xll.ohFilter(J3:J7,P3:P7)</f>
        <v>2.4257707242624591E-4</v>
      </c>
      <c r="AA3" s="141">
        <f t="array" ref="AA3:AC5">MINVERSE(S3:U5)</f>
        <v>2069.9201419698375</v>
      </c>
      <c r="AB3" s="147">
        <v>-2587.4001774622957</v>
      </c>
      <c r="AC3" s="142">
        <v>517.48003549245914</v>
      </c>
      <c r="AF3" s="178">
        <f>SettlementDate</f>
        <v>42137</v>
      </c>
      <c r="AG3" s="169">
        <f>_xll.qlDayCounterYearFraction(DayCounter,SettlementDate,AF3,,,Trigger)</f>
        <v>0</v>
      </c>
      <c r="AH3" s="194">
        <f t="shared" ref="AH3:AH65" si="0">$W$13</f>
        <v>9.4921463123313627E-4</v>
      </c>
      <c r="AI3" s="194">
        <f t="shared" ref="AI3:AI65" si="1">$W$10+$W$9*AG3</f>
        <v>7.1342249761595974E-4</v>
      </c>
      <c r="AJ3" s="194">
        <f t="shared" ref="AJ3:AJ34" si="2">($W$5+$W$4*AG3+$W$3*AG3^2)</f>
        <v>7.0866741499123805E-4</v>
      </c>
    </row>
    <row r="4" spans="1:36" ht="12" customHeight="1" x14ac:dyDescent="0.2">
      <c r="A4" s="384" t="str">
        <f>IF(_xll.qlIMMIsIMMdate(D4,FALSE),_xll.qlIMMcode(D4),"0")</f>
        <v>0</v>
      </c>
      <c r="B4" s="130">
        <f>A4+SUBSTITUTE($D$9,"M","")</f>
        <v>3</v>
      </c>
      <c r="C4" s="166" t="str">
        <f>"Delta("&amp;A4&amp;"M,"&amp;B4&amp;"M)extrap"</f>
        <v>Delta(0M,3M)extrap</v>
      </c>
      <c r="D4" s="167">
        <f>IF((_xll.qlIMMNextDate(SettlementDate-1,FALSE)-SettlementDate)&lt;7,_xll.qlIMMNextDate(SettlementDate-1,FALSE),SettlementDate)</f>
        <v>42137</v>
      </c>
      <c r="E4" s="167">
        <f>_xll.qlInterestRateIndexMaturity($D$10,D4)</f>
        <v>42229</v>
      </c>
      <c r="F4" s="199">
        <f>_xll.qlYieldTSDiscount(Discounting,D4,,AllTriggers)</f>
        <v>1.0000055555787037</v>
      </c>
      <c r="G4" s="199">
        <f>_xll.qlYieldTSDiscount(Discounting,E4,,AllTriggers)</f>
        <v>1.0002842488977353</v>
      </c>
      <c r="H4" s="200">
        <f>_xll.qlDayCounterYearFraction(DayCounter,D4,E4,,,Trigger)</f>
        <v>0.25555555555555554</v>
      </c>
      <c r="I4" s="201">
        <f t="shared" ref="I4:I7" si="3">(F4/G4-1)/H4</f>
        <v>-1.0902291780291789E-3</v>
      </c>
      <c r="J4" s="168">
        <f>LN((1+(_xll.qlInterpolationInterpolate(B3Minterpolation,D4,TRUE,AllTriggers)+I4)*H4)/(1+I4*H4))</f>
        <v>2.4257707242624591E-4</v>
      </c>
      <c r="K4" s="169">
        <f>_xll.qlDayCounterYearFraction(DayCounter,SettlementDate,D4,,,Trigger)</f>
        <v>0</v>
      </c>
      <c r="L4" s="169">
        <f>_xll.qlDayCounterYearFraction(DayCounter,SettlementDate,E4,,,Trigger)</f>
        <v>0.25555555555555554</v>
      </c>
      <c r="M4" s="169">
        <f>L4-K4</f>
        <v>0.25555555555555554</v>
      </c>
      <c r="N4" s="169">
        <f>(L4^2-K4^2)/2</f>
        <v>3.2654320987654313E-2</v>
      </c>
      <c r="O4" s="169">
        <f>(L4^3-K4^3)/3</f>
        <v>5.5633287608596238E-3</v>
      </c>
      <c r="P4" s="170" t="b">
        <f>IF(D12="fixing",FALSE,TRUE)</f>
        <v>1</v>
      </c>
      <c r="R4" s="430"/>
      <c r="S4" s="141">
        <v>6.929841106538639E-3</v>
      </c>
      <c r="T4" s="147">
        <v>3.7623456790123459E-2</v>
      </c>
      <c r="U4" s="142">
        <v>0.25555555555555559</v>
      </c>
      <c r="V4" s="150" t="s">
        <v>37</v>
      </c>
      <c r="W4" s="143">
        <v>1.9431391746405693E-3</v>
      </c>
      <c r="X4" s="150" t="s">
        <v>38</v>
      </c>
      <c r="Y4" s="144">
        <v>2.5174676651135841E-4</v>
      </c>
      <c r="AA4" s="141">
        <v>-770.47027506655058</v>
      </c>
      <c r="AB4" s="147">
        <v>912.77728482697682</v>
      </c>
      <c r="AC4" s="142">
        <v>-142.30700976042641</v>
      </c>
      <c r="AF4" s="183">
        <f>_xll.qlCalendarAdvance(Calendar,AF3,"1d","mf",,Trigger)</f>
        <v>42138</v>
      </c>
      <c r="AG4" s="169">
        <f>_xll.qlDayCounterYearFraction(DayCounter,SettlementDate,AF4,,,Trigger)</f>
        <v>2.7777777777777779E-3</v>
      </c>
      <c r="AH4" s="181">
        <f t="shared" si="0"/>
        <v>9.4921463123313627E-4</v>
      </c>
      <c r="AI4" s="181">
        <f t="shared" si="1"/>
        <v>7.1854841356415922E-4</v>
      </c>
      <c r="AJ4" s="181">
        <f t="shared" si="2"/>
        <v>7.1406227943725741E-4</v>
      </c>
    </row>
    <row r="5" spans="1:36" ht="12" customHeight="1" x14ac:dyDescent="0.2">
      <c r="A5" s="131">
        <f>MONTH(D5)</f>
        <v>5</v>
      </c>
      <c r="B5" s="130">
        <f>MONTH(E5)</f>
        <v>8</v>
      </c>
      <c r="C5" s="166" t="str">
        <f>"Delta("&amp;A5&amp;"M,"&amp;B5&amp;"M)"</f>
        <v>Delta(5M,8M)</v>
      </c>
      <c r="D5" s="167">
        <f>_xll.qlIMMNextDate(D4,FALSE)</f>
        <v>42144</v>
      </c>
      <c r="E5" s="167">
        <f>_xll.qlInterestRateIndexMaturity($D$10,D5)</f>
        <v>42236</v>
      </c>
      <c r="F5" s="199">
        <f>_xll.qlYieldTSDiscount(Discounting,D5,,AllTriggers)</f>
        <v>1.000024611603247</v>
      </c>
      <c r="G5" s="199">
        <f>_xll.qlYieldTSDiscount(Discounting,E5,,AllTriggers)</f>
        <v>1.0003083505518378</v>
      </c>
      <c r="H5" s="200">
        <f>_xll.qlDayCounterYearFraction(DayCounter,D5,E5,,,Trigger)</f>
        <v>0.25555555555555554</v>
      </c>
      <c r="I5" s="201">
        <f t="shared" si="3"/>
        <v>-1.1099405915180134E-3</v>
      </c>
      <c r="J5" s="168">
        <f>LN((1+(_xll.qlInterpolationInterpolate(B3Minterpolation,D5,TRUE,AllTriggers)+I5)*H5)/(1+I5*H5))</f>
        <v>2.5174676651135841E-4</v>
      </c>
      <c r="K5" s="169">
        <f>_xll.qlDayCounterYearFraction(DayCounter,SettlementDate,D5,,,Trigger)</f>
        <v>1.9444444444444445E-2</v>
      </c>
      <c r="L5" s="169">
        <f>_xll.qlDayCounterYearFraction(DayCounter,SettlementDate,E5,,,Trigger)</f>
        <v>0.27500000000000002</v>
      </c>
      <c r="M5" s="169">
        <f>L5-K5</f>
        <v>0.25555555555555559</v>
      </c>
      <c r="N5" s="169">
        <f>(L5^2-K5^2)/2</f>
        <v>3.7623456790123459E-2</v>
      </c>
      <c r="O5" s="169">
        <f>(L5^3-K5^3)/3</f>
        <v>6.929841106538639E-3</v>
      </c>
      <c r="P5" s="170" t="b">
        <v>1</v>
      </c>
      <c r="R5" s="430"/>
      <c r="S5" s="141">
        <v>1.4328332190214911E-2</v>
      </c>
      <c r="T5" s="147">
        <v>5.7500000000000009E-2</v>
      </c>
      <c r="U5" s="142">
        <v>0.25555555555555559</v>
      </c>
      <c r="V5" s="131"/>
      <c r="W5" s="143">
        <v>7.0866741499123805E-4</v>
      </c>
      <c r="X5" s="150"/>
      <c r="Y5" s="144">
        <v>2.8773823002404652E-4</v>
      </c>
      <c r="AA5" s="141">
        <v>57.30079858030183</v>
      </c>
      <c r="AB5" s="147">
        <v>-60.306122448979764</v>
      </c>
      <c r="AC5" s="142">
        <v>6.9183673469388109</v>
      </c>
      <c r="AF5" s="183">
        <f>_xll.qlCalendarAdvance(Calendar,AF4,"1d","mf",,Trigger)</f>
        <v>42139</v>
      </c>
      <c r="AG5" s="169">
        <f>_xll.qlDayCounterYearFraction(DayCounter,SettlementDate,AF5,,,Trigger)</f>
        <v>5.5555555555555558E-3</v>
      </c>
      <c r="AH5" s="181">
        <f t="shared" si="0"/>
        <v>9.4921463123313627E-4</v>
      </c>
      <c r="AI5" s="181">
        <f t="shared" si="1"/>
        <v>7.2367432951235869E-4</v>
      </c>
      <c r="AJ5" s="181">
        <f t="shared" si="2"/>
        <v>7.1945165513842319E-4</v>
      </c>
    </row>
    <row r="6" spans="1:36" ht="12" customHeight="1" x14ac:dyDescent="0.2">
      <c r="A6" s="131">
        <f t="shared" ref="A6:A7" si="4">MONTH(D6)</f>
        <v>6</v>
      </c>
      <c r="B6" s="130">
        <f t="shared" ref="B6:B7" si="5">MONTH(E6)</f>
        <v>9</v>
      </c>
      <c r="C6" s="166" t="str">
        <f t="shared" ref="C6:C7" si="6">"Delta("&amp;A6&amp;"M,"&amp;B6&amp;"M)"</f>
        <v>Delta(6M,9M)</v>
      </c>
      <c r="D6" s="167">
        <f>_xll.qlIMMNextDate(D5,FALSE)</f>
        <v>42172</v>
      </c>
      <c r="E6" s="167">
        <f>_xll.qlInterestRateIndexMaturity($D$10,D6)</f>
        <v>42264</v>
      </c>
      <c r="F6" s="199">
        <f>_xll.qlYieldTSDiscount(Discounting,D6,,AllTriggers)</f>
        <v>1.0000984962930937</v>
      </c>
      <c r="G6" s="199">
        <f>_xll.qlYieldTSDiscount(Discounting,E6,,AllTriggers)</f>
        <v>1.0004054787073016</v>
      </c>
      <c r="H6" s="200">
        <f>_xll.qlDayCounterYearFraction(DayCounter,D6,E6,,,Trigger)</f>
        <v>0.25555555555555554</v>
      </c>
      <c r="I6" s="201">
        <f t="shared" si="3"/>
        <v>-1.2007486558443163E-3</v>
      </c>
      <c r="J6" s="168">
        <f>LN((1+(_xll.qlInterpolationInterpolate(B3Minterpolation,D6,TRUE,AllTriggers)+I6)*H6)/(1+I6*H6))</f>
        <v>2.8773823002404652E-4</v>
      </c>
      <c r="K6" s="169">
        <f>_xll.qlDayCounterYearFraction(DayCounter,SettlementDate,D6,,,Trigger)</f>
        <v>9.7222222222222224E-2</v>
      </c>
      <c r="L6" s="169">
        <f>_xll.qlDayCounterYearFraction(DayCounter,SettlementDate,E6,,,Trigger)</f>
        <v>0.3527777777777778</v>
      </c>
      <c r="M6" s="169">
        <f>L6-K6</f>
        <v>0.25555555555555559</v>
      </c>
      <c r="N6" s="169">
        <f>(L6^2-K6^2)/2</f>
        <v>5.7500000000000009E-2</v>
      </c>
      <c r="O6" s="169">
        <f>(L6^3-K6^3)/3</f>
        <v>1.4328332190214911E-2</v>
      </c>
      <c r="P6" s="170" t="b">
        <v>1</v>
      </c>
      <c r="W6" s="145"/>
      <c r="X6" s="138"/>
      <c r="Y6" s="139"/>
      <c r="AF6" s="183">
        <f>_xll.qlCalendarAdvance(Calendar,AF5,"1d","mf",,Trigger)</f>
        <v>42142</v>
      </c>
      <c r="AG6" s="169">
        <f>_xll.qlDayCounterYearFraction(DayCounter,SettlementDate,AF6,,,Trigger)</f>
        <v>1.3888888888888888E-2</v>
      </c>
      <c r="AH6" s="181">
        <f t="shared" si="0"/>
        <v>9.4921463123313627E-4</v>
      </c>
      <c r="AI6" s="181">
        <f t="shared" si="1"/>
        <v>7.3905207735695713E-4</v>
      </c>
      <c r="AJ6" s="181">
        <f t="shared" si="2"/>
        <v>7.3558684977279986E-4</v>
      </c>
    </row>
    <row r="7" spans="1:36" ht="12" customHeight="1" x14ac:dyDescent="0.2">
      <c r="A7" s="131">
        <f t="shared" si="4"/>
        <v>7</v>
      </c>
      <c r="B7" s="130">
        <f t="shared" si="5"/>
        <v>10</v>
      </c>
      <c r="C7" s="171" t="str">
        <f t="shared" si="6"/>
        <v>Delta(7M,10M)</v>
      </c>
      <c r="D7" s="172">
        <f>_xll.qlIMMNextDate(D6,FALSE)</f>
        <v>42200</v>
      </c>
      <c r="E7" s="172">
        <f>_xll.qlInterestRateIndexMaturity($D$10,D7)</f>
        <v>42292</v>
      </c>
      <c r="F7" s="202">
        <f>_xll.qlYieldTSDiscount(Discounting,D7,,AllTriggers)</f>
        <v>1.0001867408469223</v>
      </c>
      <c r="G7" s="202">
        <f>_xll.qlYieldTSDiscount(Discounting,E7,,AllTriggers)</f>
        <v>1.0005012034779732</v>
      </c>
      <c r="H7" s="203">
        <f>_xll.qlDayCounterYearFraction(DayCounter,D7,E7,,,Trigger)</f>
        <v>0.25555555555555554</v>
      </c>
      <c r="I7" s="204">
        <f t="shared" si="3"/>
        <v>-1.229889522684334E-3</v>
      </c>
      <c r="J7" s="173">
        <f>LN((1+(_xll.qlInterpolationInterpolate(B3Minterpolation,D7,TRUE,AllTriggers)+I7)*H7)/(1+I7*H7))</f>
        <v>3.0064435113450269E-4</v>
      </c>
      <c r="K7" s="174">
        <f>_xll.qlDayCounterYearFraction(DayCounter,SettlementDate,D7,,,Trigger)</f>
        <v>0.17499999999999999</v>
      </c>
      <c r="L7" s="174">
        <f>_xll.qlDayCounterYearFraction(DayCounter,SettlementDate,E7,,,Trigger)</f>
        <v>0.43055555555555558</v>
      </c>
      <c r="M7" s="174">
        <f>L7-K7</f>
        <v>0.25555555555555559</v>
      </c>
      <c r="N7" s="174">
        <f>(L7^2-K7^2)/2</f>
        <v>7.7376543209876567E-2</v>
      </c>
      <c r="O7" s="174">
        <f>(L7^3-K7^3)/3</f>
        <v>2.4818729995427533E-2</v>
      </c>
      <c r="P7" s="175" t="b">
        <v>0</v>
      </c>
      <c r="W7" s="145"/>
      <c r="X7" s="138"/>
      <c r="Y7" s="139"/>
      <c r="AF7" s="183">
        <f>_xll.qlCalendarAdvance(Calendar,AF6,"1d","mf",,Trigger)</f>
        <v>42143</v>
      </c>
      <c r="AG7" s="169">
        <f>_xll.qlDayCounterYearFraction(DayCounter,SettlementDate,AF7,,,Trigger)</f>
        <v>1.6666666666666666E-2</v>
      </c>
      <c r="AH7" s="181">
        <f t="shared" si="0"/>
        <v>9.4921463123313627E-4</v>
      </c>
      <c r="AI7" s="181">
        <f t="shared" si="1"/>
        <v>7.4417799330515661E-4</v>
      </c>
      <c r="AJ7" s="181">
        <f t="shared" si="2"/>
        <v>7.4095427049455183E-4</v>
      </c>
    </row>
    <row r="8" spans="1:36" ht="12" customHeight="1" x14ac:dyDescent="0.2">
      <c r="C8" s="132"/>
      <c r="D8" s="133"/>
      <c r="E8" s="133"/>
      <c r="F8" s="133"/>
      <c r="G8" s="133"/>
      <c r="H8" s="133"/>
      <c r="I8" s="133"/>
      <c r="J8" s="134"/>
      <c r="K8" s="135"/>
      <c r="L8" s="135"/>
      <c r="M8" s="135"/>
      <c r="N8" s="135"/>
      <c r="O8" s="135"/>
      <c r="P8" s="136"/>
      <c r="W8" s="137" t="s">
        <v>112</v>
      </c>
      <c r="X8" s="138"/>
      <c r="Y8" s="139"/>
      <c r="AF8" s="183">
        <f>_xll.qlCalendarAdvance(Calendar,AF7,"1d","mf",,Trigger)</f>
        <v>42144</v>
      </c>
      <c r="AG8" s="169">
        <f>_xll.qlDayCounterYearFraction(DayCounter,SettlementDate,AF8,,,Trigger)</f>
        <v>1.9444444444444445E-2</v>
      </c>
      <c r="AH8" s="181">
        <f t="shared" si="0"/>
        <v>9.4921463123313627E-4</v>
      </c>
      <c r="AI8" s="181">
        <f t="shared" si="1"/>
        <v>7.4930390925335608E-4</v>
      </c>
      <c r="AJ8" s="181">
        <f t="shared" si="2"/>
        <v>7.4631620247145032E-4</v>
      </c>
    </row>
    <row r="9" spans="1:36" ht="12" customHeight="1" x14ac:dyDescent="0.2">
      <c r="C9" s="156" t="s">
        <v>159</v>
      </c>
      <c r="D9" s="191" t="s">
        <v>41</v>
      </c>
      <c r="R9" s="429" t="s">
        <v>108</v>
      </c>
      <c r="S9" s="140"/>
      <c r="T9" s="141">
        <f t="array" ref="T9:T10">_xll.ohFilter(N3:N7,P3:P7)</f>
        <v>3.2654320987654313E-2</v>
      </c>
      <c r="U9" s="142">
        <f t="array" ref="U9:U10">_xll.ohFilter(M3:M7,P3:P7)</f>
        <v>0.25555555555555554</v>
      </c>
      <c r="V9" s="431" t="s">
        <v>37</v>
      </c>
      <c r="W9" s="143">
        <f t="array" ref="W9:W10">MMULT(AA9:AB10,Y9:Y10)</f>
        <v>1.845329741351813E-3</v>
      </c>
      <c r="X9" s="431" t="s">
        <v>38</v>
      </c>
      <c r="Y9" s="144">
        <f t="array" ref="Y9:Y10">_xll.ohFilter(J3:J7,P3:P7)</f>
        <v>2.4257707242624591E-4</v>
      </c>
      <c r="AA9" s="141">
        <f t="array" ref="AA9:AB10">MINVERSE(T9:U10)</f>
        <v>-201.24223602484452</v>
      </c>
      <c r="AB9" s="142">
        <v>201.24223602484446</v>
      </c>
      <c r="AF9" s="183">
        <f>_xll.qlCalendarAdvance(Calendar,AF8,"1d","mf",,Trigger)</f>
        <v>42145</v>
      </c>
      <c r="AG9" s="169">
        <f>_xll.qlDayCounterYearFraction(DayCounter,SettlementDate,AF9,,,Trigger)</f>
        <v>2.2222222222222223E-2</v>
      </c>
      <c r="AH9" s="181">
        <f t="shared" si="0"/>
        <v>9.4921463123313627E-4</v>
      </c>
      <c r="AI9" s="181">
        <f t="shared" si="1"/>
        <v>7.5442982520155556E-4</v>
      </c>
      <c r="AJ9" s="181">
        <f t="shared" si="2"/>
        <v>7.5167264570349544E-4</v>
      </c>
    </row>
    <row r="10" spans="1:36" ht="12" customHeight="1" x14ac:dyDescent="0.2">
      <c r="C10" s="156" t="s">
        <v>121</v>
      </c>
      <c r="D10" s="191" t="str">
        <f>PROPER(Currency)&amp;IborType&amp;D9</f>
        <v>Euribor3M</v>
      </c>
      <c r="R10" s="429"/>
      <c r="S10" s="140"/>
      <c r="T10" s="141">
        <v>3.7623456790123459E-2</v>
      </c>
      <c r="U10" s="142">
        <v>0.25555555555555559</v>
      </c>
      <c r="V10" s="431"/>
      <c r="W10" s="143">
        <v>7.1342249761595974E-4</v>
      </c>
      <c r="X10" s="431"/>
      <c r="Y10" s="144">
        <v>2.5174676651135841E-4</v>
      </c>
      <c r="AA10" s="141">
        <v>29.627329192546551</v>
      </c>
      <c r="AB10" s="142">
        <v>-25.714285714285676</v>
      </c>
      <c r="AF10" s="183">
        <f>_xll.qlCalendarAdvance(Calendar,AF9,"1d","mf",,Trigger)</f>
        <v>42146</v>
      </c>
      <c r="AG10" s="169">
        <f>_xll.qlDayCounterYearFraction(DayCounter,SettlementDate,AF10,,,Trigger)</f>
        <v>2.5000000000000001E-2</v>
      </c>
      <c r="AH10" s="181">
        <f t="shared" si="0"/>
        <v>9.4921463123313627E-4</v>
      </c>
      <c r="AI10" s="181">
        <f t="shared" si="1"/>
        <v>7.5955574114975504E-4</v>
      </c>
      <c r="AJ10" s="181">
        <f t="shared" si="2"/>
        <v>7.5702360019068687E-4</v>
      </c>
    </row>
    <row r="11" spans="1:36" ht="12" customHeight="1" x14ac:dyDescent="0.2">
      <c r="C11" s="156" t="s">
        <v>150</v>
      </c>
      <c r="D11" s="192" t="s">
        <v>100</v>
      </c>
      <c r="W11" s="145"/>
      <c r="X11" s="138"/>
      <c r="Y11" s="139"/>
      <c r="AF11" s="183">
        <f>_xll.qlCalendarAdvance(Calendar,AF10,"1d","mf",,Trigger)</f>
        <v>42149</v>
      </c>
      <c r="AG11" s="169">
        <f>_xll.qlDayCounterYearFraction(DayCounter,SettlementDate,AF11,,,Trigger)</f>
        <v>3.3333333333333333E-2</v>
      </c>
      <c r="AH11" s="181">
        <f t="shared" si="0"/>
        <v>9.4921463123313627E-4</v>
      </c>
      <c r="AI11" s="181">
        <f t="shared" si="1"/>
        <v>7.7493348899435347E-4</v>
      </c>
      <c r="AJ11" s="181">
        <f t="shared" si="2"/>
        <v>7.7304353118314093E-4</v>
      </c>
    </row>
    <row r="12" spans="1:36" ht="12" customHeight="1" x14ac:dyDescent="0.2">
      <c r="C12" s="156" t="s">
        <v>149</v>
      </c>
      <c r="D12" s="191" t="s">
        <v>153</v>
      </c>
      <c r="W12" s="146" t="s">
        <v>35</v>
      </c>
      <c r="X12" s="138"/>
      <c r="Y12" s="139"/>
      <c r="AF12" s="183">
        <f>_xll.qlCalendarAdvance(Calendar,AF11,"1d","mf",,Trigger)</f>
        <v>42150</v>
      </c>
      <c r="AG12" s="169">
        <f>_xll.qlDayCounterYearFraction(DayCounter,SettlementDate,AF12,,,Trigger)</f>
        <v>3.6111111111111108E-2</v>
      </c>
      <c r="AH12" s="181">
        <f t="shared" si="0"/>
        <v>9.4921463123313627E-4</v>
      </c>
      <c r="AI12" s="181">
        <f t="shared" si="1"/>
        <v>7.8005940494255295E-4</v>
      </c>
      <c r="AJ12" s="181">
        <f t="shared" si="2"/>
        <v>7.7837253069091867E-4</v>
      </c>
    </row>
    <row r="13" spans="1:36" ht="12" customHeight="1" x14ac:dyDescent="0.2">
      <c r="N13" s="160" t="str">
        <f>"Synthetic Deposits "&amp;D9</f>
        <v>Synthetic Deposits 3M</v>
      </c>
      <c r="O13" s="160"/>
      <c r="P13" s="160"/>
      <c r="R13" s="151" t="s">
        <v>109</v>
      </c>
      <c r="U13" s="152">
        <f t="array" ref="U13">_xll.ohFilter(M3:M7,P3:P7)</f>
        <v>0.25555555555555554</v>
      </c>
      <c r="V13" s="151" t="s">
        <v>37</v>
      </c>
      <c r="W13" s="143">
        <f>MMULT(AA13,Y13)</f>
        <v>9.4921463123313627E-4</v>
      </c>
      <c r="X13" s="151" t="s">
        <v>38</v>
      </c>
      <c r="Y13" s="144">
        <f t="array" ref="Y13">_xll.ohFilter(J3:J7,P3:P7)</f>
        <v>2.4257707242624591E-4</v>
      </c>
      <c r="AA13" s="152">
        <f>MINVERSE(U13)</f>
        <v>3.9130434782608701</v>
      </c>
      <c r="AF13" s="183">
        <f>_xll.qlCalendarAdvance(Calendar,AF12,"1d","mf",,Trigger)</f>
        <v>42151</v>
      </c>
      <c r="AG13" s="169">
        <f>_xll.qlDayCounterYearFraction(DayCounter,SettlementDate,AF13,,,Trigger)</f>
        <v>3.888888888888889E-2</v>
      </c>
      <c r="AH13" s="181">
        <f t="shared" si="0"/>
        <v>9.4921463123313627E-4</v>
      </c>
      <c r="AI13" s="181">
        <f t="shared" si="1"/>
        <v>7.8518532089075243E-4</v>
      </c>
      <c r="AJ13" s="181">
        <f t="shared" si="2"/>
        <v>7.8369604145384292E-4</v>
      </c>
    </row>
    <row r="14" spans="1:36" ht="12" customHeight="1" x14ac:dyDescent="0.2">
      <c r="C14" s="156" t="s">
        <v>116</v>
      </c>
      <c r="D14" s="156" t="s">
        <v>91</v>
      </c>
      <c r="E14" s="156" t="s">
        <v>92</v>
      </c>
      <c r="F14" s="195"/>
      <c r="G14" s="195"/>
      <c r="H14" s="195"/>
      <c r="I14" s="195"/>
      <c r="J14" s="157" t="s">
        <v>143</v>
      </c>
      <c r="K14" s="157" t="s">
        <v>144</v>
      </c>
      <c r="L14" s="156" t="s">
        <v>145</v>
      </c>
      <c r="M14" s="157" t="s">
        <v>146</v>
      </c>
      <c r="N14" s="159" t="s">
        <v>109</v>
      </c>
      <c r="O14" s="159" t="s">
        <v>108</v>
      </c>
      <c r="P14" s="159" t="s">
        <v>135</v>
      </c>
      <c r="AF14" s="183">
        <f>_xll.qlCalendarAdvance(Calendar,AF13,"1d","mf",,Trigger)</f>
        <v>42152</v>
      </c>
      <c r="AG14" s="169">
        <f>_xll.qlDayCounterYearFraction(DayCounter,SettlementDate,AF14,,,Trigger)</f>
        <v>4.1666666666666664E-2</v>
      </c>
      <c r="AH14" s="181">
        <f t="shared" si="0"/>
        <v>9.4921463123313627E-4</v>
      </c>
      <c r="AI14" s="181">
        <f t="shared" si="1"/>
        <v>7.9031123683895191E-4</v>
      </c>
      <c r="AJ14" s="181">
        <f t="shared" si="2"/>
        <v>7.8901406347191359E-4</v>
      </c>
    </row>
    <row r="15" spans="1:36" ht="12" customHeight="1" x14ac:dyDescent="0.2">
      <c r="C15" s="176" t="s">
        <v>43</v>
      </c>
      <c r="D15" s="177">
        <f t="shared" ref="D15:D21" si="7">SettlementDate</f>
        <v>42137</v>
      </c>
      <c r="E15" s="178">
        <f>_xll.qlCalendarAdvance(Calendar,SettlementDate,C15,"Following",,Trigger)</f>
        <v>42138</v>
      </c>
      <c r="F15" s="205"/>
      <c r="G15" s="205"/>
      <c r="H15" s="205"/>
      <c r="I15" s="205"/>
      <c r="J15" s="179">
        <f>_xll.qlDayCounterYearFraction(DayCounter,D15,E15,,,Trigger)</f>
        <v>2.7777777777777779E-3</v>
      </c>
      <c r="K15" s="206">
        <f>_xll.qlYieldTSDiscount(Discounting,D15,,AllTriggers)</f>
        <v>1.0000055555787037</v>
      </c>
      <c r="L15" s="180">
        <f>_xll.qlYieldTSDiscount(Discounting,E15,,AllTriggers)</f>
        <v>1.0000083109335718</v>
      </c>
      <c r="M15" s="207">
        <f>(K15/L15-1)/J15</f>
        <v>-9.9191950873045442E-4</v>
      </c>
      <c r="N15" s="194">
        <f>((1+M15*J15)*EXP($W$13*J15)-1)/J15</f>
        <v>-4.2706241503154274E-5</v>
      </c>
      <c r="O15" s="194">
        <f>((1+J15*M15)*EXP($W$10*J15+0.5*$W$9*J15^2)-1)/J15</f>
        <v>-2.7593531395808668E-4</v>
      </c>
      <c r="P15" s="194">
        <f t="shared" ref="P15:P21" si="8">((1+J15*M15)*EXP($W$5*J15+0.5*$W$4*J15^2+1/3*$W$3*J15^3)-1)/J15</f>
        <v>-2.8055546130278941E-4</v>
      </c>
      <c r="AF15" s="183">
        <f>_xll.qlCalendarAdvance(Calendar,AF14,"1d","mf",,Trigger)</f>
        <v>42153</v>
      </c>
      <c r="AG15" s="169">
        <f>_xll.qlDayCounterYearFraction(DayCounter,SettlementDate,AF15,,,Trigger)</f>
        <v>4.4444444444444446E-2</v>
      </c>
      <c r="AH15" s="181">
        <f t="shared" si="0"/>
        <v>9.4921463123313627E-4</v>
      </c>
      <c r="AI15" s="181">
        <f t="shared" si="1"/>
        <v>7.9543715278715139E-4</v>
      </c>
      <c r="AJ15" s="181">
        <f t="shared" si="2"/>
        <v>7.94326596745131E-4</v>
      </c>
    </row>
    <row r="16" spans="1:36" ht="12" customHeight="1" x14ac:dyDescent="0.2">
      <c r="C16" s="182" t="s">
        <v>44</v>
      </c>
      <c r="D16" s="167">
        <f>SettlementDate</f>
        <v>42137</v>
      </c>
      <c r="E16" s="183">
        <f>_xll.qlCalendarAdvance(Calendar,SettlementDate,C16,"Following",,Trigger)</f>
        <v>42144</v>
      </c>
      <c r="F16" s="205"/>
      <c r="G16" s="205"/>
      <c r="H16" s="205"/>
      <c r="I16" s="205"/>
      <c r="J16" s="169">
        <f>_xll.qlDayCounterYearFraction(DayCounter,D16,E16,,,Trigger)</f>
        <v>1.9444444444444445E-2</v>
      </c>
      <c r="K16" s="208">
        <f>_xll.qlYieldTSDiscount(Discounting,D16,,AllTriggers)</f>
        <v>1.0000055555787037</v>
      </c>
      <c r="L16" s="184">
        <f>_xll.qlYieldTSDiscount(Discounting,E16,,AllTriggers)</f>
        <v>1.000024611603247</v>
      </c>
      <c r="M16" s="207">
        <f t="shared" ref="M16:M21" si="9">(K16/L16-1)/J16</f>
        <v>-9.7999999999614259E-4</v>
      </c>
      <c r="N16" s="181">
        <f t="shared" ref="N16:N20" si="10">((1+M16*J16)*EXP($W$13*J16)-1)/J16</f>
        <v>-3.0794696883924235E-5</v>
      </c>
      <c r="O16" s="181">
        <f t="shared" ref="O16:O20" si="11">((1+J16*M16)*EXP($W$10*J16+0.5*$W$9*J16^2)-1)/J16</f>
        <v>-2.486455328203669E-4</v>
      </c>
      <c r="P16" s="181">
        <f t="shared" si="8"/>
        <v>-2.5249449640821605E-4</v>
      </c>
      <c r="AF16" s="183">
        <f>_xll.qlCalendarAdvance(Calendar,AF15,"1d","mf",,Trigger)</f>
        <v>42156</v>
      </c>
      <c r="AG16" s="169">
        <f>_xll.qlDayCounterYearFraction(DayCounter,SettlementDate,AF16,,,Trigger)</f>
        <v>5.2777777777777778E-2</v>
      </c>
      <c r="AH16" s="181">
        <f t="shared" si="0"/>
        <v>9.4921463123313627E-4</v>
      </c>
      <c r="AI16" s="181">
        <f t="shared" si="1"/>
        <v>8.1081490063174982E-4</v>
      </c>
      <c r="AJ16" s="181">
        <f t="shared" si="2"/>
        <v>8.1023126409566224E-4</v>
      </c>
    </row>
    <row r="17" spans="3:36" ht="12" customHeight="1" x14ac:dyDescent="0.2">
      <c r="C17" s="182" t="s">
        <v>45</v>
      </c>
      <c r="D17" s="167">
        <f t="shared" si="7"/>
        <v>42137</v>
      </c>
      <c r="E17" s="183">
        <f>_xll.qlCalendarAdvance(Calendar,SettlementDate,C17,"Following",,Trigger)</f>
        <v>42151</v>
      </c>
      <c r="F17" s="205"/>
      <c r="G17" s="205"/>
      <c r="H17" s="205"/>
      <c r="I17" s="205"/>
      <c r="J17" s="169">
        <f>_xll.qlDayCounterYearFraction(DayCounter,D17,E17,,,Trigger)</f>
        <v>3.888888888888889E-2</v>
      </c>
      <c r="K17" s="208">
        <f>_xll.qlYieldTSDiscount(Discounting,D17,,AllTriggers)</f>
        <v>1.0000055555787037</v>
      </c>
      <c r="L17" s="184">
        <f>_xll.qlYieldTSDiscount(Discounting,E17,,AllTriggers)</f>
        <v>1.0000440572749105</v>
      </c>
      <c r="M17" s="207">
        <f t="shared" si="9"/>
        <v>-9.9000000004416974E-4</v>
      </c>
      <c r="N17" s="181">
        <f t="shared" si="10"/>
        <v>-4.0804394423332724E-5</v>
      </c>
      <c r="O17" s="181">
        <f t="shared" si="11"/>
        <v>-2.4071402210073295E-4</v>
      </c>
      <c r="P17" s="181">
        <f t="shared" si="8"/>
        <v>-2.4374652506661425E-4</v>
      </c>
      <c r="AF17" s="183">
        <f>_xll.qlCalendarAdvance(Calendar,AF16,"1d","mf",,Trigger)</f>
        <v>42157</v>
      </c>
      <c r="AG17" s="169">
        <f>_xll.qlDayCounterYearFraction(DayCounter,SettlementDate,AF17,,,Trigger)</f>
        <v>5.5555555555555552E-2</v>
      </c>
      <c r="AH17" s="181">
        <f t="shared" si="0"/>
        <v>9.4921463123313627E-4</v>
      </c>
      <c r="AI17" s="181">
        <f t="shared" si="1"/>
        <v>8.159408165799493E-4</v>
      </c>
      <c r="AJ17" s="181">
        <f t="shared" si="2"/>
        <v>8.1552184238946552E-4</v>
      </c>
    </row>
    <row r="18" spans="3:36" ht="12" customHeight="1" x14ac:dyDescent="0.2">
      <c r="C18" s="182" t="s">
        <v>46</v>
      </c>
      <c r="D18" s="167">
        <f t="shared" si="7"/>
        <v>42137</v>
      </c>
      <c r="E18" s="183">
        <f>_xll.qlCalendarAdvance(Calendar,SettlementDate,C18,"Following",,Trigger)</f>
        <v>42158</v>
      </c>
      <c r="F18" s="205"/>
      <c r="G18" s="205"/>
      <c r="H18" s="205"/>
      <c r="I18" s="205"/>
      <c r="J18" s="169">
        <f>_xll.qlDayCounterYearFraction(DayCounter,D18,E18,,,Trigger)</f>
        <v>5.8333333333333334E-2</v>
      </c>
      <c r="K18" s="208">
        <f>_xll.qlYieldTSDiscount(Discounting,D18,,AllTriggers)</f>
        <v>1.0000055555787037</v>
      </c>
      <c r="L18" s="184">
        <f>_xll.qlYieldTSDiscount(Discounting,E18,,AllTriggers)</f>
        <v>1.0000586420249531</v>
      </c>
      <c r="M18" s="207">
        <f t="shared" si="9"/>
        <v>-9.1000000003203601E-4</v>
      </c>
      <c r="N18" s="181">
        <f t="shared" si="10"/>
        <v>3.9190522229353466E-5</v>
      </c>
      <c r="O18" s="181">
        <f t="shared" si="11"/>
        <v>-1.4277894414010156E-4</v>
      </c>
      <c r="P18" s="181">
        <f t="shared" si="8"/>
        <v>-1.4508465501566242E-4</v>
      </c>
      <c r="AF18" s="183">
        <f>_xll.qlCalendarAdvance(Calendar,AF17,"1d","mf",,Trigger)</f>
        <v>42158</v>
      </c>
      <c r="AG18" s="169">
        <f>_xll.qlDayCounterYearFraction(DayCounter,SettlementDate,AF18,,,Trigger)</f>
        <v>5.8333333333333334E-2</v>
      </c>
      <c r="AH18" s="181">
        <f t="shared" si="0"/>
        <v>9.4921463123313627E-4</v>
      </c>
      <c r="AI18" s="181">
        <f t="shared" si="1"/>
        <v>8.2106673252814889E-4</v>
      </c>
      <c r="AJ18" s="181">
        <f t="shared" si="2"/>
        <v>8.2080693193841553E-4</v>
      </c>
    </row>
    <row r="19" spans="3:36" ht="12" customHeight="1" x14ac:dyDescent="0.2">
      <c r="C19" s="182" t="s">
        <v>40</v>
      </c>
      <c r="D19" s="167">
        <f t="shared" si="7"/>
        <v>42137</v>
      </c>
      <c r="E19" s="183">
        <f>_xll.qlCalendarAdvance(Calendar,SettlementDate,C19,"mf",TRUE,Trigger)</f>
        <v>42170</v>
      </c>
      <c r="F19" s="205"/>
      <c r="G19" s="205"/>
      <c r="H19" s="205"/>
      <c r="I19" s="205"/>
      <c r="J19" s="169">
        <f>_xll.qlDayCounterYearFraction(DayCounter,D19,E19,,,Trigger)</f>
        <v>9.166666666666666E-2</v>
      </c>
      <c r="K19" s="208">
        <f>_xll.qlYieldTSDiscount(Discounting,D19,,AllTriggers)</f>
        <v>1.0000055555787037</v>
      </c>
      <c r="L19" s="184">
        <f>_xll.qlYieldTSDiscount(Discounting,E19,,AllTriggers)</f>
        <v>1.0000926469800662</v>
      </c>
      <c r="M19" s="207">
        <f t="shared" si="9"/>
        <v>-9.5000000023210361E-4</v>
      </c>
      <c r="N19" s="181">
        <f t="shared" si="10"/>
        <v>-8.2673595242449049E-7</v>
      </c>
      <c r="O19" s="181">
        <f t="shared" si="11"/>
        <v>-1.5204019695236326E-4</v>
      </c>
      <c r="P19" s="181">
        <f t="shared" si="8"/>
        <v>-1.5330853665835261E-4</v>
      </c>
      <c r="AF19" s="183">
        <f>_xll.qlCalendarAdvance(Calendar,AF18,"1d","mf",,Trigger)</f>
        <v>42159</v>
      </c>
      <c r="AG19" s="169">
        <f>_xll.qlDayCounterYearFraction(DayCounter,SettlementDate,AF19,,,Trigger)</f>
        <v>6.1111111111111109E-2</v>
      </c>
      <c r="AH19" s="181">
        <f t="shared" si="0"/>
        <v>9.4921463123313627E-4</v>
      </c>
      <c r="AI19" s="181">
        <f t="shared" si="1"/>
        <v>8.2619264847634826E-4</v>
      </c>
      <c r="AJ19" s="181">
        <f t="shared" si="2"/>
        <v>8.2608653274251218E-4</v>
      </c>
    </row>
    <row r="20" spans="3:36" ht="12" customHeight="1" x14ac:dyDescent="0.2">
      <c r="C20" s="182" t="s">
        <v>47</v>
      </c>
      <c r="D20" s="167">
        <f t="shared" si="7"/>
        <v>42137</v>
      </c>
      <c r="E20" s="183">
        <f>_xll.qlCalendarAdvance(Calendar,SettlementDate,C20,"mf",TRUE,Trigger)</f>
        <v>42198</v>
      </c>
      <c r="F20" s="205"/>
      <c r="G20" s="205"/>
      <c r="H20" s="205"/>
      <c r="I20" s="205"/>
      <c r="J20" s="169">
        <f>_xll.qlDayCounterYearFraction(DayCounter,D20,E20,,,Trigger)</f>
        <v>0.16944444444444445</v>
      </c>
      <c r="K20" s="208">
        <f>_xll.qlYieldTSDiscount(Discounting,D20,,AllTriggers)</f>
        <v>1.0000055555787037</v>
      </c>
      <c r="L20" s="184">
        <f>_xll.qlYieldTSDiscount(Discounting,E20,,AllTriggers)</f>
        <v>1.0001801147915161</v>
      </c>
      <c r="M20" s="207">
        <f t="shared" si="9"/>
        <v>-1.0300000000015715E-3</v>
      </c>
      <c r="N20" s="181">
        <f t="shared" si="10"/>
        <v>-8.0874706884235471E-5</v>
      </c>
      <c r="O20" s="181">
        <f t="shared" si="11"/>
        <v>-1.6032478048761846E-4</v>
      </c>
      <c r="P20" s="181">
        <f t="shared" si="8"/>
        <v>-1.6019717063509747E-4</v>
      </c>
      <c r="AF20" s="183">
        <f>_xll.qlCalendarAdvance(Calendar,AF19,"1d","mf",,Trigger)</f>
        <v>42160</v>
      </c>
      <c r="AG20" s="169">
        <f>_xll.qlDayCounterYearFraction(DayCounter,SettlementDate,AF20,,,Trigger)</f>
        <v>6.3888888888888884E-2</v>
      </c>
      <c r="AH20" s="181">
        <f t="shared" si="0"/>
        <v>9.4921463123313627E-4</v>
      </c>
      <c r="AI20" s="181">
        <f t="shared" si="1"/>
        <v>8.3131856442454773E-4</v>
      </c>
      <c r="AJ20" s="181">
        <f t="shared" si="2"/>
        <v>8.3136064480175524E-4</v>
      </c>
    </row>
    <row r="21" spans="3:36" ht="12" customHeight="1" x14ac:dyDescent="0.2">
      <c r="C21" s="186" t="s">
        <v>41</v>
      </c>
      <c r="D21" s="172">
        <f t="shared" si="7"/>
        <v>42137</v>
      </c>
      <c r="E21" s="187">
        <f>_xll.qlCalendarAdvance(Calendar,SettlementDate,C21,"mf",TRUE,Trigger)</f>
        <v>42229</v>
      </c>
      <c r="F21" s="209"/>
      <c r="G21" s="209"/>
      <c r="H21" s="209"/>
      <c r="I21" s="209"/>
      <c r="J21" s="174">
        <f>_xll.qlDayCounterYearFraction(DayCounter,D21,E21,,,Trigger)</f>
        <v>0.25555555555555554</v>
      </c>
      <c r="K21" s="210">
        <f>_xll.qlYieldTSDiscount(Discounting,D21,,AllTriggers)</f>
        <v>1.0000055555787037</v>
      </c>
      <c r="L21" s="188">
        <f>_xll.qlYieldTSDiscount(Discounting,E21,,AllTriggers)</f>
        <v>1.0002842488977353</v>
      </c>
      <c r="M21" s="211">
        <f t="shared" si="9"/>
        <v>-1.0902291780291789E-3</v>
      </c>
      <c r="N21" s="190">
        <f>((1+M21*J21)*EXP($W$13*J21)-1)/J21</f>
        <v>-1.4116390531461044E-4</v>
      </c>
      <c r="O21" s="190">
        <f>((1+J21*M21)*EXP($W$10*J21+0.5*$W$9*J21^2)-1)/J21</f>
        <v>-1.4116390531461044E-4</v>
      </c>
      <c r="P21" s="190">
        <f t="shared" si="8"/>
        <v>-1.4116390531461044E-4</v>
      </c>
      <c r="AF21" s="183">
        <f>_xll.qlCalendarAdvance(Calendar,AF20,"1d","mf",,Trigger)</f>
        <v>42163</v>
      </c>
      <c r="AG21" s="169">
        <f>_xll.qlDayCounterYearFraction(DayCounter,SettlementDate,AF21,,,Trigger)</f>
        <v>7.2222222222222215E-2</v>
      </c>
      <c r="AH21" s="181">
        <f t="shared" si="0"/>
        <v>9.4921463123313627E-4</v>
      </c>
      <c r="AI21" s="181">
        <f t="shared" si="1"/>
        <v>8.4669631226914617E-4</v>
      </c>
      <c r="AJ21" s="181">
        <f t="shared" si="2"/>
        <v>8.4715004851036355E-4</v>
      </c>
    </row>
    <row r="22" spans="3:36" ht="12" customHeight="1" x14ac:dyDescent="0.2">
      <c r="AF22" s="183">
        <f>_xll.qlCalendarAdvance(Calendar,AF21,"1d","mf",,Trigger)</f>
        <v>42164</v>
      </c>
      <c r="AG22" s="169">
        <f>_xll.qlDayCounterYearFraction(DayCounter,SettlementDate,AF22,,,Trigger)</f>
        <v>7.4999999999999997E-2</v>
      </c>
      <c r="AH22" s="181">
        <f t="shared" si="0"/>
        <v>9.4921463123313627E-4</v>
      </c>
      <c r="AI22" s="181">
        <f t="shared" si="1"/>
        <v>8.5182222821734575E-4</v>
      </c>
      <c r="AJ22" s="181">
        <f t="shared" si="2"/>
        <v>8.5240220559019281E-4</v>
      </c>
    </row>
    <row r="23" spans="3:36" ht="12" customHeight="1" x14ac:dyDescent="0.2">
      <c r="C23" s="156" t="s">
        <v>123</v>
      </c>
      <c r="AF23" s="183">
        <f>_xll.qlCalendarAdvance(Calendar,AF22,"1d","mf",,Trigger)</f>
        <v>42165</v>
      </c>
      <c r="AG23" s="169">
        <f>_xll.qlDayCounterYearFraction(DayCounter,SettlementDate,AF23,,,Trigger)</f>
        <v>7.7777777777777779E-2</v>
      </c>
      <c r="AH23" s="181">
        <f t="shared" si="0"/>
        <v>9.4921463123313627E-4</v>
      </c>
      <c r="AI23" s="181">
        <f t="shared" si="1"/>
        <v>8.5694814416554523E-4</v>
      </c>
      <c r="AJ23" s="181">
        <f t="shared" si="2"/>
        <v>8.5764887392516859E-4</v>
      </c>
    </row>
    <row r="24" spans="3:36" ht="12" customHeight="1" x14ac:dyDescent="0.2">
      <c r="C24" s="193" t="s">
        <v>107</v>
      </c>
      <c r="AF24" s="183">
        <f>_xll.qlCalendarAdvance(Calendar,AF23,"1d","mf",,Trigger)</f>
        <v>42166</v>
      </c>
      <c r="AG24" s="169">
        <f>_xll.qlDayCounterYearFraction(DayCounter,SettlementDate,AF24,,,Trigger)</f>
        <v>8.0555555555555561E-2</v>
      </c>
      <c r="AH24" s="181">
        <f t="shared" si="0"/>
        <v>9.4921463123313627E-4</v>
      </c>
      <c r="AI24" s="181">
        <f t="shared" si="1"/>
        <v>8.6207406011374471E-4</v>
      </c>
      <c r="AJ24" s="181">
        <f t="shared" si="2"/>
        <v>8.6289005351529089E-4</v>
      </c>
    </row>
    <row r="25" spans="3:36" ht="12" customHeight="1" x14ac:dyDescent="0.2">
      <c r="C25" s="181">
        <f t="shared" ref="C25:C31" si="12">IF($C$24="FLAT",N15,IF($C$24="linear",O15,P15))</f>
        <v>-2.8055546130278941E-4</v>
      </c>
      <c r="AF25" s="183">
        <f>_xll.qlCalendarAdvance(Calendar,AF24,"1d","mf",,Trigger)</f>
        <v>42167</v>
      </c>
      <c r="AG25" s="169">
        <f>_xll.qlDayCounterYearFraction(DayCounter,SettlementDate,AF25,,,Trigger)</f>
        <v>8.3333333333333329E-2</v>
      </c>
      <c r="AH25" s="181">
        <f t="shared" si="0"/>
        <v>9.4921463123313627E-4</v>
      </c>
      <c r="AI25" s="181">
        <f t="shared" si="1"/>
        <v>8.6719997606194408E-4</v>
      </c>
      <c r="AJ25" s="181">
        <f t="shared" si="2"/>
        <v>8.681257443605596E-4</v>
      </c>
    </row>
    <row r="26" spans="3:36" ht="12" customHeight="1" x14ac:dyDescent="0.2">
      <c r="C26" s="181">
        <f t="shared" si="12"/>
        <v>-2.5249449640821605E-4</v>
      </c>
      <c r="AF26" s="183">
        <f>_xll.qlCalendarAdvance(Calendar,AF25,"1d","mf",,Trigger)</f>
        <v>42170</v>
      </c>
      <c r="AG26" s="169">
        <f>_xll.qlDayCounterYearFraction(DayCounter,SettlementDate,AF26,,,Trigger)</f>
        <v>9.166666666666666E-2</v>
      </c>
      <c r="AH26" s="181">
        <f t="shared" si="0"/>
        <v>9.4921463123313627E-4</v>
      </c>
      <c r="AI26" s="181">
        <f t="shared" si="1"/>
        <v>8.8257772390654262E-4</v>
      </c>
      <c r="AJ26" s="181">
        <f t="shared" si="2"/>
        <v>8.8379988442724531E-4</v>
      </c>
    </row>
    <row r="27" spans="3:36" ht="12" customHeight="1" x14ac:dyDescent="0.2">
      <c r="C27" s="181">
        <f t="shared" si="12"/>
        <v>-2.4374652506661425E-4</v>
      </c>
      <c r="AF27" s="183">
        <f>_xll.qlCalendarAdvance(Calendar,AF26,"1d","mf",,Trigger)</f>
        <v>42171</v>
      </c>
      <c r="AG27" s="169">
        <f>_xll.qlDayCounterYearFraction(DayCounter,SettlementDate,AF27,,,Trigger)</f>
        <v>9.4444444444444442E-2</v>
      </c>
      <c r="AH27" s="181">
        <f t="shared" si="0"/>
        <v>9.4921463123313627E-4</v>
      </c>
      <c r="AI27" s="181">
        <f t="shared" si="1"/>
        <v>8.877036398547421E-4</v>
      </c>
      <c r="AJ27" s="181">
        <f t="shared" si="2"/>
        <v>8.8901362029310033E-4</v>
      </c>
    </row>
    <row r="28" spans="3:36" ht="12" customHeight="1" x14ac:dyDescent="0.2">
      <c r="C28" s="181">
        <f t="shared" si="12"/>
        <v>-1.4508465501566242E-4</v>
      </c>
      <c r="AF28" s="183">
        <f>_xll.qlCalendarAdvance(Calendar,AF27,"1d","mf",,Trigger)</f>
        <v>42172</v>
      </c>
      <c r="AG28" s="169">
        <f>_xll.qlDayCounterYearFraction(DayCounter,SettlementDate,AF28,,,Trigger)</f>
        <v>9.7222222222222224E-2</v>
      </c>
      <c r="AH28" s="181">
        <f t="shared" si="0"/>
        <v>9.4921463123313627E-4</v>
      </c>
      <c r="AI28" s="181">
        <f t="shared" si="1"/>
        <v>8.9282955580294158E-4</v>
      </c>
      <c r="AJ28" s="181">
        <f t="shared" si="2"/>
        <v>8.9422186741410176E-4</v>
      </c>
    </row>
    <row r="29" spans="3:36" ht="12" customHeight="1" x14ac:dyDescent="0.2">
      <c r="C29" s="181">
        <f t="shared" si="12"/>
        <v>-1.5330853665835261E-4</v>
      </c>
      <c r="AF29" s="183">
        <f>_xll.qlCalendarAdvance(Calendar,AF28,"1d","mf",,Trigger)</f>
        <v>42173</v>
      </c>
      <c r="AG29" s="169">
        <f>_xll.qlDayCounterYearFraction(DayCounter,SettlementDate,AF29,,,Trigger)</f>
        <v>0.1</v>
      </c>
      <c r="AH29" s="181">
        <f t="shared" si="0"/>
        <v>9.4921463123313627E-4</v>
      </c>
      <c r="AI29" s="181">
        <f t="shared" si="1"/>
        <v>8.9795547175114106E-4</v>
      </c>
      <c r="AJ29" s="181">
        <f t="shared" si="2"/>
        <v>8.9942462579024982E-4</v>
      </c>
    </row>
    <row r="30" spans="3:36" ht="12" customHeight="1" x14ac:dyDescent="0.2">
      <c r="C30" s="181">
        <f t="shared" si="12"/>
        <v>-1.6019717063509747E-4</v>
      </c>
      <c r="AF30" s="183">
        <f>_xll.qlCalendarAdvance(Calendar,AF29,"1d","mf",,Trigger)</f>
        <v>42174</v>
      </c>
      <c r="AG30" s="169">
        <f>_xll.qlDayCounterYearFraction(DayCounter,SettlementDate,AF30,,,Trigger)</f>
        <v>0.10277777777777777</v>
      </c>
      <c r="AH30" s="181">
        <f t="shared" si="0"/>
        <v>9.4921463123313627E-4</v>
      </c>
      <c r="AI30" s="181">
        <f t="shared" si="1"/>
        <v>9.0308138769934054E-4</v>
      </c>
      <c r="AJ30" s="181">
        <f t="shared" si="2"/>
        <v>9.046218954215443E-4</v>
      </c>
    </row>
    <row r="31" spans="3:36" ht="12" customHeight="1" x14ac:dyDescent="0.2">
      <c r="C31" s="190">
        <f t="shared" si="12"/>
        <v>-1.4116390531461044E-4</v>
      </c>
      <c r="AF31" s="183">
        <f>_xll.qlCalendarAdvance(Calendar,AF30,"1d","mf",,Trigger)</f>
        <v>42177</v>
      </c>
      <c r="AG31" s="169">
        <f>_xll.qlDayCounterYearFraction(DayCounter,SettlementDate,AF31,,,Trigger)</f>
        <v>0.1111111111111111</v>
      </c>
      <c r="AH31" s="181">
        <f t="shared" si="0"/>
        <v>9.4921463123313627E-4</v>
      </c>
      <c r="AI31" s="181">
        <f t="shared" si="1"/>
        <v>9.1845913554393897E-4</v>
      </c>
      <c r="AJ31" s="181">
        <f t="shared" si="2"/>
        <v>9.2018077184630729E-4</v>
      </c>
    </row>
    <row r="32" spans="3:36" ht="12" customHeight="1" x14ac:dyDescent="0.2">
      <c r="AF32" s="183">
        <f>_xll.qlCalendarAdvance(Calendar,AF31,"1d","mf",,Trigger)</f>
        <v>42178</v>
      </c>
      <c r="AG32" s="169">
        <f>_xll.qlDayCounterYearFraction(DayCounter,SettlementDate,AF32,,,Trigger)</f>
        <v>0.11388888888888889</v>
      </c>
      <c r="AH32" s="181">
        <f t="shared" si="0"/>
        <v>9.4921463123313627E-4</v>
      </c>
      <c r="AI32" s="181">
        <f t="shared" si="1"/>
        <v>9.2358505149213845E-4</v>
      </c>
      <c r="AJ32" s="181">
        <f t="shared" si="2"/>
        <v>9.2535608649818796E-4</v>
      </c>
    </row>
    <row r="33" spans="13:36" x14ac:dyDescent="0.2">
      <c r="AF33" s="183">
        <f>_xll.qlCalendarAdvance(Calendar,AF32,"1d","mf",,Trigger)</f>
        <v>42179</v>
      </c>
      <c r="AG33" s="169">
        <f>_xll.qlDayCounterYearFraction(DayCounter,SettlementDate,AF33,,,Trigger)</f>
        <v>0.11666666666666667</v>
      </c>
      <c r="AH33" s="181">
        <f t="shared" si="0"/>
        <v>9.4921463123313627E-4</v>
      </c>
      <c r="AI33" s="181">
        <f t="shared" si="1"/>
        <v>9.2871096744033793E-4</v>
      </c>
      <c r="AJ33" s="181">
        <f t="shared" si="2"/>
        <v>9.3052591240521516E-4</v>
      </c>
    </row>
    <row r="34" spans="13:36" x14ac:dyDescent="0.2">
      <c r="AF34" s="183">
        <f>_xll.qlCalendarAdvance(Calendar,AF33,"1d","mf",,Trigger)</f>
        <v>42180</v>
      </c>
      <c r="AG34" s="169">
        <f>_xll.qlDayCounterYearFraction(DayCounter,SettlementDate,AF34,,,Trigger)</f>
        <v>0.11944444444444445</v>
      </c>
      <c r="AH34" s="181">
        <f t="shared" si="0"/>
        <v>9.4921463123313627E-4</v>
      </c>
      <c r="AI34" s="181">
        <f t="shared" si="1"/>
        <v>9.338368833885374E-4</v>
      </c>
      <c r="AJ34" s="181">
        <f t="shared" si="2"/>
        <v>9.3569024956738887E-4</v>
      </c>
    </row>
    <row r="35" spans="13:36" x14ac:dyDescent="0.2">
      <c r="AF35" s="183">
        <f>_xll.qlCalendarAdvance(Calendar,AF34,"1d","mf",,Trigger)</f>
        <v>42181</v>
      </c>
      <c r="AG35" s="169">
        <f>_xll.qlDayCounterYearFraction(DayCounter,SettlementDate,AF35,,,Trigger)</f>
        <v>0.12222222222222222</v>
      </c>
      <c r="AH35" s="181">
        <f t="shared" si="0"/>
        <v>9.4921463123313627E-4</v>
      </c>
      <c r="AI35" s="181">
        <f t="shared" si="1"/>
        <v>9.3896279933673688E-4</v>
      </c>
      <c r="AJ35" s="181">
        <f t="shared" ref="AJ35:AJ65" si="13">($W$5+$W$4*AG35+$W$3*AG35^2)</f>
        <v>9.4084909798470922E-4</v>
      </c>
    </row>
    <row r="36" spans="13:36" x14ac:dyDescent="0.2">
      <c r="AF36" s="183">
        <f>_xll.qlCalendarAdvance(Calendar,AF35,"1d","mf",,Trigger)</f>
        <v>42184</v>
      </c>
      <c r="AG36" s="169">
        <f>_xll.qlDayCounterYearFraction(DayCounter,SettlementDate,AF36,,,Trigger)</f>
        <v>0.13055555555555556</v>
      </c>
      <c r="AH36" s="181">
        <f t="shared" si="0"/>
        <v>9.4921463123313627E-4</v>
      </c>
      <c r="AI36" s="181">
        <f t="shared" si="1"/>
        <v>9.5434054718133532E-4</v>
      </c>
      <c r="AJ36" s="181">
        <f t="shared" si="13"/>
        <v>9.5629271076754939E-4</v>
      </c>
    </row>
    <row r="37" spans="13:36" x14ac:dyDescent="0.2">
      <c r="AF37" s="183">
        <f>_xll.qlCalendarAdvance(Calendar,AF36,"1d","mf",,Trigger)</f>
        <v>42185</v>
      </c>
      <c r="AG37" s="169">
        <f>_xll.qlDayCounterYearFraction(DayCounter,SettlementDate,AF37,,,Trigger)</f>
        <v>0.13333333333333333</v>
      </c>
      <c r="AH37" s="181">
        <f t="shared" si="0"/>
        <v>9.4921463123313627E-4</v>
      </c>
      <c r="AI37" s="181">
        <f t="shared" si="1"/>
        <v>9.594664631295348E-4</v>
      </c>
      <c r="AJ37" s="181">
        <f t="shared" si="13"/>
        <v>9.6142960420545593E-4</v>
      </c>
    </row>
    <row r="38" spans="13:36" x14ac:dyDescent="0.2">
      <c r="AF38" s="183">
        <f>_xll.qlCalendarAdvance(Calendar,AF37,"1d","mf",,Trigger)</f>
        <v>42186</v>
      </c>
      <c r="AG38" s="169">
        <f>_xll.qlDayCounterYearFraction(DayCounter,SettlementDate,AF38,,,Trigger)</f>
        <v>0.1361111111111111</v>
      </c>
      <c r="AH38" s="181">
        <f t="shared" si="0"/>
        <v>9.4921463123313627E-4</v>
      </c>
      <c r="AI38" s="181">
        <f t="shared" si="1"/>
        <v>9.6459237907773427E-4</v>
      </c>
      <c r="AJ38" s="181">
        <f t="shared" si="13"/>
        <v>9.6656100889850878E-4</v>
      </c>
    </row>
    <row r="39" spans="13:36" x14ac:dyDescent="0.2">
      <c r="AF39" s="183">
        <f>_xll.qlCalendarAdvance(Calendar,AF38,"1d","mf",,Trigger)</f>
        <v>42187</v>
      </c>
      <c r="AG39" s="169">
        <f>_xll.qlDayCounterYearFraction(DayCounter,SettlementDate,AF39,,,Trigger)</f>
        <v>0.1388888888888889</v>
      </c>
      <c r="AH39" s="181">
        <f t="shared" si="0"/>
        <v>9.4921463123313627E-4</v>
      </c>
      <c r="AI39" s="181">
        <f t="shared" si="1"/>
        <v>9.6971829502593375E-4</v>
      </c>
      <c r="AJ39" s="181">
        <f t="shared" si="13"/>
        <v>9.7168692484670837E-4</v>
      </c>
    </row>
    <row r="40" spans="13:36" x14ac:dyDescent="0.2">
      <c r="AF40" s="183">
        <f>_xll.qlCalendarAdvance(Calendar,AF39,"1d","mf",,Trigger)</f>
        <v>42188</v>
      </c>
      <c r="AG40" s="169">
        <f>_xll.qlDayCounterYearFraction(DayCounter,SettlementDate,AF40,,,Trigger)</f>
        <v>0.14166666666666666</v>
      </c>
      <c r="AH40" s="181">
        <f t="shared" si="0"/>
        <v>9.4921463123313627E-4</v>
      </c>
      <c r="AI40" s="181">
        <f t="shared" si="1"/>
        <v>9.7484421097413323E-4</v>
      </c>
      <c r="AJ40" s="181">
        <f t="shared" si="13"/>
        <v>9.7680735205005458E-4</v>
      </c>
    </row>
    <row r="41" spans="13:36" x14ac:dyDescent="0.2">
      <c r="M41" s="154"/>
      <c r="N41" s="154"/>
      <c r="AF41" s="183">
        <f>_xll.qlCalendarAdvance(Calendar,AF40,"1d","mf",,Trigger)</f>
        <v>42191</v>
      </c>
      <c r="AG41" s="169">
        <f>_xll.qlDayCounterYearFraction(DayCounter,SettlementDate,AF41,,,Trigger)</f>
        <v>0.15</v>
      </c>
      <c r="AH41" s="181">
        <f t="shared" si="0"/>
        <v>9.4921463123313627E-4</v>
      </c>
      <c r="AI41" s="181">
        <f t="shared" si="1"/>
        <v>9.9022195881873177E-4</v>
      </c>
      <c r="AJ41" s="181">
        <f t="shared" si="13"/>
        <v>9.9213570119097171E-4</v>
      </c>
    </row>
    <row r="42" spans="13:36" x14ac:dyDescent="0.2">
      <c r="AF42" s="183">
        <f>_xll.qlCalendarAdvance(Calendar,AF41,"1d","mf",,Trigger)</f>
        <v>42192</v>
      </c>
      <c r="AG42" s="169">
        <f>_xll.qlDayCounterYearFraction(DayCounter,SettlementDate,AF42,,,Trigger)</f>
        <v>0.15277777777777779</v>
      </c>
      <c r="AH42" s="181">
        <f t="shared" si="0"/>
        <v>9.4921463123313627E-4</v>
      </c>
      <c r="AI42" s="181">
        <f t="shared" si="1"/>
        <v>9.9534787476693114E-4</v>
      </c>
      <c r="AJ42" s="181">
        <f t="shared" si="13"/>
        <v>9.972341734149038E-4</v>
      </c>
    </row>
    <row r="43" spans="13:36" ht="11.25" customHeight="1" x14ac:dyDescent="0.2">
      <c r="AF43" s="183">
        <f>_xll.qlCalendarAdvance(Calendar,AF42,"1d","mf",,Trigger)</f>
        <v>42193</v>
      </c>
      <c r="AG43" s="169">
        <f>_xll.qlDayCounterYearFraction(DayCounter,SettlementDate,AF43,,,Trigger)</f>
        <v>0.15555555555555556</v>
      </c>
      <c r="AH43" s="181">
        <f t="shared" si="0"/>
        <v>9.4921463123313627E-4</v>
      </c>
      <c r="AI43" s="181">
        <f t="shared" si="1"/>
        <v>1.0004737907151307E-3</v>
      </c>
      <c r="AJ43" s="181">
        <f t="shared" si="13"/>
        <v>1.0023271568939827E-3</v>
      </c>
    </row>
    <row r="44" spans="13:36" x14ac:dyDescent="0.2">
      <c r="Q44" s="153"/>
      <c r="AF44" s="183">
        <f>_xll.qlCalendarAdvance(Calendar,AF43,"1d","mf",,Trigger)</f>
        <v>42194</v>
      </c>
      <c r="AG44" s="169">
        <f>_xll.qlDayCounterYearFraction(DayCounter,SettlementDate,AF44,,,Trigger)</f>
        <v>0.15833333333333333</v>
      </c>
      <c r="AH44" s="181">
        <f t="shared" si="0"/>
        <v>9.4921463123313627E-4</v>
      </c>
      <c r="AI44" s="181">
        <f t="shared" si="1"/>
        <v>1.0055997066633301E-3</v>
      </c>
      <c r="AJ44" s="181">
        <f t="shared" si="13"/>
        <v>1.0074146516282079E-3</v>
      </c>
    </row>
    <row r="45" spans="13:36" x14ac:dyDescent="0.2">
      <c r="Q45" s="153"/>
      <c r="AF45" s="183">
        <f>_xll.qlCalendarAdvance(Calendar,AF44,"1d","mf",,Trigger)</f>
        <v>42195</v>
      </c>
      <c r="AG45" s="169">
        <f>_xll.qlDayCounterYearFraction(DayCounter,SettlementDate,AF45,,,Trigger)</f>
        <v>0.16111111111111112</v>
      </c>
      <c r="AH45" s="181">
        <f t="shared" si="0"/>
        <v>9.4921463123313627E-4</v>
      </c>
      <c r="AI45" s="181">
        <f t="shared" si="1"/>
        <v>1.0107256226115297E-3</v>
      </c>
      <c r="AJ45" s="181">
        <f t="shared" si="13"/>
        <v>1.0124966576175798E-3</v>
      </c>
    </row>
    <row r="46" spans="13:36" x14ac:dyDescent="0.2">
      <c r="Q46" s="153"/>
      <c r="AF46" s="183">
        <f>_xll.qlCalendarAdvance(Calendar,AF45,"1d","mf",,Trigger)</f>
        <v>42198</v>
      </c>
      <c r="AG46" s="169">
        <f>_xll.qlDayCounterYearFraction(DayCounter,SettlementDate,AF46,,,Trigger)</f>
        <v>0.16944444444444445</v>
      </c>
      <c r="AH46" s="181">
        <f t="shared" si="0"/>
        <v>9.4921463123313627E-4</v>
      </c>
      <c r="AI46" s="181">
        <f t="shared" si="1"/>
        <v>1.026103370456128E-3</v>
      </c>
      <c r="AJ46" s="181">
        <f t="shared" si="13"/>
        <v>1.0277097431165745E-3</v>
      </c>
    </row>
    <row r="47" spans="13:36" x14ac:dyDescent="0.2">
      <c r="Q47" s="153"/>
      <c r="AF47" s="183">
        <f>_xll.qlCalendarAdvance(Calendar,AF46,"1d","mf",,Trigger)</f>
        <v>42199</v>
      </c>
      <c r="AG47" s="169">
        <f>_xll.qlDayCounterYearFraction(DayCounter,SettlementDate,AF47,,,Trigger)</f>
        <v>0.17222222222222222</v>
      </c>
      <c r="AH47" s="181">
        <f t="shared" si="0"/>
        <v>9.4921463123313627E-4</v>
      </c>
      <c r="AI47" s="181">
        <f t="shared" si="1"/>
        <v>1.0312292864043276E-3</v>
      </c>
      <c r="AJ47" s="181">
        <f t="shared" si="13"/>
        <v>1.0327697941265321E-3</v>
      </c>
    </row>
    <row r="48" spans="13:36" x14ac:dyDescent="0.2">
      <c r="Q48" s="153"/>
      <c r="AF48" s="183">
        <f>_xll.qlCalendarAdvance(Calendar,AF47,"1d","mf",,Trigger)</f>
        <v>42200</v>
      </c>
      <c r="AG48" s="169">
        <f>_xll.qlDayCounterYearFraction(DayCounter,SettlementDate,AF48,,,Trigger)</f>
        <v>0.17499999999999999</v>
      </c>
      <c r="AH48" s="181">
        <f t="shared" si="0"/>
        <v>9.4921463123313627E-4</v>
      </c>
      <c r="AI48" s="181">
        <f t="shared" si="1"/>
        <v>1.036355202352527E-3</v>
      </c>
      <c r="AJ48" s="181">
        <f t="shared" si="13"/>
        <v>1.0378243563916366E-3</v>
      </c>
    </row>
    <row r="49" spans="13:36" x14ac:dyDescent="0.2">
      <c r="AF49" s="183">
        <f>_xll.qlCalendarAdvance(Calendar,AF48,"1d","mf",,Trigger)</f>
        <v>42201</v>
      </c>
      <c r="AG49" s="169">
        <f>_xll.qlDayCounterYearFraction(DayCounter,SettlementDate,AF49,,,Trigger)</f>
        <v>0.17777777777777778</v>
      </c>
      <c r="AH49" s="181">
        <f t="shared" si="0"/>
        <v>9.4921463123313627E-4</v>
      </c>
      <c r="AI49" s="181">
        <f t="shared" si="1"/>
        <v>1.0414811183007266E-3</v>
      </c>
      <c r="AJ49" s="181">
        <f t="shared" si="13"/>
        <v>1.0428734299118877E-3</v>
      </c>
    </row>
    <row r="50" spans="13:36" x14ac:dyDescent="0.2">
      <c r="AF50" s="183">
        <f>_xll.qlCalendarAdvance(Calendar,AF49,"1d","mf",,Trigger)</f>
        <v>42202</v>
      </c>
      <c r="AG50" s="169">
        <f>_xll.qlDayCounterYearFraction(DayCounter,SettlementDate,AF50,,,Trigger)</f>
        <v>0.18055555555555555</v>
      </c>
      <c r="AH50" s="181">
        <f t="shared" si="0"/>
        <v>9.4921463123313627E-4</v>
      </c>
      <c r="AI50" s="181">
        <f t="shared" si="1"/>
        <v>1.0466070342489259E-3</v>
      </c>
      <c r="AJ50" s="181">
        <f t="shared" si="13"/>
        <v>1.0479170146872852E-3</v>
      </c>
    </row>
    <row r="51" spans="13:36" x14ac:dyDescent="0.2">
      <c r="AF51" s="183">
        <f>_xll.qlCalendarAdvance(Calendar,AF50,"1d","mf",,Trigger)</f>
        <v>42205</v>
      </c>
      <c r="AG51" s="169">
        <f>_xll.qlDayCounterYearFraction(DayCounter,SettlementDate,AF51,,,Trigger)</f>
        <v>0.18888888888888888</v>
      </c>
      <c r="AH51" s="181">
        <f t="shared" si="0"/>
        <v>9.4921463123313627E-4</v>
      </c>
      <c r="AI51" s="181">
        <f t="shared" si="1"/>
        <v>1.0619847820935245E-3</v>
      </c>
      <c r="AJ51" s="181">
        <f t="shared" si="13"/>
        <v>1.0630148365443572E-3</v>
      </c>
    </row>
    <row r="52" spans="13:36" x14ac:dyDescent="0.2">
      <c r="AF52" s="183">
        <f>_xll.qlCalendarAdvance(Calendar,AF51,"1d","mf",,Trigger)</f>
        <v>42206</v>
      </c>
      <c r="AG52" s="169">
        <f>_xll.qlDayCounterYearFraction(DayCounter,SettlementDate,AF52,,,Trigger)</f>
        <v>0.19166666666666668</v>
      </c>
      <c r="AH52" s="181">
        <f t="shared" si="0"/>
        <v>9.4921463123313627E-4</v>
      </c>
      <c r="AI52" s="181">
        <f t="shared" si="1"/>
        <v>1.0671106980417238E-3</v>
      </c>
      <c r="AJ52" s="181">
        <f t="shared" si="13"/>
        <v>1.0680364663403408E-3</v>
      </c>
    </row>
    <row r="53" spans="13:36" x14ac:dyDescent="0.2">
      <c r="AF53" s="183">
        <f>_xll.qlCalendarAdvance(Calendar,AF52,"1d","mf",,Trigger)</f>
        <v>42207</v>
      </c>
      <c r="AG53" s="169">
        <f>_xll.qlDayCounterYearFraction(DayCounter,SettlementDate,AF53,,,Trigger)</f>
        <v>0.19444444444444445</v>
      </c>
      <c r="AH53" s="181">
        <f t="shared" si="0"/>
        <v>9.4921463123313627E-4</v>
      </c>
      <c r="AI53" s="181">
        <f t="shared" si="1"/>
        <v>1.0722366139899234E-3</v>
      </c>
      <c r="AJ53" s="181">
        <f t="shared" si="13"/>
        <v>1.073052607391471E-3</v>
      </c>
    </row>
    <row r="54" spans="13:36" x14ac:dyDescent="0.2">
      <c r="AF54" s="183">
        <f>_xll.qlCalendarAdvance(Calendar,AF53,"1d","mf",,Trigger)</f>
        <v>42208</v>
      </c>
      <c r="AG54" s="169">
        <f>_xll.qlDayCounterYearFraction(DayCounter,SettlementDate,AF54,,,Trigger)</f>
        <v>0.19722222222222222</v>
      </c>
      <c r="AH54" s="181">
        <f t="shared" si="0"/>
        <v>9.4921463123313627E-4</v>
      </c>
      <c r="AI54" s="181">
        <f t="shared" si="1"/>
        <v>1.0773625299381228E-3</v>
      </c>
      <c r="AJ54" s="181">
        <f t="shared" si="13"/>
        <v>1.0780632596977479E-3</v>
      </c>
    </row>
    <row r="55" spans="13:36" x14ac:dyDescent="0.2">
      <c r="AF55" s="183">
        <f>_xll.qlCalendarAdvance(Calendar,AF54,"1d","mf",,Trigger)</f>
        <v>42209</v>
      </c>
      <c r="AG55" s="169">
        <f>_xll.qlDayCounterYearFraction(DayCounter,SettlementDate,AF55,,,Trigger)</f>
        <v>0.2</v>
      </c>
      <c r="AH55" s="181">
        <f t="shared" si="0"/>
        <v>9.4921463123313627E-4</v>
      </c>
      <c r="AI55" s="181">
        <f t="shared" si="1"/>
        <v>1.0824884458863224E-3</v>
      </c>
      <c r="AJ55" s="181">
        <f t="shared" si="13"/>
        <v>1.0830684232591712E-3</v>
      </c>
    </row>
    <row r="56" spans="13:36" x14ac:dyDescent="0.2">
      <c r="AF56" s="183">
        <f>_xll.qlCalendarAdvance(Calendar,AF55,"1d","mf",,Trigger)</f>
        <v>42212</v>
      </c>
      <c r="AG56" s="169">
        <f>_xll.qlDayCounterYearFraction(DayCounter,SettlementDate,AF56,,,Trigger)</f>
        <v>0.20833333333333334</v>
      </c>
      <c r="AH56" s="181">
        <f t="shared" si="0"/>
        <v>9.4921463123313627E-4</v>
      </c>
      <c r="AI56" s="181">
        <f t="shared" si="1"/>
        <v>1.0978661937309209E-3</v>
      </c>
      <c r="AJ56" s="181">
        <f t="shared" si="13"/>
        <v>1.0980509814743204E-3</v>
      </c>
    </row>
    <row r="57" spans="13:36" x14ac:dyDescent="0.2">
      <c r="AF57" s="183">
        <f>_xll.qlCalendarAdvance(Calendar,AF56,"1d","mf",,Trigger)</f>
        <v>42213</v>
      </c>
      <c r="AG57" s="169">
        <f>_xll.qlDayCounterYearFraction(DayCounter,SettlementDate,AF57,,,Trigger)</f>
        <v>0.21111111111111111</v>
      </c>
      <c r="AH57" s="181">
        <f t="shared" si="0"/>
        <v>9.4921463123313627E-4</v>
      </c>
      <c r="AI57" s="181">
        <f t="shared" si="1"/>
        <v>1.1029921096791203E-3</v>
      </c>
      <c r="AJ57" s="181">
        <f t="shared" si="13"/>
        <v>1.1030341900563295E-3</v>
      </c>
    </row>
    <row r="58" spans="13:36" x14ac:dyDescent="0.2">
      <c r="AF58" s="183">
        <f>_xll.qlCalendarAdvance(Calendar,AF57,"1d","mf",,Trigger)</f>
        <v>42214</v>
      </c>
      <c r="AG58" s="169">
        <f>_xll.qlDayCounterYearFraction(DayCounter,SettlementDate,AF58,,,Trigger)</f>
        <v>0.21388888888888888</v>
      </c>
      <c r="AH58" s="181">
        <f t="shared" si="0"/>
        <v>9.4921463123313627E-4</v>
      </c>
      <c r="AI58" s="181">
        <f t="shared" si="1"/>
        <v>1.1081180256273197E-3</v>
      </c>
      <c r="AJ58" s="181">
        <f t="shared" si="13"/>
        <v>1.1080119098934855E-3</v>
      </c>
    </row>
    <row r="59" spans="13:36" x14ac:dyDescent="0.2">
      <c r="AF59" s="183">
        <f>_xll.qlCalendarAdvance(Calendar,AF58,"1d","mf",,Trigger)</f>
        <v>42215</v>
      </c>
      <c r="AG59" s="169">
        <f>_xll.qlDayCounterYearFraction(DayCounter,SettlementDate,AF59,,,Trigger)</f>
        <v>0.21666666666666667</v>
      </c>
      <c r="AH59" s="181">
        <f t="shared" si="0"/>
        <v>9.4921463123313627E-4</v>
      </c>
      <c r="AI59" s="181">
        <f t="shared" si="1"/>
        <v>1.1132439415755192E-3</v>
      </c>
      <c r="AJ59" s="181">
        <f t="shared" si="13"/>
        <v>1.1129841409857882E-3</v>
      </c>
    </row>
    <row r="60" spans="13:36" x14ac:dyDescent="0.2">
      <c r="M60" s="154"/>
      <c r="AF60" s="183">
        <f>_xll.qlCalendarAdvance(Calendar,AF59,"1d","mf",,Trigger)</f>
        <v>42216</v>
      </c>
      <c r="AG60" s="169">
        <f>_xll.qlDayCounterYearFraction(DayCounter,SettlementDate,AF60,,,Trigger)</f>
        <v>0.21944444444444444</v>
      </c>
      <c r="AH60" s="181">
        <f t="shared" si="0"/>
        <v>9.4921463123313627E-4</v>
      </c>
      <c r="AI60" s="181">
        <f t="shared" si="1"/>
        <v>1.1183698575237186E-3</v>
      </c>
      <c r="AJ60" s="181">
        <f t="shared" si="13"/>
        <v>1.1179508833332372E-3</v>
      </c>
    </row>
    <row r="61" spans="13:36" x14ac:dyDescent="0.2">
      <c r="M61" s="154"/>
      <c r="AF61" s="183">
        <f>_xll.qlCalendarAdvance(Calendar,AF60,"1d","mf",,Trigger)</f>
        <v>42219</v>
      </c>
      <c r="AG61" s="169">
        <f>_xll.qlDayCounterYearFraction(DayCounter,SettlementDate,AF61,,,Trigger)</f>
        <v>0.22777777777777777</v>
      </c>
      <c r="AH61" s="181">
        <f t="shared" si="0"/>
        <v>9.4921463123313627E-4</v>
      </c>
      <c r="AI61" s="181">
        <f t="shared" si="1"/>
        <v>1.1337476053683172E-3</v>
      </c>
      <c r="AJ61" s="181">
        <f t="shared" si="13"/>
        <v>1.1328181779064635E-3</v>
      </c>
    </row>
    <row r="62" spans="13:36" x14ac:dyDescent="0.2">
      <c r="M62" s="154"/>
      <c r="AF62" s="183">
        <f>_xll.qlCalendarAdvance(Calendar,AF61,"1d","mf",,Trigger)</f>
        <v>42220</v>
      </c>
      <c r="AG62" s="169">
        <f>_xll.qlDayCounterYearFraction(DayCounter,SettlementDate,AF62,,,Trigger)</f>
        <v>0.23055555555555557</v>
      </c>
      <c r="AH62" s="181">
        <f t="shared" si="0"/>
        <v>9.4921463123313627E-4</v>
      </c>
      <c r="AI62" s="181">
        <f t="shared" si="1"/>
        <v>1.1388735213165167E-3</v>
      </c>
      <c r="AJ62" s="181">
        <f t="shared" si="13"/>
        <v>1.1377629652744986E-3</v>
      </c>
    </row>
    <row r="63" spans="13:36" x14ac:dyDescent="0.2">
      <c r="M63" s="154"/>
      <c r="AF63" s="183">
        <f>_xll.qlCalendarAdvance(Calendar,AF62,"1d","mf",,Trigger)</f>
        <v>42221</v>
      </c>
      <c r="AG63" s="169">
        <f>_xll.qlDayCounterYearFraction(DayCounter,SettlementDate,AF63,,,Trigger)</f>
        <v>0.23333333333333334</v>
      </c>
      <c r="AH63" s="181">
        <f t="shared" si="0"/>
        <v>9.4921463123313627E-4</v>
      </c>
      <c r="AI63" s="181">
        <f t="shared" si="1"/>
        <v>1.1439994372647161E-3</v>
      </c>
      <c r="AJ63" s="181">
        <f t="shared" si="13"/>
        <v>1.1427022638976802E-3</v>
      </c>
    </row>
    <row r="64" spans="13:36" x14ac:dyDescent="0.2">
      <c r="M64" s="154"/>
      <c r="AF64" s="183">
        <f>_xll.qlCalendarAdvance(Calendar,AF63,"1d","mf",,Trigger)</f>
        <v>42222</v>
      </c>
      <c r="AG64" s="169">
        <f>_xll.qlDayCounterYearFraction(DayCounter,SettlementDate,AF64,,,Trigger)</f>
        <v>0.2361111111111111</v>
      </c>
      <c r="AH64" s="181">
        <f t="shared" si="0"/>
        <v>9.4921463123313627E-4</v>
      </c>
      <c r="AI64" s="181">
        <f t="shared" si="1"/>
        <v>1.1491253532129155E-3</v>
      </c>
      <c r="AJ64" s="181">
        <f t="shared" si="13"/>
        <v>1.1476360737760086E-3</v>
      </c>
    </row>
    <row r="65" spans="13:36" x14ac:dyDescent="0.2">
      <c r="M65" s="154"/>
      <c r="AF65" s="187">
        <f>_xll.qlCalendarAdvance(Calendar,AF64,"1d","mf",,Trigger)</f>
        <v>42223</v>
      </c>
      <c r="AG65" s="174">
        <f>_xll.qlDayCounterYearFraction(DayCounter,SettlementDate,AF65,,,Trigger)</f>
        <v>0.2388888888888889</v>
      </c>
      <c r="AH65" s="190">
        <f t="shared" si="0"/>
        <v>9.4921463123313627E-4</v>
      </c>
      <c r="AI65" s="190">
        <f t="shared" si="1"/>
        <v>1.1542512691611151E-3</v>
      </c>
      <c r="AJ65" s="190">
        <f t="shared" si="13"/>
        <v>1.1525643949094834E-3</v>
      </c>
    </row>
    <row r="66" spans="13:36" x14ac:dyDescent="0.2">
      <c r="M66" s="154"/>
      <c r="N66" s="154"/>
    </row>
    <row r="67" spans="13:36" x14ac:dyDescent="0.2">
      <c r="M67" s="154"/>
      <c r="N67" s="154"/>
    </row>
    <row r="68" spans="13:36" x14ac:dyDescent="0.2">
      <c r="M68" s="154"/>
      <c r="N68" s="154"/>
    </row>
    <row r="69" spans="13:36" x14ac:dyDescent="0.2">
      <c r="M69" s="154"/>
      <c r="N69" s="154"/>
    </row>
    <row r="70" spans="13:36" x14ac:dyDescent="0.2">
      <c r="M70" s="154"/>
      <c r="N70" s="154"/>
    </row>
    <row r="71" spans="13:36" x14ac:dyDescent="0.2">
      <c r="M71" s="154"/>
      <c r="N71" s="154"/>
    </row>
    <row r="72" spans="13:36" x14ac:dyDescent="0.2">
      <c r="M72" s="154"/>
      <c r="N72" s="154"/>
    </row>
    <row r="73" spans="13:36" x14ac:dyDescent="0.2">
      <c r="M73" s="154"/>
      <c r="N73" s="154"/>
    </row>
    <row r="74" spans="13:36" x14ac:dyDescent="0.2">
      <c r="M74" s="154"/>
      <c r="N74" s="154"/>
    </row>
    <row r="75" spans="13:36" x14ac:dyDescent="0.2">
      <c r="M75" s="154"/>
      <c r="N75" s="154"/>
    </row>
    <row r="76" spans="13:36" x14ac:dyDescent="0.2">
      <c r="M76" s="154"/>
      <c r="N76" s="154"/>
    </row>
    <row r="77" spans="13:36" x14ac:dyDescent="0.2">
      <c r="M77" s="154"/>
      <c r="N77" s="154"/>
    </row>
    <row r="78" spans="13:36" x14ac:dyDescent="0.2">
      <c r="M78" s="154"/>
      <c r="N78" s="154"/>
    </row>
    <row r="79" spans="13:36" x14ac:dyDescent="0.2">
      <c r="M79" s="154"/>
      <c r="N79" s="154"/>
    </row>
    <row r="80" spans="13:36" x14ac:dyDescent="0.2">
      <c r="M80" s="154"/>
      <c r="N80" s="154"/>
    </row>
    <row r="81" spans="13:14" x14ac:dyDescent="0.2">
      <c r="M81" s="154"/>
      <c r="N81" s="154"/>
    </row>
    <row r="82" spans="13:14" x14ac:dyDescent="0.2">
      <c r="M82" s="154"/>
      <c r="N82" s="154"/>
    </row>
    <row r="83" spans="13:14" x14ac:dyDescent="0.2">
      <c r="M83" s="154"/>
      <c r="N83" s="154"/>
    </row>
    <row r="84" spans="13:14" x14ac:dyDescent="0.2">
      <c r="M84" s="154"/>
      <c r="N84" s="154"/>
    </row>
    <row r="85" spans="13:14" x14ac:dyDescent="0.2">
      <c r="M85" s="154"/>
      <c r="N85" s="154"/>
    </row>
    <row r="86" spans="13:14" x14ac:dyDescent="0.2">
      <c r="M86" s="154"/>
      <c r="N86" s="154"/>
    </row>
    <row r="87" spans="13:14" x14ac:dyDescent="0.2">
      <c r="M87" s="154"/>
      <c r="N87" s="154"/>
    </row>
    <row r="88" spans="13:14" x14ac:dyDescent="0.2">
      <c r="M88" s="154"/>
      <c r="N88" s="154"/>
    </row>
    <row r="89" spans="13:14" x14ac:dyDescent="0.2">
      <c r="M89" s="154"/>
      <c r="N89" s="154"/>
    </row>
    <row r="90" spans="13:14" x14ac:dyDescent="0.2">
      <c r="M90" s="154"/>
      <c r="N90" s="154"/>
    </row>
    <row r="91" spans="13:14" x14ac:dyDescent="0.2">
      <c r="M91" s="154"/>
      <c r="N91" s="154"/>
    </row>
    <row r="92" spans="13:14" x14ac:dyDescent="0.2">
      <c r="M92" s="154"/>
      <c r="N92" s="154"/>
    </row>
    <row r="93" spans="13:14" x14ac:dyDescent="0.2">
      <c r="M93" s="154"/>
      <c r="N93" s="154"/>
    </row>
    <row r="94" spans="13:14" x14ac:dyDescent="0.2">
      <c r="M94" s="154"/>
      <c r="N94" s="154"/>
    </row>
    <row r="95" spans="13:14" x14ac:dyDescent="0.2">
      <c r="M95" s="154"/>
      <c r="N95" s="154"/>
    </row>
    <row r="96" spans="13:14" x14ac:dyDescent="0.2">
      <c r="M96" s="154"/>
      <c r="N96" s="154"/>
    </row>
    <row r="97" spans="13:14" x14ac:dyDescent="0.2">
      <c r="M97" s="154"/>
      <c r="N97" s="154"/>
    </row>
    <row r="98" spans="13:14" x14ac:dyDescent="0.2">
      <c r="M98" s="154"/>
      <c r="N98" s="154"/>
    </row>
    <row r="99" spans="13:14" x14ac:dyDescent="0.2">
      <c r="M99" s="154"/>
      <c r="N99" s="154"/>
    </row>
    <row r="100" spans="13:14" x14ac:dyDescent="0.2">
      <c r="M100" s="154"/>
      <c r="N100" s="154"/>
    </row>
    <row r="101" spans="13:14" x14ac:dyDescent="0.2">
      <c r="M101" s="154"/>
      <c r="N101" s="154"/>
    </row>
    <row r="102" spans="13:14" x14ac:dyDescent="0.2">
      <c r="M102" s="154"/>
      <c r="N102" s="154"/>
    </row>
    <row r="103" spans="13:14" x14ac:dyDescent="0.2">
      <c r="M103" s="154"/>
      <c r="N103" s="154"/>
    </row>
    <row r="104" spans="13:14" x14ac:dyDescent="0.2">
      <c r="M104" s="154"/>
      <c r="N104" s="154"/>
    </row>
    <row r="105" spans="13:14" x14ac:dyDescent="0.2">
      <c r="M105" s="154"/>
      <c r="N105" s="154"/>
    </row>
    <row r="106" spans="13:14" x14ac:dyDescent="0.2">
      <c r="M106" s="154"/>
      <c r="N106" s="154"/>
    </row>
    <row r="107" spans="13:14" x14ac:dyDescent="0.2">
      <c r="M107" s="154"/>
      <c r="N107" s="154"/>
    </row>
    <row r="108" spans="13:14" x14ac:dyDescent="0.2">
      <c r="M108" s="154"/>
      <c r="N108" s="154"/>
    </row>
    <row r="109" spans="13:14" x14ac:dyDescent="0.2">
      <c r="M109" s="154"/>
      <c r="N109" s="154"/>
    </row>
    <row r="110" spans="13:14" x14ac:dyDescent="0.2">
      <c r="M110" s="154"/>
      <c r="N110" s="154"/>
    </row>
    <row r="111" spans="13:14" x14ac:dyDescent="0.2">
      <c r="M111" s="154"/>
      <c r="N111" s="154"/>
    </row>
    <row r="112" spans="13:14" x14ac:dyDescent="0.2">
      <c r="M112" s="154"/>
      <c r="N112" s="154"/>
    </row>
    <row r="113" spans="13:14" x14ac:dyDescent="0.2">
      <c r="M113" s="155"/>
      <c r="N113" s="154"/>
    </row>
    <row r="114" spans="13:14" x14ac:dyDescent="0.2">
      <c r="M114" s="155"/>
      <c r="N114" s="154"/>
    </row>
    <row r="115" spans="13:14" x14ac:dyDescent="0.2">
      <c r="M115" s="155"/>
      <c r="N115" s="154"/>
    </row>
    <row r="116" spans="13:14" x14ac:dyDescent="0.2">
      <c r="M116" s="155"/>
      <c r="N116" s="154"/>
    </row>
    <row r="117" spans="13:14" x14ac:dyDescent="0.2">
      <c r="M117" s="155"/>
      <c r="N117" s="154"/>
    </row>
    <row r="118" spans="13:14" x14ac:dyDescent="0.2">
      <c r="M118" s="155"/>
      <c r="N118" s="154"/>
    </row>
    <row r="119" spans="13:14" x14ac:dyDescent="0.2">
      <c r="M119" s="155"/>
      <c r="N119" s="155"/>
    </row>
    <row r="120" spans="13:14" x14ac:dyDescent="0.2">
      <c r="M120" s="155"/>
      <c r="N120" s="155"/>
    </row>
    <row r="121" spans="13:14" x14ac:dyDescent="0.2">
      <c r="M121" s="155"/>
      <c r="N121" s="155"/>
    </row>
    <row r="122" spans="13:14" x14ac:dyDescent="0.2">
      <c r="M122" s="155"/>
      <c r="N122" s="155"/>
    </row>
    <row r="123" spans="13:14" x14ac:dyDescent="0.2">
      <c r="M123" s="155"/>
      <c r="N123" s="155"/>
    </row>
    <row r="124" spans="13:14" x14ac:dyDescent="0.2">
      <c r="M124" s="155"/>
      <c r="N124" s="155"/>
    </row>
    <row r="125" spans="13:14" x14ac:dyDescent="0.2">
      <c r="M125" s="155"/>
      <c r="N125" s="155"/>
    </row>
    <row r="126" spans="13:14" x14ac:dyDescent="0.2">
      <c r="M126" s="155"/>
      <c r="N126" s="155"/>
    </row>
    <row r="127" spans="13:14" x14ac:dyDescent="0.2">
      <c r="M127" s="155"/>
      <c r="N127" s="155"/>
    </row>
    <row r="128" spans="13:14" x14ac:dyDescent="0.2">
      <c r="M128" s="155"/>
      <c r="N128" s="155"/>
    </row>
    <row r="129" spans="14:14" x14ac:dyDescent="0.2">
      <c r="N129" s="155"/>
    </row>
    <row r="130" spans="14:14" x14ac:dyDescent="0.2">
      <c r="N130" s="155"/>
    </row>
    <row r="131" spans="14:14" x14ac:dyDescent="0.2">
      <c r="N131" s="155"/>
    </row>
    <row r="132" spans="14:14" x14ac:dyDescent="0.2">
      <c r="N132" s="155"/>
    </row>
    <row r="133" spans="14:14" x14ac:dyDescent="0.2">
      <c r="N133" s="155"/>
    </row>
    <row r="134" spans="14:14" x14ac:dyDescent="0.2">
      <c r="N134" s="155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29" customWidth="1"/>
    <col min="3" max="5" width="22.83203125" style="129" customWidth="1"/>
    <col min="6" max="7" width="14.1640625" style="129" hidden="1" customWidth="1" outlineLevel="1"/>
    <col min="8" max="8" width="8.1640625" style="129" hidden="1" customWidth="1" outlineLevel="1"/>
    <col min="9" max="9" width="10.5" style="129" hidden="1" customWidth="1" outlineLevel="1"/>
    <col min="10" max="10" width="10.5" style="129" bestFit="1" customWidth="1" collapsed="1"/>
    <col min="11" max="12" width="14.1640625" style="129" bestFit="1" customWidth="1"/>
    <col min="13" max="13" width="10.5" style="129" bestFit="1" customWidth="1"/>
    <col min="14" max="16" width="10.5" style="129" customWidth="1"/>
    <col min="17" max="17" width="10.83203125" style="129" customWidth="1"/>
    <col min="18" max="18" width="13.1640625" style="129" customWidth="1"/>
    <col min="19" max="21" width="6.83203125" style="129" customWidth="1"/>
    <col min="22" max="22" width="2.33203125" style="129" bestFit="1" customWidth="1"/>
    <col min="23" max="23" width="10.83203125" style="129" customWidth="1"/>
    <col min="24" max="24" width="2.33203125" style="129" bestFit="1" customWidth="1"/>
    <col min="25" max="25" width="10.83203125" style="129" customWidth="1"/>
    <col min="26" max="26" width="12.5" style="129" bestFit="1" customWidth="1"/>
    <col min="27" max="29" width="9.33203125" style="129" customWidth="1"/>
    <col min="30" max="31" width="9.5" style="129"/>
    <col min="32" max="32" width="20.33203125" style="129" bestFit="1" customWidth="1"/>
    <col min="33" max="33" width="8.1640625" style="129" bestFit="1" customWidth="1"/>
    <col min="34" max="35" width="9.5" style="129" bestFit="1" customWidth="1"/>
    <col min="36" max="36" width="11.6640625" style="129" bestFit="1" customWidth="1"/>
    <col min="37" max="16384" width="9.5" style="129"/>
  </cols>
  <sheetData>
    <row r="2" spans="1:36" ht="19.5" customHeight="1" x14ac:dyDescent="0.2">
      <c r="C2" s="156" t="s">
        <v>106</v>
      </c>
      <c r="D2" s="156" t="s">
        <v>91</v>
      </c>
      <c r="E2" s="156" t="s">
        <v>92</v>
      </c>
      <c r="F2" s="156" t="s">
        <v>144</v>
      </c>
      <c r="G2" s="156" t="s">
        <v>145</v>
      </c>
      <c r="H2" s="156" t="s">
        <v>143</v>
      </c>
      <c r="I2" s="156" t="s">
        <v>146</v>
      </c>
      <c r="J2" s="156" t="s">
        <v>147</v>
      </c>
      <c r="K2" s="156" t="s">
        <v>151</v>
      </c>
      <c r="L2" s="156" t="s">
        <v>152</v>
      </c>
      <c r="M2" s="156" t="s">
        <v>113</v>
      </c>
      <c r="N2" s="157" t="s">
        <v>114</v>
      </c>
      <c r="O2" s="156" t="s">
        <v>115</v>
      </c>
      <c r="P2" s="156" t="s">
        <v>122</v>
      </c>
      <c r="W2" s="146" t="s">
        <v>111</v>
      </c>
      <c r="AA2" s="429" t="s">
        <v>110</v>
      </c>
      <c r="AB2" s="429"/>
      <c r="AC2" s="429"/>
      <c r="AF2" s="156" t="s">
        <v>91</v>
      </c>
      <c r="AG2" s="156" t="s">
        <v>143</v>
      </c>
      <c r="AH2" s="156" t="s">
        <v>39</v>
      </c>
      <c r="AI2" s="156" t="s">
        <v>104</v>
      </c>
      <c r="AJ2" s="156" t="s">
        <v>105</v>
      </c>
    </row>
    <row r="3" spans="1:36" ht="12" customHeight="1" x14ac:dyDescent="0.2">
      <c r="C3" s="161" t="str">
        <f>$D$10&amp;"LastFixing"&amp;QuoteSuffix</f>
        <v>Euribor6MLastFixing_Quote</v>
      </c>
      <c r="D3" s="162">
        <f>_xll.qlCalendarAdvance(Calendar,_xll.qlLastFixingQuoteReferenceDate($C$3),_xll.qlInterestRateIndexFixingDays($D$10)&amp;"D","f",,LastFixingsTrigger)</f>
        <v>42137</v>
      </c>
      <c r="E3" s="162">
        <f>_xll.qlInterestRateIndexMaturity($D$10,D3)</f>
        <v>42321</v>
      </c>
      <c r="F3" s="196">
        <f>_xll.qlYieldTSDiscount(Discounting,D3,,AllTriggers)</f>
        <v>1.0000055555787037</v>
      </c>
      <c r="G3" s="196">
        <f>_xll.qlYieldTSDiscount(Discounting,E3,,AllTriggers)</f>
        <v>1.0006036397357938</v>
      </c>
      <c r="H3" s="197">
        <f>_xll.qlDayCounterYearFraction(DayCounter,D3,E3,,,Trigger)</f>
        <v>0.51111111111111107</v>
      </c>
      <c r="I3" s="198">
        <f>(F3/G3-1)/H3</f>
        <v>-1.1694587234214171E-3</v>
      </c>
      <c r="J3" s="163">
        <f>'Delta 6M '!P3</f>
        <v>9.0963124052824331E-4</v>
      </c>
      <c r="K3" s="164">
        <f>_xll.qlDayCounterYearFraction(DayCounter,SettlementDate,D3,,,Trigger)</f>
        <v>0</v>
      </c>
      <c r="L3" s="164">
        <f>_xll.qlDayCounterYearFraction(DayCounter,SettlementDate,E3,,,Trigger)</f>
        <v>0.51111111111111107</v>
      </c>
      <c r="M3" s="164">
        <f>L3-K3</f>
        <v>0.51111111111111107</v>
      </c>
      <c r="N3" s="164">
        <f>(L3^2-K3^2)/2</f>
        <v>0.13061728395061725</v>
      </c>
      <c r="O3" s="164">
        <f>(L3^3-K3^3)/3</f>
        <v>4.450663008687699E-2</v>
      </c>
      <c r="P3" s="165" t="b">
        <f>IF(D12="fixing",TRUE,FALSE)</f>
        <v>0</v>
      </c>
      <c r="R3" s="430" t="s">
        <v>107</v>
      </c>
      <c r="S3" s="141">
        <f t="array" ref="S3:S5">_xll.ohFilter(O3:O7,P3:P7)</f>
        <v>4.450663008687699E-2</v>
      </c>
      <c r="T3" s="147">
        <f t="array" ref="T3:T5">_xll.ohFilter(N3:N7,P3:P7)</f>
        <v>0.13061728395061725</v>
      </c>
      <c r="U3" s="142">
        <f t="array" ref="U3:U5">_xll.ohFilter(M3:M7,P3:P7)</f>
        <v>0.51111111111111107</v>
      </c>
      <c r="V3" s="148"/>
      <c r="W3" s="143">
        <f t="array" ref="W3:W5">MMULT(AA3:AC5,Y3:Y5)</f>
        <v>-1.7918750788295523E-4</v>
      </c>
      <c r="X3" s="149"/>
      <c r="Y3" s="216">
        <f t="array" ref="Y3:Y5">_xll.ohFilter(J3:J7,P3:P7)</f>
        <v>9.4099829307216557E-4</v>
      </c>
      <c r="AA3" s="141">
        <f t="array" ref="AA3:AC5">MINVERSE(S3:U5)</f>
        <v>123.81361610593055</v>
      </c>
      <c r="AB3" s="147">
        <v>-266.45269430983882</v>
      </c>
      <c r="AC3" s="142">
        <v>141.19096573483307</v>
      </c>
      <c r="AF3" s="178">
        <f>SettlementDate</f>
        <v>42137</v>
      </c>
      <c r="AG3" s="169">
        <f>_xll.qlDayCounterYearFraction(DayCounter,SettlementDate,AF3,,,Trigger)</f>
        <v>0</v>
      </c>
      <c r="AH3" s="194">
        <f t="shared" ref="AH3:AH34" si="0">$W$13</f>
        <v>1.8410836168803243E-3</v>
      </c>
      <c r="AI3" s="194">
        <f t="shared" ref="AI3:AI34" si="1">$W$10+$W$9*AG3</f>
        <v>1.7707167961982144E-3</v>
      </c>
      <c r="AJ3" s="194">
        <f t="shared" ref="AJ3:AJ34" si="2">($W$5+$W$4*AG3+$W$3*AG3^2)</f>
        <v>1.7589008009609199E-3</v>
      </c>
    </row>
    <row r="4" spans="1:36" ht="12" customHeight="1" x14ac:dyDescent="0.2">
      <c r="A4" s="129">
        <v>0</v>
      </c>
      <c r="B4" s="215">
        <f>A4+SUBSTITUTE($D$9,"M","")</f>
        <v>6</v>
      </c>
      <c r="C4" s="166" t="str">
        <f>"Delta("&amp;A4&amp;"M,"&amp;B4&amp;"M)extrap"</f>
        <v>Delta(0M,6M)extrap</v>
      </c>
      <c r="D4" s="167">
        <f>SettlementDate</f>
        <v>42137</v>
      </c>
      <c r="E4" s="167">
        <f>_xll.qlInterestRateIndexMaturity($D$10,D4)</f>
        <v>42321</v>
      </c>
      <c r="F4" s="199">
        <f>_xll.qlYieldTSDiscount(Discounting,D4,,AllTriggers)</f>
        <v>1.0000055555787037</v>
      </c>
      <c r="G4" s="199">
        <f>_xll.qlYieldTSDiscount(Discounting,E4,,AllTriggers)</f>
        <v>1.0006036397357938</v>
      </c>
      <c r="H4" s="200">
        <f>_xll.qlDayCounterYearFraction(DayCounter,D4,E4,,,Trigger)</f>
        <v>0.51111111111111107</v>
      </c>
      <c r="I4" s="201">
        <f t="shared" ref="I4:I7" si="3">(F4/G4-1)/H4</f>
        <v>-1.1694587234214171E-3</v>
      </c>
      <c r="J4" s="168">
        <f>LN((1+(_xll.qlInterpolationInterpolate(B6Minterpolation,D4,TRUE,AllTriggers)+I4)*H4)/(1+I4*H4))</f>
        <v>9.4099829307216557E-4</v>
      </c>
      <c r="K4" s="169">
        <f>_xll.qlDayCounterYearFraction(DayCounter,SettlementDate,D4,,,Trigger)</f>
        <v>0</v>
      </c>
      <c r="L4" s="169">
        <f>_xll.qlDayCounterYearFraction(DayCounter,SettlementDate,E4,,,Trigger)</f>
        <v>0.51111111111111107</v>
      </c>
      <c r="M4" s="169">
        <f>L4-K4</f>
        <v>0.51111111111111107</v>
      </c>
      <c r="N4" s="169">
        <f>(L4^2-K4^2)/2</f>
        <v>0.13061728395061725</v>
      </c>
      <c r="O4" s="169">
        <f>(L4^3-K4^3)/3</f>
        <v>4.450663008687699E-2</v>
      </c>
      <c r="P4" s="170" t="b">
        <f>IF(D12="fixing",FALSE,TRUE)</f>
        <v>1</v>
      </c>
      <c r="R4" s="430"/>
      <c r="S4" s="141">
        <v>7.1743248456790129E-2</v>
      </c>
      <c r="T4" s="147">
        <v>0.17579861111111111</v>
      </c>
      <c r="U4" s="142">
        <v>0.5083333333333333</v>
      </c>
      <c r="V4" s="150" t="s">
        <v>37</v>
      </c>
      <c r="W4" s="143">
        <v>3.8264141602609159E-4</v>
      </c>
      <c r="X4" s="150" t="s">
        <v>38</v>
      </c>
      <c r="Y4" s="216">
        <v>9.4852024274770476E-4</v>
      </c>
      <c r="AA4" s="141">
        <v>-95.808729967870519</v>
      </c>
      <c r="AB4" s="147">
        <v>181.33586140530701</v>
      </c>
      <c r="AC4" s="142">
        <v>-84.541610451538062</v>
      </c>
      <c r="AF4" s="183">
        <f>_xll.qlCalendarAdvance(Calendar,AF3,"1d","mf",,Trigger)</f>
        <v>42138</v>
      </c>
      <c r="AG4" s="169">
        <f>_xll.qlDayCounterYearFraction(DayCounter,SettlementDate,AF4,,,Trigger)</f>
        <v>2.7777777777777779E-3</v>
      </c>
      <c r="AH4" s="181">
        <f t="shared" si="0"/>
        <v>1.8410836168803243E-3</v>
      </c>
      <c r="AI4" s="181">
        <f t="shared" si="1"/>
        <v>1.7714816529447591E-3</v>
      </c>
      <c r="AJ4" s="181">
        <f t="shared" si="2"/>
        <v>1.7599623111635549E-3</v>
      </c>
    </row>
    <row r="5" spans="1:36" ht="12" customHeight="1" x14ac:dyDescent="0.2">
      <c r="A5" s="131">
        <v>1</v>
      </c>
      <c r="B5" s="215">
        <f t="shared" ref="B5:B7" si="4">A5+SUBSTITUTE($D$9,"M","")</f>
        <v>7</v>
      </c>
      <c r="C5" s="166" t="str">
        <f>"Delta("&amp;A5&amp;"M,"&amp;B5&amp;"M)"</f>
        <v>Delta(1M,7M)</v>
      </c>
      <c r="D5" s="167">
        <f>_xll.qlCalendarAdvance(Calendar,SettlementDate,A5&amp;"M","mf")</f>
        <v>42170</v>
      </c>
      <c r="E5" s="167">
        <f>_xll.qlInterestRateIndexMaturity($D$10,D5)</f>
        <v>42353</v>
      </c>
      <c r="F5" s="199">
        <f>_xll.qlYieldTSDiscount(Discounting,D5,,AllTriggers)</f>
        <v>1.0000926469800662</v>
      </c>
      <c r="G5" s="199">
        <f>_xll.qlYieldTSDiscount(Discounting,E5,,AllTriggers)</f>
        <v>1.0007212241575918</v>
      </c>
      <c r="H5" s="200">
        <f>_xll.qlDayCounterYearFraction(DayCounter,D5,E5,,,Trigger)</f>
        <v>0.5083333333333333</v>
      </c>
      <c r="I5" s="201">
        <f t="shared" si="3"/>
        <v>-1.2356540836878449E-3</v>
      </c>
      <c r="J5" s="168">
        <f>LN((1+(_xll.qlInterpolationInterpolate(B6Minterpolation,D5,TRUE,AllTriggers)+I5)*H5)/(1+I5*H5))</f>
        <v>9.4852024274770476E-4</v>
      </c>
      <c r="K5" s="169">
        <f>_xll.qlDayCounterYearFraction(DayCounter,SettlementDate,D5,,,Trigger)</f>
        <v>9.166666666666666E-2</v>
      </c>
      <c r="L5" s="169">
        <f>_xll.qlDayCounterYearFraction(DayCounter,SettlementDate,E5,,,Trigger)</f>
        <v>0.6</v>
      </c>
      <c r="M5" s="169">
        <f>L5-K5</f>
        <v>0.5083333333333333</v>
      </c>
      <c r="N5" s="169">
        <f>(L5^2-K5^2)/2</f>
        <v>0.17579861111111111</v>
      </c>
      <c r="O5" s="169">
        <f>(L5^3-K5^3)/3</f>
        <v>7.1743248456790129E-2</v>
      </c>
      <c r="P5" s="170" t="b">
        <v>1</v>
      </c>
      <c r="R5" s="430"/>
      <c r="S5" s="141">
        <v>0.10344610196616372</v>
      </c>
      <c r="T5" s="147">
        <v>0.21722222222222223</v>
      </c>
      <c r="U5" s="142">
        <v>0.51111111111111107</v>
      </c>
      <c r="V5" s="131"/>
      <c r="W5" s="143">
        <v>1.7589008009609199E-3</v>
      </c>
      <c r="X5" s="150"/>
      <c r="Y5" s="216">
        <v>9.6357571220527451E-4</v>
      </c>
      <c r="AA5" s="141">
        <v>15.659509451901085</v>
      </c>
      <c r="AB5" s="147">
        <v>-23.13916864886162</v>
      </c>
      <c r="AC5" s="142">
        <v>9.3104245847384615</v>
      </c>
      <c r="AF5" s="183">
        <f>_xll.qlCalendarAdvance(Calendar,AF4,"1d","mf",,Trigger)</f>
        <v>42139</v>
      </c>
      <c r="AG5" s="169">
        <f>_xll.qlDayCounterYearFraction(DayCounter,SettlementDate,AF5,,,Trigger)</f>
        <v>5.5555555555555558E-3</v>
      </c>
      <c r="AH5" s="181">
        <f t="shared" si="0"/>
        <v>1.8410836168803243E-3</v>
      </c>
      <c r="AI5" s="181">
        <f t="shared" si="1"/>
        <v>1.7722465096913038E-3</v>
      </c>
      <c r="AJ5" s="181">
        <f t="shared" si="2"/>
        <v>1.7610210561268709E-3</v>
      </c>
    </row>
    <row r="6" spans="1:36" ht="12" customHeight="1" x14ac:dyDescent="0.2">
      <c r="A6" s="131">
        <v>2</v>
      </c>
      <c r="B6" s="215">
        <f t="shared" si="4"/>
        <v>8</v>
      </c>
      <c r="C6" s="166" t="str">
        <f>"Delta("&amp;A6&amp;"M,"&amp;B6&amp;"M)"</f>
        <v>Delta(2M,8M)</v>
      </c>
      <c r="D6" s="167">
        <f>_xll.qlCalendarAdvance(Calendar,SettlementDate,A6&amp;"M","mf")</f>
        <v>42198</v>
      </c>
      <c r="E6" s="167">
        <f>_xll.qlInterestRateIndexMaturity($D$10,D6)</f>
        <v>42382</v>
      </c>
      <c r="F6" s="199">
        <f>_xll.qlYieldTSDiscount(Discounting,D6,,AllTriggers)</f>
        <v>1.0001801147915161</v>
      </c>
      <c r="G6" s="199">
        <f>_xll.qlYieldTSDiscount(Discounting,E6,,AllTriggers)</f>
        <v>1.0008169501852315</v>
      </c>
      <c r="H6" s="200">
        <f>_xll.qlDayCounterYearFraction(DayCounter,D6,E6,,,Trigger)</f>
        <v>0.51111111111111107</v>
      </c>
      <c r="I6" s="201">
        <f t="shared" si="3"/>
        <v>-1.2449652174868584E-3</v>
      </c>
      <c r="J6" s="168">
        <f>LN((1+(_xll.qlInterpolationInterpolate(B6Minterpolation,D6,TRUE,AllTriggers)+I6)*H6)/(1+I6*H6))</f>
        <v>9.6357571220527451E-4</v>
      </c>
      <c r="K6" s="169">
        <f>_xll.qlDayCounterYearFraction(DayCounter,SettlementDate,D6,,,Trigger)</f>
        <v>0.16944444444444445</v>
      </c>
      <c r="L6" s="169">
        <f>_xll.qlDayCounterYearFraction(DayCounter,SettlementDate,E6,,,Trigger)</f>
        <v>0.68055555555555558</v>
      </c>
      <c r="M6" s="169">
        <f>L6-K6</f>
        <v>0.51111111111111107</v>
      </c>
      <c r="N6" s="169">
        <f>(L6^2-K6^2)/2</f>
        <v>0.21722222222222223</v>
      </c>
      <c r="O6" s="169">
        <f>(L6^3-K6^3)/3</f>
        <v>0.10344610196616372</v>
      </c>
      <c r="P6" s="170" t="b">
        <v>1</v>
      </c>
      <c r="W6" s="145"/>
      <c r="X6" s="138"/>
      <c r="Y6" s="139"/>
      <c r="AF6" s="183">
        <f>_xll.qlCalendarAdvance(Calendar,AF5,"1d","mf",,Trigger)</f>
        <v>42142</v>
      </c>
      <c r="AG6" s="169">
        <f>_xll.qlDayCounterYearFraction(DayCounter,SettlementDate,AF6,,,Trigger)</f>
        <v>1.3888888888888888E-2</v>
      </c>
      <c r="AH6" s="181">
        <f t="shared" si="0"/>
        <v>1.8410836168803243E-3</v>
      </c>
      <c r="AI6" s="181">
        <f t="shared" si="1"/>
        <v>1.7745410799309377E-3</v>
      </c>
      <c r="AJ6" s="181">
        <f t="shared" si="2"/>
        <v>1.7641806995809036E-3</v>
      </c>
    </row>
    <row r="7" spans="1:36" ht="12" customHeight="1" x14ac:dyDescent="0.2">
      <c r="A7" s="131">
        <v>3</v>
      </c>
      <c r="B7" s="215">
        <f t="shared" si="4"/>
        <v>9</v>
      </c>
      <c r="C7" s="171" t="str">
        <f>"Delta("&amp;A7&amp;"M,"&amp;B7&amp;"M)"</f>
        <v>Delta(3M,9M)</v>
      </c>
      <c r="D7" s="172">
        <f>_xll.qlCalendarAdvance(Calendar,SettlementDate,A7&amp;"M","mf")</f>
        <v>42229</v>
      </c>
      <c r="E7" s="172">
        <f>_xll.qlInterestRateIndexMaturity($D$10,D7)</f>
        <v>42415</v>
      </c>
      <c r="F7" s="202">
        <f>_xll.qlYieldTSDiscount(Discounting,D7,,AllTriggers)</f>
        <v>1.0002842488977353</v>
      </c>
      <c r="G7" s="202">
        <f>_xll.qlYieldTSDiscount(Discounting,E7,,AllTriggers)</f>
        <v>1.0009482218378487</v>
      </c>
      <c r="H7" s="203">
        <f>_xll.qlDayCounterYearFraction(DayCounter,D7,E7,,,Trigger)</f>
        <v>0.51666666666666672</v>
      </c>
      <c r="I7" s="204">
        <f t="shared" si="3"/>
        <v>-1.2838915023886371E-3</v>
      </c>
      <c r="J7" s="173">
        <f>LN((1+(_xll.qlInterpolationInterpolate(B6Minterpolation,D7,TRUE,AllTriggers)+I7)*H7)/(1+I7*H7))</f>
        <v>9.941760613316798E-4</v>
      </c>
      <c r="K7" s="174">
        <f>_xll.qlDayCounterYearFraction(DayCounter,SettlementDate,D7,,,Trigger)</f>
        <v>0.25555555555555554</v>
      </c>
      <c r="L7" s="174">
        <f>_xll.qlDayCounterYearFraction(DayCounter,SettlementDate,E7,,,Trigger)</f>
        <v>0.77222222222222225</v>
      </c>
      <c r="M7" s="174">
        <f>L7-K7</f>
        <v>0.51666666666666672</v>
      </c>
      <c r="N7" s="174">
        <f>(L7^2-K7^2)/2</f>
        <v>0.26550925925925928</v>
      </c>
      <c r="O7" s="174">
        <f>(L7^3-K7^3)/3</f>
        <v>0.14793569958847738</v>
      </c>
      <c r="P7" s="175" t="b">
        <v>0</v>
      </c>
      <c r="W7" s="145"/>
      <c r="X7" s="138"/>
      <c r="Y7" s="139"/>
      <c r="AF7" s="183">
        <f>_xll.qlCalendarAdvance(Calendar,AF6,"1d","mf",,Trigger)</f>
        <v>42143</v>
      </c>
      <c r="AG7" s="169">
        <f>_xll.qlDayCounterYearFraction(DayCounter,SettlementDate,AF7,,,Trigger)</f>
        <v>1.6666666666666666E-2</v>
      </c>
      <c r="AH7" s="181">
        <f t="shared" si="0"/>
        <v>1.8410836168803243E-3</v>
      </c>
      <c r="AI7" s="181">
        <f t="shared" si="1"/>
        <v>1.7753059366774823E-3</v>
      </c>
      <c r="AJ7" s="181">
        <f t="shared" si="2"/>
        <v>1.7652283835869428E-3</v>
      </c>
    </row>
    <row r="8" spans="1:36" ht="12" customHeight="1" x14ac:dyDescent="0.2">
      <c r="B8" s="132"/>
      <c r="C8" s="132"/>
      <c r="D8" s="133"/>
      <c r="E8" s="133"/>
      <c r="F8" s="133"/>
      <c r="G8" s="133"/>
      <c r="H8" s="133"/>
      <c r="I8" s="133"/>
      <c r="J8" s="134"/>
      <c r="K8" s="135"/>
      <c r="L8" s="135"/>
      <c r="M8" s="135"/>
      <c r="N8" s="135"/>
      <c r="O8" s="135"/>
      <c r="P8" s="136"/>
      <c r="W8" s="137" t="s">
        <v>112</v>
      </c>
      <c r="X8" s="138"/>
      <c r="Y8" s="139"/>
      <c r="AF8" s="183">
        <f>_xll.qlCalendarAdvance(Calendar,AF7,"1d","mf",,Trigger)</f>
        <v>42144</v>
      </c>
      <c r="AG8" s="169">
        <f>_xll.qlDayCounterYearFraction(DayCounter,SettlementDate,AF8,,,Trigger)</f>
        <v>1.9444444444444445E-2</v>
      </c>
      <c r="AH8" s="181">
        <f t="shared" si="0"/>
        <v>1.8410836168803243E-3</v>
      </c>
      <c r="AI8" s="181">
        <f t="shared" si="1"/>
        <v>1.776070793424027E-3</v>
      </c>
      <c r="AJ8" s="181">
        <f t="shared" si="2"/>
        <v>1.7662733023536628E-3</v>
      </c>
    </row>
    <row r="9" spans="1:36" ht="12" customHeight="1" x14ac:dyDescent="0.2">
      <c r="C9" s="156" t="s">
        <v>159</v>
      </c>
      <c r="D9" s="191" t="s">
        <v>42</v>
      </c>
      <c r="R9" s="429" t="s">
        <v>108</v>
      </c>
      <c r="S9" s="140"/>
      <c r="T9" s="141">
        <f t="array" ref="T9:T10">_xll.ohFilter(N3:N7,P3:P7)</f>
        <v>0.13061728395061725</v>
      </c>
      <c r="U9" s="142">
        <f t="array" ref="U9:U10">_xll.ohFilter(M3:M7,P3:P7)</f>
        <v>0.51111111111111107</v>
      </c>
      <c r="V9" s="431" t="s">
        <v>37</v>
      </c>
      <c r="W9" s="143">
        <f t="array" ref="W9:W10">MMULT(AA9:AB10,Y9:Y10)</f>
        <v>2.7534842875607743E-4</v>
      </c>
      <c r="X9" s="431" t="s">
        <v>38</v>
      </c>
      <c r="Y9" s="216">
        <f t="array" ref="Y9:Y10">_xll.ohFilter(J3:J7,P3:P7)</f>
        <v>9.4099829307216557E-4</v>
      </c>
      <c r="AA9" s="141">
        <f t="array" ref="AA9:AB10">MINVERSE(T9:U10)</f>
        <v>-21.672240802675571</v>
      </c>
      <c r="AB9" s="142">
        <v>21.790668348045379</v>
      </c>
      <c r="AF9" s="183">
        <f>_xll.qlCalendarAdvance(Calendar,AF8,"1d","mf",,Trigger)</f>
        <v>42145</v>
      </c>
      <c r="AG9" s="169">
        <f>_xll.qlDayCounterYearFraction(DayCounter,SettlementDate,AF9,,,Trigger)</f>
        <v>2.2222222222222223E-2</v>
      </c>
      <c r="AH9" s="181">
        <f t="shared" si="0"/>
        <v>1.8410836168803243E-3</v>
      </c>
      <c r="AI9" s="181">
        <f t="shared" si="1"/>
        <v>1.7768356501705717E-3</v>
      </c>
      <c r="AJ9" s="181">
        <f t="shared" si="2"/>
        <v>1.7673154558810636E-3</v>
      </c>
    </row>
    <row r="10" spans="1:36" ht="12" customHeight="1" x14ac:dyDescent="0.2">
      <c r="C10" s="156" t="s">
        <v>121</v>
      </c>
      <c r="D10" s="191" t="str">
        <f>PROPER(Currency)&amp;IborType&amp;$D$9</f>
        <v>Euribor6M</v>
      </c>
      <c r="R10" s="429"/>
      <c r="S10" s="140"/>
      <c r="T10" s="141">
        <v>0.17579861111111111</v>
      </c>
      <c r="U10" s="142">
        <v>0.5083333333333333</v>
      </c>
      <c r="V10" s="431"/>
      <c r="W10" s="143">
        <v>1.7707167961982144E-3</v>
      </c>
      <c r="X10" s="431"/>
      <c r="Y10" s="216">
        <v>9.4852024274770476E-4</v>
      </c>
      <c r="AA10" s="141">
        <v>7.4949832775919685</v>
      </c>
      <c r="AB10" s="142">
        <v>-5.568726355611596</v>
      </c>
      <c r="AF10" s="183">
        <f>_xll.qlCalendarAdvance(Calendar,AF9,"1d","mf",,Trigger)</f>
        <v>42146</v>
      </c>
      <c r="AG10" s="169">
        <f>_xll.qlDayCounterYearFraction(DayCounter,SettlementDate,AF10,,,Trigger)</f>
        <v>2.5000000000000001E-2</v>
      </c>
      <c r="AH10" s="181">
        <f t="shared" si="0"/>
        <v>1.8410836168803243E-3</v>
      </c>
      <c r="AI10" s="181">
        <f t="shared" si="1"/>
        <v>1.7776005069171164E-3</v>
      </c>
      <c r="AJ10" s="181">
        <f t="shared" si="2"/>
        <v>1.7683548441691454E-3</v>
      </c>
    </row>
    <row r="11" spans="1:36" ht="12" customHeight="1" x14ac:dyDescent="0.2">
      <c r="C11" s="156" t="s">
        <v>150</v>
      </c>
      <c r="D11" s="192" t="s">
        <v>100</v>
      </c>
      <c r="W11" s="145"/>
      <c r="X11" s="138"/>
      <c r="Y11" s="139"/>
      <c r="AF11" s="183">
        <f>_xll.qlCalendarAdvance(Calendar,AF10,"1d","mf",,Trigger)</f>
        <v>42149</v>
      </c>
      <c r="AG11" s="169">
        <f>_xll.qlDayCounterYearFraction(DayCounter,SettlementDate,AF11,,,Trigger)</f>
        <v>3.3333333333333333E-2</v>
      </c>
      <c r="AH11" s="181">
        <f t="shared" si="0"/>
        <v>1.8410836168803243E-3</v>
      </c>
      <c r="AI11" s="181">
        <f t="shared" si="1"/>
        <v>1.7798950771567503E-3</v>
      </c>
      <c r="AJ11" s="181">
        <f t="shared" si="2"/>
        <v>1.7714564175974751E-3</v>
      </c>
    </row>
    <row r="12" spans="1:36" ht="12" customHeight="1" x14ac:dyDescent="0.2">
      <c r="C12" s="156" t="s">
        <v>149</v>
      </c>
      <c r="D12" s="191" t="s">
        <v>154</v>
      </c>
      <c r="Q12" s="154"/>
      <c r="W12" s="146" t="s">
        <v>35</v>
      </c>
      <c r="X12" s="138"/>
      <c r="Y12" s="139"/>
      <c r="AF12" s="183">
        <f>_xll.qlCalendarAdvance(Calendar,AF11,"1d","mf",,Trigger)</f>
        <v>42150</v>
      </c>
      <c r="AG12" s="169">
        <f>_xll.qlDayCounterYearFraction(DayCounter,SettlementDate,AF12,,,Trigger)</f>
        <v>3.6111111111111108E-2</v>
      </c>
      <c r="AH12" s="181">
        <f t="shared" si="0"/>
        <v>1.8410836168803243E-3</v>
      </c>
      <c r="AI12" s="181">
        <f t="shared" si="1"/>
        <v>1.7806599339032949E-3</v>
      </c>
      <c r="AJ12" s="181">
        <f t="shared" si="2"/>
        <v>1.7724847449282803E-3</v>
      </c>
    </row>
    <row r="13" spans="1:36" ht="12" customHeight="1" x14ac:dyDescent="0.2">
      <c r="N13" s="212" t="str">
        <f>"Synthetic Deposits "&amp;D9</f>
        <v>Synthetic Deposits 6M</v>
      </c>
      <c r="O13" s="213"/>
      <c r="P13" s="214"/>
      <c r="Q13" s="154"/>
      <c r="R13" s="151" t="s">
        <v>109</v>
      </c>
      <c r="U13" s="152">
        <f t="array" ref="U13">_xll.ohFilter(M3:M7,P3:P7)</f>
        <v>0.51111111111111107</v>
      </c>
      <c r="V13" s="151" t="s">
        <v>37</v>
      </c>
      <c r="W13" s="143">
        <f>MMULT(AA13,Y13)</f>
        <v>1.8410836168803243E-3</v>
      </c>
      <c r="X13" s="151" t="s">
        <v>38</v>
      </c>
      <c r="Y13" s="216">
        <f t="array" ref="Y13">_xll.ohFilter(J3:J7,P3:P7)</f>
        <v>9.4099829307216557E-4</v>
      </c>
      <c r="AA13" s="152">
        <f>MINVERSE(U13)</f>
        <v>1.956521739130435</v>
      </c>
      <c r="AF13" s="183">
        <f>_xll.qlCalendarAdvance(Calendar,AF12,"1d","mf",,Trigger)</f>
        <v>42151</v>
      </c>
      <c r="AG13" s="169">
        <f>_xll.qlDayCounterYearFraction(DayCounter,SettlementDate,AF13,,,Trigger)</f>
        <v>3.888888888888889E-2</v>
      </c>
      <c r="AH13" s="181">
        <f t="shared" si="0"/>
        <v>1.8410836168803243E-3</v>
      </c>
      <c r="AI13" s="181">
        <f t="shared" si="1"/>
        <v>1.7814247906498396E-3</v>
      </c>
      <c r="AJ13" s="181">
        <f t="shared" si="2"/>
        <v>1.7735103070197658E-3</v>
      </c>
    </row>
    <row r="14" spans="1:36" ht="12" customHeight="1" x14ac:dyDescent="0.2">
      <c r="C14" s="156" t="s">
        <v>116</v>
      </c>
      <c r="D14" s="156" t="s">
        <v>91</v>
      </c>
      <c r="E14" s="156" t="s">
        <v>92</v>
      </c>
      <c r="F14" s="195"/>
      <c r="G14" s="195"/>
      <c r="H14" s="195"/>
      <c r="I14" s="195"/>
      <c r="J14" s="157" t="s">
        <v>143</v>
      </c>
      <c r="K14" s="157" t="s">
        <v>144</v>
      </c>
      <c r="L14" s="157" t="s">
        <v>145</v>
      </c>
      <c r="M14" s="157" t="s">
        <v>146</v>
      </c>
      <c r="N14" s="159" t="s">
        <v>109</v>
      </c>
      <c r="O14" s="159" t="s">
        <v>108</v>
      </c>
      <c r="P14" s="159" t="s">
        <v>135</v>
      </c>
      <c r="Q14" s="154"/>
      <c r="AF14" s="183">
        <f>_xll.qlCalendarAdvance(Calendar,AF13,"1d","mf",,Trigger)</f>
        <v>42152</v>
      </c>
      <c r="AG14" s="169">
        <f>_xll.qlDayCounterYearFraction(DayCounter,SettlementDate,AF14,,,Trigger)</f>
        <v>4.1666666666666664E-2</v>
      </c>
      <c r="AH14" s="181">
        <f t="shared" si="0"/>
        <v>1.8410836168803243E-3</v>
      </c>
      <c r="AI14" s="181">
        <f t="shared" si="1"/>
        <v>1.7821896473963843E-3</v>
      </c>
      <c r="AJ14" s="181">
        <f t="shared" si="2"/>
        <v>1.7745331038719323E-3</v>
      </c>
    </row>
    <row r="15" spans="1:36" ht="12" customHeight="1" x14ac:dyDescent="0.2">
      <c r="C15" s="176" t="s">
        <v>43</v>
      </c>
      <c r="D15" s="177">
        <f t="shared" ref="D15:D24" si="5">SettlementDate</f>
        <v>42137</v>
      </c>
      <c r="E15" s="178">
        <f>_xll.qlCalendarAdvance(Calendar,SettlementDate,C15,"Following",,Trigger)</f>
        <v>42138</v>
      </c>
      <c r="F15" s="205"/>
      <c r="G15" s="205"/>
      <c r="H15" s="205"/>
      <c r="I15" s="205"/>
      <c r="J15" s="179">
        <f>_xll.qlDayCounterYearFraction(DayCounter,D15,E15,,,Trigger)</f>
        <v>2.7777777777777779E-3</v>
      </c>
      <c r="K15" s="206">
        <f>_xll.qlYieldTSDiscount(Discounting,D15,,AllTriggers)</f>
        <v>1.0000055555787037</v>
      </c>
      <c r="L15" s="206">
        <f>_xll.qlYieldTSDiscount(Discounting,E15,,AllTriggers)</f>
        <v>1.0000083109335718</v>
      </c>
      <c r="M15" s="217">
        <f>(K15/L15-1)/J15</f>
        <v>-9.9191950873045442E-4</v>
      </c>
      <c r="N15" s="181">
        <f t="shared" ref="N15:N24" si="6">((1+M15*J15)*EXP($W$13*J15)-1)/J15</f>
        <v>8.4916374316179599E-4</v>
      </c>
      <c r="O15" s="181">
        <f>((1+J15*M15)*EXP($W$10*J15+0.5*$W$9*J15^2)-1)/J15</f>
        <v>7.7917919252712409E-4</v>
      </c>
      <c r="P15" s="181">
        <f>((1+J15*M15)*EXP($W$5*J15+0.5*$W$4*J15^2+1/3*$W$3*J15^3)-1)/J15</f>
        <v>7.6751172937150614E-4</v>
      </c>
      <c r="Q15" s="154"/>
      <c r="AF15" s="183">
        <f>_xll.qlCalendarAdvance(Calendar,AF14,"1d","mf",,Trigger)</f>
        <v>42153</v>
      </c>
      <c r="AG15" s="169">
        <f>_xll.qlDayCounterYearFraction(DayCounter,SettlementDate,AF15,,,Trigger)</f>
        <v>4.4444444444444446E-2</v>
      </c>
      <c r="AH15" s="181">
        <f t="shared" si="0"/>
        <v>1.8410836168803243E-3</v>
      </c>
      <c r="AI15" s="181">
        <f t="shared" si="1"/>
        <v>1.782954504142929E-3</v>
      </c>
      <c r="AJ15" s="181">
        <f t="shared" si="2"/>
        <v>1.7755531354847799E-3</v>
      </c>
    </row>
    <row r="16" spans="1:36" ht="12" customHeight="1" x14ac:dyDescent="0.2">
      <c r="C16" s="182" t="s">
        <v>44</v>
      </c>
      <c r="D16" s="167">
        <f>SettlementDate</f>
        <v>42137</v>
      </c>
      <c r="E16" s="183">
        <f>_xll.qlCalendarAdvance(Calendar,SettlementDate,C16,"Following",,Trigger)</f>
        <v>42144</v>
      </c>
      <c r="F16" s="205"/>
      <c r="G16" s="205"/>
      <c r="H16" s="205"/>
      <c r="I16" s="205"/>
      <c r="J16" s="169">
        <f>_xll.qlDayCounterYearFraction(DayCounter,D16,E16,,,Trigger)</f>
        <v>1.9444444444444445E-2</v>
      </c>
      <c r="K16" s="208">
        <f>_xll.qlYieldTSDiscount(Discounting,D16,,AllTriggers)</f>
        <v>1.0000055555787037</v>
      </c>
      <c r="L16" s="208">
        <f>_xll.qlYieldTSDiscount(Discounting,E16,,AllTriggers)</f>
        <v>1.000024611603247</v>
      </c>
      <c r="M16" s="218">
        <f t="shared" ref="M16:M24" si="7">(K16/L16-1)/J16</f>
        <v>-9.7999999999614259E-4</v>
      </c>
      <c r="N16" s="181">
        <f t="shared" si="6"/>
        <v>8.6108148811270269E-4</v>
      </c>
      <c r="O16" s="181">
        <f t="shared" ref="O16:O24" si="8">((1+J16*M16)*EXP($W$10*J16+0.5*$W$9*J16^2)-1)/J16</f>
        <v>7.9339057724757216E-4</v>
      </c>
      <c r="P16" s="181">
        <f t="shared" ref="P16:P24" si="9">((1+J16*M16)*EXP($W$5*J16+0.5*$W$4*J16^2+1/3*$W$3*J16^3)-1)/J16</f>
        <v>7.8259496008164272E-4</v>
      </c>
      <c r="Q16" s="154"/>
      <c r="AF16" s="183">
        <f>_xll.qlCalendarAdvance(Calendar,AF15,"1d","mf",,Trigger)</f>
        <v>42156</v>
      </c>
      <c r="AG16" s="169">
        <f>_xll.qlDayCounterYearFraction(DayCounter,SettlementDate,AF16,,,Trigger)</f>
        <v>5.2777777777777778E-2</v>
      </c>
      <c r="AH16" s="181">
        <f t="shared" si="0"/>
        <v>1.8410836168803243E-3</v>
      </c>
      <c r="AI16" s="181">
        <f t="shared" si="1"/>
        <v>1.7852490743825629E-3</v>
      </c>
      <c r="AJ16" s="181">
        <f t="shared" si="2"/>
        <v>1.7785966388874069E-3</v>
      </c>
    </row>
    <row r="17" spans="3:36" ht="12" customHeight="1" x14ac:dyDescent="0.2">
      <c r="C17" s="182" t="s">
        <v>45</v>
      </c>
      <c r="D17" s="167">
        <f t="shared" si="5"/>
        <v>42137</v>
      </c>
      <c r="E17" s="183">
        <f>_xll.qlCalendarAdvance(Calendar,SettlementDate,C17,"Following",,Trigger)</f>
        <v>42151</v>
      </c>
      <c r="F17" s="205"/>
      <c r="G17" s="205"/>
      <c r="H17" s="205"/>
      <c r="I17" s="205"/>
      <c r="J17" s="169">
        <f>_xll.qlDayCounterYearFraction(DayCounter,D17,E17,,,Trigger)</f>
        <v>3.888888888888889E-2</v>
      </c>
      <c r="K17" s="208">
        <f>_xll.qlYieldTSDiscount(Discounting,D17,,AllTriggers)</f>
        <v>1.0000055555787037</v>
      </c>
      <c r="L17" s="208">
        <f>_xll.qlYieldTSDiscount(Discounting,E17,,AllTriggers)</f>
        <v>1.0000440572749105</v>
      </c>
      <c r="M17" s="218">
        <f t="shared" si="7"/>
        <v>-9.9000000004416974E-4</v>
      </c>
      <c r="N17" s="181">
        <f t="shared" si="6"/>
        <v>8.5107864282348998E-4</v>
      </c>
      <c r="O17" s="181">
        <f t="shared" si="8"/>
        <v>7.8606374979425396E-4</v>
      </c>
      <c r="P17" s="181">
        <f t="shared" si="9"/>
        <v>7.7624337762165804E-4</v>
      </c>
      <c r="Q17" s="154"/>
      <c r="AF17" s="183">
        <f>_xll.qlCalendarAdvance(Calendar,AF16,"1d","mf",,Trigger)</f>
        <v>42157</v>
      </c>
      <c r="AG17" s="169">
        <f>_xll.qlDayCounterYearFraction(DayCounter,SettlementDate,AF17,,,Trigger)</f>
        <v>5.5555555555555552E-2</v>
      </c>
      <c r="AH17" s="181">
        <f t="shared" si="0"/>
        <v>1.8410836168803243E-3</v>
      </c>
      <c r="AI17" s="181">
        <f t="shared" si="1"/>
        <v>1.7860139311291076E-3</v>
      </c>
      <c r="AJ17" s="181">
        <f t="shared" si="2"/>
        <v>1.7796056095429776E-3</v>
      </c>
    </row>
    <row r="18" spans="3:36" ht="12" customHeight="1" x14ac:dyDescent="0.2">
      <c r="C18" s="182" t="s">
        <v>46</v>
      </c>
      <c r="D18" s="167">
        <f t="shared" si="5"/>
        <v>42137</v>
      </c>
      <c r="E18" s="183">
        <f>_xll.qlCalendarAdvance(Calendar,SettlementDate,C18,"Following",,Trigger)</f>
        <v>42158</v>
      </c>
      <c r="F18" s="205"/>
      <c r="G18" s="205"/>
      <c r="H18" s="205"/>
      <c r="I18" s="205"/>
      <c r="J18" s="169">
        <f>_xll.qlDayCounterYearFraction(DayCounter,D18,E18,,,Trigger)</f>
        <v>5.8333333333333334E-2</v>
      </c>
      <c r="K18" s="208">
        <f>_xll.qlYieldTSDiscount(Discounting,D18,,AllTriggers)</f>
        <v>1.0000055555787037</v>
      </c>
      <c r="L18" s="208">
        <f>_xll.qlYieldTSDiscount(Discounting,E18,,AllTriggers)</f>
        <v>1.0000586420249531</v>
      </c>
      <c r="M18" s="218">
        <f t="shared" si="7"/>
        <v>-9.1000000003203601E-4</v>
      </c>
      <c r="N18" s="181">
        <f t="shared" si="6"/>
        <v>9.3108474729066055E-4</v>
      </c>
      <c r="O18" s="181">
        <f t="shared" si="8"/>
        <v>8.6874565013011259E-4</v>
      </c>
      <c r="P18" s="181">
        <f t="shared" si="9"/>
        <v>8.598553403883967E-4</v>
      </c>
      <c r="Q18" s="154"/>
      <c r="AF18" s="183">
        <f>_xll.qlCalendarAdvance(Calendar,AF17,"1d","mf",,Trigger)</f>
        <v>42158</v>
      </c>
      <c r="AG18" s="169">
        <f>_xll.qlDayCounterYearFraction(DayCounter,SettlementDate,AF18,,,Trigger)</f>
        <v>5.8333333333333334E-2</v>
      </c>
      <c r="AH18" s="181">
        <f t="shared" si="0"/>
        <v>1.8410836168803243E-3</v>
      </c>
      <c r="AI18" s="181">
        <f t="shared" si="1"/>
        <v>1.7867787878756522E-3</v>
      </c>
      <c r="AJ18" s="181">
        <f t="shared" si="2"/>
        <v>1.7806118149592291E-3</v>
      </c>
    </row>
    <row r="19" spans="3:36" ht="12" customHeight="1" x14ac:dyDescent="0.2">
      <c r="C19" s="182" t="s">
        <v>40</v>
      </c>
      <c r="D19" s="167">
        <f t="shared" si="5"/>
        <v>42137</v>
      </c>
      <c r="E19" s="183">
        <f>_xll.qlCalendarAdvance(Calendar,SettlementDate,C19,"mf",TRUE,Trigger)</f>
        <v>42170</v>
      </c>
      <c r="F19" s="205"/>
      <c r="G19" s="205"/>
      <c r="H19" s="205"/>
      <c r="I19" s="205"/>
      <c r="J19" s="169">
        <f>_xll.qlDayCounterYearFraction(DayCounter,D19,E19,,,Trigger)</f>
        <v>9.166666666666666E-2</v>
      </c>
      <c r="K19" s="208">
        <f>_xll.qlYieldTSDiscount(Discounting,D19,,AllTriggers)</f>
        <v>1.0000055555787037</v>
      </c>
      <c r="L19" s="208">
        <f>_xll.qlYieldTSDiscount(Discounting,E19,,AllTriggers)</f>
        <v>1.0000926469800662</v>
      </c>
      <c r="M19" s="218">
        <f t="shared" si="7"/>
        <v>-9.5000000023210361E-4</v>
      </c>
      <c r="N19" s="181">
        <f t="shared" si="6"/>
        <v>8.9107864031732413E-4</v>
      </c>
      <c r="O19" s="181">
        <f t="shared" si="8"/>
        <v>8.333273919277932E-4</v>
      </c>
      <c r="P19" s="181">
        <f t="shared" si="9"/>
        <v>8.2592653821852741E-4</v>
      </c>
      <c r="Q19" s="154"/>
      <c r="AF19" s="183">
        <f>_xll.qlCalendarAdvance(Calendar,AF18,"1d","mf",,Trigger)</f>
        <v>42159</v>
      </c>
      <c r="AG19" s="169">
        <f>_xll.qlDayCounterYearFraction(DayCounter,SettlementDate,AF19,,,Trigger)</f>
        <v>6.1111111111111109E-2</v>
      </c>
      <c r="AH19" s="181">
        <f t="shared" si="0"/>
        <v>1.8410836168803243E-3</v>
      </c>
      <c r="AI19" s="181">
        <f t="shared" si="1"/>
        <v>1.7875436446221969E-3</v>
      </c>
      <c r="AJ19" s="181">
        <f t="shared" si="2"/>
        <v>1.7816152551361612E-3</v>
      </c>
    </row>
    <row r="20" spans="3:36" ht="12" customHeight="1" x14ac:dyDescent="0.2">
      <c r="C20" s="182" t="s">
        <v>47</v>
      </c>
      <c r="D20" s="167">
        <f t="shared" si="5"/>
        <v>42137</v>
      </c>
      <c r="E20" s="183">
        <f>_xll.qlCalendarAdvance(Calendar,SettlementDate,C20,"mf",TRUE,Trigger)</f>
        <v>42198</v>
      </c>
      <c r="F20" s="205"/>
      <c r="G20" s="205"/>
      <c r="H20" s="205"/>
      <c r="I20" s="205"/>
      <c r="J20" s="169">
        <f>_xll.qlDayCounterYearFraction(DayCounter,D20,E20,,,Trigger)</f>
        <v>0.16944444444444445</v>
      </c>
      <c r="K20" s="208">
        <f>_xll.qlYieldTSDiscount(Discounting,D20,,AllTriggers)</f>
        <v>1.0000055555787037</v>
      </c>
      <c r="L20" s="208">
        <f>_xll.qlYieldTSDiscount(Discounting,E20,,AllTriggers)</f>
        <v>1.0001801147915161</v>
      </c>
      <c r="M20" s="218">
        <f t="shared" si="7"/>
        <v>-1.0300000000015715E-3</v>
      </c>
      <c r="N20" s="181">
        <f t="shared" si="6"/>
        <v>8.1104944988882551E-4</v>
      </c>
      <c r="O20" s="181">
        <f t="shared" si="8"/>
        <v>7.6400448303683935E-4</v>
      </c>
      <c r="P20" s="181">
        <f t="shared" si="9"/>
        <v>7.5956310563983422E-4</v>
      </c>
      <c r="Q20" s="154"/>
      <c r="AF20" s="183">
        <f>_xll.qlCalendarAdvance(Calendar,AF19,"1d","mf",,Trigger)</f>
        <v>42160</v>
      </c>
      <c r="AG20" s="169">
        <f>_xll.qlDayCounterYearFraction(DayCounter,SettlementDate,AF20,,,Trigger)</f>
        <v>6.3888888888888884E-2</v>
      </c>
      <c r="AH20" s="181">
        <f t="shared" si="0"/>
        <v>1.8410836168803243E-3</v>
      </c>
      <c r="AI20" s="181">
        <f t="shared" si="1"/>
        <v>1.7883085013687416E-3</v>
      </c>
      <c r="AJ20" s="181">
        <f t="shared" si="2"/>
        <v>1.7826159300737745E-3</v>
      </c>
    </row>
    <row r="21" spans="3:36" ht="12" customHeight="1" x14ac:dyDescent="0.2">
      <c r="C21" s="182" t="s">
        <v>41</v>
      </c>
      <c r="D21" s="167">
        <f t="shared" si="5"/>
        <v>42137</v>
      </c>
      <c r="E21" s="183">
        <f>_xll.qlCalendarAdvance(Calendar,SettlementDate,C21,"mf",TRUE,Trigger)</f>
        <v>42229</v>
      </c>
      <c r="F21" s="205"/>
      <c r="G21" s="205"/>
      <c r="H21" s="205"/>
      <c r="I21" s="205"/>
      <c r="J21" s="169">
        <f>_xll.qlDayCounterYearFraction(DayCounter,D21,E21,,,Trigger)</f>
        <v>0.25555555555555554</v>
      </c>
      <c r="K21" s="208">
        <f>_xll.qlYieldTSDiscount(Discounting,D21,,AllTriggers)</f>
        <v>1.0000055555787037</v>
      </c>
      <c r="L21" s="208">
        <f>_xll.qlYieldTSDiscount(Discounting,E21,,AllTriggers)</f>
        <v>1.0002842488977353</v>
      </c>
      <c r="M21" s="218">
        <f t="shared" si="7"/>
        <v>-1.0902291780291789E-3</v>
      </c>
      <c r="N21" s="181">
        <f t="shared" si="6"/>
        <v>7.5077454833299734E-4</v>
      </c>
      <c r="O21" s="181">
        <f t="shared" si="8"/>
        <v>7.1558454574284567E-4</v>
      </c>
      <c r="P21" s="181">
        <f t="shared" si="9"/>
        <v>7.1357701251797132E-4</v>
      </c>
      <c r="Q21" s="154"/>
      <c r="AF21" s="183">
        <f>_xll.qlCalendarAdvance(Calendar,AF20,"1d","mf",,Trigger)</f>
        <v>42163</v>
      </c>
      <c r="AG21" s="169">
        <f>_xll.qlDayCounterYearFraction(DayCounter,SettlementDate,AF21,,,Trigger)</f>
        <v>7.2222222222222215E-2</v>
      </c>
      <c r="AH21" s="181">
        <f t="shared" si="0"/>
        <v>1.8410836168803243E-3</v>
      </c>
      <c r="AI21" s="181">
        <f t="shared" si="1"/>
        <v>1.7906030716083757E-3</v>
      </c>
      <c r="AJ21" s="181">
        <f t="shared" si="2"/>
        <v>1.7856013634506987E-3</v>
      </c>
    </row>
    <row r="22" spans="3:36" ht="12" customHeight="1" x14ac:dyDescent="0.2">
      <c r="C22" s="182" t="s">
        <v>48</v>
      </c>
      <c r="D22" s="167">
        <f t="shared" si="5"/>
        <v>42137</v>
      </c>
      <c r="E22" s="183">
        <f>_xll.qlCalendarAdvance(Calendar,SettlementDate,C22,"mf",TRUE,Trigger)</f>
        <v>42261</v>
      </c>
      <c r="F22" s="205"/>
      <c r="G22" s="205"/>
      <c r="H22" s="205"/>
      <c r="I22" s="205"/>
      <c r="J22" s="169">
        <f>_xll.qlDayCounterYearFraction(DayCounter,D22,E22,,,Trigger)</f>
        <v>0.34444444444444444</v>
      </c>
      <c r="K22" s="208">
        <f>_xll.qlYieldTSDiscount(Discounting,D22,,AllTriggers)</f>
        <v>1.0000055555787037</v>
      </c>
      <c r="L22" s="208">
        <f>_xll.qlYieldTSDiscount(Discounting,E22,,AllTriggers)</f>
        <v>1.0003950357156131</v>
      </c>
      <c r="M22" s="218">
        <f t="shared" si="7"/>
        <v>-1.1303022748075607E-3</v>
      </c>
      <c r="N22" s="181">
        <f t="shared" si="6"/>
        <v>7.1064821835358438E-4</v>
      </c>
      <c r="O22" s="181">
        <f t="shared" si="8"/>
        <v>6.8769699003314792E-4</v>
      </c>
      <c r="P22" s="181">
        <f t="shared" si="9"/>
        <v>6.8727274442611618E-4</v>
      </c>
      <c r="Q22" s="154"/>
      <c r="AF22" s="183">
        <f>_xll.qlCalendarAdvance(Calendar,AF21,"1d","mf",,Trigger)</f>
        <v>42164</v>
      </c>
      <c r="AG22" s="169">
        <f>_xll.qlDayCounterYearFraction(DayCounter,SettlementDate,AF22,,,Trigger)</f>
        <v>7.4999999999999997E-2</v>
      </c>
      <c r="AH22" s="181">
        <f t="shared" si="0"/>
        <v>1.8410836168803243E-3</v>
      </c>
      <c r="AI22" s="181">
        <f t="shared" si="1"/>
        <v>1.7913679283549202E-3</v>
      </c>
      <c r="AJ22" s="181">
        <f t="shared" si="2"/>
        <v>1.7865909774310352E-3</v>
      </c>
    </row>
    <row r="23" spans="3:36" ht="12" customHeight="1" x14ac:dyDescent="0.2">
      <c r="C23" s="182" t="s">
        <v>49</v>
      </c>
      <c r="D23" s="167">
        <f t="shared" si="5"/>
        <v>42137</v>
      </c>
      <c r="E23" s="183">
        <f>_xll.qlCalendarAdvance(Calendar,SettlementDate,C23,"mf",TRUE,Trigger)</f>
        <v>42290</v>
      </c>
      <c r="F23" s="205"/>
      <c r="G23" s="205"/>
      <c r="H23" s="205"/>
      <c r="I23" s="205"/>
      <c r="J23" s="169">
        <f>_xll.qlDayCounterYearFraction(DayCounter,D23,E23,,,Trigger)</f>
        <v>0.42499999999999999</v>
      </c>
      <c r="K23" s="208">
        <f>_xll.qlYieldTSDiscount(Discounting,D23,,AllTriggers)</f>
        <v>1.0000055555787037</v>
      </c>
      <c r="L23" s="208">
        <f>_xll.qlYieldTSDiscount(Discounting,E23,,AllTriggers)</f>
        <v>1.0004940903693356</v>
      </c>
      <c r="M23" s="218">
        <f t="shared" si="7"/>
        <v>-1.1489259517682981E-3</v>
      </c>
      <c r="N23" s="181">
        <f t="shared" si="6"/>
        <v>6.9197879963165657E-4</v>
      </c>
      <c r="O23" s="181">
        <f t="shared" si="8"/>
        <v>6.8012006340388651E-4</v>
      </c>
      <c r="P23" s="181">
        <f t="shared" si="9"/>
        <v>6.8031530318430776E-4</v>
      </c>
      <c r="Q23" s="154"/>
      <c r="AF23" s="183">
        <f>_xll.qlCalendarAdvance(Calendar,AF22,"1d","mf",,Trigger)</f>
        <v>42165</v>
      </c>
      <c r="AG23" s="169">
        <f>_xll.qlDayCounterYearFraction(DayCounter,SettlementDate,AF23,,,Trigger)</f>
        <v>7.7777777777777779E-2</v>
      </c>
      <c r="AH23" s="181">
        <f t="shared" si="0"/>
        <v>1.8410836168803243E-3</v>
      </c>
      <c r="AI23" s="181">
        <f t="shared" si="1"/>
        <v>1.7921327851014648E-3</v>
      </c>
      <c r="AJ23" s="181">
        <f t="shared" si="2"/>
        <v>1.7875778261720523E-3</v>
      </c>
    </row>
    <row r="24" spans="3:36" ht="12" customHeight="1" x14ac:dyDescent="0.2">
      <c r="C24" s="186" t="s">
        <v>42</v>
      </c>
      <c r="D24" s="172">
        <f t="shared" si="5"/>
        <v>42137</v>
      </c>
      <c r="E24" s="187">
        <f>_xll.qlCalendarAdvance(Calendar,SettlementDate,C24,"mf",TRUE,Trigger)</f>
        <v>42321</v>
      </c>
      <c r="F24" s="209"/>
      <c r="G24" s="209"/>
      <c r="H24" s="209"/>
      <c r="I24" s="209"/>
      <c r="J24" s="174">
        <f>_xll.qlDayCounterYearFraction(DayCounter,D24,E24,,,Trigger)</f>
        <v>0.51111111111111107</v>
      </c>
      <c r="K24" s="210">
        <f>_xll.qlYieldTSDiscount(Discounting,D24,,AllTriggers)</f>
        <v>1.0000055555787037</v>
      </c>
      <c r="L24" s="210">
        <f>_xll.qlYieldTSDiscount(Discounting,E24,,AllTriggers)</f>
        <v>1.0006036397357938</v>
      </c>
      <c r="M24" s="219">
        <f t="shared" si="7"/>
        <v>-1.1694587234214171E-3</v>
      </c>
      <c r="N24" s="190">
        <f t="shared" si="6"/>
        <v>6.7139041690982676E-4</v>
      </c>
      <c r="O24" s="190">
        <f t="shared" si="8"/>
        <v>6.7139041690982676E-4</v>
      </c>
      <c r="P24" s="190">
        <f t="shared" si="9"/>
        <v>6.7139041690982676E-4</v>
      </c>
      <c r="AF24" s="183">
        <f>_xll.qlCalendarAdvance(Calendar,AF23,"1d","mf",,Trigger)</f>
        <v>42166</v>
      </c>
      <c r="AG24" s="169">
        <f>_xll.qlDayCounterYearFraction(DayCounter,SettlementDate,AF24,,,Trigger)</f>
        <v>8.0555555555555561E-2</v>
      </c>
      <c r="AH24" s="181">
        <f t="shared" si="0"/>
        <v>1.8410836168803243E-3</v>
      </c>
      <c r="AI24" s="181">
        <f t="shared" si="1"/>
        <v>1.7928976418480095E-3</v>
      </c>
      <c r="AJ24" s="181">
        <f t="shared" si="2"/>
        <v>1.7885619096737503E-3</v>
      </c>
    </row>
    <row r="25" spans="3:36" ht="12" customHeight="1" x14ac:dyDescent="0.2">
      <c r="AF25" s="183">
        <f>_xll.qlCalendarAdvance(Calendar,AF24,"1d","mf",,Trigger)</f>
        <v>42167</v>
      </c>
      <c r="AG25" s="169">
        <f>_xll.qlDayCounterYearFraction(DayCounter,SettlementDate,AF25,,,Trigger)</f>
        <v>8.3333333333333329E-2</v>
      </c>
      <c r="AH25" s="181">
        <f t="shared" si="0"/>
        <v>1.8410836168803243E-3</v>
      </c>
      <c r="AI25" s="181">
        <f t="shared" si="1"/>
        <v>1.7936624985945542E-3</v>
      </c>
      <c r="AJ25" s="181">
        <f t="shared" si="2"/>
        <v>1.7895432279361292E-3</v>
      </c>
    </row>
    <row r="26" spans="3:36" ht="12" customHeight="1" x14ac:dyDescent="0.2">
      <c r="C26" s="156" t="s">
        <v>123</v>
      </c>
      <c r="AF26" s="183">
        <f>_xll.qlCalendarAdvance(Calendar,AF25,"1d","mf",,Trigger)</f>
        <v>42170</v>
      </c>
      <c r="AG26" s="169">
        <f>_xll.qlDayCounterYearFraction(DayCounter,SettlementDate,AF26,,,Trigger)</f>
        <v>9.166666666666666E-2</v>
      </c>
      <c r="AH26" s="181">
        <f t="shared" si="0"/>
        <v>1.8410836168803243E-3</v>
      </c>
      <c r="AI26" s="181">
        <f t="shared" si="1"/>
        <v>1.7959570688341883E-3</v>
      </c>
      <c r="AJ26" s="181">
        <f t="shared" si="2"/>
        <v>1.7924705912873507E-3</v>
      </c>
    </row>
    <row r="27" spans="3:36" ht="12" customHeight="1" x14ac:dyDescent="0.2">
      <c r="C27" s="193" t="s">
        <v>108</v>
      </c>
      <c r="AF27" s="183">
        <f>_xll.qlCalendarAdvance(Calendar,AF26,"1d","mf",,Trigger)</f>
        <v>42171</v>
      </c>
      <c r="AG27" s="169">
        <f>_xll.qlDayCounterYearFraction(DayCounter,SettlementDate,AF27,,,Trigger)</f>
        <v>9.4444444444444442E-2</v>
      </c>
      <c r="AH27" s="181">
        <f t="shared" si="0"/>
        <v>1.8410836168803243E-3</v>
      </c>
      <c r="AI27" s="181">
        <f t="shared" si="1"/>
        <v>1.7967219255807328E-3</v>
      </c>
      <c r="AJ27" s="181">
        <f t="shared" si="2"/>
        <v>1.7934408485924527E-3</v>
      </c>
    </row>
    <row r="28" spans="3:36" ht="12" customHeight="1" x14ac:dyDescent="0.2">
      <c r="C28" s="181">
        <f t="shared" ref="C28:C37" si="10">IF($C$27="FLAT",N15,IF($C$27="linear",O15,P15))</f>
        <v>7.7917919252712409E-4</v>
      </c>
      <c r="AF28" s="183">
        <f>_xll.qlCalendarAdvance(Calendar,AF27,"1d","mf",,Trigger)</f>
        <v>42172</v>
      </c>
      <c r="AG28" s="169">
        <f>_xll.qlDayCounterYearFraction(DayCounter,SettlementDate,AF28,,,Trigger)</f>
        <v>9.7222222222222224E-2</v>
      </c>
      <c r="AH28" s="181">
        <f t="shared" si="0"/>
        <v>1.8410836168803243E-3</v>
      </c>
      <c r="AI28" s="181">
        <f t="shared" si="1"/>
        <v>1.7974867823272774E-3</v>
      </c>
      <c r="AJ28" s="181">
        <f t="shared" si="2"/>
        <v>1.7944083406582357E-3</v>
      </c>
    </row>
    <row r="29" spans="3:36" ht="12" customHeight="1" x14ac:dyDescent="0.2">
      <c r="C29" s="181">
        <f t="shared" si="10"/>
        <v>7.9339057724757216E-4</v>
      </c>
      <c r="AF29" s="183">
        <f>_xll.qlCalendarAdvance(Calendar,AF28,"1d","mf",,Trigger)</f>
        <v>42173</v>
      </c>
      <c r="AG29" s="169">
        <f>_xll.qlDayCounterYearFraction(DayCounter,SettlementDate,AF29,,,Trigger)</f>
        <v>0.1</v>
      </c>
      <c r="AH29" s="181">
        <f t="shared" si="0"/>
        <v>1.8410836168803243E-3</v>
      </c>
      <c r="AI29" s="181">
        <f t="shared" si="1"/>
        <v>1.7982516390738221E-3</v>
      </c>
      <c r="AJ29" s="181">
        <f t="shared" si="2"/>
        <v>1.7953730674846993E-3</v>
      </c>
    </row>
    <row r="30" spans="3:36" ht="12" customHeight="1" x14ac:dyDescent="0.2">
      <c r="C30" s="181">
        <f t="shared" si="10"/>
        <v>7.8606374979425396E-4</v>
      </c>
      <c r="AF30" s="183">
        <f>_xll.qlCalendarAdvance(Calendar,AF29,"1d","mf",,Trigger)</f>
        <v>42174</v>
      </c>
      <c r="AG30" s="169">
        <f>_xll.qlDayCounterYearFraction(DayCounter,SettlementDate,AF30,,,Trigger)</f>
        <v>0.10277777777777777</v>
      </c>
      <c r="AH30" s="181">
        <f t="shared" si="0"/>
        <v>1.8410836168803243E-3</v>
      </c>
      <c r="AI30" s="181">
        <f t="shared" si="1"/>
        <v>1.7990164958203668E-3</v>
      </c>
      <c r="AJ30" s="181">
        <f t="shared" si="2"/>
        <v>1.7963350290718441E-3</v>
      </c>
    </row>
    <row r="31" spans="3:36" ht="12" customHeight="1" x14ac:dyDescent="0.2">
      <c r="C31" s="181">
        <f t="shared" si="10"/>
        <v>8.6874565013011259E-4</v>
      </c>
      <c r="AF31" s="183">
        <f>_xll.qlCalendarAdvance(Calendar,AF30,"1d","mf",,Trigger)</f>
        <v>42177</v>
      </c>
      <c r="AG31" s="169">
        <f>_xll.qlDayCounterYearFraction(DayCounter,SettlementDate,AF31,,,Trigger)</f>
        <v>0.1111111111111111</v>
      </c>
      <c r="AH31" s="181">
        <f t="shared" si="0"/>
        <v>1.8410836168803243E-3</v>
      </c>
      <c r="AI31" s="181">
        <f t="shared" si="1"/>
        <v>1.8013110660600009E-3</v>
      </c>
      <c r="AJ31" s="181">
        <f t="shared" si="2"/>
        <v>1.7992043223973627E-3</v>
      </c>
    </row>
    <row r="32" spans="3:36" ht="12" customHeight="1" x14ac:dyDescent="0.2">
      <c r="C32" s="181">
        <f t="shared" si="10"/>
        <v>8.333273919277932E-4</v>
      </c>
      <c r="AF32" s="183">
        <f>_xll.qlCalendarAdvance(Calendar,AF31,"1d","mf",,Trigger)</f>
        <v>42178</v>
      </c>
      <c r="AG32" s="169">
        <f>_xll.qlDayCounterYearFraction(DayCounter,SettlementDate,AF32,,,Trigger)</f>
        <v>0.11388888888888889</v>
      </c>
      <c r="AH32" s="181">
        <f t="shared" si="0"/>
        <v>1.8410836168803243E-3</v>
      </c>
      <c r="AI32" s="181">
        <f t="shared" si="1"/>
        <v>1.8020759228065456E-3</v>
      </c>
      <c r="AJ32" s="181">
        <f t="shared" si="2"/>
        <v>1.8001552230272305E-3</v>
      </c>
    </row>
    <row r="33" spans="3:36" ht="12" customHeight="1" x14ac:dyDescent="0.2">
      <c r="C33" s="181">
        <f t="shared" si="10"/>
        <v>7.6400448303683935E-4</v>
      </c>
      <c r="AF33" s="183">
        <f>_xll.qlCalendarAdvance(Calendar,AF32,"1d","mf",,Trigger)</f>
        <v>42179</v>
      </c>
      <c r="AG33" s="169">
        <f>_xll.qlDayCounterYearFraction(DayCounter,SettlementDate,AF33,,,Trigger)</f>
        <v>0.11666666666666667</v>
      </c>
      <c r="AH33" s="181">
        <f t="shared" si="0"/>
        <v>1.8410836168803243E-3</v>
      </c>
      <c r="AI33" s="181">
        <f t="shared" si="1"/>
        <v>1.80284077955309E-3</v>
      </c>
      <c r="AJ33" s="181">
        <f t="shared" si="2"/>
        <v>1.8011033584177793E-3</v>
      </c>
    </row>
    <row r="34" spans="3:36" ht="12" customHeight="1" x14ac:dyDescent="0.2">
      <c r="C34" s="181">
        <f t="shared" si="10"/>
        <v>7.1558454574284567E-4</v>
      </c>
      <c r="AF34" s="183">
        <f>_xll.qlCalendarAdvance(Calendar,AF33,"1d","mf",,Trigger)</f>
        <v>42180</v>
      </c>
      <c r="AG34" s="169">
        <f>_xll.qlDayCounterYearFraction(DayCounter,SettlementDate,AF34,,,Trigger)</f>
        <v>0.11944444444444445</v>
      </c>
      <c r="AH34" s="181">
        <f t="shared" si="0"/>
        <v>1.8410836168803243E-3</v>
      </c>
      <c r="AI34" s="181">
        <f t="shared" si="1"/>
        <v>1.8036056362996347E-3</v>
      </c>
      <c r="AJ34" s="181">
        <f t="shared" si="2"/>
        <v>1.8020487285690086E-3</v>
      </c>
    </row>
    <row r="35" spans="3:36" ht="12" customHeight="1" x14ac:dyDescent="0.2">
      <c r="C35" s="181">
        <f t="shared" si="10"/>
        <v>6.8769699003314792E-4</v>
      </c>
      <c r="AF35" s="183">
        <f>_xll.qlCalendarAdvance(Calendar,AF34,"1d","mf",,Trigger)</f>
        <v>42181</v>
      </c>
      <c r="AG35" s="169">
        <f>_xll.qlDayCounterYearFraction(DayCounter,SettlementDate,AF35,,,Trigger)</f>
        <v>0.12222222222222222</v>
      </c>
      <c r="AH35" s="181">
        <f t="shared" ref="AH35:AH66" si="11">$W$13</f>
        <v>1.8410836168803243E-3</v>
      </c>
      <c r="AI35" s="181">
        <f t="shared" ref="AI35:AI66" si="12">$W$10+$W$9*AG35</f>
        <v>1.8043704930461794E-3</v>
      </c>
      <c r="AJ35" s="181">
        <f t="shared" ref="AJ35:AJ66" si="13">($W$5+$W$4*AG35+$W$3*AG35^2)</f>
        <v>1.802991333480919E-3</v>
      </c>
    </row>
    <row r="36" spans="3:36" ht="12" customHeight="1" x14ac:dyDescent="0.2">
      <c r="C36" s="181">
        <f t="shared" si="10"/>
        <v>6.8012006340388651E-4</v>
      </c>
      <c r="AF36" s="183">
        <f>_xll.qlCalendarAdvance(Calendar,AF35,"1d","mf",,Trigger)</f>
        <v>42184</v>
      </c>
      <c r="AG36" s="169">
        <f>_xll.qlDayCounterYearFraction(DayCounter,SettlementDate,AF36,,,Trigger)</f>
        <v>0.13055555555555556</v>
      </c>
      <c r="AH36" s="181">
        <f t="shared" si="11"/>
        <v>1.8410836168803243E-3</v>
      </c>
      <c r="AI36" s="181">
        <f t="shared" si="12"/>
        <v>1.8066650632858135E-3</v>
      </c>
      <c r="AJ36" s="181">
        <f t="shared" si="13"/>
        <v>1.805802556780735E-3</v>
      </c>
    </row>
    <row r="37" spans="3:36" ht="12" customHeight="1" x14ac:dyDescent="0.2">
      <c r="C37" s="190">
        <f t="shared" si="10"/>
        <v>6.7139041690982676E-4</v>
      </c>
      <c r="AF37" s="183">
        <f>_xll.qlCalendarAdvance(Calendar,AF36,"1d","mf",,Trigger)</f>
        <v>42185</v>
      </c>
      <c r="AG37" s="169">
        <f>_xll.qlDayCounterYearFraction(DayCounter,SettlementDate,AF37,,,Trigger)</f>
        <v>0.13333333333333333</v>
      </c>
      <c r="AH37" s="181">
        <f t="shared" si="11"/>
        <v>1.8410836168803243E-3</v>
      </c>
      <c r="AI37" s="181">
        <f t="shared" si="12"/>
        <v>1.8074299200323582E-3</v>
      </c>
      <c r="AJ37" s="181">
        <f t="shared" si="13"/>
        <v>1.8067341007353683E-3</v>
      </c>
    </row>
    <row r="38" spans="3:36" x14ac:dyDescent="0.2">
      <c r="AF38" s="183">
        <f>_xll.qlCalendarAdvance(Calendar,AF37,"1d","mf",,Trigger)</f>
        <v>42186</v>
      </c>
      <c r="AG38" s="169">
        <f>_xll.qlDayCounterYearFraction(DayCounter,SettlementDate,AF38,,,Trigger)</f>
        <v>0.1361111111111111</v>
      </c>
      <c r="AH38" s="181">
        <f t="shared" si="11"/>
        <v>1.8410836168803243E-3</v>
      </c>
      <c r="AI38" s="181">
        <f t="shared" si="12"/>
        <v>1.8081947767789026E-3</v>
      </c>
      <c r="AJ38" s="181">
        <f t="shared" si="13"/>
        <v>1.8076628794506829E-3</v>
      </c>
    </row>
    <row r="39" spans="3:36" x14ac:dyDescent="0.2">
      <c r="AF39" s="183">
        <f>_xll.qlCalendarAdvance(Calendar,AF38,"1d","mf",,Trigger)</f>
        <v>42187</v>
      </c>
      <c r="AG39" s="169">
        <f>_xll.qlDayCounterYearFraction(DayCounter,SettlementDate,AF39,,,Trigger)</f>
        <v>0.1388888888888889</v>
      </c>
      <c r="AH39" s="181">
        <f t="shared" si="11"/>
        <v>1.8410836168803243E-3</v>
      </c>
      <c r="AI39" s="181">
        <f t="shared" si="12"/>
        <v>1.8089596335254473E-3</v>
      </c>
      <c r="AJ39" s="181">
        <f t="shared" si="13"/>
        <v>1.808588892926678E-3</v>
      </c>
    </row>
    <row r="40" spans="3:36" x14ac:dyDescent="0.2">
      <c r="AF40" s="183">
        <f>_xll.qlCalendarAdvance(Calendar,AF39,"1d","mf",,Trigger)</f>
        <v>42188</v>
      </c>
      <c r="AG40" s="169">
        <f>_xll.qlDayCounterYearFraction(DayCounter,SettlementDate,AF40,,,Trigger)</f>
        <v>0.14166666666666666</v>
      </c>
      <c r="AH40" s="181">
        <f t="shared" si="11"/>
        <v>1.8410836168803243E-3</v>
      </c>
      <c r="AI40" s="181">
        <f t="shared" si="12"/>
        <v>1.809724490271992E-3</v>
      </c>
      <c r="AJ40" s="181">
        <f t="shared" si="13"/>
        <v>1.8095121411633541E-3</v>
      </c>
    </row>
    <row r="41" spans="3:36" x14ac:dyDescent="0.2">
      <c r="N41" s="154"/>
      <c r="O41" s="154"/>
      <c r="AF41" s="183">
        <f>_xll.qlCalendarAdvance(Calendar,AF40,"1d","mf",,Trigger)</f>
        <v>42191</v>
      </c>
      <c r="AG41" s="169">
        <f>_xll.qlDayCounterYearFraction(DayCounter,SettlementDate,AF41,,,Trigger)</f>
        <v>0.15</v>
      </c>
      <c r="AH41" s="181">
        <f t="shared" si="11"/>
        <v>1.8410836168803243E-3</v>
      </c>
      <c r="AI41" s="181">
        <f t="shared" si="12"/>
        <v>1.8120190605116261E-3</v>
      </c>
      <c r="AJ41" s="181">
        <f t="shared" si="13"/>
        <v>1.8122652944374672E-3</v>
      </c>
    </row>
    <row r="42" spans="3:36" x14ac:dyDescent="0.2">
      <c r="AF42" s="183">
        <f>_xll.qlCalendarAdvance(Calendar,AF41,"1d","mf",,Trigger)</f>
        <v>42192</v>
      </c>
      <c r="AG42" s="169">
        <f>_xll.qlDayCounterYearFraction(DayCounter,SettlementDate,AF42,,,Trigger)</f>
        <v>0.15277777777777779</v>
      </c>
      <c r="AH42" s="181">
        <f t="shared" si="11"/>
        <v>1.8410836168803243E-3</v>
      </c>
      <c r="AI42" s="181">
        <f t="shared" si="12"/>
        <v>1.8127839172581708E-3</v>
      </c>
      <c r="AJ42" s="181">
        <f t="shared" si="13"/>
        <v>1.8131774817168665E-3</v>
      </c>
    </row>
    <row r="43" spans="3:36" ht="11.25" customHeight="1" x14ac:dyDescent="0.2">
      <c r="AF43" s="183">
        <f>_xll.qlCalendarAdvance(Calendar,AF42,"1d","mf",,Trigger)</f>
        <v>42193</v>
      </c>
      <c r="AG43" s="169">
        <f>_xll.qlDayCounterYearFraction(DayCounter,SettlementDate,AF43,,,Trigger)</f>
        <v>0.15555555555555556</v>
      </c>
      <c r="AH43" s="181">
        <f t="shared" si="11"/>
        <v>1.8410836168803243E-3</v>
      </c>
      <c r="AI43" s="181">
        <f t="shared" si="12"/>
        <v>1.8135487740047155E-3</v>
      </c>
      <c r="AJ43" s="181">
        <f t="shared" si="13"/>
        <v>1.8140869037569466E-3</v>
      </c>
    </row>
    <row r="44" spans="3:36" x14ac:dyDescent="0.2">
      <c r="AF44" s="183">
        <f>_xll.qlCalendarAdvance(Calendar,AF43,"1d","mf",,Trigger)</f>
        <v>42194</v>
      </c>
      <c r="AG44" s="169">
        <f>_xll.qlDayCounterYearFraction(DayCounter,SettlementDate,AF44,,,Trigger)</f>
        <v>0.15833333333333333</v>
      </c>
      <c r="AH44" s="181">
        <f t="shared" si="11"/>
        <v>1.8410836168803243E-3</v>
      </c>
      <c r="AI44" s="181">
        <f t="shared" si="12"/>
        <v>1.8143136307512599E-3</v>
      </c>
      <c r="AJ44" s="181">
        <f t="shared" si="13"/>
        <v>1.8149935605577074E-3</v>
      </c>
    </row>
    <row r="45" spans="3:36" x14ac:dyDescent="0.2">
      <c r="AF45" s="183">
        <f>_xll.qlCalendarAdvance(Calendar,AF44,"1d","mf",,Trigger)</f>
        <v>42195</v>
      </c>
      <c r="AG45" s="169">
        <f>_xll.qlDayCounterYearFraction(DayCounter,SettlementDate,AF45,,,Trigger)</f>
        <v>0.16111111111111112</v>
      </c>
      <c r="AH45" s="181">
        <f t="shared" si="11"/>
        <v>1.8410836168803243E-3</v>
      </c>
      <c r="AI45" s="181">
        <f t="shared" si="12"/>
        <v>1.8150784874978046E-3</v>
      </c>
      <c r="AJ45" s="181">
        <f t="shared" si="13"/>
        <v>1.8158974521191493E-3</v>
      </c>
    </row>
    <row r="46" spans="3:36" x14ac:dyDescent="0.2">
      <c r="AF46" s="183">
        <f>_xll.qlCalendarAdvance(Calendar,AF45,"1d","mf",,Trigger)</f>
        <v>42198</v>
      </c>
      <c r="AG46" s="169">
        <f>_xll.qlDayCounterYearFraction(DayCounter,SettlementDate,AF46,,,Trigger)</f>
        <v>0.16944444444444445</v>
      </c>
      <c r="AH46" s="181">
        <f t="shared" si="11"/>
        <v>1.8410836168803243E-3</v>
      </c>
      <c r="AI46" s="181">
        <f t="shared" si="12"/>
        <v>1.8173730577374387E-3</v>
      </c>
      <c r="AJ46" s="181">
        <f t="shared" si="13"/>
        <v>1.8185925353675595E-3</v>
      </c>
    </row>
    <row r="47" spans="3:36" x14ac:dyDescent="0.2">
      <c r="AF47" s="183">
        <f>_xll.qlCalendarAdvance(Calendar,AF46,"1d","mf",,Trigger)</f>
        <v>42199</v>
      </c>
      <c r="AG47" s="169">
        <f>_xll.qlDayCounterYearFraction(DayCounter,SettlementDate,AF47,,,Trigger)</f>
        <v>0.17222222222222222</v>
      </c>
      <c r="AH47" s="181">
        <f t="shared" si="11"/>
        <v>1.8410836168803243E-3</v>
      </c>
      <c r="AI47" s="181">
        <f t="shared" si="12"/>
        <v>1.8181379144839834E-3</v>
      </c>
      <c r="AJ47" s="181">
        <f t="shared" si="13"/>
        <v>1.8194853659717245E-3</v>
      </c>
    </row>
    <row r="48" spans="3:36" x14ac:dyDescent="0.2">
      <c r="AF48" s="183">
        <f>_xll.qlCalendarAdvance(Calendar,AF47,"1d","mf",,Trigger)</f>
        <v>42200</v>
      </c>
      <c r="AG48" s="169">
        <f>_xll.qlDayCounterYearFraction(DayCounter,SettlementDate,AF48,,,Trigger)</f>
        <v>0.17499999999999999</v>
      </c>
      <c r="AH48" s="181">
        <f t="shared" si="11"/>
        <v>1.8410836168803243E-3</v>
      </c>
      <c r="AI48" s="181">
        <f t="shared" si="12"/>
        <v>1.8189027712305281E-3</v>
      </c>
      <c r="AJ48" s="181">
        <f t="shared" si="13"/>
        <v>1.8203754313365704E-3</v>
      </c>
    </row>
    <row r="49" spans="14:36" x14ac:dyDescent="0.2">
      <c r="AF49" s="183">
        <f>_xll.qlCalendarAdvance(Calendar,AF48,"1d","mf",,Trigger)</f>
        <v>42201</v>
      </c>
      <c r="AG49" s="169">
        <f>_xll.qlDayCounterYearFraction(DayCounter,SettlementDate,AF49,,,Trigger)</f>
        <v>0.17777777777777778</v>
      </c>
      <c r="AH49" s="181">
        <f t="shared" si="11"/>
        <v>1.8410836168803243E-3</v>
      </c>
      <c r="AI49" s="181">
        <f t="shared" si="12"/>
        <v>1.8196676279770725E-3</v>
      </c>
      <c r="AJ49" s="181">
        <f t="shared" si="13"/>
        <v>1.821262731462097E-3</v>
      </c>
    </row>
    <row r="50" spans="14:36" x14ac:dyDescent="0.2">
      <c r="AF50" s="183">
        <f>_xll.qlCalendarAdvance(Calendar,AF49,"1d","mf",,Trigger)</f>
        <v>42202</v>
      </c>
      <c r="AG50" s="169">
        <f>_xll.qlDayCounterYearFraction(DayCounter,SettlementDate,AF50,,,Trigger)</f>
        <v>0.18055555555555555</v>
      </c>
      <c r="AH50" s="181">
        <f t="shared" si="11"/>
        <v>1.8410836168803243E-3</v>
      </c>
      <c r="AI50" s="181">
        <f t="shared" si="12"/>
        <v>1.8204324847236172E-3</v>
      </c>
      <c r="AJ50" s="181">
        <f t="shared" si="13"/>
        <v>1.8221472663483046E-3</v>
      </c>
    </row>
    <row r="51" spans="14:36" x14ac:dyDescent="0.2">
      <c r="AF51" s="183">
        <f>_xll.qlCalendarAdvance(Calendar,AF50,"1d","mf",,Trigger)</f>
        <v>42205</v>
      </c>
      <c r="AG51" s="169">
        <f>_xll.qlDayCounterYearFraction(DayCounter,SettlementDate,AF51,,,Trigger)</f>
        <v>0.18888888888888888</v>
      </c>
      <c r="AH51" s="181">
        <f t="shared" si="11"/>
        <v>1.8410836168803243E-3</v>
      </c>
      <c r="AI51" s="181">
        <f t="shared" si="12"/>
        <v>1.8227270549632513E-3</v>
      </c>
      <c r="AJ51" s="181">
        <f t="shared" si="13"/>
        <v>1.824784279571012E-3</v>
      </c>
    </row>
    <row r="52" spans="14:36" x14ac:dyDescent="0.2">
      <c r="AF52" s="183">
        <f>_xll.qlCalendarAdvance(Calendar,AF51,"1d","mf",,Trigger)</f>
        <v>42206</v>
      </c>
      <c r="AG52" s="169">
        <f>_xll.qlDayCounterYearFraction(DayCounter,SettlementDate,AF52,,,Trigger)</f>
        <v>0.19166666666666668</v>
      </c>
      <c r="AH52" s="181">
        <f t="shared" si="11"/>
        <v>1.8410836168803243E-3</v>
      </c>
      <c r="AI52" s="181">
        <f t="shared" si="12"/>
        <v>1.823491911709796E-3</v>
      </c>
      <c r="AJ52" s="181">
        <f t="shared" si="13"/>
        <v>1.8256577534999428E-3</v>
      </c>
    </row>
    <row r="53" spans="14:36" x14ac:dyDescent="0.2">
      <c r="AF53" s="183">
        <f>_xll.qlCalendarAdvance(Calendar,AF52,"1d","mf",,Trigger)</f>
        <v>42207</v>
      </c>
      <c r="AG53" s="169">
        <f>_xll.qlDayCounterYearFraction(DayCounter,SettlementDate,AF53,,,Trigger)</f>
        <v>0.19444444444444445</v>
      </c>
      <c r="AH53" s="181">
        <f t="shared" si="11"/>
        <v>1.8410836168803243E-3</v>
      </c>
      <c r="AI53" s="181">
        <f t="shared" si="12"/>
        <v>1.8242567684563407E-3</v>
      </c>
      <c r="AJ53" s="181">
        <f t="shared" si="13"/>
        <v>1.8265284621895542E-3</v>
      </c>
    </row>
    <row r="54" spans="14:36" x14ac:dyDescent="0.2">
      <c r="AF54" s="183">
        <f>_xll.qlCalendarAdvance(Calendar,AF53,"1d","mf",,Trigger)</f>
        <v>42208</v>
      </c>
      <c r="AG54" s="169">
        <f>_xll.qlDayCounterYearFraction(DayCounter,SettlementDate,AF54,,,Trigger)</f>
        <v>0.19722222222222222</v>
      </c>
      <c r="AH54" s="181">
        <f t="shared" si="11"/>
        <v>1.8410836168803243E-3</v>
      </c>
      <c r="AI54" s="181">
        <f t="shared" si="12"/>
        <v>1.8250216252028854E-3</v>
      </c>
      <c r="AJ54" s="181">
        <f t="shared" si="13"/>
        <v>1.8273964056398468E-3</v>
      </c>
    </row>
    <row r="55" spans="14:36" x14ac:dyDescent="0.2">
      <c r="AF55" s="183">
        <f>_xll.qlCalendarAdvance(Calendar,AF54,"1d","mf",,Trigger)</f>
        <v>42209</v>
      </c>
      <c r="AG55" s="169">
        <f>_xll.qlDayCounterYearFraction(DayCounter,SettlementDate,AF55,,,Trigger)</f>
        <v>0.2</v>
      </c>
      <c r="AH55" s="181">
        <f t="shared" si="11"/>
        <v>1.8410836168803243E-3</v>
      </c>
      <c r="AI55" s="181">
        <f t="shared" si="12"/>
        <v>1.8257864819494298E-3</v>
      </c>
      <c r="AJ55" s="181">
        <f t="shared" si="13"/>
        <v>1.82826158385082E-3</v>
      </c>
    </row>
    <row r="56" spans="14:36" x14ac:dyDescent="0.2">
      <c r="AF56" s="183">
        <f>_xll.qlCalendarAdvance(Calendar,AF55,"1d","mf",,Trigger)</f>
        <v>42212</v>
      </c>
      <c r="AG56" s="169">
        <f>_xll.qlDayCounterYearFraction(DayCounter,SettlementDate,AF56,,,Trigger)</f>
        <v>0.20833333333333334</v>
      </c>
      <c r="AH56" s="181">
        <f t="shared" si="11"/>
        <v>1.8410836168803243E-3</v>
      </c>
      <c r="AI56" s="181">
        <f t="shared" si="12"/>
        <v>1.8280810521890639E-3</v>
      </c>
      <c r="AJ56" s="181">
        <f t="shared" si="13"/>
        <v>1.8308405270478247E-3</v>
      </c>
    </row>
    <row r="57" spans="14:36" x14ac:dyDescent="0.2">
      <c r="AF57" s="183">
        <f>_xll.qlCalendarAdvance(Calendar,AF56,"1d","mf",,Trigger)</f>
        <v>42213</v>
      </c>
      <c r="AG57" s="169">
        <f>_xll.qlDayCounterYearFraction(DayCounter,SettlementDate,AF57,,,Trigger)</f>
        <v>0.21111111111111111</v>
      </c>
      <c r="AH57" s="181">
        <f t="shared" si="11"/>
        <v>1.8410836168803243E-3</v>
      </c>
      <c r="AI57" s="181">
        <f t="shared" si="12"/>
        <v>1.8288459089356086E-3</v>
      </c>
      <c r="AJ57" s="181">
        <f t="shared" si="13"/>
        <v>1.831694644301521E-3</v>
      </c>
    </row>
    <row r="58" spans="14:36" x14ac:dyDescent="0.2">
      <c r="AF58" s="183">
        <f>_xll.qlCalendarAdvance(Calendar,AF57,"1d","mf",,Trigger)</f>
        <v>42214</v>
      </c>
      <c r="AG58" s="169">
        <f>_xll.qlDayCounterYearFraction(DayCounter,SettlementDate,AF58,,,Trigger)</f>
        <v>0.21388888888888888</v>
      </c>
      <c r="AH58" s="181">
        <f t="shared" si="11"/>
        <v>1.8410836168803243E-3</v>
      </c>
      <c r="AI58" s="181">
        <f t="shared" si="12"/>
        <v>1.8296107656821533E-3</v>
      </c>
      <c r="AJ58" s="181">
        <f t="shared" si="13"/>
        <v>1.8325459963158984E-3</v>
      </c>
    </row>
    <row r="59" spans="14:36" x14ac:dyDescent="0.2">
      <c r="AF59" s="183">
        <f>_xll.qlCalendarAdvance(Calendar,AF58,"1d","mf",,Trigger)</f>
        <v>42215</v>
      </c>
      <c r="AG59" s="169">
        <f>_xll.qlDayCounterYearFraction(DayCounter,SettlementDate,AF59,,,Trigger)</f>
        <v>0.21666666666666667</v>
      </c>
      <c r="AH59" s="181">
        <f t="shared" si="11"/>
        <v>1.8410836168803243E-3</v>
      </c>
      <c r="AI59" s="181">
        <f t="shared" si="12"/>
        <v>1.830375622428698E-3</v>
      </c>
      <c r="AJ59" s="181">
        <f t="shared" si="13"/>
        <v>1.8333945830909567E-3</v>
      </c>
    </row>
    <row r="60" spans="14:36" x14ac:dyDescent="0.2">
      <c r="N60" s="154"/>
      <c r="AF60" s="183">
        <f>_xll.qlCalendarAdvance(Calendar,AF59,"1d","mf",,Trigger)</f>
        <v>42216</v>
      </c>
      <c r="AG60" s="169">
        <f>_xll.qlDayCounterYearFraction(DayCounter,SettlementDate,AF60,,,Trigger)</f>
        <v>0.21944444444444444</v>
      </c>
      <c r="AH60" s="181">
        <f t="shared" si="11"/>
        <v>1.8410836168803243E-3</v>
      </c>
      <c r="AI60" s="181">
        <f t="shared" si="12"/>
        <v>1.8311404791752424E-3</v>
      </c>
      <c r="AJ60" s="181">
        <f t="shared" si="13"/>
        <v>1.8342404046266954E-3</v>
      </c>
    </row>
    <row r="61" spans="14:36" x14ac:dyDescent="0.2">
      <c r="N61" s="154"/>
      <c r="AF61" s="183">
        <f>_xll.qlCalendarAdvance(Calendar,AF60,"1d","mf",,Trigger)</f>
        <v>42219</v>
      </c>
      <c r="AG61" s="169">
        <f>_xll.qlDayCounterYearFraction(DayCounter,SettlementDate,AF61,,,Trigger)</f>
        <v>0.22777777777777777</v>
      </c>
      <c r="AH61" s="181">
        <f t="shared" si="11"/>
        <v>1.8410836168803243E-3</v>
      </c>
      <c r="AI61" s="181">
        <f t="shared" si="12"/>
        <v>1.8334350494148765E-3</v>
      </c>
      <c r="AJ61" s="181">
        <f t="shared" si="13"/>
        <v>1.8367612777979974E-3</v>
      </c>
    </row>
    <row r="62" spans="14:36" x14ac:dyDescent="0.2">
      <c r="N62" s="154"/>
      <c r="AF62" s="183">
        <f>_xll.qlCalendarAdvance(Calendar,AF61,"1d","mf",,Trigger)</f>
        <v>42220</v>
      </c>
      <c r="AG62" s="169">
        <f>_xll.qlDayCounterYearFraction(DayCounter,SettlementDate,AF62,,,Trigger)</f>
        <v>0.23055555555555557</v>
      </c>
      <c r="AH62" s="181">
        <f t="shared" si="11"/>
        <v>1.8410836168803243E-3</v>
      </c>
      <c r="AI62" s="181">
        <f t="shared" si="12"/>
        <v>1.8341999061614212E-3</v>
      </c>
      <c r="AJ62" s="181">
        <f t="shared" si="13"/>
        <v>1.8375960383764595E-3</v>
      </c>
    </row>
    <row r="63" spans="14:36" x14ac:dyDescent="0.2">
      <c r="N63" s="154"/>
      <c r="AF63" s="183">
        <f>_xll.qlCalendarAdvance(Calendar,AF62,"1d","mf",,Trigger)</f>
        <v>42221</v>
      </c>
      <c r="AG63" s="169">
        <f>_xll.qlDayCounterYearFraction(DayCounter,SettlementDate,AF63,,,Trigger)</f>
        <v>0.23333333333333334</v>
      </c>
      <c r="AH63" s="181">
        <f t="shared" si="11"/>
        <v>1.8410836168803243E-3</v>
      </c>
      <c r="AI63" s="181">
        <f t="shared" si="12"/>
        <v>1.8349647629079659E-3</v>
      </c>
      <c r="AJ63" s="181">
        <f t="shared" si="13"/>
        <v>1.8384280337156026E-3</v>
      </c>
    </row>
    <row r="64" spans="14:36" x14ac:dyDescent="0.2">
      <c r="N64" s="154"/>
      <c r="AF64" s="183">
        <f>_xll.qlCalendarAdvance(Calendar,AF63,"1d","mf",,Trigger)</f>
        <v>42222</v>
      </c>
      <c r="AG64" s="169">
        <f>_xll.qlDayCounterYearFraction(DayCounter,SettlementDate,AF64,,,Trigger)</f>
        <v>0.2361111111111111</v>
      </c>
      <c r="AH64" s="181">
        <f t="shared" si="11"/>
        <v>1.8410836168803243E-3</v>
      </c>
      <c r="AI64" s="181">
        <f t="shared" si="12"/>
        <v>1.8357296196545106E-3</v>
      </c>
      <c r="AJ64" s="181">
        <f t="shared" si="13"/>
        <v>1.8392572638154265E-3</v>
      </c>
    </row>
    <row r="65" spans="14:36" x14ac:dyDescent="0.2">
      <c r="N65" s="154"/>
      <c r="AF65" s="183">
        <f>_xll.qlCalendarAdvance(Calendar,AF64,"1d","mf",,Trigger)</f>
        <v>42223</v>
      </c>
      <c r="AG65" s="169">
        <f>_xll.qlDayCounterYearFraction(DayCounter,SettlementDate,AF65,,,Trigger)</f>
        <v>0.2388888888888889</v>
      </c>
      <c r="AH65" s="181">
        <f t="shared" si="11"/>
        <v>1.8410836168803243E-3</v>
      </c>
      <c r="AI65" s="181">
        <f t="shared" si="12"/>
        <v>1.8364944764010553E-3</v>
      </c>
      <c r="AJ65" s="181">
        <f t="shared" si="13"/>
        <v>1.8400837286759312E-3</v>
      </c>
    </row>
    <row r="66" spans="14:36" x14ac:dyDescent="0.2">
      <c r="N66" s="154"/>
      <c r="O66" s="154"/>
      <c r="AF66" s="183">
        <f>_xll.qlCalendarAdvance(Calendar,AF65,"1d","mf",,Trigger)</f>
        <v>42226</v>
      </c>
      <c r="AG66" s="169">
        <f>_xll.qlDayCounterYearFraction(DayCounter,SettlementDate,AF66,,,Trigger)</f>
        <v>0.24722222222222223</v>
      </c>
      <c r="AH66" s="181">
        <f t="shared" si="11"/>
        <v>1.8410836168803243E-3</v>
      </c>
      <c r="AI66" s="181">
        <f t="shared" si="12"/>
        <v>1.8387890466406891E-3</v>
      </c>
      <c r="AJ66" s="181">
        <f t="shared" si="13"/>
        <v>1.8425465318215302E-3</v>
      </c>
    </row>
    <row r="67" spans="14:36" x14ac:dyDescent="0.2">
      <c r="N67" s="154"/>
      <c r="O67" s="154"/>
      <c r="AF67" s="183">
        <f>_xll.qlCalendarAdvance(Calendar,AF66,"1d","mf",,Trigger)</f>
        <v>42227</v>
      </c>
      <c r="AG67" s="169">
        <f>_xll.qlDayCounterYearFraction(DayCounter,SettlementDate,AF67,,,Trigger)</f>
        <v>0.25</v>
      </c>
      <c r="AH67" s="181">
        <f t="shared" ref="AH67:AH98" si="14">$W$13</f>
        <v>1.8410836168803243E-3</v>
      </c>
      <c r="AI67" s="181">
        <f t="shared" ref="AI67:AI98" si="15">$W$10+$W$9*AG67</f>
        <v>1.8395539033872338E-3</v>
      </c>
      <c r="AJ67" s="181">
        <f t="shared" ref="AJ67:AJ98" si="16">($W$5+$W$4*AG67+$W$3*AG67^2)</f>
        <v>1.8433619357247581E-3</v>
      </c>
    </row>
    <row r="68" spans="14:36" x14ac:dyDescent="0.2">
      <c r="N68" s="154"/>
      <c r="O68" s="154"/>
      <c r="AF68" s="183">
        <f>_xll.qlCalendarAdvance(Calendar,AF67,"1d","mf",,Trigger)</f>
        <v>42228</v>
      </c>
      <c r="AG68" s="169">
        <f>_xll.qlDayCounterYearFraction(DayCounter,SettlementDate,AF68,,,Trigger)</f>
        <v>0.25277777777777777</v>
      </c>
      <c r="AH68" s="181">
        <f t="shared" si="14"/>
        <v>1.8410836168803243E-3</v>
      </c>
      <c r="AI68" s="181">
        <f t="shared" si="15"/>
        <v>1.8403187601337785E-3</v>
      </c>
      <c r="AJ68" s="181">
        <f t="shared" si="16"/>
        <v>1.8441745743886667E-3</v>
      </c>
    </row>
    <row r="69" spans="14:36" x14ac:dyDescent="0.2">
      <c r="N69" s="154"/>
      <c r="O69" s="154"/>
      <c r="AF69" s="183">
        <f>_xll.qlCalendarAdvance(Calendar,AF68,"1d","mf",,Trigger)</f>
        <v>42229</v>
      </c>
      <c r="AG69" s="169">
        <f>_xll.qlDayCounterYearFraction(DayCounter,SettlementDate,AF69,,,Trigger)</f>
        <v>0.25555555555555554</v>
      </c>
      <c r="AH69" s="181">
        <f t="shared" si="14"/>
        <v>1.8410836168803243E-3</v>
      </c>
      <c r="AI69" s="181">
        <f t="shared" si="15"/>
        <v>1.8410836168803232E-3</v>
      </c>
      <c r="AJ69" s="181">
        <f t="shared" si="16"/>
        <v>1.8449844478132566E-3</v>
      </c>
    </row>
    <row r="70" spans="14:36" x14ac:dyDescent="0.2">
      <c r="N70" s="154"/>
      <c r="O70" s="154"/>
      <c r="AF70" s="183">
        <f>_xll.qlCalendarAdvance(Calendar,AF69,"1d","mf",,Trigger)</f>
        <v>42230</v>
      </c>
      <c r="AG70" s="169">
        <f>_xll.qlDayCounterYearFraction(DayCounter,SettlementDate,AF70,,,Trigger)</f>
        <v>0.25833333333333336</v>
      </c>
      <c r="AH70" s="181">
        <f t="shared" si="14"/>
        <v>1.8410836168803243E-3</v>
      </c>
      <c r="AI70" s="181">
        <f t="shared" si="15"/>
        <v>1.8418484736268679E-3</v>
      </c>
      <c r="AJ70" s="181">
        <f t="shared" si="16"/>
        <v>1.8457915559985268E-3</v>
      </c>
    </row>
    <row r="71" spans="14:36" x14ac:dyDescent="0.2">
      <c r="N71" s="154"/>
      <c r="O71" s="154"/>
      <c r="AF71" s="183">
        <f>_xll.qlCalendarAdvance(Calendar,AF70,"1d","mf",,Trigger)</f>
        <v>42233</v>
      </c>
      <c r="AG71" s="169">
        <f>_xll.qlDayCounterYearFraction(DayCounter,SettlementDate,AF71,,,Trigger)</f>
        <v>0.26666666666666666</v>
      </c>
      <c r="AH71" s="181">
        <f t="shared" si="14"/>
        <v>1.8410836168803243E-3</v>
      </c>
      <c r="AI71" s="181">
        <f t="shared" si="15"/>
        <v>1.8441430438665017E-3</v>
      </c>
      <c r="AJ71" s="181">
        <f t="shared" si="16"/>
        <v>1.8481962891184231E-3</v>
      </c>
    </row>
    <row r="72" spans="14:36" x14ac:dyDescent="0.2">
      <c r="N72" s="154"/>
      <c r="O72" s="154"/>
      <c r="AF72" s="183">
        <f>_xll.qlCalendarAdvance(Calendar,AF71,"1d","mf",,Trigger)</f>
        <v>42234</v>
      </c>
      <c r="AG72" s="169">
        <f>_xll.qlDayCounterYearFraction(DayCounter,SettlementDate,AF72,,,Trigger)</f>
        <v>0.26944444444444443</v>
      </c>
      <c r="AH72" s="181">
        <f t="shared" si="14"/>
        <v>1.8410836168803243E-3</v>
      </c>
      <c r="AI72" s="181">
        <f t="shared" si="15"/>
        <v>1.8449079006130464E-3</v>
      </c>
      <c r="AJ72" s="181">
        <f t="shared" si="16"/>
        <v>1.8489923363464167E-3</v>
      </c>
    </row>
    <row r="73" spans="14:36" x14ac:dyDescent="0.2">
      <c r="N73" s="154"/>
      <c r="O73" s="154"/>
      <c r="AF73" s="183">
        <f>_xll.qlCalendarAdvance(Calendar,AF72,"1d","mf",,Trigger)</f>
        <v>42235</v>
      </c>
      <c r="AG73" s="169">
        <f>_xll.qlDayCounterYearFraction(DayCounter,SettlementDate,AF73,,,Trigger)</f>
        <v>0.2722222222222222</v>
      </c>
      <c r="AH73" s="181">
        <f t="shared" si="14"/>
        <v>1.8410836168803243E-3</v>
      </c>
      <c r="AI73" s="181">
        <f t="shared" si="15"/>
        <v>1.8456727573595911E-3</v>
      </c>
      <c r="AJ73" s="181">
        <f t="shared" si="16"/>
        <v>1.8497856183350911E-3</v>
      </c>
    </row>
    <row r="74" spans="14:36" x14ac:dyDescent="0.2">
      <c r="N74" s="154"/>
      <c r="O74" s="154"/>
      <c r="AF74" s="183">
        <f>_xll.qlCalendarAdvance(Calendar,AF73,"1d","mf",,Trigger)</f>
        <v>42236</v>
      </c>
      <c r="AG74" s="169">
        <f>_xll.qlDayCounterYearFraction(DayCounter,SettlementDate,AF74,,,Trigger)</f>
        <v>0.27500000000000002</v>
      </c>
      <c r="AH74" s="181">
        <f t="shared" si="14"/>
        <v>1.8410836168803243E-3</v>
      </c>
      <c r="AI74" s="181">
        <f t="shared" si="15"/>
        <v>1.8464376141061358E-3</v>
      </c>
      <c r="AJ74" s="181">
        <f t="shared" si="16"/>
        <v>1.8505761350844467E-3</v>
      </c>
    </row>
    <row r="75" spans="14:36" x14ac:dyDescent="0.2">
      <c r="N75" s="154"/>
      <c r="O75" s="154"/>
      <c r="AF75" s="183">
        <f>_xll.qlCalendarAdvance(Calendar,AF74,"1d","mf",,Trigger)</f>
        <v>42237</v>
      </c>
      <c r="AG75" s="169">
        <f>_xll.qlDayCounterYearFraction(DayCounter,SettlementDate,AF75,,,Trigger)</f>
        <v>0.27777777777777779</v>
      </c>
      <c r="AH75" s="181">
        <f t="shared" si="14"/>
        <v>1.8410836168803243E-3</v>
      </c>
      <c r="AI75" s="181">
        <f t="shared" si="15"/>
        <v>1.8472024708526805E-3</v>
      </c>
      <c r="AJ75" s="181">
        <f t="shared" si="16"/>
        <v>1.8513638865944827E-3</v>
      </c>
    </row>
    <row r="76" spans="14:36" x14ac:dyDescent="0.2">
      <c r="N76" s="154"/>
      <c r="O76" s="154"/>
      <c r="AF76" s="183">
        <f>_xll.qlCalendarAdvance(Calendar,AF75,"1d","mf",,Trigger)</f>
        <v>42240</v>
      </c>
      <c r="AG76" s="169">
        <f>_xll.qlDayCounterYearFraction(DayCounter,SettlementDate,AF76,,,Trigger)</f>
        <v>0.28611111111111109</v>
      </c>
      <c r="AH76" s="181">
        <f t="shared" si="14"/>
        <v>1.8410836168803243E-3</v>
      </c>
      <c r="AI76" s="181">
        <f t="shared" si="15"/>
        <v>1.8494970410923143E-3</v>
      </c>
      <c r="AJ76" s="181">
        <f t="shared" si="16"/>
        <v>1.853710549688676E-3</v>
      </c>
    </row>
    <row r="77" spans="14:36" x14ac:dyDescent="0.2">
      <c r="N77" s="154"/>
      <c r="O77" s="154"/>
      <c r="AF77" s="183">
        <f>_xll.qlCalendarAdvance(Calendar,AF76,"1d","mf",,Trigger)</f>
        <v>42241</v>
      </c>
      <c r="AG77" s="169">
        <f>_xll.qlDayCounterYearFraction(DayCounter,SettlementDate,AF77,,,Trigger)</f>
        <v>0.28888888888888886</v>
      </c>
      <c r="AH77" s="181">
        <f t="shared" si="14"/>
        <v>1.8410836168803243E-3</v>
      </c>
      <c r="AI77" s="181">
        <f t="shared" si="15"/>
        <v>1.850261897838859E-3</v>
      </c>
      <c r="AJ77" s="181">
        <f t="shared" si="16"/>
        <v>1.8544872402414354E-3</v>
      </c>
    </row>
    <row r="78" spans="14:36" x14ac:dyDescent="0.2">
      <c r="N78" s="154"/>
      <c r="O78" s="154"/>
      <c r="AF78" s="183">
        <f>_xll.qlCalendarAdvance(Calendar,AF77,"1d","mf",,Trigger)</f>
        <v>42242</v>
      </c>
      <c r="AG78" s="169">
        <f>_xll.qlDayCounterYearFraction(DayCounter,SettlementDate,AF78,,,Trigger)</f>
        <v>0.29166666666666669</v>
      </c>
      <c r="AH78" s="181">
        <f t="shared" si="14"/>
        <v>1.8410836168803243E-3</v>
      </c>
      <c r="AI78" s="181">
        <f t="shared" si="15"/>
        <v>1.8510267545854037E-3</v>
      </c>
      <c r="AJ78" s="181">
        <f t="shared" si="16"/>
        <v>1.8552611655548756E-3</v>
      </c>
    </row>
    <row r="79" spans="14:36" x14ac:dyDescent="0.2">
      <c r="N79" s="154"/>
      <c r="O79" s="154"/>
      <c r="AF79" s="183">
        <f>_xll.qlCalendarAdvance(Calendar,AF78,"1d","mf",,Trigger)</f>
        <v>42243</v>
      </c>
      <c r="AG79" s="169">
        <f>_xll.qlDayCounterYearFraction(DayCounter,SettlementDate,AF79,,,Trigger)</f>
        <v>0.29444444444444445</v>
      </c>
      <c r="AH79" s="181">
        <f t="shared" si="14"/>
        <v>1.8410836168803243E-3</v>
      </c>
      <c r="AI79" s="181">
        <f t="shared" si="15"/>
        <v>1.8517916113319484E-3</v>
      </c>
      <c r="AJ79" s="181">
        <f t="shared" si="16"/>
        <v>1.8560323256289969E-3</v>
      </c>
    </row>
    <row r="80" spans="14:36" x14ac:dyDescent="0.2">
      <c r="N80" s="154"/>
      <c r="O80" s="154"/>
      <c r="AF80" s="183">
        <f>_xll.qlCalendarAdvance(Calendar,AF79,"1d","mf",,Trigger)</f>
        <v>42244</v>
      </c>
      <c r="AG80" s="169">
        <f>_xll.qlDayCounterYearFraction(DayCounter,SettlementDate,AF80,,,Trigger)</f>
        <v>0.29722222222222222</v>
      </c>
      <c r="AH80" s="181">
        <f t="shared" si="14"/>
        <v>1.8410836168803243E-3</v>
      </c>
      <c r="AI80" s="181">
        <f t="shared" si="15"/>
        <v>1.8525564680784931E-3</v>
      </c>
      <c r="AJ80" s="181">
        <f t="shared" si="16"/>
        <v>1.8568007204637987E-3</v>
      </c>
    </row>
    <row r="81" spans="14:36" x14ac:dyDescent="0.2">
      <c r="N81" s="154"/>
      <c r="O81" s="154"/>
      <c r="AF81" s="183">
        <f>_xll.qlCalendarAdvance(Calendar,AF80,"1d","mf",,Trigger)</f>
        <v>42247</v>
      </c>
      <c r="AG81" s="169">
        <f>_xll.qlDayCounterYearFraction(DayCounter,SettlementDate,AF81,,,Trigger)</f>
        <v>0.30555555555555558</v>
      </c>
      <c r="AH81" s="181">
        <f t="shared" si="14"/>
        <v>1.8410836168803243E-3</v>
      </c>
      <c r="AI81" s="181">
        <f t="shared" si="15"/>
        <v>1.8548510383181269E-3</v>
      </c>
      <c r="AJ81" s="181">
        <f t="shared" si="16"/>
        <v>1.8590893135322893E-3</v>
      </c>
    </row>
    <row r="82" spans="14:36" x14ac:dyDescent="0.2">
      <c r="N82" s="154"/>
      <c r="O82" s="154"/>
      <c r="AF82" s="183">
        <f>_xll.qlCalendarAdvance(Calendar,AF81,"1d","mf",,Trigger)</f>
        <v>42248</v>
      </c>
      <c r="AG82" s="169">
        <f>_xll.qlDayCounterYearFraction(DayCounter,SettlementDate,AF82,,,Trigger)</f>
        <v>0.30833333333333335</v>
      </c>
      <c r="AH82" s="181">
        <f t="shared" si="14"/>
        <v>1.8410836168803243E-3</v>
      </c>
      <c r="AI82" s="181">
        <f t="shared" si="15"/>
        <v>1.8556158950646716E-3</v>
      </c>
      <c r="AJ82" s="181">
        <f t="shared" si="16"/>
        <v>1.8598466474098144E-3</v>
      </c>
    </row>
    <row r="83" spans="14:36" x14ac:dyDescent="0.2">
      <c r="N83" s="154"/>
      <c r="O83" s="154"/>
      <c r="AF83" s="183">
        <f>_xll.qlCalendarAdvance(Calendar,AF82,"1d","mf",,Trigger)</f>
        <v>42249</v>
      </c>
      <c r="AG83" s="169">
        <f>_xll.qlDayCounterYearFraction(DayCounter,SettlementDate,AF83,,,Trigger)</f>
        <v>0.31111111111111112</v>
      </c>
      <c r="AH83" s="181">
        <f t="shared" si="14"/>
        <v>1.8410836168803243E-3</v>
      </c>
      <c r="AI83" s="181">
        <f t="shared" si="15"/>
        <v>1.8563807518112163E-3</v>
      </c>
      <c r="AJ83" s="181">
        <f t="shared" si="16"/>
        <v>1.8606012160480203E-3</v>
      </c>
    </row>
    <row r="84" spans="14:36" x14ac:dyDescent="0.2">
      <c r="N84" s="154"/>
      <c r="O84" s="154"/>
      <c r="AF84" s="183">
        <f>_xll.qlCalendarAdvance(Calendar,AF83,"1d","mf",,Trigger)</f>
        <v>42250</v>
      </c>
      <c r="AG84" s="169">
        <f>_xll.qlDayCounterYearFraction(DayCounter,SettlementDate,AF84,,,Trigger)</f>
        <v>0.31388888888888888</v>
      </c>
      <c r="AH84" s="181">
        <f t="shared" si="14"/>
        <v>1.8410836168803243E-3</v>
      </c>
      <c r="AI84" s="181">
        <f t="shared" si="15"/>
        <v>1.857145608557761E-3</v>
      </c>
      <c r="AJ84" s="181">
        <f t="shared" si="16"/>
        <v>1.8613530194469072E-3</v>
      </c>
    </row>
    <row r="85" spans="14:36" x14ac:dyDescent="0.2">
      <c r="N85" s="154"/>
      <c r="O85" s="154"/>
      <c r="AF85" s="183">
        <f>_xll.qlCalendarAdvance(Calendar,AF84,"1d","mf",,Trigger)</f>
        <v>42251</v>
      </c>
      <c r="AG85" s="169">
        <f>_xll.qlDayCounterYearFraction(DayCounter,SettlementDate,AF85,,,Trigger)</f>
        <v>0.31666666666666665</v>
      </c>
      <c r="AH85" s="181">
        <f t="shared" si="14"/>
        <v>1.8410836168803243E-3</v>
      </c>
      <c r="AI85" s="181">
        <f t="shared" si="15"/>
        <v>1.8579104653043057E-3</v>
      </c>
      <c r="AJ85" s="181">
        <f t="shared" si="16"/>
        <v>1.8621020576064747E-3</v>
      </c>
    </row>
    <row r="86" spans="14:36" x14ac:dyDescent="0.2">
      <c r="N86" s="154"/>
      <c r="O86" s="154"/>
      <c r="AF86" s="183">
        <f>_xll.qlCalendarAdvance(Calendar,AF85,"1d","mf",,Trigger)</f>
        <v>42254</v>
      </c>
      <c r="AG86" s="169">
        <f>_xll.qlDayCounterYearFraction(DayCounter,SettlementDate,AF86,,,Trigger)</f>
        <v>0.32500000000000001</v>
      </c>
      <c r="AH86" s="181">
        <f t="shared" si="14"/>
        <v>1.8410836168803243E-3</v>
      </c>
      <c r="AI86" s="181">
        <f t="shared" si="15"/>
        <v>1.8602050355439395E-3</v>
      </c>
      <c r="AJ86" s="181">
        <f t="shared" si="16"/>
        <v>1.8643325806492626E-3</v>
      </c>
    </row>
    <row r="87" spans="14:36" x14ac:dyDescent="0.2">
      <c r="N87" s="154"/>
      <c r="O87" s="154"/>
      <c r="AF87" s="183">
        <f>_xll.qlCalendarAdvance(Calendar,AF86,"1d","mf",,Trigger)</f>
        <v>42255</v>
      </c>
      <c r="AG87" s="169">
        <f>_xll.qlDayCounterYearFraction(DayCounter,SettlementDate,AF87,,,Trigger)</f>
        <v>0.32777777777777778</v>
      </c>
      <c r="AH87" s="181">
        <f t="shared" si="14"/>
        <v>1.8410836168803243E-3</v>
      </c>
      <c r="AI87" s="181">
        <f t="shared" si="15"/>
        <v>1.8609698922904842E-3</v>
      </c>
      <c r="AJ87" s="181">
        <f t="shared" si="16"/>
        <v>1.8650705578515533E-3</v>
      </c>
    </row>
    <row r="88" spans="14:36" x14ac:dyDescent="0.2">
      <c r="N88" s="154"/>
      <c r="O88" s="154"/>
      <c r="AF88" s="183">
        <f>_xll.qlCalendarAdvance(Calendar,AF87,"1d","mf",,Trigger)</f>
        <v>42256</v>
      </c>
      <c r="AG88" s="169">
        <f>_xll.qlDayCounterYearFraction(DayCounter,SettlementDate,AF88,,,Trigger)</f>
        <v>0.33055555555555555</v>
      </c>
      <c r="AH88" s="181">
        <f t="shared" si="14"/>
        <v>1.8410836168803243E-3</v>
      </c>
      <c r="AI88" s="181">
        <f t="shared" si="15"/>
        <v>1.8617347490370289E-3</v>
      </c>
      <c r="AJ88" s="181">
        <f t="shared" si="16"/>
        <v>1.865805769814525E-3</v>
      </c>
    </row>
    <row r="89" spans="14:36" x14ac:dyDescent="0.2">
      <c r="N89" s="154"/>
      <c r="O89" s="154"/>
      <c r="AF89" s="183">
        <f>_xll.qlCalendarAdvance(Calendar,AF88,"1d","mf",,Trigger)</f>
        <v>42257</v>
      </c>
      <c r="AG89" s="169">
        <f>_xll.qlDayCounterYearFraction(DayCounter,SettlementDate,AF89,,,Trigger)</f>
        <v>0.33333333333333331</v>
      </c>
      <c r="AH89" s="181">
        <f t="shared" si="14"/>
        <v>1.8410836168803243E-3</v>
      </c>
      <c r="AI89" s="181">
        <f t="shared" si="15"/>
        <v>1.8624996057835736E-3</v>
      </c>
      <c r="AJ89" s="181">
        <f t="shared" si="16"/>
        <v>1.8665382165381776E-3</v>
      </c>
    </row>
    <row r="90" spans="14:36" x14ac:dyDescent="0.2">
      <c r="N90" s="154"/>
      <c r="O90" s="154"/>
      <c r="AF90" s="183">
        <f>_xll.qlCalendarAdvance(Calendar,AF89,"1d","mf",,Trigger)</f>
        <v>42258</v>
      </c>
      <c r="AG90" s="169">
        <f>_xll.qlDayCounterYearFraction(DayCounter,SettlementDate,AF90,,,Trigger)</f>
        <v>0.33611111111111114</v>
      </c>
      <c r="AH90" s="181">
        <f t="shared" si="14"/>
        <v>1.8410836168803243E-3</v>
      </c>
      <c r="AI90" s="181">
        <f t="shared" si="15"/>
        <v>1.8632644625301183E-3</v>
      </c>
      <c r="AJ90" s="181">
        <f t="shared" si="16"/>
        <v>1.8672678980225109E-3</v>
      </c>
    </row>
    <row r="91" spans="14:36" x14ac:dyDescent="0.2">
      <c r="N91" s="154"/>
      <c r="O91" s="154"/>
      <c r="AF91" s="183">
        <f>_xll.qlCalendarAdvance(Calendar,AF90,"1d","mf",,Trigger)</f>
        <v>42261</v>
      </c>
      <c r="AG91" s="169">
        <f>_xll.qlDayCounterYearFraction(DayCounter,SettlementDate,AF91,,,Trigger)</f>
        <v>0.34444444444444444</v>
      </c>
      <c r="AH91" s="181">
        <f t="shared" si="14"/>
        <v>1.8410836168803243E-3</v>
      </c>
      <c r="AI91" s="181">
        <f t="shared" si="15"/>
        <v>1.8655590327697521E-3</v>
      </c>
      <c r="AJ91" s="181">
        <f t="shared" si="16"/>
        <v>1.8694403510395958E-3</v>
      </c>
    </row>
    <row r="92" spans="14:36" x14ac:dyDescent="0.2">
      <c r="N92" s="154"/>
      <c r="O92" s="154"/>
      <c r="AF92" s="183">
        <f>_xll.qlCalendarAdvance(Calendar,AF91,"1d","mf",,Trigger)</f>
        <v>42262</v>
      </c>
      <c r="AG92" s="169">
        <f>_xll.qlDayCounterYearFraction(DayCounter,SettlementDate,AF92,,,Trigger)</f>
        <v>0.34722222222222221</v>
      </c>
      <c r="AH92" s="181">
        <f t="shared" si="14"/>
        <v>1.8410836168803243E-3</v>
      </c>
      <c r="AI92" s="181">
        <f t="shared" si="15"/>
        <v>1.8663238895162968E-3</v>
      </c>
      <c r="AJ92" s="181">
        <f t="shared" si="16"/>
        <v>1.8701589715666525E-3</v>
      </c>
    </row>
    <row r="93" spans="14:36" x14ac:dyDescent="0.2">
      <c r="N93" s="154"/>
      <c r="O93" s="154"/>
      <c r="AF93" s="183">
        <f>_xll.qlCalendarAdvance(Calendar,AF92,"1d","mf",,Trigger)</f>
        <v>42263</v>
      </c>
      <c r="AG93" s="169">
        <f>_xll.qlDayCounterYearFraction(DayCounter,SettlementDate,AF93,,,Trigger)</f>
        <v>0.35</v>
      </c>
      <c r="AH93" s="181">
        <f t="shared" si="14"/>
        <v>1.8410836168803243E-3</v>
      </c>
      <c r="AI93" s="181">
        <f t="shared" si="15"/>
        <v>1.8670887462628415E-3</v>
      </c>
      <c r="AJ93" s="181">
        <f t="shared" si="16"/>
        <v>1.8708748268543899E-3</v>
      </c>
    </row>
    <row r="94" spans="14:36" x14ac:dyDescent="0.2">
      <c r="N94" s="154"/>
      <c r="O94" s="154"/>
      <c r="AF94" s="183">
        <f>_xll.qlCalendarAdvance(Calendar,AF93,"1d","mf",,Trigger)</f>
        <v>42264</v>
      </c>
      <c r="AG94" s="169">
        <f>_xll.qlDayCounterYearFraction(DayCounter,SettlementDate,AF94,,,Trigger)</f>
        <v>0.3527777777777778</v>
      </c>
      <c r="AH94" s="181">
        <f t="shared" si="14"/>
        <v>1.8410836168803243E-3</v>
      </c>
      <c r="AI94" s="181">
        <f t="shared" si="15"/>
        <v>1.8678536030093862E-3</v>
      </c>
      <c r="AJ94" s="181">
        <f t="shared" si="16"/>
        <v>1.8715879169028083E-3</v>
      </c>
    </row>
    <row r="95" spans="14:36" x14ac:dyDescent="0.2">
      <c r="N95" s="154"/>
      <c r="O95" s="154"/>
      <c r="AF95" s="183">
        <f>_xll.qlCalendarAdvance(Calendar,AF94,"1d","mf",,Trigger)</f>
        <v>42265</v>
      </c>
      <c r="AG95" s="169">
        <f>_xll.qlDayCounterYearFraction(DayCounter,SettlementDate,AF95,,,Trigger)</f>
        <v>0.35555555555555557</v>
      </c>
      <c r="AH95" s="181">
        <f t="shared" si="14"/>
        <v>1.8410836168803243E-3</v>
      </c>
      <c r="AI95" s="181">
        <f t="shared" si="15"/>
        <v>1.8686184597559309E-3</v>
      </c>
      <c r="AJ95" s="181">
        <f t="shared" si="16"/>
        <v>1.8722982417119073E-3</v>
      </c>
    </row>
    <row r="96" spans="14:36" x14ac:dyDescent="0.2">
      <c r="N96" s="154"/>
      <c r="O96" s="154"/>
      <c r="AF96" s="183">
        <f>_xll.qlCalendarAdvance(Calendar,AF95,"1d","mf",,Trigger)</f>
        <v>42268</v>
      </c>
      <c r="AG96" s="169">
        <f>_xll.qlDayCounterYearFraction(DayCounter,SettlementDate,AF96,,,Trigger)</f>
        <v>0.36388888888888887</v>
      </c>
      <c r="AH96" s="181">
        <f t="shared" si="14"/>
        <v>1.8410836168803243E-3</v>
      </c>
      <c r="AI96" s="181">
        <f t="shared" si="15"/>
        <v>1.8709130299955647E-3</v>
      </c>
      <c r="AJ96" s="181">
        <f t="shared" si="16"/>
        <v>1.8744126247032893E-3</v>
      </c>
    </row>
    <row r="97" spans="14:36" x14ac:dyDescent="0.2">
      <c r="N97" s="154"/>
      <c r="O97" s="154"/>
      <c r="AF97" s="183">
        <f>_xll.qlCalendarAdvance(Calendar,AF96,"1d","mf",,Trigger)</f>
        <v>42269</v>
      </c>
      <c r="AG97" s="169">
        <f>_xll.qlDayCounterYearFraction(DayCounter,SettlementDate,AF97,,,Trigger)</f>
        <v>0.36666666666666664</v>
      </c>
      <c r="AH97" s="181">
        <f t="shared" si="14"/>
        <v>1.8410836168803243E-3</v>
      </c>
      <c r="AI97" s="181">
        <f t="shared" si="15"/>
        <v>1.8716778867421094E-3</v>
      </c>
      <c r="AJ97" s="181">
        <f t="shared" si="16"/>
        <v>1.8751118885551117E-3</v>
      </c>
    </row>
    <row r="98" spans="14:36" x14ac:dyDescent="0.2">
      <c r="N98" s="154"/>
      <c r="O98" s="154"/>
      <c r="AF98" s="183">
        <f>_xll.qlCalendarAdvance(Calendar,AF97,"1d","mf",,Trigger)</f>
        <v>42270</v>
      </c>
      <c r="AG98" s="169">
        <f>_xll.qlDayCounterYearFraction(DayCounter,SettlementDate,AF98,,,Trigger)</f>
        <v>0.36944444444444446</v>
      </c>
      <c r="AH98" s="181">
        <f t="shared" si="14"/>
        <v>1.8410836168803243E-3</v>
      </c>
      <c r="AI98" s="181">
        <f t="shared" si="15"/>
        <v>1.8724427434886541E-3</v>
      </c>
      <c r="AJ98" s="181">
        <f t="shared" si="16"/>
        <v>1.8758083871676149E-3</v>
      </c>
    </row>
    <row r="99" spans="14:36" x14ac:dyDescent="0.2">
      <c r="N99" s="154"/>
      <c r="O99" s="154"/>
      <c r="AF99" s="183">
        <f>_xll.qlCalendarAdvance(Calendar,AF98,"1d","mf",,Trigger)</f>
        <v>42271</v>
      </c>
      <c r="AG99" s="169">
        <f>_xll.qlDayCounterYearFraction(DayCounter,SettlementDate,AF99,,,Trigger)</f>
        <v>0.37222222222222223</v>
      </c>
      <c r="AH99" s="181">
        <f t="shared" ref="AH99:AH132" si="17">$W$13</f>
        <v>1.8410836168803243E-3</v>
      </c>
      <c r="AI99" s="181">
        <f t="shared" ref="AI99:AI132" si="18">$W$10+$W$9*AG99</f>
        <v>1.8732076002351988E-3</v>
      </c>
      <c r="AJ99" s="181">
        <f t="shared" ref="AJ99:AJ132" si="19">($W$5+$W$4*AG99+$W$3*AG99^2)</f>
        <v>1.8765021205407989E-3</v>
      </c>
    </row>
    <row r="100" spans="14:36" x14ac:dyDescent="0.2">
      <c r="N100" s="154"/>
      <c r="O100" s="154"/>
      <c r="AF100" s="183">
        <f>_xll.qlCalendarAdvance(Calendar,AF99,"1d","mf",,Trigger)</f>
        <v>42272</v>
      </c>
      <c r="AG100" s="169">
        <f>_xll.qlDayCounterYearFraction(DayCounter,SettlementDate,AF100,,,Trigger)</f>
        <v>0.375</v>
      </c>
      <c r="AH100" s="181">
        <f t="shared" si="17"/>
        <v>1.8410836168803243E-3</v>
      </c>
      <c r="AI100" s="181">
        <f t="shared" si="18"/>
        <v>1.8739724569817435E-3</v>
      </c>
      <c r="AJ100" s="181">
        <f t="shared" si="19"/>
        <v>1.8771930886746636E-3</v>
      </c>
    </row>
    <row r="101" spans="14:36" x14ac:dyDescent="0.2">
      <c r="N101" s="154"/>
      <c r="O101" s="154"/>
      <c r="AF101" s="183">
        <f>_xll.qlCalendarAdvance(Calendar,AF100,"1d","mf",,Trigger)</f>
        <v>42275</v>
      </c>
      <c r="AG101" s="169">
        <f>_xll.qlDayCounterYearFraction(DayCounter,SettlementDate,AF101,,,Trigger)</f>
        <v>0.38333333333333336</v>
      </c>
      <c r="AH101" s="181">
        <f t="shared" si="17"/>
        <v>1.8410836168803243E-3</v>
      </c>
      <c r="AI101" s="181">
        <f t="shared" si="18"/>
        <v>1.8762670272213775E-3</v>
      </c>
      <c r="AJ101" s="181">
        <f t="shared" si="19"/>
        <v>1.8792494016403429E-3</v>
      </c>
    </row>
    <row r="102" spans="14:36" x14ac:dyDescent="0.2">
      <c r="N102" s="154"/>
      <c r="O102" s="154"/>
      <c r="AF102" s="183">
        <f>_xll.qlCalendarAdvance(Calendar,AF101,"1d","mf",,Trigger)</f>
        <v>42276</v>
      </c>
      <c r="AG102" s="169">
        <f>_xll.qlDayCounterYearFraction(DayCounter,SettlementDate,AF102,,,Trigger)</f>
        <v>0.38611111111111113</v>
      </c>
      <c r="AH102" s="181">
        <f t="shared" si="17"/>
        <v>1.8410836168803243E-3</v>
      </c>
      <c r="AI102" s="181">
        <f t="shared" si="18"/>
        <v>1.8770318839679222E-3</v>
      </c>
      <c r="AJ102" s="181">
        <f t="shared" si="19"/>
        <v>1.879929308816931E-3</v>
      </c>
    </row>
    <row r="103" spans="14:36" x14ac:dyDescent="0.2">
      <c r="N103" s="154"/>
      <c r="O103" s="154"/>
      <c r="AF103" s="183">
        <f>_xll.qlCalendarAdvance(Calendar,AF102,"1d","mf",,Trigger)</f>
        <v>42277</v>
      </c>
      <c r="AG103" s="169">
        <f>_xll.qlDayCounterYearFraction(DayCounter,SettlementDate,AF103,,,Trigger)</f>
        <v>0.3888888888888889</v>
      </c>
      <c r="AH103" s="181">
        <f t="shared" si="17"/>
        <v>1.8410836168803243E-3</v>
      </c>
      <c r="AI103" s="181">
        <f t="shared" si="18"/>
        <v>1.8777967407144667E-3</v>
      </c>
      <c r="AJ103" s="181">
        <f t="shared" si="19"/>
        <v>1.8806064507541998E-3</v>
      </c>
    </row>
    <row r="104" spans="14:36" x14ac:dyDescent="0.2">
      <c r="N104" s="154"/>
      <c r="O104" s="154"/>
      <c r="AF104" s="183">
        <f>_xll.qlCalendarAdvance(Calendar,AF103,"1d","mf",,Trigger)</f>
        <v>42278</v>
      </c>
      <c r="AG104" s="169">
        <f>_xll.qlDayCounterYearFraction(DayCounter,SettlementDate,AF104,,,Trigger)</f>
        <v>0.39166666666666666</v>
      </c>
      <c r="AH104" s="181">
        <f t="shared" si="17"/>
        <v>1.8410836168803243E-3</v>
      </c>
      <c r="AI104" s="181">
        <f t="shared" si="18"/>
        <v>1.8785615974610114E-3</v>
      </c>
      <c r="AJ104" s="181">
        <f t="shared" si="19"/>
        <v>1.8812808274521497E-3</v>
      </c>
    </row>
    <row r="105" spans="14:36" x14ac:dyDescent="0.2">
      <c r="N105" s="154"/>
      <c r="O105" s="154"/>
      <c r="AF105" s="183">
        <f>_xll.qlCalendarAdvance(Calendar,AF104,"1d","mf",,Trigger)</f>
        <v>42279</v>
      </c>
      <c r="AG105" s="169">
        <f>_xll.qlDayCounterYearFraction(DayCounter,SettlementDate,AF105,,,Trigger)</f>
        <v>0.39444444444444443</v>
      </c>
      <c r="AH105" s="181">
        <f t="shared" si="17"/>
        <v>1.8410836168803243E-3</v>
      </c>
      <c r="AI105" s="181">
        <f t="shared" si="18"/>
        <v>1.8793264542075561E-3</v>
      </c>
      <c r="AJ105" s="181">
        <f t="shared" si="19"/>
        <v>1.8819524389107802E-3</v>
      </c>
    </row>
    <row r="106" spans="14:36" x14ac:dyDescent="0.2">
      <c r="N106" s="154"/>
      <c r="O106" s="154"/>
      <c r="AF106" s="183">
        <f>_xll.qlCalendarAdvance(Calendar,AF105,"1d","mf",,Trigger)</f>
        <v>42282</v>
      </c>
      <c r="AG106" s="169">
        <f>_xll.qlDayCounterYearFraction(DayCounter,SettlementDate,AF106,,,Trigger)</f>
        <v>0.40277777777777779</v>
      </c>
      <c r="AH106" s="181">
        <f t="shared" si="17"/>
        <v>1.8410836168803243E-3</v>
      </c>
      <c r="AI106" s="181">
        <f t="shared" si="18"/>
        <v>1.8816210244471901E-3</v>
      </c>
      <c r="AJ106" s="181">
        <f t="shared" si="19"/>
        <v>1.8839506818507568E-3</v>
      </c>
    </row>
    <row r="107" spans="14:36" x14ac:dyDescent="0.2">
      <c r="N107" s="154"/>
      <c r="O107" s="154"/>
      <c r="AF107" s="183">
        <f>_xll.qlCalendarAdvance(Calendar,AF106,"1d","mf",,Trigger)</f>
        <v>42283</v>
      </c>
      <c r="AG107" s="169">
        <f>_xll.qlDayCounterYearFraction(DayCounter,SettlementDate,AF107,,,Trigger)</f>
        <v>0.40555555555555556</v>
      </c>
      <c r="AH107" s="181">
        <f t="shared" si="17"/>
        <v>1.8410836168803243E-3</v>
      </c>
      <c r="AI107" s="181">
        <f t="shared" si="18"/>
        <v>1.8823858811937348E-3</v>
      </c>
      <c r="AJ107" s="181">
        <f t="shared" si="19"/>
        <v>1.8846112323521104E-3</v>
      </c>
    </row>
    <row r="108" spans="14:36" x14ac:dyDescent="0.2">
      <c r="N108" s="154"/>
      <c r="O108" s="154"/>
      <c r="AF108" s="183">
        <f>_xll.qlCalendarAdvance(Calendar,AF107,"1d","mf",,Trigger)</f>
        <v>42284</v>
      </c>
      <c r="AG108" s="169">
        <f>_xll.qlDayCounterYearFraction(DayCounter,SettlementDate,AF108,,,Trigger)</f>
        <v>0.40833333333333333</v>
      </c>
      <c r="AH108" s="181">
        <f t="shared" si="17"/>
        <v>1.8410836168803243E-3</v>
      </c>
      <c r="AI108" s="181">
        <f t="shared" si="18"/>
        <v>1.8831507379402793E-3</v>
      </c>
      <c r="AJ108" s="181">
        <f t="shared" si="19"/>
        <v>1.8852690176141451E-3</v>
      </c>
    </row>
    <row r="109" spans="14:36" x14ac:dyDescent="0.2">
      <c r="N109" s="154"/>
      <c r="O109" s="154"/>
      <c r="AF109" s="183">
        <f>_xll.qlCalendarAdvance(Calendar,AF108,"1d","mf",,Trigger)</f>
        <v>42285</v>
      </c>
      <c r="AG109" s="169">
        <f>_xll.qlDayCounterYearFraction(DayCounter,SettlementDate,AF109,,,Trigger)</f>
        <v>0.41111111111111109</v>
      </c>
      <c r="AH109" s="181">
        <f t="shared" si="17"/>
        <v>1.8410836168803243E-3</v>
      </c>
      <c r="AI109" s="181">
        <f t="shared" si="18"/>
        <v>1.883915594686824E-3</v>
      </c>
      <c r="AJ109" s="181">
        <f t="shared" si="19"/>
        <v>1.8859240376368606E-3</v>
      </c>
    </row>
    <row r="110" spans="14:36" x14ac:dyDescent="0.2">
      <c r="N110" s="154"/>
      <c r="O110" s="154"/>
      <c r="AF110" s="183">
        <f>_xll.qlCalendarAdvance(Calendar,AF109,"1d","mf",,Trigger)</f>
        <v>42286</v>
      </c>
      <c r="AG110" s="169">
        <f>_xll.qlDayCounterYearFraction(DayCounter,SettlementDate,AF110,,,Trigger)</f>
        <v>0.41388888888888886</v>
      </c>
      <c r="AH110" s="181">
        <f t="shared" si="17"/>
        <v>1.8410836168803243E-3</v>
      </c>
      <c r="AI110" s="181">
        <f t="shared" si="18"/>
        <v>1.8846804514333687E-3</v>
      </c>
      <c r="AJ110" s="181">
        <f t="shared" si="19"/>
        <v>1.8865762924202567E-3</v>
      </c>
    </row>
    <row r="111" spans="14:36" x14ac:dyDescent="0.2">
      <c r="N111" s="154"/>
      <c r="O111" s="154"/>
      <c r="AF111" s="183">
        <f>_xll.qlCalendarAdvance(Calendar,AF110,"1d","mf",,Trigger)</f>
        <v>42289</v>
      </c>
      <c r="AG111" s="169">
        <f>_xll.qlDayCounterYearFraction(DayCounter,SettlementDate,AF111,,,Trigger)</f>
        <v>0.42222222222222222</v>
      </c>
      <c r="AH111" s="181">
        <f t="shared" si="17"/>
        <v>1.8410836168803243E-3</v>
      </c>
      <c r="AI111" s="181">
        <f t="shared" si="18"/>
        <v>1.8869750216730027E-3</v>
      </c>
      <c r="AJ111" s="181">
        <f t="shared" si="19"/>
        <v>1.8885164653345305E-3</v>
      </c>
    </row>
    <row r="112" spans="14:36" x14ac:dyDescent="0.2">
      <c r="N112" s="154"/>
      <c r="O112" s="154"/>
      <c r="AF112" s="183">
        <f>_xll.qlCalendarAdvance(Calendar,AF111,"1d","mf",,Trigger)</f>
        <v>42290</v>
      </c>
      <c r="AG112" s="169">
        <f>_xll.qlDayCounterYearFraction(DayCounter,SettlementDate,AF112,,,Trigger)</f>
        <v>0.42499999999999999</v>
      </c>
      <c r="AH112" s="181">
        <f t="shared" si="17"/>
        <v>1.8410836168803243E-3</v>
      </c>
      <c r="AI112" s="181">
        <f t="shared" si="18"/>
        <v>1.8877398784195474E-3</v>
      </c>
      <c r="AJ112" s="181">
        <f t="shared" si="19"/>
        <v>1.8891576591606499E-3</v>
      </c>
    </row>
    <row r="113" spans="14:36" x14ac:dyDescent="0.2">
      <c r="N113" s="155"/>
      <c r="O113" s="154"/>
      <c r="AF113" s="183">
        <f>_xll.qlCalendarAdvance(Calendar,AF112,"1d","mf",,Trigger)</f>
        <v>42291</v>
      </c>
      <c r="AG113" s="169">
        <f>_xll.qlDayCounterYearFraction(DayCounter,SettlementDate,AF113,,,Trigger)</f>
        <v>0.42777777777777776</v>
      </c>
      <c r="AH113" s="181">
        <f t="shared" si="17"/>
        <v>1.8410836168803243E-3</v>
      </c>
      <c r="AI113" s="181">
        <f t="shared" si="18"/>
        <v>1.8885047351660919E-3</v>
      </c>
      <c r="AJ113" s="181">
        <f t="shared" si="19"/>
        <v>1.8897960877474502E-3</v>
      </c>
    </row>
    <row r="114" spans="14:36" x14ac:dyDescent="0.2">
      <c r="N114" s="155"/>
      <c r="O114" s="154"/>
      <c r="AF114" s="183">
        <f>_xll.qlCalendarAdvance(Calendar,AF113,"1d","mf",,Trigger)</f>
        <v>42292</v>
      </c>
      <c r="AG114" s="169">
        <f>_xll.qlDayCounterYearFraction(DayCounter,SettlementDate,AF114,,,Trigger)</f>
        <v>0.43055555555555558</v>
      </c>
      <c r="AH114" s="181">
        <f t="shared" si="17"/>
        <v>1.8410836168803243E-3</v>
      </c>
      <c r="AI114" s="181">
        <f t="shared" si="18"/>
        <v>1.8892695919126366E-3</v>
      </c>
      <c r="AJ114" s="181">
        <f t="shared" si="19"/>
        <v>1.8904317510949316E-3</v>
      </c>
    </row>
    <row r="115" spans="14:36" x14ac:dyDescent="0.2">
      <c r="N115" s="155"/>
      <c r="O115" s="154"/>
      <c r="AF115" s="183">
        <f>_xll.qlCalendarAdvance(Calendar,AF114,"1d","mf",,Trigger)</f>
        <v>42293</v>
      </c>
      <c r="AG115" s="169">
        <f>_xll.qlDayCounterYearFraction(DayCounter,SettlementDate,AF115,,,Trigger)</f>
        <v>0.43333333333333335</v>
      </c>
      <c r="AH115" s="181">
        <f t="shared" si="17"/>
        <v>1.8410836168803243E-3</v>
      </c>
      <c r="AI115" s="181">
        <f t="shared" si="18"/>
        <v>1.8900344486591813E-3</v>
      </c>
      <c r="AJ115" s="181">
        <f t="shared" si="19"/>
        <v>1.8910646492030934E-3</v>
      </c>
    </row>
    <row r="116" spans="14:36" x14ac:dyDescent="0.2">
      <c r="N116" s="155"/>
      <c r="O116" s="154"/>
      <c r="AF116" s="183">
        <f>_xll.qlCalendarAdvance(Calendar,AF115,"1d","mf",,Trigger)</f>
        <v>42296</v>
      </c>
      <c r="AG116" s="169">
        <f>_xll.qlDayCounterYearFraction(DayCounter,SettlementDate,AF116,,,Trigger)</f>
        <v>0.44166666666666665</v>
      </c>
      <c r="AH116" s="181">
        <f t="shared" si="17"/>
        <v>1.8410836168803243E-3</v>
      </c>
      <c r="AI116" s="181">
        <f t="shared" si="18"/>
        <v>1.8923290188988153E-3</v>
      </c>
      <c r="AJ116" s="181">
        <f t="shared" si="19"/>
        <v>1.8929467520916645E-3</v>
      </c>
    </row>
    <row r="117" spans="14:36" x14ac:dyDescent="0.2">
      <c r="N117" s="155"/>
      <c r="O117" s="154"/>
      <c r="AF117" s="183">
        <f>_xll.qlCalendarAdvance(Calendar,AF116,"1d","mf",,Trigger)</f>
        <v>42297</v>
      </c>
      <c r="AG117" s="169">
        <f>_xll.qlDayCounterYearFraction(DayCounter,SettlementDate,AF117,,,Trigger)</f>
        <v>0.44444444444444442</v>
      </c>
      <c r="AH117" s="181">
        <f t="shared" si="17"/>
        <v>1.8410836168803243E-3</v>
      </c>
      <c r="AI117" s="181">
        <f t="shared" si="18"/>
        <v>1.89309387564536E-3</v>
      </c>
      <c r="AJ117" s="181">
        <f t="shared" si="19"/>
        <v>1.8935685892425497E-3</v>
      </c>
    </row>
    <row r="118" spans="14:36" x14ac:dyDescent="0.2">
      <c r="N118" s="155"/>
      <c r="O118" s="154"/>
      <c r="AF118" s="183">
        <f>_xll.qlCalendarAdvance(Calendar,AF117,"1d","mf",,Trigger)</f>
        <v>42298</v>
      </c>
      <c r="AG118" s="169">
        <f>_xll.qlDayCounterYearFraction(DayCounter,SettlementDate,AF118,,,Trigger)</f>
        <v>0.44722222222222224</v>
      </c>
      <c r="AH118" s="181">
        <f t="shared" si="17"/>
        <v>1.8410836168803243E-3</v>
      </c>
      <c r="AI118" s="181">
        <f t="shared" si="18"/>
        <v>1.8938587323919045E-3</v>
      </c>
      <c r="AJ118" s="181">
        <f t="shared" si="19"/>
        <v>1.8941876611541159E-3</v>
      </c>
    </row>
    <row r="119" spans="14:36" x14ac:dyDescent="0.2">
      <c r="N119" s="155"/>
      <c r="O119" s="155"/>
      <c r="AF119" s="183">
        <f>_xll.qlCalendarAdvance(Calendar,AF118,"1d","mf",,Trigger)</f>
        <v>42299</v>
      </c>
      <c r="AG119" s="169">
        <f>_xll.qlDayCounterYearFraction(DayCounter,SettlementDate,AF119,,,Trigger)</f>
        <v>0.45</v>
      </c>
      <c r="AH119" s="181">
        <f t="shared" si="17"/>
        <v>1.8410836168803243E-3</v>
      </c>
      <c r="AI119" s="181">
        <f t="shared" si="18"/>
        <v>1.8946235891384492E-3</v>
      </c>
      <c r="AJ119" s="181">
        <f t="shared" si="19"/>
        <v>1.8948039678263627E-3</v>
      </c>
    </row>
    <row r="120" spans="14:36" x14ac:dyDescent="0.2">
      <c r="N120" s="155"/>
      <c r="O120" s="155"/>
      <c r="AF120" s="183">
        <f>_xll.qlCalendarAdvance(Calendar,AF119,"1d","mf",,Trigger)</f>
        <v>42300</v>
      </c>
      <c r="AG120" s="169">
        <f>_xll.qlDayCounterYearFraction(DayCounter,SettlementDate,AF120,,,Trigger)</f>
        <v>0.45277777777777778</v>
      </c>
      <c r="AH120" s="181">
        <f t="shared" si="17"/>
        <v>1.8410836168803243E-3</v>
      </c>
      <c r="AI120" s="181">
        <f t="shared" si="18"/>
        <v>1.8953884458849939E-3</v>
      </c>
      <c r="AJ120" s="181">
        <f t="shared" si="19"/>
        <v>1.8954175092592903E-3</v>
      </c>
    </row>
    <row r="121" spans="14:36" x14ac:dyDescent="0.2">
      <c r="N121" s="155"/>
      <c r="O121" s="155"/>
      <c r="AF121" s="183">
        <f>_xll.qlCalendarAdvance(Calendar,AF120,"1d","mf",,Trigger)</f>
        <v>42303</v>
      </c>
      <c r="AG121" s="169">
        <f>_xll.qlDayCounterYearFraction(DayCounter,SettlementDate,AF121,,,Trigger)</f>
        <v>0.46111111111111114</v>
      </c>
      <c r="AH121" s="181">
        <f t="shared" si="17"/>
        <v>1.8410836168803243E-3</v>
      </c>
      <c r="AI121" s="181">
        <f t="shared" si="18"/>
        <v>1.8976830161246279E-3</v>
      </c>
      <c r="AJ121" s="181">
        <f t="shared" si="19"/>
        <v>1.8972415421221584E-3</v>
      </c>
    </row>
    <row r="122" spans="14:36" x14ac:dyDescent="0.2">
      <c r="N122" s="155"/>
      <c r="O122" s="155"/>
      <c r="AF122" s="183">
        <f>_xll.qlCalendarAdvance(Calendar,AF121,"1d","mf",,Trigger)</f>
        <v>42304</v>
      </c>
      <c r="AG122" s="169">
        <f>_xll.qlDayCounterYearFraction(DayCounter,SettlementDate,AF122,,,Trigger)</f>
        <v>0.46388888888888891</v>
      </c>
      <c r="AH122" s="181">
        <f t="shared" si="17"/>
        <v>1.8410836168803243E-3</v>
      </c>
      <c r="AI122" s="181">
        <f t="shared" si="18"/>
        <v>1.8984478728711726E-3</v>
      </c>
      <c r="AJ122" s="181">
        <f t="shared" si="19"/>
        <v>1.8978440225978094E-3</v>
      </c>
    </row>
    <row r="123" spans="14:36" x14ac:dyDescent="0.2">
      <c r="N123" s="155"/>
      <c r="O123" s="155"/>
      <c r="AF123" s="183">
        <f>_xll.qlCalendarAdvance(Calendar,AF122,"1d","mf",,Trigger)</f>
        <v>42305</v>
      </c>
      <c r="AG123" s="169">
        <f>_xll.qlDayCounterYearFraction(DayCounter,SettlementDate,AF123,,,Trigger)</f>
        <v>0.46666666666666667</v>
      </c>
      <c r="AH123" s="181">
        <f t="shared" si="17"/>
        <v>1.8410836168803243E-3</v>
      </c>
      <c r="AI123" s="181">
        <f t="shared" si="18"/>
        <v>1.8992127296177173E-3</v>
      </c>
      <c r="AJ123" s="181">
        <f t="shared" si="19"/>
        <v>1.8984437378341411E-3</v>
      </c>
    </row>
    <row r="124" spans="14:36" x14ac:dyDescent="0.2">
      <c r="N124" s="155"/>
      <c r="O124" s="155"/>
      <c r="AF124" s="183">
        <f>_xll.qlCalendarAdvance(Calendar,AF123,"1d","mf",,Trigger)</f>
        <v>42306</v>
      </c>
      <c r="AG124" s="169">
        <f>_xll.qlDayCounterYearFraction(DayCounter,SettlementDate,AF124,,,Trigger)</f>
        <v>0.46944444444444444</v>
      </c>
      <c r="AH124" s="181">
        <f t="shared" si="17"/>
        <v>1.8410836168803243E-3</v>
      </c>
      <c r="AI124" s="181">
        <f t="shared" si="18"/>
        <v>1.899977586364262E-3</v>
      </c>
      <c r="AJ124" s="181">
        <f t="shared" si="19"/>
        <v>1.8990406878311539E-3</v>
      </c>
    </row>
    <row r="125" spans="14:36" x14ac:dyDescent="0.2">
      <c r="N125" s="155"/>
      <c r="O125" s="155"/>
      <c r="AF125" s="183">
        <f>_xll.qlCalendarAdvance(Calendar,AF124,"1d","mf",,Trigger)</f>
        <v>42307</v>
      </c>
      <c r="AG125" s="169">
        <f>_xll.qlDayCounterYearFraction(DayCounter,SettlementDate,AF125,,,Trigger)</f>
        <v>0.47222222222222221</v>
      </c>
      <c r="AH125" s="181">
        <f t="shared" si="17"/>
        <v>1.8410836168803243E-3</v>
      </c>
      <c r="AI125" s="181">
        <f t="shared" si="18"/>
        <v>1.9007424431108065E-3</v>
      </c>
      <c r="AJ125" s="181">
        <f t="shared" si="19"/>
        <v>1.8996348725888474E-3</v>
      </c>
    </row>
    <row r="126" spans="14:36" x14ac:dyDescent="0.2">
      <c r="N126" s="155"/>
      <c r="O126" s="155"/>
      <c r="AF126" s="183">
        <f>_xll.qlCalendarAdvance(Calendar,AF125,"1d","mf",,Trigger)</f>
        <v>42310</v>
      </c>
      <c r="AG126" s="169">
        <f>_xll.qlDayCounterYearFraction(DayCounter,SettlementDate,AF126,,,Trigger)</f>
        <v>0.48055555555555557</v>
      </c>
      <c r="AH126" s="181">
        <f t="shared" si="17"/>
        <v>1.8410836168803243E-3</v>
      </c>
      <c r="AI126" s="181">
        <f t="shared" si="18"/>
        <v>1.9030370133504405E-3</v>
      </c>
      <c r="AJ126" s="181">
        <f t="shared" si="19"/>
        <v>1.9014008354260126E-3</v>
      </c>
    </row>
    <row r="127" spans="14:36" x14ac:dyDescent="0.2">
      <c r="N127" s="155"/>
      <c r="O127" s="155"/>
      <c r="AF127" s="183">
        <f>_xll.qlCalendarAdvance(Calendar,AF126,"1d","mf",,Trigger)</f>
        <v>42311</v>
      </c>
      <c r="AG127" s="169">
        <f>_xll.qlDayCounterYearFraction(DayCounter,SettlementDate,AF127,,,Trigger)</f>
        <v>0.48333333333333334</v>
      </c>
      <c r="AH127" s="181">
        <f t="shared" si="17"/>
        <v>1.8410836168803243E-3</v>
      </c>
      <c r="AI127" s="181">
        <f t="shared" si="18"/>
        <v>1.9038018700969852E-3</v>
      </c>
      <c r="AJ127" s="181">
        <f t="shared" si="19"/>
        <v>1.9019839592264293E-3</v>
      </c>
    </row>
    <row r="128" spans="14:36" x14ac:dyDescent="0.2">
      <c r="N128" s="155"/>
      <c r="O128" s="155"/>
      <c r="AF128" s="183">
        <f>_xll.qlCalendarAdvance(Calendar,AF127,"1d","mf",,Trigger)</f>
        <v>42312</v>
      </c>
      <c r="AG128" s="169">
        <f>_xll.qlDayCounterYearFraction(DayCounter,SettlementDate,AF128,,,Trigger)</f>
        <v>0.4861111111111111</v>
      </c>
      <c r="AH128" s="181">
        <f t="shared" si="17"/>
        <v>1.8410836168803243E-3</v>
      </c>
      <c r="AI128" s="181">
        <f t="shared" si="18"/>
        <v>1.9045667268435299E-3</v>
      </c>
      <c r="AJ128" s="181">
        <f t="shared" si="19"/>
        <v>1.902564317787527E-3</v>
      </c>
    </row>
    <row r="129" spans="15:36" x14ac:dyDescent="0.2">
      <c r="O129" s="155"/>
      <c r="AF129" s="183">
        <f>_xll.qlCalendarAdvance(Calendar,AF128,"1d","mf",,Trigger)</f>
        <v>42313</v>
      </c>
      <c r="AG129" s="169">
        <f>_xll.qlDayCounterYearFraction(DayCounter,SettlementDate,AF129,,,Trigger)</f>
        <v>0.48888888888888887</v>
      </c>
      <c r="AH129" s="181">
        <f t="shared" si="17"/>
        <v>1.8410836168803243E-3</v>
      </c>
      <c r="AI129" s="181">
        <f t="shared" si="18"/>
        <v>1.9053315835900744E-3</v>
      </c>
      <c r="AJ129" s="181">
        <f t="shared" si="19"/>
        <v>1.9031419111093053E-3</v>
      </c>
    </row>
    <row r="130" spans="15:36" x14ac:dyDescent="0.2">
      <c r="O130" s="155"/>
      <c r="AF130" s="183">
        <f>_xll.qlCalendarAdvance(Calendar,AF129,"1d","mf",,Trigger)</f>
        <v>42314</v>
      </c>
      <c r="AG130" s="169">
        <f>_xll.qlDayCounterYearFraction(DayCounter,SettlementDate,AF130,,,Trigger)</f>
        <v>0.49166666666666664</v>
      </c>
      <c r="AH130" s="181">
        <f t="shared" si="17"/>
        <v>1.8410836168803243E-3</v>
      </c>
      <c r="AI130" s="181">
        <f t="shared" si="18"/>
        <v>1.9060964403366191E-3</v>
      </c>
      <c r="AJ130" s="181">
        <f t="shared" si="19"/>
        <v>1.9037167391917644E-3</v>
      </c>
    </row>
    <row r="131" spans="15:36" x14ac:dyDescent="0.2">
      <c r="O131" s="155"/>
      <c r="AF131" s="183">
        <f>_xll.qlCalendarAdvance(Calendar,AF130,"1d","mf",,Trigger)</f>
        <v>42317</v>
      </c>
      <c r="AG131" s="169">
        <f>_xll.qlDayCounterYearFraction(DayCounter,SettlementDate,AF131,,,Trigger)</f>
        <v>0.5</v>
      </c>
      <c r="AH131" s="181">
        <f t="shared" si="17"/>
        <v>1.8410836168803243E-3</v>
      </c>
      <c r="AI131" s="181">
        <f t="shared" si="18"/>
        <v>1.9083910105762531E-3</v>
      </c>
      <c r="AJ131" s="181">
        <f t="shared" si="19"/>
        <v>1.9054246320032268E-3</v>
      </c>
    </row>
    <row r="132" spans="15:36" x14ac:dyDescent="0.2">
      <c r="O132" s="155"/>
      <c r="AF132" s="187">
        <f>_xll.qlCalendarAdvance(Calendar,AF131,"1d","mf",,Trigger)</f>
        <v>42318</v>
      </c>
      <c r="AG132" s="174">
        <f>_xll.qlDayCounterYearFraction(DayCounter,SettlementDate,AF132,,,Trigger)</f>
        <v>0.50277777777777777</v>
      </c>
      <c r="AH132" s="190">
        <f t="shared" si="17"/>
        <v>1.8410836168803243E-3</v>
      </c>
      <c r="AI132" s="190">
        <f t="shared" si="18"/>
        <v>1.9091558673227978E-3</v>
      </c>
      <c r="AJ132" s="190">
        <f t="shared" si="19"/>
        <v>1.9059883991284093E-3</v>
      </c>
    </row>
    <row r="133" spans="15:36" x14ac:dyDescent="0.2">
      <c r="O133" s="155"/>
    </row>
    <row r="134" spans="15:36" x14ac:dyDescent="0.2">
      <c r="O134" s="155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57"/>
  <sheetViews>
    <sheetView workbookViewId="0">
      <selection activeCell="D9" sqref="D9"/>
    </sheetView>
  </sheetViews>
  <sheetFormatPr defaultColWidth="9.5" defaultRowHeight="11.25" x14ac:dyDescent="0.2"/>
  <cols>
    <col min="1" max="2" width="3.5" style="129" customWidth="1"/>
    <col min="3" max="5" width="22.83203125" style="129" customWidth="1"/>
    <col min="6" max="6" width="10.5" style="129" bestFit="1" customWidth="1"/>
    <col min="7" max="8" width="14.1640625" style="129" bestFit="1" customWidth="1"/>
    <col min="9" max="9" width="10.5" style="129" bestFit="1" customWidth="1"/>
    <col min="10" max="12" width="10.5" style="129" customWidth="1"/>
    <col min="13" max="13" width="10.83203125" style="129" customWidth="1"/>
    <col min="14" max="14" width="13.1640625" style="129" customWidth="1"/>
    <col min="15" max="17" width="6.83203125" style="129" customWidth="1"/>
    <col min="18" max="18" width="2.33203125" style="129" bestFit="1" customWidth="1"/>
    <col min="19" max="19" width="10.83203125" style="129" customWidth="1"/>
    <col min="20" max="20" width="2.33203125" style="129" bestFit="1" customWidth="1"/>
    <col min="21" max="21" width="10.83203125" style="129" customWidth="1"/>
    <col min="22" max="22" width="12.5" style="129" bestFit="1" customWidth="1"/>
    <col min="23" max="25" width="9.33203125" style="129" bestFit="1" customWidth="1"/>
    <col min="26" max="27" width="9.5" style="129"/>
    <col min="28" max="28" width="20.33203125" style="129" bestFit="1" customWidth="1"/>
    <col min="29" max="29" width="8.1640625" style="129" bestFit="1" customWidth="1"/>
    <col min="30" max="31" width="9.5" style="129" bestFit="1" customWidth="1"/>
    <col min="32" max="32" width="12.1640625" style="129" customWidth="1"/>
    <col min="33" max="16384" width="9.5" style="129"/>
  </cols>
  <sheetData>
    <row r="2" spans="1:32" ht="19.5" customHeight="1" x14ac:dyDescent="0.2">
      <c r="C2" s="156" t="s">
        <v>106</v>
      </c>
      <c r="D2" s="156" t="s">
        <v>91</v>
      </c>
      <c r="E2" s="156" t="s">
        <v>92</v>
      </c>
      <c r="F2" s="156" t="s">
        <v>147</v>
      </c>
      <c r="G2" s="156" t="s">
        <v>151</v>
      </c>
      <c r="H2" s="156" t="s">
        <v>152</v>
      </c>
      <c r="I2" s="156" t="s">
        <v>113</v>
      </c>
      <c r="J2" s="157" t="s">
        <v>114</v>
      </c>
      <c r="K2" s="156" t="s">
        <v>115</v>
      </c>
      <c r="L2" s="156" t="s">
        <v>122</v>
      </c>
      <c r="S2" s="146" t="s">
        <v>111</v>
      </c>
      <c r="W2" s="429" t="s">
        <v>110</v>
      </c>
      <c r="X2" s="429"/>
      <c r="Y2" s="429"/>
      <c r="AB2" s="156" t="s">
        <v>91</v>
      </c>
      <c r="AC2" s="156" t="s">
        <v>143</v>
      </c>
      <c r="AD2" s="156" t="s">
        <v>39</v>
      </c>
      <c r="AE2" s="156" t="s">
        <v>104</v>
      </c>
      <c r="AF2" s="156" t="s">
        <v>105</v>
      </c>
    </row>
    <row r="3" spans="1:32" ht="12" customHeight="1" x14ac:dyDescent="0.2">
      <c r="C3" s="161" t="str">
        <f>$D$10&amp;"LastFixing"&amp;QuoteSuffix</f>
        <v>Euribor1YLastFixing_Quote</v>
      </c>
      <c r="D3" s="162">
        <f>_xll.qlCalendarAdvance(Calendar,_xll.qlLastFixingQuoteReferenceDate($C$3),_xll.qlInterestRateIndexFixingDays($D$10)&amp;"D","f",,LastFixingsTrigger)</f>
        <v>42137</v>
      </c>
      <c r="E3" s="162">
        <f>_xll.qlInterestRateIndexMaturity($D$10,D3)</f>
        <v>42503</v>
      </c>
      <c r="F3" s="163">
        <f>'1Y Delta'!X31</f>
        <v>2.9599655629780155E-3</v>
      </c>
      <c r="G3" s="164">
        <f>_xll.qlDayCounterYearFraction(DayCounter,SettlementDate,D3,,,Trigger)</f>
        <v>0</v>
      </c>
      <c r="H3" s="164">
        <f>_xll.qlDayCounterYearFraction(DayCounter,SettlementDate,E3,,,Trigger)</f>
        <v>1.0166666666666666</v>
      </c>
      <c r="I3" s="164">
        <f>H3-G3</f>
        <v>1.0166666666666666</v>
      </c>
      <c r="J3" s="164">
        <f>(H3^2-G3^2)/2</f>
        <v>0.51680555555555552</v>
      </c>
      <c r="K3" s="164">
        <f>(H3^3-G3^3)/3</f>
        <v>0.35027932098765424</v>
      </c>
      <c r="L3" s="165" t="b">
        <f>IF(D12="fixing",TRUE,FALSE)</f>
        <v>0</v>
      </c>
      <c r="N3" s="430" t="s">
        <v>107</v>
      </c>
      <c r="O3" s="141">
        <f t="array" ref="O3:O5">_xll.ohFilter(K3:K7,L3:L7)</f>
        <v>0.35027932098765424</v>
      </c>
      <c r="P3" s="147">
        <f t="array" ref="P3:P5">_xll.ohFilter(J3:J7,L3:L7)</f>
        <v>0.51680555555555552</v>
      </c>
      <c r="Q3" s="142">
        <f t="array" ref="Q3:Q5">_xll.ohFilter(I3:I7,L3:L7)</f>
        <v>1.0166666666666666</v>
      </c>
      <c r="R3" s="148"/>
      <c r="S3" s="143">
        <f t="array" ref="S3:S5">MMULT(W3:Y5,U3:U5)</f>
        <v>9.6480159939174234E-4</v>
      </c>
      <c r="T3" s="149"/>
      <c r="U3" s="144">
        <f t="array" ref="U3:U5">_xll.ohFilter(F3:F7,L3:L7)</f>
        <v>2.9599655629780155E-3</v>
      </c>
      <c r="W3" s="141">
        <f t="array" ref="W3:Y5">MINVERSE(O3:Q5)</f>
        <v>7.5100781462778636</v>
      </c>
      <c r="X3" s="147">
        <v>-15.060971934655054</v>
      </c>
      <c r="Y3" s="142">
        <v>7.6123952872353202</v>
      </c>
      <c r="AB3" s="178">
        <f>SettlementDate</f>
        <v>42137</v>
      </c>
      <c r="AC3" s="169">
        <f>_xll.qlDayCounterYearFraction(DayCounter,SettlementDate,AB3,,,Trigger)</f>
        <v>0</v>
      </c>
      <c r="AD3" s="194">
        <f t="shared" ref="AD3:AD66" si="0">$S$13</f>
        <v>2.9114415373554252E-3</v>
      </c>
      <c r="AE3" s="194">
        <f t="shared" ref="AE3:AE21" si="1">$S$10+$S$9*AC3</f>
        <v>2.6229561999241788E-3</v>
      </c>
      <c r="AF3" s="194">
        <f t="shared" ref="AF3:AF21" si="2">($S$5+$S$4*AC3+$S$3*AC3^2)</f>
        <v>2.9176503849862329E-3</v>
      </c>
    </row>
    <row r="4" spans="1:32" ht="12" customHeight="1" x14ac:dyDescent="0.2">
      <c r="A4" s="129">
        <v>0</v>
      </c>
      <c r="B4" s="129">
        <f>A4+12</f>
        <v>12</v>
      </c>
      <c r="C4" s="166" t="str">
        <f>"Delta("&amp;A4&amp;"M,"&amp;B4&amp;"M)"</f>
        <v>Delta(0M,12M)</v>
      </c>
      <c r="D4" s="167">
        <f>SettlementDate</f>
        <v>42137</v>
      </c>
      <c r="E4" s="167">
        <f>_xll.qlInterestRateIndexMaturity($D$10,D4)</f>
        <v>42503</v>
      </c>
      <c r="F4" s="168">
        <f t="array" ref="F4:F7">Delta1Y</f>
        <v>2.9599655629780155E-3</v>
      </c>
      <c r="G4" s="169">
        <f>_xll.qlDayCounterYearFraction(DayCounter,SettlementDate,D4,,,Trigger)</f>
        <v>0</v>
      </c>
      <c r="H4" s="169">
        <f>_xll.qlDayCounterYearFraction(DayCounter,SettlementDate,E4,,,Trigger)</f>
        <v>1.0166666666666666</v>
      </c>
      <c r="I4" s="169">
        <f>H4-G4</f>
        <v>1.0166666666666666</v>
      </c>
      <c r="J4" s="169">
        <f>(H4^2-G4^2)/2</f>
        <v>0.51680555555555552</v>
      </c>
      <c r="K4" s="169">
        <f>(H4^3-G4^3)/3</f>
        <v>0.35027932098765424</v>
      </c>
      <c r="L4" s="170" t="b">
        <f>IF(D12="fixing",FALSE,TRUE)</f>
        <v>1</v>
      </c>
      <c r="N4" s="430"/>
      <c r="O4" s="141">
        <v>0.68985276634659343</v>
      </c>
      <c r="P4" s="147">
        <v>0.78370370370370357</v>
      </c>
      <c r="Q4" s="142">
        <v>1.0222222222222221</v>
      </c>
      <c r="R4" s="150" t="s">
        <v>37</v>
      </c>
      <c r="S4" s="143">
        <v>-6.6613521051900326E-4</v>
      </c>
      <c r="T4" s="150" t="s">
        <v>38</v>
      </c>
      <c r="U4" s="144">
        <v>3.1260054808729611E-3</v>
      </c>
      <c r="W4" s="141">
        <v>-13.410300136184498</v>
      </c>
      <c r="X4" s="147">
        <v>23.044587113807619</v>
      </c>
      <c r="Y4" s="142">
        <v>-9.7336190954705106</v>
      </c>
      <c r="AB4" s="183">
        <f>_xll.qlCalendarAdvance(Calendar,AB3,"1d","mf",,Trigger)</f>
        <v>42138</v>
      </c>
      <c r="AC4" s="169">
        <f>_xll.qlDayCounterYearFraction(DayCounter,SettlementDate,AB4,,,Trigger)</f>
        <v>2.7777777777777779E-3</v>
      </c>
      <c r="AD4" s="181">
        <f t="shared" si="0"/>
        <v>2.9114415373554252E-3</v>
      </c>
      <c r="AE4" s="181">
        <f t="shared" si="1"/>
        <v>2.624532622533093E-3</v>
      </c>
      <c r="AF4" s="181">
        <f t="shared" si="2"/>
        <v>2.9158074538582434E-3</v>
      </c>
    </row>
    <row r="5" spans="1:32" ht="12" customHeight="1" x14ac:dyDescent="0.2">
      <c r="A5" s="131">
        <v>3</v>
      </c>
      <c r="B5" s="129">
        <f t="shared" ref="B5:B7" si="3">A5+12</f>
        <v>15</v>
      </c>
      <c r="C5" s="166" t="str">
        <f>"Delta("&amp;A5&amp;"M,"&amp;B5&amp;"M)"</f>
        <v>Delta(3M,15M)</v>
      </c>
      <c r="D5" s="167">
        <f>_xll.qlCalendarAdvance(Calendar,SettlementDate,A5&amp;"M","f")</f>
        <v>42229</v>
      </c>
      <c r="E5" s="167">
        <f>_xll.qlInterestRateIndexMaturity($D$10,D5)</f>
        <v>42597</v>
      </c>
      <c r="F5" s="168">
        <v>3.1260054808729611E-3</v>
      </c>
      <c r="G5" s="169">
        <f>_xll.qlDayCounterYearFraction(DayCounter,SettlementDate,D5,,,Trigger)</f>
        <v>0.25555555555555554</v>
      </c>
      <c r="H5" s="169">
        <f>_xll.qlDayCounterYearFraction(DayCounter,SettlementDate,E5,,,Trigger)</f>
        <v>1.2777777777777777</v>
      </c>
      <c r="I5" s="169">
        <f>H5-G5</f>
        <v>1.0222222222222221</v>
      </c>
      <c r="J5" s="169">
        <f>(H5^2-G5^2)/2</f>
        <v>0.78370370370370357</v>
      </c>
      <c r="K5" s="169">
        <f>(H5^3-G5^3)/3</f>
        <v>0.68985276634659343</v>
      </c>
      <c r="L5" s="170" t="b">
        <v>1</v>
      </c>
      <c r="N5" s="430"/>
      <c r="O5" s="141">
        <v>1.1506533421925009</v>
      </c>
      <c r="P5" s="147">
        <v>1.0406828703703703</v>
      </c>
      <c r="Q5" s="142">
        <v>1.0194444444444444</v>
      </c>
      <c r="R5" s="131"/>
      <c r="S5" s="143">
        <v>2.9176503849862329E-3</v>
      </c>
      <c r="T5" s="150"/>
      <c r="U5" s="144">
        <v>3.3912991577604865E-3</v>
      </c>
      <c r="W5" s="141">
        <v>5.2130090541689906</v>
      </c>
      <c r="X5" s="147">
        <v>-6.5252691375881833</v>
      </c>
      <c r="Y5" s="142">
        <v>2.325170923178749</v>
      </c>
      <c r="AB5" s="183">
        <f>_xll.qlCalendarAdvance(Calendar,AB4,"1d","mf",,Trigger)</f>
        <v>42139</v>
      </c>
      <c r="AC5" s="169">
        <f>_xll.qlDayCounterYearFraction(DayCounter,SettlementDate,AB5,,,Trigger)</f>
        <v>5.5555555555555558E-3</v>
      </c>
      <c r="AD5" s="181">
        <f t="shared" si="0"/>
        <v>2.9114415373554252E-3</v>
      </c>
      <c r="AE5" s="181">
        <f t="shared" si="1"/>
        <v>2.6261090451420066E-3</v>
      </c>
      <c r="AF5" s="181">
        <f t="shared" si="2"/>
        <v>2.9139794116438246E-3</v>
      </c>
    </row>
    <row r="6" spans="1:32" ht="12" customHeight="1" x14ac:dyDescent="0.2">
      <c r="A6" s="131">
        <v>6</v>
      </c>
      <c r="B6" s="132">
        <f t="shared" si="3"/>
        <v>18</v>
      </c>
      <c r="C6" s="166" t="str">
        <f>"Delta("&amp;A6&amp;"M,"&amp;B6&amp;"M)"</f>
        <v>Delta(6M,18M)</v>
      </c>
      <c r="D6" s="167">
        <f>_xll.qlCalendarAdvance(Calendar,SettlementDate,A6&amp;"M","f")</f>
        <v>42321</v>
      </c>
      <c r="E6" s="167">
        <f>_xll.qlInterestRateIndexMaturity($D$10,D6)</f>
        <v>42688</v>
      </c>
      <c r="F6" s="168">
        <v>3.3912991577604865E-3</v>
      </c>
      <c r="G6" s="169">
        <f>_xll.qlDayCounterYearFraction(DayCounter,SettlementDate,D6,,,Trigger)</f>
        <v>0.51111111111111107</v>
      </c>
      <c r="H6" s="169">
        <f>_xll.qlDayCounterYearFraction(DayCounter,SettlementDate,E6,,,Trigger)</f>
        <v>1.5305555555555554</v>
      </c>
      <c r="I6" s="169">
        <f>H6-G6</f>
        <v>1.0194444444444444</v>
      </c>
      <c r="J6" s="169">
        <f>(H6^2-G6^2)/2</f>
        <v>1.0406828703703703</v>
      </c>
      <c r="K6" s="169">
        <f>(H6^3-G6^3)/3</f>
        <v>1.1506533421925009</v>
      </c>
      <c r="L6" s="170" t="b">
        <v>1</v>
      </c>
      <c r="S6" s="145"/>
      <c r="T6" s="138"/>
      <c r="U6" s="139"/>
      <c r="AB6" s="183">
        <f>_xll.qlCalendarAdvance(Calendar,AB5,"1d","mf",,Trigger)</f>
        <v>42142</v>
      </c>
      <c r="AC6" s="169">
        <f>_xll.qlDayCounterYearFraction(DayCounter,SettlementDate,AB6,,,Trigger)</f>
        <v>1.3888888888888888E-2</v>
      </c>
      <c r="AD6" s="181">
        <f t="shared" si="0"/>
        <v>2.9114415373554252E-3</v>
      </c>
      <c r="AE6" s="181">
        <f t="shared" si="1"/>
        <v>2.6308383129687485E-3</v>
      </c>
      <c r="AF6" s="181">
        <f t="shared" si="2"/>
        <v>2.9085846184819936E-3</v>
      </c>
    </row>
    <row r="7" spans="1:32" ht="12" customHeight="1" x14ac:dyDescent="0.2">
      <c r="A7" s="131">
        <v>12</v>
      </c>
      <c r="B7" s="132">
        <f t="shared" si="3"/>
        <v>24</v>
      </c>
      <c r="C7" s="171" t="str">
        <f>"Delta("&amp;A7&amp;"M,"&amp;B7&amp;"M)"</f>
        <v>Delta(12M,24M)</v>
      </c>
      <c r="D7" s="172">
        <f>_xll.qlCalendarAdvance(Calendar,SettlementDate,A7&amp;"M","f")</f>
        <v>42503</v>
      </c>
      <c r="E7" s="172">
        <f>_xll.qlInterestRateIndexMaturity($D$10,D7)</f>
        <v>42870</v>
      </c>
      <c r="F7" s="173">
        <v>3.4108232000740098E-3</v>
      </c>
      <c r="G7" s="174">
        <f>_xll.qlDayCounterYearFraction(DayCounter,SettlementDate,D7,,,Trigger)</f>
        <v>1.0166666666666666</v>
      </c>
      <c r="H7" s="174">
        <f>_xll.qlDayCounterYearFraction(DayCounter,SettlementDate,E7,,,Trigger)</f>
        <v>2.036111111111111</v>
      </c>
      <c r="I7" s="174">
        <f>H7-G7</f>
        <v>1.0194444444444444</v>
      </c>
      <c r="J7" s="174">
        <f>(H7^2-G7^2)/2</f>
        <v>1.5560686728395061</v>
      </c>
      <c r="K7" s="174">
        <f>(H7^3-G7^3)/3</f>
        <v>2.4634555112597165</v>
      </c>
      <c r="L7" s="175" t="b">
        <v>0</v>
      </c>
      <c r="S7" s="145"/>
      <c r="T7" s="138"/>
      <c r="U7" s="139"/>
      <c r="AB7" s="183">
        <f>_xll.qlCalendarAdvance(Calendar,AB6,"1d","mf",,Trigger)</f>
        <v>42143</v>
      </c>
      <c r="AC7" s="169">
        <f>_xll.qlDayCounterYearFraction(DayCounter,SettlementDate,AB7,,,Trigger)</f>
        <v>1.6666666666666666E-2</v>
      </c>
      <c r="AD7" s="181">
        <f t="shared" si="0"/>
        <v>2.9114415373554252E-3</v>
      </c>
      <c r="AE7" s="181">
        <f t="shared" si="1"/>
        <v>2.6324147355776622E-3</v>
      </c>
      <c r="AF7" s="181">
        <f t="shared" si="2"/>
        <v>2.9068161319218584E-3</v>
      </c>
    </row>
    <row r="8" spans="1:32" ht="12" customHeight="1" x14ac:dyDescent="0.2">
      <c r="B8" s="132"/>
      <c r="C8" s="132"/>
      <c r="D8" s="133"/>
      <c r="E8" s="133"/>
      <c r="F8" s="134"/>
      <c r="G8" s="135"/>
      <c r="H8" s="135"/>
      <c r="I8" s="135"/>
      <c r="J8" s="135"/>
      <c r="K8" s="135"/>
      <c r="L8" s="136"/>
      <c r="S8" s="137" t="s">
        <v>112</v>
      </c>
      <c r="T8" s="138"/>
      <c r="U8" s="139"/>
      <c r="AB8" s="183">
        <f>_xll.qlCalendarAdvance(Calendar,AB7,"1d","mf",,Trigger)</f>
        <v>42144</v>
      </c>
      <c r="AC8" s="169">
        <f>_xll.qlDayCounterYearFraction(DayCounter,SettlementDate,AB8,,,Trigger)</f>
        <v>1.9444444444444445E-2</v>
      </c>
      <c r="AD8" s="181">
        <f t="shared" si="0"/>
        <v>2.9114415373554252E-3</v>
      </c>
      <c r="AE8" s="181">
        <f t="shared" si="1"/>
        <v>2.6339911581865763E-3</v>
      </c>
      <c r="AF8" s="181">
        <f t="shared" si="2"/>
        <v>2.9050625342752941E-3</v>
      </c>
    </row>
    <row r="9" spans="1:32" ht="12" customHeight="1" x14ac:dyDescent="0.2">
      <c r="C9" s="156" t="s">
        <v>159</v>
      </c>
      <c r="D9" s="191" t="s">
        <v>27</v>
      </c>
      <c r="N9" s="429" t="s">
        <v>108</v>
      </c>
      <c r="O9" s="140"/>
      <c r="P9" s="141">
        <f t="array" ref="P9:P10">_xll.ohFilter(J3:J7,L3:L7)</f>
        <v>0.51680555555555552</v>
      </c>
      <c r="Q9" s="142">
        <f t="array" ref="Q9:Q10">_xll.ohFilter(I3:I7,L3:L7)</f>
        <v>1.0166666666666666</v>
      </c>
      <c r="R9" s="431" t="s">
        <v>37</v>
      </c>
      <c r="S9" s="143">
        <f t="array" ref="S9:S10">MMULT(W9:X10,U9:U10)</f>
        <v>5.6751213920900462E-4</v>
      </c>
      <c r="T9" s="431" t="s">
        <v>38</v>
      </c>
      <c r="U9" s="144">
        <f t="array" ref="U9:U10">_xll.ohFilter(F3:F7,L3:L7)</f>
        <v>2.9599655629780155E-3</v>
      </c>
      <c r="W9" s="141">
        <f t="array" ref="W9:X10">MINVERSE(P9:Q10)</f>
        <v>-3.8075092543627722</v>
      </c>
      <c r="X9" s="142">
        <v>3.7868162692847132</v>
      </c>
      <c r="AB9" s="183">
        <f>_xll.qlCalendarAdvance(Calendar,AB8,"1d","mf",,Trigger)</f>
        <v>42145</v>
      </c>
      <c r="AC9" s="169">
        <f>_xll.qlDayCounterYearFraction(DayCounter,SettlementDate,AB9,,,Trigger)</f>
        <v>2.2222222222222223E-2</v>
      </c>
      <c r="AD9" s="181">
        <f t="shared" si="0"/>
        <v>2.9114415373554252E-3</v>
      </c>
      <c r="AE9" s="181">
        <f t="shared" si="1"/>
        <v>2.6355675807954899E-3</v>
      </c>
      <c r="AF9" s="181">
        <f t="shared" si="2"/>
        <v>2.9033238255423005E-3</v>
      </c>
    </row>
    <row r="10" spans="1:32" ht="12" customHeight="1" x14ac:dyDescent="0.2">
      <c r="C10" s="156" t="s">
        <v>121</v>
      </c>
      <c r="D10" s="191" t="str">
        <f>PROPER(Currency)&amp;IborType&amp;D9</f>
        <v>Euribor1Y</v>
      </c>
      <c r="N10" s="429"/>
      <c r="O10" s="140"/>
      <c r="P10" s="141">
        <v>0.78370370370370357</v>
      </c>
      <c r="Q10" s="142">
        <v>1.0222222222222221</v>
      </c>
      <c r="R10" s="431"/>
      <c r="S10" s="143">
        <v>2.6229561999241788E-3</v>
      </c>
      <c r="T10" s="431"/>
      <c r="U10" s="144">
        <v>3.1260054808729611E-3</v>
      </c>
      <c r="W10" s="141">
        <v>2.9190904283447914</v>
      </c>
      <c r="X10" s="142">
        <v>-1.9249649368863959</v>
      </c>
      <c r="AB10" s="183">
        <f>_xll.qlCalendarAdvance(Calendar,AB9,"1d","mf",,Trigger)</f>
        <v>42146</v>
      </c>
      <c r="AC10" s="169">
        <f>_xll.qlDayCounterYearFraction(DayCounter,SettlementDate,AB10,,,Trigger)</f>
        <v>2.5000000000000001E-2</v>
      </c>
      <c r="AD10" s="181">
        <f t="shared" si="0"/>
        <v>2.9114415373554252E-3</v>
      </c>
      <c r="AE10" s="181">
        <f t="shared" si="1"/>
        <v>2.637144003404404E-3</v>
      </c>
      <c r="AF10" s="181">
        <f t="shared" si="2"/>
        <v>2.9016000057228777E-3</v>
      </c>
    </row>
    <row r="11" spans="1:32" ht="12" customHeight="1" x14ac:dyDescent="0.2">
      <c r="C11" s="156" t="s">
        <v>150</v>
      </c>
      <c r="D11" s="192" t="s">
        <v>100</v>
      </c>
      <c r="S11" s="145"/>
      <c r="T11" s="138"/>
      <c r="U11" s="139"/>
      <c r="AB11" s="183">
        <f>_xll.qlCalendarAdvance(Calendar,AB10,"1d","mf",,Trigger)</f>
        <v>42149</v>
      </c>
      <c r="AC11" s="169">
        <f>_xll.qlDayCounterYearFraction(DayCounter,SettlementDate,AB11,,,Trigger)</f>
        <v>3.3333333333333333E-2</v>
      </c>
      <c r="AD11" s="181">
        <f t="shared" si="0"/>
        <v>2.9114415373554252E-3</v>
      </c>
      <c r="AE11" s="181">
        <f t="shared" si="1"/>
        <v>2.6418732712311455E-3</v>
      </c>
      <c r="AF11" s="181">
        <f t="shared" si="2"/>
        <v>2.8965178797460346E-3</v>
      </c>
    </row>
    <row r="12" spans="1:32" ht="12" customHeight="1" x14ac:dyDescent="0.2">
      <c r="C12" s="156" t="s">
        <v>149</v>
      </c>
      <c r="D12" s="191" t="s">
        <v>156</v>
      </c>
      <c r="S12" s="146" t="s">
        <v>35</v>
      </c>
      <c r="T12" s="138"/>
      <c r="U12" s="139"/>
      <c r="AB12" s="183">
        <f>_xll.qlCalendarAdvance(Calendar,AB11,"1d","mf",,Trigger)</f>
        <v>42150</v>
      </c>
      <c r="AC12" s="169">
        <f>_xll.qlDayCounterYearFraction(DayCounter,SettlementDate,AB12,,,Trigger)</f>
        <v>3.6111111111111108E-2</v>
      </c>
      <c r="AD12" s="181">
        <f t="shared" si="0"/>
        <v>2.9114415373554252E-3</v>
      </c>
      <c r="AE12" s="181">
        <f t="shared" si="1"/>
        <v>2.6434496938400596E-3</v>
      </c>
      <c r="AF12" s="181">
        <f t="shared" si="2"/>
        <v>2.8948536155808955E-3</v>
      </c>
    </row>
    <row r="13" spans="1:32" ht="12" customHeight="1" x14ac:dyDescent="0.2">
      <c r="J13" s="158" t="str">
        <f>"Synthetic Deposits "&amp;D9</f>
        <v>Synthetic Deposits 1Y</v>
      </c>
      <c r="K13" s="158"/>
      <c r="L13" s="158"/>
      <c r="N13" s="151" t="s">
        <v>109</v>
      </c>
      <c r="Q13" s="152">
        <f t="array" ref="Q13">_xll.ohFilter(I3:I7,L3:L7)</f>
        <v>1.0166666666666666</v>
      </c>
      <c r="R13" s="151" t="s">
        <v>37</v>
      </c>
      <c r="S13" s="143">
        <f>MMULT(W13,U13)</f>
        <v>2.9114415373554252E-3</v>
      </c>
      <c r="T13" s="151" t="s">
        <v>38</v>
      </c>
      <c r="U13" s="144">
        <f t="array" ref="U13">_xll.ohFilter(F3:F7,L3:L7)</f>
        <v>2.9599655629780155E-3</v>
      </c>
      <c r="W13" s="152">
        <f>MINVERSE(Q13)</f>
        <v>0.98360655737704927</v>
      </c>
      <c r="AB13" s="183">
        <f>_xll.qlCalendarAdvance(Calendar,AB12,"1d","mf",,Trigger)</f>
        <v>42151</v>
      </c>
      <c r="AC13" s="169">
        <f>_xll.qlDayCounterYearFraction(DayCounter,SettlementDate,AB13,,,Trigger)</f>
        <v>3.888888888888889E-2</v>
      </c>
      <c r="AD13" s="181">
        <f t="shared" si="0"/>
        <v>2.9114415373554252E-3</v>
      </c>
      <c r="AE13" s="181">
        <f t="shared" si="1"/>
        <v>2.6450261164489733E-3</v>
      </c>
      <c r="AF13" s="181">
        <f t="shared" si="2"/>
        <v>2.8932042403293271E-3</v>
      </c>
    </row>
    <row r="14" spans="1:32" ht="12" customHeight="1" x14ac:dyDescent="0.2">
      <c r="C14" s="156" t="s">
        <v>116</v>
      </c>
      <c r="D14" s="156" t="s">
        <v>91</v>
      </c>
      <c r="E14" s="156" t="s">
        <v>92</v>
      </c>
      <c r="F14" s="157" t="s">
        <v>143</v>
      </c>
      <c r="G14" s="157" t="s">
        <v>144</v>
      </c>
      <c r="H14" s="156" t="s">
        <v>145</v>
      </c>
      <c r="I14" s="157" t="s">
        <v>146</v>
      </c>
      <c r="J14" s="159" t="s">
        <v>109</v>
      </c>
      <c r="K14" s="159" t="s">
        <v>108</v>
      </c>
      <c r="L14" s="159" t="s">
        <v>135</v>
      </c>
      <c r="AB14" s="183">
        <f>_xll.qlCalendarAdvance(Calendar,AB13,"1d","mf",,Trigger)</f>
        <v>42152</v>
      </c>
      <c r="AC14" s="169">
        <f>_xll.qlDayCounterYearFraction(DayCounter,SettlementDate,AB14,,,Trigger)</f>
        <v>4.1666666666666664E-2</v>
      </c>
      <c r="AD14" s="181">
        <f t="shared" si="0"/>
        <v>2.9114415373554252E-3</v>
      </c>
      <c r="AE14" s="181">
        <f t="shared" si="1"/>
        <v>2.6466025390578874E-3</v>
      </c>
      <c r="AF14" s="181">
        <f t="shared" si="2"/>
        <v>2.8915697539913295E-3</v>
      </c>
    </row>
    <row r="15" spans="1:32" ht="12" customHeight="1" x14ac:dyDescent="0.2">
      <c r="C15" s="176" t="s">
        <v>43</v>
      </c>
      <c r="D15" s="177">
        <f t="shared" ref="D15:D30" si="4">SettlementDate</f>
        <v>42137</v>
      </c>
      <c r="E15" s="178">
        <f>_xll.qlCalendarAdvance(Calendar,SettlementDate,C15,"Following",,Trigger)</f>
        <v>42138</v>
      </c>
      <c r="F15" s="179">
        <f>_xll.qlDayCounterYearFraction(DayCounter,D15,E15,,,Trigger)</f>
        <v>2.7777777777777779E-3</v>
      </c>
      <c r="G15" s="206">
        <f>_xll.qlYieldTSDiscount(Discounting,D15,,AllTriggers)</f>
        <v>1.0000055555787037</v>
      </c>
      <c r="H15" s="180">
        <f>_xll.qlYieldTSDiscount(Discounting,E15,,AllTriggers)</f>
        <v>1.0000083109335718</v>
      </c>
      <c r="I15" s="207">
        <f>(G15/H15-1)/F15</f>
        <v>-9.9191950873045442E-4</v>
      </c>
      <c r="J15" s="181">
        <f>((1+I15*F15)*EXP($S$13*F15)-1)/F15</f>
        <v>1.9195257795256992E-3</v>
      </c>
      <c r="K15" s="181">
        <f>((1+F15*I15)*EXP($S$10*F15+0.5*$S$9*F15^2)-1)/F15</f>
        <v>1.6318272343784912E-3</v>
      </c>
      <c r="L15" s="181">
        <f>((1+F15*I15)*EXP($S$5*F15+0.5*$S$4*F15^2+1/3*$S$3*F15^3)-1)/F15</f>
        <v>1.9248119491077631E-3</v>
      </c>
      <c r="AB15" s="183">
        <f>_xll.qlCalendarAdvance(Calendar,AB14,"1d","mf",,Trigger)</f>
        <v>42153</v>
      </c>
      <c r="AC15" s="169">
        <f>_xll.qlDayCounterYearFraction(DayCounter,SettlementDate,AB15,,,Trigger)</f>
        <v>4.4444444444444446E-2</v>
      </c>
      <c r="AD15" s="181">
        <f t="shared" si="0"/>
        <v>2.9114415373554252E-3</v>
      </c>
      <c r="AE15" s="181">
        <f t="shared" si="1"/>
        <v>2.6481789616668015E-3</v>
      </c>
      <c r="AF15" s="181">
        <f t="shared" si="2"/>
        <v>2.8899501565669032E-3</v>
      </c>
    </row>
    <row r="16" spans="1:32" ht="12" customHeight="1" x14ac:dyDescent="0.2">
      <c r="C16" s="182" t="s">
        <v>44</v>
      </c>
      <c r="D16" s="167">
        <f>SettlementDate</f>
        <v>42137</v>
      </c>
      <c r="E16" s="183">
        <f>_xll.qlCalendarAdvance(Calendar,SettlementDate,C16,"Following",,Trigger)</f>
        <v>42144</v>
      </c>
      <c r="F16" s="169">
        <f>_xll.qlDayCounterYearFraction(DayCounter,D16,E16,,,Trigger)</f>
        <v>1.9444444444444445E-2</v>
      </c>
      <c r="G16" s="208">
        <f>_xll.qlYieldTSDiscount(Discounting,D16,,AllTriggers)</f>
        <v>1.0000055555787037</v>
      </c>
      <c r="H16" s="184">
        <f>_xll.qlYieldTSDiscount(Discounting,E16,,AllTriggers)</f>
        <v>1.000024611603247</v>
      </c>
      <c r="I16" s="207">
        <f t="shared" ref="I16:I18" si="5">(G16/H16-1)/F16</f>
        <v>-9.7999999999614259E-4</v>
      </c>
      <c r="J16" s="181">
        <f t="shared" ref="J16:J18" si="6">((1+I16*F16)*EXP($S$13*F16)-1)/F16</f>
        <v>1.9314684685462729E-3</v>
      </c>
      <c r="K16" s="181">
        <f t="shared" ref="K16:K18" si="7">((1+F16*I16)*EXP($S$10*F16+0.5*$S$9*F16^2)-1)/F16</f>
        <v>1.648490761496646E-3</v>
      </c>
      <c r="L16" s="181">
        <f t="shared" ref="L16:L18" si="8">((1+F16*I16)*EXP($S$5*F16+0.5*$S$4*F16^2+1/3*$S$3*F16^3)-1)/F16</f>
        <v>1.9313225889407346E-3</v>
      </c>
      <c r="AB16" s="183">
        <f>_xll.qlCalendarAdvance(Calendar,AB15,"1d","mf",,Trigger)</f>
        <v>42156</v>
      </c>
      <c r="AC16" s="169">
        <f>_xll.qlDayCounterYearFraction(DayCounter,SettlementDate,AB16,,,Trigger)</f>
        <v>5.2777777777777778E-2</v>
      </c>
      <c r="AD16" s="181">
        <f t="shared" si="0"/>
        <v>2.9114415373554252E-3</v>
      </c>
      <c r="AE16" s="181">
        <f t="shared" si="1"/>
        <v>2.6529082294935429E-3</v>
      </c>
      <c r="AF16" s="181">
        <f t="shared" si="2"/>
        <v>2.885180697775048E-3</v>
      </c>
    </row>
    <row r="17" spans="3:32" ht="12" customHeight="1" x14ac:dyDescent="0.2">
      <c r="C17" s="182" t="s">
        <v>45</v>
      </c>
      <c r="D17" s="167">
        <f t="shared" si="4"/>
        <v>42137</v>
      </c>
      <c r="E17" s="183">
        <f>_xll.qlCalendarAdvance(Calendar,SettlementDate,C17,"Following",,Trigger)</f>
        <v>42151</v>
      </c>
      <c r="F17" s="169">
        <f>_xll.qlDayCounterYearFraction(DayCounter,D17,E17,,,Trigger)</f>
        <v>3.888888888888889E-2</v>
      </c>
      <c r="G17" s="208">
        <f>_xll.qlYieldTSDiscount(Discounting,D17,,AllTriggers)</f>
        <v>1.0000055555787037</v>
      </c>
      <c r="H17" s="184">
        <f>_xll.qlYieldTSDiscount(Discounting,E17,,AllTriggers)</f>
        <v>1.0000440572749105</v>
      </c>
      <c r="I17" s="207">
        <f t="shared" si="5"/>
        <v>-9.9000000004416974E-4</v>
      </c>
      <c r="J17" s="181">
        <f t="shared" si="6"/>
        <v>1.9214942673612917E-3</v>
      </c>
      <c r="K17" s="181">
        <f t="shared" si="7"/>
        <v>1.6440246526938651E-3</v>
      </c>
      <c r="L17" s="181">
        <f t="shared" si="8"/>
        <v>1.9152363902476463E-3</v>
      </c>
      <c r="AB17" s="183">
        <f>_xll.qlCalendarAdvance(Calendar,AB16,"1d","mf",,Trigger)</f>
        <v>42157</v>
      </c>
      <c r="AC17" s="169">
        <f>_xll.qlDayCounterYearFraction(DayCounter,SettlementDate,AB17,,,Trigger)</f>
        <v>5.5555555555555552E-2</v>
      </c>
      <c r="AD17" s="181">
        <f t="shared" si="0"/>
        <v>2.9114415373554252E-3</v>
      </c>
      <c r="AE17" s="181">
        <f t="shared" si="1"/>
        <v>2.654484652102457E-3</v>
      </c>
      <c r="AF17" s="181">
        <f t="shared" si="2"/>
        <v>2.8836206560049048E-3</v>
      </c>
    </row>
    <row r="18" spans="3:32" ht="12" customHeight="1" x14ac:dyDescent="0.2">
      <c r="C18" s="182" t="s">
        <v>46</v>
      </c>
      <c r="D18" s="167">
        <f t="shared" si="4"/>
        <v>42137</v>
      </c>
      <c r="E18" s="183">
        <f>_xll.qlCalendarAdvance(Calendar,SettlementDate,C18,"Following",,Trigger)</f>
        <v>42158</v>
      </c>
      <c r="F18" s="169">
        <f>_xll.qlDayCounterYearFraction(DayCounter,D18,E18,,,Trigger)</f>
        <v>5.8333333333333334E-2</v>
      </c>
      <c r="G18" s="208">
        <f>_xll.qlYieldTSDiscount(Discounting,D18,,AllTriggers)</f>
        <v>1.0000055555787037</v>
      </c>
      <c r="H18" s="184">
        <f>_xll.qlYieldTSDiscount(Discounting,E18,,AllTriggers)</f>
        <v>1.0000586420249531</v>
      </c>
      <c r="I18" s="207">
        <f t="shared" si="5"/>
        <v>-9.1000000003203601E-4</v>
      </c>
      <c r="J18" s="181">
        <f t="shared" si="6"/>
        <v>2.0015342201849607E-3</v>
      </c>
      <c r="K18" s="181">
        <f t="shared" si="7"/>
        <v>1.729571727346573E-3</v>
      </c>
      <c r="L18" s="181">
        <f t="shared" si="8"/>
        <v>1.9894070478557574E-3</v>
      </c>
      <c r="AB18" s="183">
        <f>_xll.qlCalendarAdvance(Calendar,AB17,"1d","mf",,Trigger)</f>
        <v>42158</v>
      </c>
      <c r="AC18" s="169">
        <f>_xll.qlDayCounterYearFraction(DayCounter,SettlementDate,AB18,,,Trigger)</f>
        <v>5.8333333333333334E-2</v>
      </c>
      <c r="AD18" s="181">
        <f t="shared" si="0"/>
        <v>2.9114415373554252E-3</v>
      </c>
      <c r="AE18" s="181">
        <f t="shared" si="1"/>
        <v>2.6560610747113707E-3</v>
      </c>
      <c r="AF18" s="181">
        <f t="shared" si="2"/>
        <v>2.8820755031483325E-3</v>
      </c>
    </row>
    <row r="19" spans="3:32" ht="12" customHeight="1" x14ac:dyDescent="0.2">
      <c r="C19" s="182" t="s">
        <v>40</v>
      </c>
      <c r="D19" s="167">
        <f t="shared" si="4"/>
        <v>42137</v>
      </c>
      <c r="E19" s="183">
        <f>_xll.qlCalendarAdvance(Calendar,SettlementDate,C19,"Following",,Trigger)</f>
        <v>42170</v>
      </c>
      <c r="F19" s="169">
        <f>_xll.qlDayCounterYearFraction(DayCounter,D19,E19,,,Trigger)</f>
        <v>9.166666666666666E-2</v>
      </c>
      <c r="G19" s="208">
        <f>_xll.qlYieldTSDiscount(Discounting,D19,,AllTriggers)</f>
        <v>1.0000055555787037</v>
      </c>
      <c r="H19" s="184">
        <f>_xll.qlYieldTSDiscount(Discounting,E19,,AllTriggers)</f>
        <v>1.0000926469800662</v>
      </c>
      <c r="I19" s="207">
        <f t="shared" ref="I19:I30" si="9">(G19/H19-1)/F19</f>
        <v>-9.5000000023210361E-4</v>
      </c>
      <c r="J19" s="181">
        <f t="shared" ref="J19:J30" si="10">((1+I19*F19)*EXP($S$13*F19)-1)/F19</f>
        <v>1.9615765056947188E-3</v>
      </c>
      <c r="K19" s="181">
        <f t="shared" ref="K19:K30" si="11">((1+F19*I19)*EXP($S$10*F19+0.5*$S$9*F19^2)-1)/F19</f>
        <v>1.6990581036114738E-3</v>
      </c>
      <c r="L19" s="181">
        <f t="shared" ref="L19:L30" si="12">((1+F19*I19)*EXP($S$5*F19+0.5*$S$4*F19^2+1/3*$S$3*F19^3)-1)/F19</f>
        <v>1.9399526278960559E-3</v>
      </c>
      <c r="AB19" s="183">
        <f>_xll.qlCalendarAdvance(Calendar,AB18,"1d","mf",,Trigger)</f>
        <v>42159</v>
      </c>
      <c r="AC19" s="169">
        <f>_xll.qlDayCounterYearFraction(DayCounter,SettlementDate,AB19,,,Trigger)</f>
        <v>6.1111111111111109E-2</v>
      </c>
      <c r="AD19" s="181">
        <f t="shared" si="0"/>
        <v>2.9114415373554252E-3</v>
      </c>
      <c r="AE19" s="181">
        <f t="shared" si="1"/>
        <v>2.6576374973202848E-3</v>
      </c>
      <c r="AF19" s="181">
        <f t="shared" si="2"/>
        <v>2.8805452392053309E-3</v>
      </c>
    </row>
    <row r="20" spans="3:32" ht="12" customHeight="1" x14ac:dyDescent="0.2">
      <c r="C20" s="182" t="s">
        <v>47</v>
      </c>
      <c r="D20" s="167">
        <f t="shared" si="4"/>
        <v>42137</v>
      </c>
      <c r="E20" s="183">
        <f>_xll.qlCalendarAdvance(Calendar,SettlementDate,C20,"Following",,Trigger)</f>
        <v>42198</v>
      </c>
      <c r="F20" s="169">
        <f>_xll.qlDayCounterYearFraction(DayCounter,D20,E20,,,Trigger)</f>
        <v>0.16944444444444445</v>
      </c>
      <c r="G20" s="208">
        <f>_xll.qlYieldTSDiscount(Discounting,D20,,AllTriggers)</f>
        <v>1.0000055555787037</v>
      </c>
      <c r="H20" s="184">
        <f>_xll.qlYieldTSDiscount(Discounting,E20,,AllTriggers)</f>
        <v>1.0001801147915161</v>
      </c>
      <c r="I20" s="207">
        <f t="shared" si="9"/>
        <v>-1.0300000000015715E-3</v>
      </c>
      <c r="J20" s="181">
        <f t="shared" si="10"/>
        <v>1.8816515499082405E-3</v>
      </c>
      <c r="K20" s="181">
        <f t="shared" si="11"/>
        <v>1.6411753505547173E-3</v>
      </c>
      <c r="L20" s="181">
        <f t="shared" si="12"/>
        <v>1.8406446221846131E-3</v>
      </c>
      <c r="AB20" s="183">
        <f>_xll.qlCalendarAdvance(Calendar,AB19,"1d","mf",,Trigger)</f>
        <v>42160</v>
      </c>
      <c r="AC20" s="169">
        <f>_xll.qlDayCounterYearFraction(DayCounter,SettlementDate,AB20,,,Trigger)</f>
        <v>6.3888888888888884E-2</v>
      </c>
      <c r="AD20" s="181">
        <f t="shared" si="0"/>
        <v>2.9114415373554252E-3</v>
      </c>
      <c r="AE20" s="181">
        <f t="shared" si="1"/>
        <v>2.6592139199291985E-3</v>
      </c>
      <c r="AF20" s="181">
        <f t="shared" si="2"/>
        <v>2.8790298641759001E-3</v>
      </c>
    </row>
    <row r="21" spans="3:32" ht="12" customHeight="1" x14ac:dyDescent="0.2">
      <c r="C21" s="182" t="s">
        <v>41</v>
      </c>
      <c r="D21" s="167">
        <f t="shared" si="4"/>
        <v>42137</v>
      </c>
      <c r="E21" s="183">
        <f>_xll.qlCalendarAdvance(Calendar,SettlementDate,C21,"Following",,Trigger)</f>
        <v>42229</v>
      </c>
      <c r="F21" s="169">
        <f>_xll.qlDayCounterYearFraction(DayCounter,D21,E21,,,Trigger)</f>
        <v>0.25555555555555554</v>
      </c>
      <c r="G21" s="208">
        <f>_xll.qlYieldTSDiscount(Discounting,D21,,AllTriggers)</f>
        <v>1.0000055555787037</v>
      </c>
      <c r="H21" s="184">
        <f>_xll.qlYieldTSDiscount(Discounting,E21,,AllTriggers)</f>
        <v>1.0002842488977353</v>
      </c>
      <c r="I21" s="207">
        <f t="shared" si="9"/>
        <v>-1.0902291780291789E-3</v>
      </c>
      <c r="J21" s="181">
        <f t="shared" si="10"/>
        <v>1.8214842647129824E-3</v>
      </c>
      <c r="K21" s="181">
        <f t="shared" si="11"/>
        <v>1.6054197979756873E-3</v>
      </c>
      <c r="L21" s="181">
        <f t="shared" si="12"/>
        <v>1.7635526038723597E-3</v>
      </c>
      <c r="AB21" s="183">
        <f>_xll.qlCalendarAdvance(Calendar,AB20,"1d","mf",,Trigger)</f>
        <v>42163</v>
      </c>
      <c r="AC21" s="169">
        <f>_xll.qlDayCounterYearFraction(DayCounter,SettlementDate,AB21,,,Trigger)</f>
        <v>7.2222222222222215E-2</v>
      </c>
      <c r="AD21" s="181">
        <f t="shared" si="0"/>
        <v>2.9114415373554252E-3</v>
      </c>
      <c r="AE21" s="181">
        <f t="shared" si="1"/>
        <v>2.6639431877559403E-3</v>
      </c>
      <c r="AF21" s="181">
        <f t="shared" si="2"/>
        <v>2.8745730725690333E-3</v>
      </c>
    </row>
    <row r="22" spans="3:32" ht="12" customHeight="1" x14ac:dyDescent="0.2">
      <c r="C22" s="182" t="s">
        <v>48</v>
      </c>
      <c r="D22" s="167">
        <f t="shared" si="4"/>
        <v>42137</v>
      </c>
      <c r="E22" s="183">
        <f>_xll.qlCalendarAdvance(Calendar,SettlementDate,C22,"Following",,Trigger)</f>
        <v>42261</v>
      </c>
      <c r="F22" s="169">
        <f>_xll.qlDayCounterYearFraction(DayCounter,D22,E22,,,Trigger)</f>
        <v>0.34444444444444444</v>
      </c>
      <c r="G22" s="208">
        <f>_xll.qlYieldTSDiscount(Discounting,D22,,AllTriggers)</f>
        <v>1.0000055555787037</v>
      </c>
      <c r="H22" s="184">
        <f>_xll.qlYieldTSDiscount(Discounting,E22,,AllTriggers)</f>
        <v>1.0003950357156131</v>
      </c>
      <c r="I22" s="207">
        <f t="shared" si="9"/>
        <v>-1.1303022748075607E-3</v>
      </c>
      <c r="J22" s="181">
        <f t="shared" si="10"/>
        <v>1.7814655214998254E-3</v>
      </c>
      <c r="K22" s="181">
        <f t="shared" si="11"/>
        <v>1.5906076102677506E-3</v>
      </c>
      <c r="L22" s="181">
        <f t="shared" si="12"/>
        <v>1.7110640849993253E-3</v>
      </c>
      <c r="AB22" s="183">
        <f>_xll.qlCalendarAdvance(Calendar,AB21,"1d","mf",,Trigger)</f>
        <v>42164</v>
      </c>
      <c r="AC22" s="169">
        <f>_xll.qlDayCounterYearFraction(DayCounter,SettlementDate,AB22,,,Trigger)</f>
        <v>7.4999999999999997E-2</v>
      </c>
      <c r="AD22" s="181">
        <f t="shared" si="0"/>
        <v>2.9114415373554252E-3</v>
      </c>
      <c r="AE22" s="181">
        <f t="shared" ref="AE22:AE85" si="13">$S$10+$S$9*AC22</f>
        <v>2.665519610364854E-3</v>
      </c>
      <c r="AF22" s="181">
        <f t="shared" ref="AF22:AF85" si="14">($S$5+$S$4*AC22+$S$3*AC22^2)</f>
        <v>2.8731172531938861E-3</v>
      </c>
    </row>
    <row r="23" spans="3:32" ht="12" customHeight="1" x14ac:dyDescent="0.2">
      <c r="C23" s="182" t="s">
        <v>49</v>
      </c>
      <c r="D23" s="167">
        <f t="shared" si="4"/>
        <v>42137</v>
      </c>
      <c r="E23" s="183">
        <f>_xll.qlCalendarAdvance(Calendar,SettlementDate,C23,"Following",,Trigger)</f>
        <v>42290</v>
      </c>
      <c r="F23" s="169">
        <f>_xll.qlDayCounterYearFraction(DayCounter,D23,E23,,,Trigger)</f>
        <v>0.42499999999999999</v>
      </c>
      <c r="G23" s="208">
        <f>_xll.qlYieldTSDiscount(Discounting,D23,,AllTriggers)</f>
        <v>1.0000055555787037</v>
      </c>
      <c r="H23" s="184">
        <f>_xll.qlYieldTSDiscount(Discounting,E23,,AllTriggers)</f>
        <v>1.0004940903693356</v>
      </c>
      <c r="I23" s="207">
        <f t="shared" si="9"/>
        <v>-1.1489259517682981E-3</v>
      </c>
      <c r="J23" s="181">
        <f t="shared" si="10"/>
        <v>1.7628950652964445E-3</v>
      </c>
      <c r="K23" s="181">
        <f t="shared" si="11"/>
        <v>1.5948862639217844E-3</v>
      </c>
      <c r="L23" s="181">
        <f t="shared" si="12"/>
        <v>1.6855826638373372E-3</v>
      </c>
      <c r="AB23" s="183">
        <f>_xll.qlCalendarAdvance(Calendar,AB22,"1d","mf",,Trigger)</f>
        <v>42165</v>
      </c>
      <c r="AC23" s="169">
        <f>_xll.qlDayCounterYearFraction(DayCounter,SettlementDate,AB23,,,Trigger)</f>
        <v>7.7777777777777779E-2</v>
      </c>
      <c r="AD23" s="181">
        <f t="shared" si="0"/>
        <v>2.9114415373554252E-3</v>
      </c>
      <c r="AE23" s="181">
        <f t="shared" si="13"/>
        <v>2.6670960329737681E-3</v>
      </c>
      <c r="AF23" s="181">
        <f t="shared" si="14"/>
        <v>2.8716763227323101E-3</v>
      </c>
    </row>
    <row r="24" spans="3:32" ht="12" customHeight="1" x14ac:dyDescent="0.2">
      <c r="C24" s="182" t="s">
        <v>42</v>
      </c>
      <c r="D24" s="167">
        <f t="shared" si="4"/>
        <v>42137</v>
      </c>
      <c r="E24" s="183">
        <f>_xll.qlCalendarAdvance(Calendar,SettlementDate,C24,"Following",,Trigger)</f>
        <v>42321</v>
      </c>
      <c r="F24" s="169">
        <f>_xll.qlDayCounterYearFraction(DayCounter,D24,E24,,,Trigger)</f>
        <v>0.51111111111111107</v>
      </c>
      <c r="G24" s="208">
        <f>_xll.qlYieldTSDiscount(Discounting,D24,,AllTriggers)</f>
        <v>1.0000055555787037</v>
      </c>
      <c r="H24" s="184">
        <f>_xll.qlYieldTSDiscount(Discounting,E24,,AllTriggers)</f>
        <v>1.0006036397357938</v>
      </c>
      <c r="I24" s="207">
        <f t="shared" si="9"/>
        <v>-1.1694587234214171E-3</v>
      </c>
      <c r="J24" s="181">
        <f t="shared" si="10"/>
        <v>1.7424085713831387E-3</v>
      </c>
      <c r="K24" s="181">
        <f t="shared" si="11"/>
        <v>1.5988316222211815E-3</v>
      </c>
      <c r="L24" s="181">
        <f t="shared" si="12"/>
        <v>1.6623264227177005E-3</v>
      </c>
      <c r="AB24" s="183">
        <f>_xll.qlCalendarAdvance(Calendar,AB23,"1d","mf",,Trigger)</f>
        <v>42166</v>
      </c>
      <c r="AC24" s="169">
        <f>_xll.qlDayCounterYearFraction(DayCounter,SettlementDate,AB24,,,Trigger)</f>
        <v>8.0555555555555561E-2</v>
      </c>
      <c r="AD24" s="181">
        <f t="shared" si="0"/>
        <v>2.9114415373554252E-3</v>
      </c>
      <c r="AE24" s="181">
        <f t="shared" si="13"/>
        <v>2.6686724555826818E-3</v>
      </c>
      <c r="AF24" s="181">
        <f t="shared" si="14"/>
        <v>2.8702502811843041E-3</v>
      </c>
    </row>
    <row r="25" spans="3:32" ht="12" customHeight="1" x14ac:dyDescent="0.2">
      <c r="C25" s="182" t="s">
        <v>50</v>
      </c>
      <c r="D25" s="167">
        <f t="shared" si="4"/>
        <v>42137</v>
      </c>
      <c r="E25" s="183">
        <f>_xll.qlCalendarAdvance(Calendar,SettlementDate,C25,"Following",,Trigger)</f>
        <v>42352</v>
      </c>
      <c r="F25" s="169">
        <f>_xll.qlDayCounterYearFraction(DayCounter,D25,E25,,,Trigger)</f>
        <v>0.59722222222222221</v>
      </c>
      <c r="G25" s="208">
        <f>_xll.qlYieldTSDiscount(Discounting,D25,,AllTriggers)</f>
        <v>1.0000055555787037</v>
      </c>
      <c r="H25" s="184">
        <f>_xll.qlYieldTSDiscount(Discounting,E25,,AllTriggers)</f>
        <v>1.0007172170074365</v>
      </c>
      <c r="I25" s="207">
        <f t="shared" si="9"/>
        <v>-1.1907650995016026E-3</v>
      </c>
      <c r="J25" s="181">
        <f t="shared" si="10"/>
        <v>1.7211368034280648E-3</v>
      </c>
      <c r="K25" s="181">
        <f t="shared" si="11"/>
        <v>1.6019987900507534E-3</v>
      </c>
      <c r="L25" s="181">
        <f t="shared" si="12"/>
        <v>1.6430585897721133E-3</v>
      </c>
      <c r="AB25" s="183">
        <f>_xll.qlCalendarAdvance(Calendar,AB24,"1d","mf",,Trigger)</f>
        <v>42167</v>
      </c>
      <c r="AC25" s="169">
        <f>_xll.qlDayCounterYearFraction(DayCounter,SettlementDate,AB25,,,Trigger)</f>
        <v>8.3333333333333329E-2</v>
      </c>
      <c r="AD25" s="181">
        <f t="shared" si="0"/>
        <v>2.9114415373554252E-3</v>
      </c>
      <c r="AE25" s="181">
        <f t="shared" si="13"/>
        <v>2.6702488781915959E-3</v>
      </c>
      <c r="AF25" s="181">
        <f t="shared" si="14"/>
        <v>2.8688391285498697E-3</v>
      </c>
    </row>
    <row r="26" spans="3:32" ht="12" customHeight="1" x14ac:dyDescent="0.2">
      <c r="C26" s="182" t="s">
        <v>51</v>
      </c>
      <c r="D26" s="167">
        <f t="shared" si="4"/>
        <v>42137</v>
      </c>
      <c r="E26" s="183">
        <f>_xll.qlCalendarAdvance(Calendar,SettlementDate,C26,"Following",,Trigger)</f>
        <v>42382</v>
      </c>
      <c r="F26" s="169">
        <f>_xll.qlDayCounterYearFraction(DayCounter,D26,E26,,,Trigger)</f>
        <v>0.68055555555555558</v>
      </c>
      <c r="G26" s="208">
        <f>_xll.qlYieldTSDiscount(Discounting,D26,,AllTriggers)</f>
        <v>1.0000055555787037</v>
      </c>
      <c r="H26" s="184">
        <f>_xll.qlYieldTSDiscount(Discounting,E26,,AllTriggers)</f>
        <v>1.0008169501852315</v>
      </c>
      <c r="I26" s="207">
        <f t="shared" si="9"/>
        <v>-1.1912800829033971E-3</v>
      </c>
      <c r="J26" s="181">
        <f t="shared" si="10"/>
        <v>1.7206849825981644E-3</v>
      </c>
      <c r="K26" s="181">
        <f t="shared" si="11"/>
        <v>1.6252028290032268E-3</v>
      </c>
      <c r="L26" s="181">
        <f t="shared" si="12"/>
        <v>1.6490919951505294E-3</v>
      </c>
      <c r="AB26" s="183">
        <f>_xll.qlCalendarAdvance(Calendar,AB25,"1d","mf",,Trigger)</f>
        <v>42170</v>
      </c>
      <c r="AC26" s="169">
        <f>_xll.qlDayCounterYearFraction(DayCounter,SettlementDate,AB26,,,Trigger)</f>
        <v>9.166666666666666E-2</v>
      </c>
      <c r="AD26" s="181">
        <f t="shared" si="0"/>
        <v>2.9114415373554252E-3</v>
      </c>
      <c r="AE26" s="181">
        <f t="shared" si="13"/>
        <v>2.6749781460183378E-3</v>
      </c>
      <c r="AF26" s="181">
        <f t="shared" si="14"/>
        <v>2.8646950041279909E-3</v>
      </c>
    </row>
    <row r="27" spans="3:32" ht="12" customHeight="1" x14ac:dyDescent="0.2">
      <c r="C27" s="182" t="s">
        <v>52</v>
      </c>
      <c r="D27" s="167">
        <f t="shared" si="4"/>
        <v>42137</v>
      </c>
      <c r="E27" s="183">
        <f>_xll.qlCalendarAdvance(Calendar,SettlementDate,C27,"Following",,Trigger)</f>
        <v>42415</v>
      </c>
      <c r="F27" s="169">
        <f>_xll.qlDayCounterYearFraction(DayCounter,D27,E27,,,Trigger)</f>
        <v>0.77222222222222225</v>
      </c>
      <c r="G27" s="208">
        <f>_xll.qlYieldTSDiscount(Discounting,D27,,AllTriggers)</f>
        <v>1.0000055555787037</v>
      </c>
      <c r="H27" s="184">
        <f>_xll.qlYieldTSDiscount(Discounting,E27,,AllTriggers)</f>
        <v>1.0009482218378487</v>
      </c>
      <c r="I27" s="207">
        <f t="shared" si="9"/>
        <v>-1.219562480957392E-3</v>
      </c>
      <c r="J27" s="181">
        <f t="shared" si="10"/>
        <v>1.6924093758617592E-3</v>
      </c>
      <c r="K27" s="181">
        <f t="shared" si="11"/>
        <v>1.6229579900159524E-3</v>
      </c>
      <c r="L27" s="181">
        <f t="shared" si="12"/>
        <v>1.6331191174963832E-3</v>
      </c>
      <c r="AB27" s="183">
        <f>_xll.qlCalendarAdvance(Calendar,AB26,"1d","mf",,Trigger)</f>
        <v>42171</v>
      </c>
      <c r="AC27" s="169">
        <f>_xll.qlDayCounterYearFraction(DayCounter,SettlementDate,AB27,,,Trigger)</f>
        <v>9.4444444444444442E-2</v>
      </c>
      <c r="AD27" s="181">
        <f t="shared" si="0"/>
        <v>2.9114415373554252E-3</v>
      </c>
      <c r="AE27" s="181">
        <f t="shared" si="13"/>
        <v>2.6765545686272514E-3</v>
      </c>
      <c r="AF27" s="181">
        <f t="shared" si="14"/>
        <v>2.8633434071478401E-3</v>
      </c>
    </row>
    <row r="28" spans="3:32" ht="12" customHeight="1" x14ac:dyDescent="0.2">
      <c r="C28" s="182" t="s">
        <v>53</v>
      </c>
      <c r="D28" s="167">
        <f t="shared" si="4"/>
        <v>42137</v>
      </c>
      <c r="E28" s="183">
        <f>_xll.qlCalendarAdvance(Calendar,SettlementDate,C28,"Following",,Trigger)</f>
        <v>42443</v>
      </c>
      <c r="F28" s="169">
        <f>_xll.qlDayCounterYearFraction(DayCounter,D28,E28,,,Trigger)</f>
        <v>0.85</v>
      </c>
      <c r="G28" s="208">
        <f>_xll.qlYieldTSDiscount(Discounting,D28,,AllTriggers)</f>
        <v>1.0000055555787037</v>
      </c>
      <c r="H28" s="184">
        <f>_xll.qlYieldTSDiscount(Discounting,E28,,AllTriggers)</f>
        <v>1.0010495395197725</v>
      </c>
      <c r="I28" s="207">
        <f t="shared" si="9"/>
        <v>-1.2269286911081214E-3</v>
      </c>
      <c r="J28" s="181">
        <f t="shared" si="10"/>
        <v>1.6850782572515567E-3</v>
      </c>
      <c r="K28" s="181">
        <f t="shared" si="11"/>
        <v>1.6377187928026181E-3</v>
      </c>
      <c r="L28" s="181">
        <f t="shared" si="12"/>
        <v>1.6404730714260924E-3</v>
      </c>
      <c r="AB28" s="183">
        <f>_xll.qlCalendarAdvance(Calendar,AB27,"1d","mf",,Trigger)</f>
        <v>42172</v>
      </c>
      <c r="AC28" s="169">
        <f>_xll.qlDayCounterYearFraction(DayCounter,SettlementDate,AB28,,,Trigger)</f>
        <v>9.7222222222222224E-2</v>
      </c>
      <c r="AD28" s="181">
        <f t="shared" si="0"/>
        <v>2.9114415373554252E-3</v>
      </c>
      <c r="AE28" s="181">
        <f t="shared" si="13"/>
        <v>2.6781309912361656E-3</v>
      </c>
      <c r="AF28" s="181">
        <f t="shared" si="14"/>
        <v>2.8620066990812597E-3</v>
      </c>
    </row>
    <row r="29" spans="3:32" ht="12" customHeight="1" x14ac:dyDescent="0.2">
      <c r="C29" s="182" t="s">
        <v>54</v>
      </c>
      <c r="D29" s="167">
        <f t="shared" si="4"/>
        <v>42137</v>
      </c>
      <c r="E29" s="183">
        <f>_xll.qlCalendarAdvance(Calendar,SettlementDate,C29,"Following",,Trigger)</f>
        <v>42473</v>
      </c>
      <c r="F29" s="169">
        <f>_xll.qlDayCounterYearFraction(DayCounter,D29,E29,,,Trigger)</f>
        <v>0.93333333333333335</v>
      </c>
      <c r="G29" s="208">
        <f>_xll.qlYieldTSDiscount(Discounting,D29,,AllTriggers)</f>
        <v>1.0000055555787037</v>
      </c>
      <c r="H29" s="184">
        <f>_xll.qlYieldTSDiscount(Discounting,E29,,AllTriggers)</f>
        <v>1.001153809062979</v>
      </c>
      <c r="I29" s="207">
        <f t="shared" si="9"/>
        <v>-1.2288537277268688E-3</v>
      </c>
      <c r="J29" s="181">
        <f t="shared" si="10"/>
        <v>1.6832033301601909E-3</v>
      </c>
      <c r="K29" s="181">
        <f t="shared" si="11"/>
        <v>1.6595201042138694E-3</v>
      </c>
      <c r="L29" s="181">
        <f t="shared" si="12"/>
        <v>1.6586606617098004E-3</v>
      </c>
      <c r="AB29" s="183">
        <f>_xll.qlCalendarAdvance(Calendar,AB28,"1d","mf",,Trigger)</f>
        <v>42173</v>
      </c>
      <c r="AC29" s="169">
        <f>_xll.qlDayCounterYearFraction(DayCounter,SettlementDate,AB29,,,Trigger)</f>
        <v>0.1</v>
      </c>
      <c r="AD29" s="181">
        <f t="shared" si="0"/>
        <v>2.9114415373554252E-3</v>
      </c>
      <c r="AE29" s="181">
        <f t="shared" si="13"/>
        <v>2.6797074138450792E-3</v>
      </c>
      <c r="AF29" s="181">
        <f t="shared" si="14"/>
        <v>2.8606848799282497E-3</v>
      </c>
    </row>
    <row r="30" spans="3:32" ht="12" customHeight="1" x14ac:dyDescent="0.2">
      <c r="C30" s="186" t="s">
        <v>55</v>
      </c>
      <c r="D30" s="172">
        <f t="shared" si="4"/>
        <v>42137</v>
      </c>
      <c r="E30" s="187">
        <f>_xll.qlCalendarAdvance(Calendar,SettlementDate,C30,"Following",,Trigger)</f>
        <v>42503</v>
      </c>
      <c r="F30" s="174">
        <f>_xll.qlDayCounterYearFraction(DayCounter,D30,E30,,,Trigger)</f>
        <v>1.0166666666666666</v>
      </c>
      <c r="G30" s="210">
        <f>_xll.qlYieldTSDiscount(Discounting,D30,,AllTriggers)</f>
        <v>1.0000055555787037</v>
      </c>
      <c r="H30" s="188">
        <f>_xll.qlYieldTSDiscount(Discounting,E30,,AllTriggers)</f>
        <v>1.0012597709450963</v>
      </c>
      <c r="I30" s="211">
        <f t="shared" si="9"/>
        <v>-1.232102292077841E-3</v>
      </c>
      <c r="J30" s="190">
        <f t="shared" si="10"/>
        <v>1.6800000000000421E-3</v>
      </c>
      <c r="K30" s="190">
        <f t="shared" si="11"/>
        <v>1.6800000000000421E-3</v>
      </c>
      <c r="L30" s="190">
        <f t="shared" si="12"/>
        <v>1.6800000000000421E-3</v>
      </c>
      <c r="AB30" s="183">
        <f>_xll.qlCalendarAdvance(Calendar,AB29,"1d","mf",,Trigger)</f>
        <v>42174</v>
      </c>
      <c r="AC30" s="169">
        <f>_xll.qlDayCounterYearFraction(DayCounter,SettlementDate,AB30,,,Trigger)</f>
        <v>0.10277777777777777</v>
      </c>
      <c r="AD30" s="181">
        <f t="shared" si="0"/>
        <v>2.9114415373554252E-3</v>
      </c>
      <c r="AE30" s="181">
        <f t="shared" si="13"/>
        <v>2.6812838364539933E-3</v>
      </c>
      <c r="AF30" s="181">
        <f t="shared" si="14"/>
        <v>2.8593779496888113E-3</v>
      </c>
    </row>
    <row r="31" spans="3:32" ht="12" customHeight="1" x14ac:dyDescent="0.2">
      <c r="AB31" s="183">
        <f>_xll.qlCalendarAdvance(Calendar,AB30,"1d","mf",,Trigger)</f>
        <v>42177</v>
      </c>
      <c r="AC31" s="169">
        <f>_xll.qlDayCounterYearFraction(DayCounter,SettlementDate,AB31,,,Trigger)</f>
        <v>0.1111111111111111</v>
      </c>
      <c r="AD31" s="181">
        <f t="shared" si="0"/>
        <v>2.9114415373554252E-3</v>
      </c>
      <c r="AE31" s="181">
        <f t="shared" si="13"/>
        <v>2.6860131042807348E-3</v>
      </c>
      <c r="AF31" s="181">
        <f t="shared" si="14"/>
        <v>2.8555464924519209E-3</v>
      </c>
    </row>
    <row r="32" spans="3:32" ht="12" customHeight="1" x14ac:dyDescent="0.2">
      <c r="C32" s="156" t="s">
        <v>123</v>
      </c>
      <c r="AB32" s="183">
        <f>_xll.qlCalendarAdvance(Calendar,AB31,"1d","mf",,Trigger)</f>
        <v>42178</v>
      </c>
      <c r="AC32" s="169">
        <f>_xll.qlDayCounterYearFraction(DayCounter,SettlementDate,AB32,,,Trigger)</f>
        <v>0.11388888888888889</v>
      </c>
      <c r="AD32" s="181">
        <f t="shared" si="0"/>
        <v>2.9114415373554252E-3</v>
      </c>
      <c r="AE32" s="181">
        <f t="shared" si="13"/>
        <v>2.6875895268896489E-3</v>
      </c>
      <c r="AF32" s="181">
        <f t="shared" si="14"/>
        <v>2.8542991178667656E-3</v>
      </c>
    </row>
    <row r="33" spans="3:32" x14ac:dyDescent="0.2">
      <c r="C33" s="193" t="s">
        <v>108</v>
      </c>
      <c r="AB33" s="183">
        <f>_xll.qlCalendarAdvance(Calendar,AB32,"1d","mf",,Trigger)</f>
        <v>42179</v>
      </c>
      <c r="AC33" s="169">
        <f>_xll.qlDayCounterYearFraction(DayCounter,SettlementDate,AB33,,,Trigger)</f>
        <v>0.11666666666666667</v>
      </c>
      <c r="AD33" s="181">
        <f t="shared" si="0"/>
        <v>2.9114415373554252E-3</v>
      </c>
      <c r="AE33" s="181">
        <f t="shared" si="13"/>
        <v>2.6891659494985625E-3</v>
      </c>
      <c r="AF33" s="181">
        <f t="shared" si="14"/>
        <v>2.8530666321951812E-3</v>
      </c>
    </row>
    <row r="34" spans="3:32" x14ac:dyDescent="0.2">
      <c r="C34" s="181">
        <f t="shared" ref="C34:C49" si="15">IF($C$33="FLAT",J15,IF($C$33="linear",K15,L15))</f>
        <v>1.6318272343784912E-3</v>
      </c>
      <c r="AB34" s="183">
        <f>_xll.qlCalendarAdvance(Calendar,AB33,"1d","mf",,Trigger)</f>
        <v>42180</v>
      </c>
      <c r="AC34" s="169">
        <f>_xll.qlDayCounterYearFraction(DayCounter,SettlementDate,AB34,,,Trigger)</f>
        <v>0.11944444444444445</v>
      </c>
      <c r="AD34" s="181">
        <f t="shared" si="0"/>
        <v>2.9114415373554252E-3</v>
      </c>
      <c r="AE34" s="181">
        <f t="shared" si="13"/>
        <v>2.6907423721074766E-3</v>
      </c>
      <c r="AF34" s="181">
        <f t="shared" si="14"/>
        <v>2.8518490354371676E-3</v>
      </c>
    </row>
    <row r="35" spans="3:32" x14ac:dyDescent="0.2">
      <c r="C35" s="181">
        <f t="shared" si="15"/>
        <v>1.648490761496646E-3</v>
      </c>
      <c r="AB35" s="183">
        <f>_xll.qlCalendarAdvance(Calendar,AB34,"1d","mf",,Trigger)</f>
        <v>42181</v>
      </c>
      <c r="AC35" s="169">
        <f>_xll.qlDayCounterYearFraction(DayCounter,SettlementDate,AB35,,,Trigger)</f>
        <v>0.12222222222222222</v>
      </c>
      <c r="AD35" s="181">
        <f t="shared" si="0"/>
        <v>2.9114415373554252E-3</v>
      </c>
      <c r="AE35" s="181">
        <f t="shared" si="13"/>
        <v>2.6923187947163903E-3</v>
      </c>
      <c r="AF35" s="181">
        <f t="shared" si="14"/>
        <v>2.8506463275927252E-3</v>
      </c>
    </row>
    <row r="36" spans="3:32" x14ac:dyDescent="0.2">
      <c r="C36" s="181">
        <f t="shared" si="15"/>
        <v>1.6440246526938651E-3</v>
      </c>
      <c r="AB36" s="183">
        <f>_xll.qlCalendarAdvance(Calendar,AB35,"1d","mf",,Trigger)</f>
        <v>42184</v>
      </c>
      <c r="AC36" s="169">
        <f>_xll.qlDayCounterYearFraction(DayCounter,SettlementDate,AB36,,,Trigger)</f>
        <v>0.13055555555555556</v>
      </c>
      <c r="AD36" s="181">
        <f t="shared" si="0"/>
        <v>2.9114415373554252E-3</v>
      </c>
      <c r="AE36" s="181">
        <f t="shared" si="13"/>
        <v>2.6970480625431322E-3</v>
      </c>
      <c r="AF36" s="181">
        <f t="shared" si="14"/>
        <v>2.8471275375408227E-3</v>
      </c>
    </row>
    <row r="37" spans="3:32" x14ac:dyDescent="0.2">
      <c r="C37" s="181">
        <f t="shared" si="15"/>
        <v>1.729571727346573E-3</v>
      </c>
      <c r="AB37" s="183">
        <f>_xll.qlCalendarAdvance(Calendar,AB36,"1d","mf",,Trigger)</f>
        <v>42185</v>
      </c>
      <c r="AC37" s="169">
        <f>_xll.qlDayCounterYearFraction(DayCounter,SettlementDate,AB37,,,Trigger)</f>
        <v>0.13333333333333333</v>
      </c>
      <c r="AD37" s="181">
        <f t="shared" si="0"/>
        <v>2.9114415373554252E-3</v>
      </c>
      <c r="AE37" s="181">
        <f t="shared" si="13"/>
        <v>2.6986244851520463E-3</v>
      </c>
      <c r="AF37" s="181">
        <f t="shared" si="14"/>
        <v>2.8459843853506635E-3</v>
      </c>
    </row>
    <row r="38" spans="3:32" x14ac:dyDescent="0.2">
      <c r="C38" s="181">
        <f t="shared" si="15"/>
        <v>1.6990581036114738E-3</v>
      </c>
      <c r="AB38" s="183">
        <f>_xll.qlCalendarAdvance(Calendar,AB37,"1d","mf",,Trigger)</f>
        <v>42186</v>
      </c>
      <c r="AC38" s="169">
        <f>_xll.qlDayCounterYearFraction(DayCounter,SettlementDate,AB38,,,Trigger)</f>
        <v>0.1361111111111111</v>
      </c>
      <c r="AD38" s="181">
        <f t="shared" si="0"/>
        <v>2.9114415373554252E-3</v>
      </c>
      <c r="AE38" s="181">
        <f t="shared" si="13"/>
        <v>2.70020090776096E-3</v>
      </c>
      <c r="AF38" s="181">
        <f t="shared" si="14"/>
        <v>2.844856122074075E-3</v>
      </c>
    </row>
    <row r="39" spans="3:32" x14ac:dyDescent="0.2">
      <c r="C39" s="181">
        <f t="shared" si="15"/>
        <v>1.6411753505547173E-3</v>
      </c>
      <c r="AB39" s="183">
        <f>_xll.qlCalendarAdvance(Calendar,AB38,"1d","mf",,Trigger)</f>
        <v>42187</v>
      </c>
      <c r="AC39" s="169">
        <f>_xll.qlDayCounterYearFraction(DayCounter,SettlementDate,AB39,,,Trigger)</f>
        <v>0.1388888888888889</v>
      </c>
      <c r="AD39" s="181">
        <f t="shared" si="0"/>
        <v>2.9114415373554252E-3</v>
      </c>
      <c r="AE39" s="181">
        <f t="shared" si="13"/>
        <v>2.7017773303698741E-3</v>
      </c>
      <c r="AF39" s="181">
        <f t="shared" si="14"/>
        <v>2.8437427477110578E-3</v>
      </c>
    </row>
    <row r="40" spans="3:32" x14ac:dyDescent="0.2">
      <c r="C40" s="181">
        <f t="shared" si="15"/>
        <v>1.6054197979756873E-3</v>
      </c>
      <c r="AB40" s="183">
        <f>_xll.qlCalendarAdvance(Calendar,AB39,"1d","mf",,Trigger)</f>
        <v>42188</v>
      </c>
      <c r="AC40" s="169">
        <f>_xll.qlDayCounterYearFraction(DayCounter,SettlementDate,AB40,,,Trigger)</f>
        <v>0.14166666666666666</v>
      </c>
      <c r="AD40" s="181">
        <f t="shared" si="0"/>
        <v>2.9114415373554252E-3</v>
      </c>
      <c r="AE40" s="181">
        <f t="shared" si="13"/>
        <v>2.7033537529787877E-3</v>
      </c>
      <c r="AF40" s="181">
        <f t="shared" si="14"/>
        <v>2.8426442622616109E-3</v>
      </c>
    </row>
    <row r="41" spans="3:32" x14ac:dyDescent="0.2">
      <c r="C41" s="181">
        <f t="shared" si="15"/>
        <v>1.5906076102677506E-3</v>
      </c>
      <c r="AB41" s="183">
        <f>_xll.qlCalendarAdvance(Calendar,AB40,"1d","mf",,Trigger)</f>
        <v>42191</v>
      </c>
      <c r="AC41" s="169">
        <f>_xll.qlDayCounterYearFraction(DayCounter,SettlementDate,AB41,,,Trigger)</f>
        <v>0.15</v>
      </c>
      <c r="AD41" s="181">
        <f t="shared" si="0"/>
        <v>2.9114415373554252E-3</v>
      </c>
      <c r="AE41" s="181">
        <f t="shared" si="13"/>
        <v>2.7080830208055296E-3</v>
      </c>
      <c r="AF41" s="181">
        <f t="shared" si="14"/>
        <v>2.8394381393946969E-3</v>
      </c>
    </row>
    <row r="42" spans="3:32" x14ac:dyDescent="0.2">
      <c r="C42" s="181">
        <f t="shared" si="15"/>
        <v>1.5948862639217844E-3</v>
      </c>
      <c r="AB42" s="183">
        <f>_xll.qlCalendarAdvance(Calendar,AB41,"1d","mf",,Trigger)</f>
        <v>42192</v>
      </c>
      <c r="AC42" s="169">
        <f>_xll.qlDayCounterYearFraction(DayCounter,SettlementDate,AB42,,,Trigger)</f>
        <v>0.15277777777777779</v>
      </c>
      <c r="AD42" s="181">
        <f t="shared" si="0"/>
        <v>2.9114415373554252E-3</v>
      </c>
      <c r="AE42" s="181">
        <f t="shared" si="13"/>
        <v>2.7096594434144433E-3</v>
      </c>
      <c r="AF42" s="181">
        <f t="shared" si="14"/>
        <v>2.8383992095995332E-3</v>
      </c>
    </row>
    <row r="43" spans="3:32" ht="11.25" customHeight="1" x14ac:dyDescent="0.2">
      <c r="C43" s="181">
        <f t="shared" si="15"/>
        <v>1.5988316222211815E-3</v>
      </c>
      <c r="M43" s="153"/>
      <c r="AB43" s="183">
        <f>_xll.qlCalendarAdvance(Calendar,AB42,"1d","mf",,Trigger)</f>
        <v>42193</v>
      </c>
      <c r="AC43" s="169">
        <f>_xll.qlDayCounterYearFraction(DayCounter,SettlementDate,AB43,,,Trigger)</f>
        <v>0.15555555555555556</v>
      </c>
      <c r="AD43" s="181">
        <f t="shared" si="0"/>
        <v>2.9114415373554252E-3</v>
      </c>
      <c r="AE43" s="181">
        <f t="shared" si="13"/>
        <v>2.7112358660233574E-3</v>
      </c>
      <c r="AF43" s="181">
        <f t="shared" si="14"/>
        <v>2.8373751687179411E-3</v>
      </c>
    </row>
    <row r="44" spans="3:32" x14ac:dyDescent="0.2">
      <c r="C44" s="181">
        <f t="shared" si="15"/>
        <v>1.6019987900507534E-3</v>
      </c>
      <c r="M44" s="153"/>
      <c r="AB44" s="183">
        <f>_xll.qlCalendarAdvance(Calendar,AB43,"1d","mf",,Trigger)</f>
        <v>42194</v>
      </c>
      <c r="AC44" s="169">
        <f>_xll.qlDayCounterYearFraction(DayCounter,SettlementDate,AB44,,,Trigger)</f>
        <v>0.15833333333333333</v>
      </c>
      <c r="AD44" s="181">
        <f t="shared" si="0"/>
        <v>2.9114415373554252E-3</v>
      </c>
      <c r="AE44" s="181">
        <f t="shared" si="13"/>
        <v>2.7128122886322711E-3</v>
      </c>
      <c r="AF44" s="181">
        <f t="shared" si="14"/>
        <v>2.8363660167499199E-3</v>
      </c>
    </row>
    <row r="45" spans="3:32" x14ac:dyDescent="0.2">
      <c r="C45" s="181">
        <f t="shared" si="15"/>
        <v>1.6252028290032268E-3</v>
      </c>
      <c r="M45" s="153"/>
      <c r="AB45" s="183">
        <f>_xll.qlCalendarAdvance(Calendar,AB44,"1d","mf",,Trigger)</f>
        <v>42195</v>
      </c>
      <c r="AC45" s="169">
        <f>_xll.qlDayCounterYearFraction(DayCounter,SettlementDate,AB45,,,Trigger)</f>
        <v>0.16111111111111112</v>
      </c>
      <c r="AD45" s="181">
        <f t="shared" si="0"/>
        <v>2.9114415373554252E-3</v>
      </c>
      <c r="AE45" s="181">
        <f t="shared" si="13"/>
        <v>2.7143887112411852E-3</v>
      </c>
      <c r="AF45" s="181">
        <f t="shared" si="14"/>
        <v>2.8353717536954695E-3</v>
      </c>
    </row>
    <row r="46" spans="3:32" x14ac:dyDescent="0.2">
      <c r="C46" s="181">
        <f t="shared" si="15"/>
        <v>1.6229579900159524E-3</v>
      </c>
      <c r="M46" s="153"/>
      <c r="AB46" s="183">
        <f>_xll.qlCalendarAdvance(Calendar,AB45,"1d","mf",,Trigger)</f>
        <v>42198</v>
      </c>
      <c r="AC46" s="169">
        <f>_xll.qlDayCounterYearFraction(DayCounter,SettlementDate,AB46,,,Trigger)</f>
        <v>0.16944444444444445</v>
      </c>
      <c r="AD46" s="181">
        <f t="shared" si="0"/>
        <v>2.9114415373554252E-3</v>
      </c>
      <c r="AE46" s="181">
        <f t="shared" si="13"/>
        <v>2.7191179790679271E-3</v>
      </c>
      <c r="AF46" s="181">
        <f t="shared" si="14"/>
        <v>2.8324782980135429E-3</v>
      </c>
    </row>
    <row r="47" spans="3:32" x14ac:dyDescent="0.2">
      <c r="C47" s="181">
        <f t="shared" si="15"/>
        <v>1.6377187928026181E-3</v>
      </c>
      <c r="M47" s="153"/>
      <c r="AB47" s="183">
        <f>_xll.qlCalendarAdvance(Calendar,AB46,"1d","mf",,Trigger)</f>
        <v>42199</v>
      </c>
      <c r="AC47" s="169">
        <f>_xll.qlDayCounterYearFraction(DayCounter,SettlementDate,AB47,,,Trigger)</f>
        <v>0.17222222222222222</v>
      </c>
      <c r="AD47" s="181">
        <f t="shared" si="0"/>
        <v>2.9114415373554252E-3</v>
      </c>
      <c r="AE47" s="181">
        <f t="shared" si="13"/>
        <v>2.7206944016768407E-3</v>
      </c>
      <c r="AF47" s="181">
        <f t="shared" si="14"/>
        <v>2.8315435906133756E-3</v>
      </c>
    </row>
    <row r="48" spans="3:32" x14ac:dyDescent="0.2">
      <c r="C48" s="181">
        <f t="shared" si="15"/>
        <v>1.6595201042138694E-3</v>
      </c>
      <c r="AB48" s="183">
        <f>_xll.qlCalendarAdvance(Calendar,AB47,"1d","mf",,Trigger)</f>
        <v>42200</v>
      </c>
      <c r="AC48" s="169">
        <f>_xll.qlDayCounterYearFraction(DayCounter,SettlementDate,AB48,,,Trigger)</f>
        <v>0.17499999999999999</v>
      </c>
      <c r="AD48" s="181">
        <f t="shared" si="0"/>
        <v>2.9114415373554252E-3</v>
      </c>
      <c r="AE48" s="181">
        <f t="shared" si="13"/>
        <v>2.7222708242857548E-3</v>
      </c>
      <c r="AF48" s="181">
        <f t="shared" si="14"/>
        <v>2.8306237721267792E-3</v>
      </c>
    </row>
    <row r="49" spans="3:32" x14ac:dyDescent="0.2">
      <c r="C49" s="190">
        <f t="shared" si="15"/>
        <v>1.6800000000000421E-3</v>
      </c>
      <c r="AB49" s="183">
        <f>_xll.qlCalendarAdvance(Calendar,AB48,"1d","mf",,Trigger)</f>
        <v>42201</v>
      </c>
      <c r="AC49" s="169">
        <f>_xll.qlDayCounterYearFraction(DayCounter,SettlementDate,AB49,,,Trigger)</f>
        <v>0.17777777777777778</v>
      </c>
      <c r="AD49" s="181">
        <f t="shared" si="0"/>
        <v>2.9114415373554252E-3</v>
      </c>
      <c r="AE49" s="181">
        <f t="shared" si="13"/>
        <v>2.7238472468946685E-3</v>
      </c>
      <c r="AF49" s="181">
        <f t="shared" si="14"/>
        <v>2.8297188425537539E-3</v>
      </c>
    </row>
    <row r="50" spans="3:32" x14ac:dyDescent="0.2">
      <c r="I50" s="154"/>
      <c r="J50" s="154"/>
      <c r="AB50" s="183">
        <f>_xll.qlCalendarAdvance(Calendar,AB49,"1d","mf",,Trigger)</f>
        <v>42202</v>
      </c>
      <c r="AC50" s="169">
        <f>_xll.qlDayCounterYearFraction(DayCounter,SettlementDate,AB50,,,Trigger)</f>
        <v>0.18055555555555555</v>
      </c>
      <c r="AD50" s="181">
        <f t="shared" si="0"/>
        <v>2.9114415373554252E-3</v>
      </c>
      <c r="AE50" s="181">
        <f t="shared" si="13"/>
        <v>2.7254236695035826E-3</v>
      </c>
      <c r="AF50" s="181">
        <f t="shared" si="14"/>
        <v>2.8288288018942995E-3</v>
      </c>
    </row>
    <row r="51" spans="3:32" x14ac:dyDescent="0.2">
      <c r="AB51" s="183">
        <f>_xll.qlCalendarAdvance(Calendar,AB50,"1d","mf",,Trigger)</f>
        <v>42205</v>
      </c>
      <c r="AC51" s="169">
        <f>_xll.qlDayCounterYearFraction(DayCounter,SettlementDate,AB51,,,Trigger)</f>
        <v>0.18888888888888888</v>
      </c>
      <c r="AD51" s="181">
        <f t="shared" si="0"/>
        <v>2.9114415373554252E-3</v>
      </c>
      <c r="AE51" s="181">
        <f t="shared" si="13"/>
        <v>2.730152937330324E-3</v>
      </c>
      <c r="AF51" s="181">
        <f t="shared" si="14"/>
        <v>2.8262480133973609E-3</v>
      </c>
    </row>
    <row r="52" spans="3:32" x14ac:dyDescent="0.2">
      <c r="AB52" s="183">
        <f>_xll.qlCalendarAdvance(Calendar,AB51,"1d","mf",,Trigger)</f>
        <v>42206</v>
      </c>
      <c r="AC52" s="169">
        <f>_xll.qlDayCounterYearFraction(DayCounter,SettlementDate,AB52,,,Trigger)</f>
        <v>0.19166666666666668</v>
      </c>
      <c r="AD52" s="181">
        <f t="shared" si="0"/>
        <v>2.9114415373554252E-3</v>
      </c>
      <c r="AE52" s="181">
        <f t="shared" si="13"/>
        <v>2.7317293599392382E-3</v>
      </c>
      <c r="AF52" s="181">
        <f t="shared" si="14"/>
        <v>2.82541752839219E-3</v>
      </c>
    </row>
    <row r="53" spans="3:32" x14ac:dyDescent="0.2">
      <c r="AB53" s="183">
        <f>_xll.qlCalendarAdvance(Calendar,AB52,"1d","mf",,Trigger)</f>
        <v>42207</v>
      </c>
      <c r="AC53" s="169">
        <f>_xll.qlDayCounterYearFraction(DayCounter,SettlementDate,AB53,,,Trigger)</f>
        <v>0.19444444444444445</v>
      </c>
      <c r="AD53" s="181">
        <f t="shared" si="0"/>
        <v>2.9114415373554252E-3</v>
      </c>
      <c r="AE53" s="181">
        <f t="shared" si="13"/>
        <v>2.7333057825481518E-3</v>
      </c>
      <c r="AF53" s="181">
        <f t="shared" si="14"/>
        <v>2.82460193230059E-3</v>
      </c>
    </row>
    <row r="54" spans="3:32" x14ac:dyDescent="0.2">
      <c r="AB54" s="183">
        <f>_xll.qlCalendarAdvance(Calendar,AB53,"1d","mf",,Trigger)</f>
        <v>42208</v>
      </c>
      <c r="AC54" s="169">
        <f>_xll.qlDayCounterYearFraction(DayCounter,SettlementDate,AB54,,,Trigger)</f>
        <v>0.19722222222222222</v>
      </c>
      <c r="AD54" s="181">
        <f t="shared" si="0"/>
        <v>2.9114415373554252E-3</v>
      </c>
      <c r="AE54" s="181">
        <f t="shared" si="13"/>
        <v>2.7348822051570659E-3</v>
      </c>
      <c r="AF54" s="181">
        <f t="shared" si="14"/>
        <v>2.8238012251225607E-3</v>
      </c>
    </row>
    <row r="55" spans="3:32" x14ac:dyDescent="0.2">
      <c r="AB55" s="183">
        <f>_xll.qlCalendarAdvance(Calendar,AB54,"1d","mf",,Trigger)</f>
        <v>42209</v>
      </c>
      <c r="AC55" s="169">
        <f>_xll.qlDayCounterYearFraction(DayCounter,SettlementDate,AB55,,,Trigger)</f>
        <v>0.2</v>
      </c>
      <c r="AD55" s="181">
        <f t="shared" si="0"/>
        <v>2.9114415373554252E-3</v>
      </c>
      <c r="AE55" s="181">
        <f t="shared" si="13"/>
        <v>2.7364586277659796E-3</v>
      </c>
      <c r="AF55" s="181">
        <f t="shared" si="14"/>
        <v>2.8230154068581022E-3</v>
      </c>
    </row>
    <row r="56" spans="3:32" x14ac:dyDescent="0.2">
      <c r="AB56" s="183">
        <f>_xll.qlCalendarAdvance(Calendar,AB55,"1d","mf",,Trigger)</f>
        <v>42212</v>
      </c>
      <c r="AC56" s="169">
        <f>_xll.qlDayCounterYearFraction(DayCounter,SettlementDate,AB56,,,Trigger)</f>
        <v>0.20833333333333334</v>
      </c>
      <c r="AD56" s="181">
        <f t="shared" si="0"/>
        <v>2.9114415373554252E-3</v>
      </c>
      <c r="AE56" s="181">
        <f t="shared" si="13"/>
        <v>2.7411878955927215E-3</v>
      </c>
      <c r="AF56" s="181">
        <f t="shared" si="14"/>
        <v>2.8207472855461516E-3</v>
      </c>
    </row>
    <row r="57" spans="3:32" x14ac:dyDescent="0.2">
      <c r="AB57" s="183">
        <f>_xll.qlCalendarAdvance(Calendar,AB56,"1d","mf",,Trigger)</f>
        <v>42213</v>
      </c>
      <c r="AC57" s="169">
        <f>_xll.qlDayCounterYearFraction(DayCounter,SettlementDate,AB57,,,Trigger)</f>
        <v>0.21111111111111111</v>
      </c>
      <c r="AD57" s="181">
        <f t="shared" si="0"/>
        <v>2.9114415373554252E-3</v>
      </c>
      <c r="AE57" s="181">
        <f t="shared" si="13"/>
        <v>2.7427643182016356E-3</v>
      </c>
      <c r="AF57" s="181">
        <f t="shared" si="14"/>
        <v>2.8200210229359763E-3</v>
      </c>
    </row>
    <row r="58" spans="3:32" x14ac:dyDescent="0.2">
      <c r="AB58" s="183">
        <f>_xll.qlCalendarAdvance(Calendar,AB57,"1d","mf",,Trigger)</f>
        <v>42214</v>
      </c>
      <c r="AC58" s="169">
        <f>_xll.qlDayCounterYearFraction(DayCounter,SettlementDate,AB58,,,Trigger)</f>
        <v>0.21388888888888888</v>
      </c>
      <c r="AD58" s="181">
        <f t="shared" si="0"/>
        <v>2.9114415373554252E-3</v>
      </c>
      <c r="AE58" s="181">
        <f t="shared" si="13"/>
        <v>2.7443407408105492E-3</v>
      </c>
      <c r="AF58" s="181">
        <f t="shared" si="14"/>
        <v>2.8193096492393722E-3</v>
      </c>
    </row>
    <row r="59" spans="3:32" x14ac:dyDescent="0.2">
      <c r="AB59" s="183">
        <f>_xll.qlCalendarAdvance(Calendar,AB58,"1d","mf",,Trigger)</f>
        <v>42215</v>
      </c>
      <c r="AC59" s="169">
        <f>_xll.qlDayCounterYearFraction(DayCounter,SettlementDate,AB59,,,Trigger)</f>
        <v>0.21666666666666667</v>
      </c>
      <c r="AD59" s="181">
        <f t="shared" si="0"/>
        <v>2.9114415373554252E-3</v>
      </c>
      <c r="AE59" s="181">
        <f t="shared" si="13"/>
        <v>2.7459171634194634E-3</v>
      </c>
      <c r="AF59" s="181">
        <f t="shared" si="14"/>
        <v>2.8186131644563389E-3</v>
      </c>
    </row>
    <row r="60" spans="3:32" x14ac:dyDescent="0.2">
      <c r="AB60" s="183">
        <f>_xll.qlCalendarAdvance(Calendar,AB59,"1d","mf",,Trigger)</f>
        <v>42216</v>
      </c>
      <c r="AC60" s="169">
        <f>_xll.qlDayCounterYearFraction(DayCounter,SettlementDate,AB60,,,Trigger)</f>
        <v>0.21944444444444444</v>
      </c>
      <c r="AD60" s="181">
        <f t="shared" si="0"/>
        <v>2.9114415373554252E-3</v>
      </c>
      <c r="AE60" s="181">
        <f t="shared" si="13"/>
        <v>2.747493586028377E-3</v>
      </c>
      <c r="AF60" s="181">
        <f t="shared" si="14"/>
        <v>2.8179315685868764E-3</v>
      </c>
    </row>
    <row r="61" spans="3:32" x14ac:dyDescent="0.2">
      <c r="AB61" s="183">
        <f>_xll.qlCalendarAdvance(Calendar,AB60,"1d","mf",,Trigger)</f>
        <v>42219</v>
      </c>
      <c r="AC61" s="169">
        <f>_xll.qlDayCounterYearFraction(DayCounter,SettlementDate,AB61,,,Trigger)</f>
        <v>0.22777777777777777</v>
      </c>
      <c r="AD61" s="181">
        <f t="shared" si="0"/>
        <v>2.9114415373554252E-3</v>
      </c>
      <c r="AE61" s="181">
        <f t="shared" si="13"/>
        <v>2.7522228538551189E-3</v>
      </c>
      <c r="AF61" s="181">
        <f t="shared" si="14"/>
        <v>2.8159761144599142E-3</v>
      </c>
    </row>
    <row r="62" spans="3:32" x14ac:dyDescent="0.2">
      <c r="AB62" s="183">
        <f>_xll.qlCalendarAdvance(Calendar,AB61,"1d","mf",,Trigger)</f>
        <v>42220</v>
      </c>
      <c r="AC62" s="169">
        <f>_xll.qlDayCounterYearFraction(DayCounter,SettlementDate,AB62,,,Trigger)</f>
        <v>0.23055555555555557</v>
      </c>
      <c r="AD62" s="181">
        <f t="shared" si="0"/>
        <v>2.9114415373554252E-3</v>
      </c>
      <c r="AE62" s="181">
        <f t="shared" si="13"/>
        <v>2.7537992764640326E-3</v>
      </c>
      <c r="AF62" s="181">
        <f t="shared" si="14"/>
        <v>2.8153540742447353E-3</v>
      </c>
    </row>
    <row r="63" spans="3:32" x14ac:dyDescent="0.2">
      <c r="AB63" s="183">
        <f>_xll.qlCalendarAdvance(Calendar,AB62,"1d","mf",,Trigger)</f>
        <v>42221</v>
      </c>
      <c r="AC63" s="169">
        <f>_xll.qlDayCounterYearFraction(DayCounter,SettlementDate,AB63,,,Trigger)</f>
        <v>0.23333333333333334</v>
      </c>
      <c r="AD63" s="181">
        <f t="shared" si="0"/>
        <v>2.9114415373554252E-3</v>
      </c>
      <c r="AE63" s="181">
        <f t="shared" si="13"/>
        <v>2.7553756990729467E-3</v>
      </c>
      <c r="AF63" s="181">
        <f t="shared" si="14"/>
        <v>2.8147469229431272E-3</v>
      </c>
    </row>
    <row r="64" spans="3:32" x14ac:dyDescent="0.2">
      <c r="AB64" s="183">
        <f>_xll.qlCalendarAdvance(Calendar,AB63,"1d","mf",,Trigger)</f>
        <v>42222</v>
      </c>
      <c r="AC64" s="169">
        <f>_xll.qlDayCounterYearFraction(DayCounter,SettlementDate,AB64,,,Trigger)</f>
        <v>0.2361111111111111</v>
      </c>
      <c r="AD64" s="181">
        <f t="shared" si="0"/>
        <v>2.9114415373554252E-3</v>
      </c>
      <c r="AE64" s="181">
        <f t="shared" si="13"/>
        <v>2.7569521216818603E-3</v>
      </c>
      <c r="AF64" s="181">
        <f t="shared" si="14"/>
        <v>2.8141546605550899E-3</v>
      </c>
    </row>
    <row r="65" spans="9:32" x14ac:dyDescent="0.2">
      <c r="AB65" s="183">
        <f>_xll.qlCalendarAdvance(Calendar,AB64,"1d","mf",,Trigger)</f>
        <v>42223</v>
      </c>
      <c r="AC65" s="169">
        <f>_xll.qlDayCounterYearFraction(DayCounter,SettlementDate,AB65,,,Trigger)</f>
        <v>0.2388888888888889</v>
      </c>
      <c r="AD65" s="181">
        <f t="shared" si="0"/>
        <v>2.9114415373554252E-3</v>
      </c>
      <c r="AE65" s="181">
        <f t="shared" si="13"/>
        <v>2.7585285442907745E-3</v>
      </c>
      <c r="AF65" s="181">
        <f t="shared" si="14"/>
        <v>2.8135772870806234E-3</v>
      </c>
    </row>
    <row r="66" spans="9:32" x14ac:dyDescent="0.2">
      <c r="AB66" s="183">
        <f>_xll.qlCalendarAdvance(Calendar,AB65,"1d","mf",,Trigger)</f>
        <v>42226</v>
      </c>
      <c r="AC66" s="169">
        <f>_xll.qlDayCounterYearFraction(DayCounter,SettlementDate,AB66,,,Trigger)</f>
        <v>0.24722222222222223</v>
      </c>
      <c r="AD66" s="181">
        <f t="shared" si="0"/>
        <v>2.9114415373554252E-3</v>
      </c>
      <c r="AE66" s="181">
        <f t="shared" si="13"/>
        <v>2.7632578121175163E-3</v>
      </c>
      <c r="AF66" s="181">
        <f t="shared" si="14"/>
        <v>2.8119345001386491E-3</v>
      </c>
    </row>
    <row r="67" spans="9:32" x14ac:dyDescent="0.2">
      <c r="AB67" s="183">
        <f>_xll.qlCalendarAdvance(Calendar,AB66,"1d","mf",,Trigger)</f>
        <v>42227</v>
      </c>
      <c r="AC67" s="169">
        <f>_xll.qlDayCounterYearFraction(DayCounter,SettlementDate,AB67,,,Trigger)</f>
        <v>0.25</v>
      </c>
      <c r="AD67" s="181">
        <f t="shared" ref="AD67:AD130" si="16">$S$13</f>
        <v>2.9114415373554252E-3</v>
      </c>
      <c r="AE67" s="181">
        <f t="shared" si="13"/>
        <v>2.76483423472643E-3</v>
      </c>
      <c r="AF67" s="181">
        <f t="shared" si="14"/>
        <v>2.8114166823184662E-3</v>
      </c>
    </row>
    <row r="68" spans="9:32" x14ac:dyDescent="0.2">
      <c r="AB68" s="183">
        <f>_xll.qlCalendarAdvance(Calendar,AB67,"1d","mf",,Trigger)</f>
        <v>42228</v>
      </c>
      <c r="AC68" s="169">
        <f>_xll.qlDayCounterYearFraction(DayCounter,SettlementDate,AB68,,,Trigger)</f>
        <v>0.25277777777777777</v>
      </c>
      <c r="AD68" s="181">
        <f t="shared" si="16"/>
        <v>2.9114415373554252E-3</v>
      </c>
      <c r="AE68" s="181">
        <f t="shared" si="13"/>
        <v>2.7664106573353437E-3</v>
      </c>
      <c r="AF68" s="181">
        <f t="shared" si="14"/>
        <v>2.8109137534118537E-3</v>
      </c>
    </row>
    <row r="69" spans="9:32" x14ac:dyDescent="0.2">
      <c r="I69" s="154"/>
      <c r="AB69" s="183">
        <f>_xll.qlCalendarAdvance(Calendar,AB68,"1d","mf",,Trigger)</f>
        <v>42229</v>
      </c>
      <c r="AC69" s="169">
        <f>_xll.qlDayCounterYearFraction(DayCounter,SettlementDate,AB69,,,Trigger)</f>
        <v>0.25555555555555554</v>
      </c>
      <c r="AD69" s="181">
        <f t="shared" si="16"/>
        <v>2.9114415373554252E-3</v>
      </c>
      <c r="AE69" s="181">
        <f t="shared" si="13"/>
        <v>2.7679870799442578E-3</v>
      </c>
      <c r="AF69" s="181">
        <f t="shared" si="14"/>
        <v>2.8104257134188128E-3</v>
      </c>
    </row>
    <row r="70" spans="9:32" x14ac:dyDescent="0.2">
      <c r="I70" s="154"/>
      <c r="AB70" s="183">
        <f>_xll.qlCalendarAdvance(Calendar,AB69,"1d","mf",,Trigger)</f>
        <v>42230</v>
      </c>
      <c r="AC70" s="169">
        <f>_xll.qlDayCounterYearFraction(DayCounter,SettlementDate,AB70,,,Trigger)</f>
        <v>0.25833333333333336</v>
      </c>
      <c r="AD70" s="181">
        <f t="shared" si="16"/>
        <v>2.9114415373554252E-3</v>
      </c>
      <c r="AE70" s="181">
        <f t="shared" si="13"/>
        <v>2.7695635025531719E-3</v>
      </c>
      <c r="AF70" s="181">
        <f t="shared" si="14"/>
        <v>2.8099525623393419E-3</v>
      </c>
    </row>
    <row r="71" spans="9:32" x14ac:dyDescent="0.2">
      <c r="I71" s="154"/>
      <c r="AB71" s="183">
        <f>_xll.qlCalendarAdvance(Calendar,AB70,"1d","mf",,Trigger)</f>
        <v>42233</v>
      </c>
      <c r="AC71" s="169">
        <f>_xll.qlDayCounterYearFraction(DayCounter,SettlementDate,AB71,,,Trigger)</f>
        <v>0.26666666666666666</v>
      </c>
      <c r="AD71" s="181">
        <f t="shared" si="16"/>
        <v>2.9114415373554252E-3</v>
      </c>
      <c r="AE71" s="181">
        <f t="shared" si="13"/>
        <v>2.7742927703799133E-3</v>
      </c>
      <c r="AF71" s="181">
        <f t="shared" si="14"/>
        <v>2.8086224425823559E-3</v>
      </c>
    </row>
    <row r="72" spans="9:32" x14ac:dyDescent="0.2">
      <c r="I72" s="154"/>
      <c r="AB72" s="183">
        <f>_xll.qlCalendarAdvance(Calendar,AB71,"1d","mf",,Trigger)</f>
        <v>42234</v>
      </c>
      <c r="AC72" s="169">
        <f>_xll.qlDayCounterYearFraction(DayCounter,SettlementDate,AB72,,,Trigger)</f>
        <v>0.26944444444444443</v>
      </c>
      <c r="AD72" s="181">
        <f t="shared" si="16"/>
        <v>2.9114415373554252E-3</v>
      </c>
      <c r="AE72" s="181">
        <f t="shared" si="13"/>
        <v>2.7758691929888274E-3</v>
      </c>
      <c r="AF72" s="181">
        <f t="shared" si="14"/>
        <v>2.808208847157169E-3</v>
      </c>
    </row>
    <row r="73" spans="9:32" x14ac:dyDescent="0.2">
      <c r="I73" s="154"/>
      <c r="AB73" s="183">
        <f>_xll.qlCalendarAdvance(Calendar,AB72,"1d","mf",,Trigger)</f>
        <v>42235</v>
      </c>
      <c r="AC73" s="169">
        <f>_xll.qlDayCounterYearFraction(DayCounter,SettlementDate,AB73,,,Trigger)</f>
        <v>0.2722222222222222</v>
      </c>
      <c r="AD73" s="181">
        <f t="shared" si="16"/>
        <v>2.9114415373554252E-3</v>
      </c>
      <c r="AE73" s="181">
        <f t="shared" si="13"/>
        <v>2.7774456155977411E-3</v>
      </c>
      <c r="AF73" s="181">
        <f t="shared" si="14"/>
        <v>2.8078101406455529E-3</v>
      </c>
    </row>
    <row r="74" spans="9:32" x14ac:dyDescent="0.2">
      <c r="I74" s="154"/>
      <c r="AB74" s="183">
        <f>_xll.qlCalendarAdvance(Calendar,AB73,"1d","mf",,Trigger)</f>
        <v>42236</v>
      </c>
      <c r="AC74" s="169">
        <f>_xll.qlDayCounterYearFraction(DayCounter,SettlementDate,AB74,,,Trigger)</f>
        <v>0.27500000000000002</v>
      </c>
      <c r="AD74" s="181">
        <f t="shared" si="16"/>
        <v>2.9114415373554252E-3</v>
      </c>
      <c r="AE74" s="181">
        <f t="shared" si="13"/>
        <v>2.7790220382066552E-3</v>
      </c>
      <c r="AF74" s="181">
        <f t="shared" si="14"/>
        <v>2.8074263230475076E-3</v>
      </c>
    </row>
    <row r="75" spans="9:32" x14ac:dyDescent="0.2">
      <c r="I75" s="154"/>
      <c r="J75" s="154"/>
      <c r="AB75" s="183">
        <f>_xll.qlCalendarAdvance(Calendar,AB74,"1d","mf",,Trigger)</f>
        <v>42237</v>
      </c>
      <c r="AC75" s="169">
        <f>_xll.qlDayCounterYearFraction(DayCounter,SettlementDate,AB75,,,Trigger)</f>
        <v>0.27777777777777779</v>
      </c>
      <c r="AD75" s="181">
        <f t="shared" si="16"/>
        <v>2.9114415373554252E-3</v>
      </c>
      <c r="AE75" s="181">
        <f t="shared" si="13"/>
        <v>2.7805984608155689E-3</v>
      </c>
      <c r="AF75" s="181">
        <f t="shared" si="14"/>
        <v>2.8070573943630331E-3</v>
      </c>
    </row>
    <row r="76" spans="9:32" x14ac:dyDescent="0.2">
      <c r="I76" s="154"/>
      <c r="J76" s="154"/>
      <c r="AB76" s="183">
        <f>_xll.qlCalendarAdvance(Calendar,AB75,"1d","mf",,Trigger)</f>
        <v>42240</v>
      </c>
      <c r="AC76" s="169">
        <f>_xll.qlDayCounterYearFraction(DayCounter,SettlementDate,AB76,,,Trigger)</f>
        <v>0.28611111111111109</v>
      </c>
      <c r="AD76" s="181">
        <f t="shared" si="16"/>
        <v>2.9114415373554252E-3</v>
      </c>
      <c r="AE76" s="181">
        <f t="shared" si="13"/>
        <v>2.7853277286423108E-3</v>
      </c>
      <c r="AF76" s="181">
        <f t="shared" si="14"/>
        <v>2.8060399417910351E-3</v>
      </c>
    </row>
    <row r="77" spans="9:32" x14ac:dyDescent="0.2">
      <c r="I77" s="154"/>
      <c r="J77" s="154"/>
      <c r="AB77" s="183">
        <f>_xll.qlCalendarAdvance(Calendar,AB76,"1d","mf",,Trigger)</f>
        <v>42241</v>
      </c>
      <c r="AC77" s="169">
        <f>_xll.qlDayCounterYearFraction(DayCounter,SettlementDate,AB77,,,Trigger)</f>
        <v>0.28888888888888886</v>
      </c>
      <c r="AD77" s="181">
        <f t="shared" si="16"/>
        <v>2.9114415373554252E-3</v>
      </c>
      <c r="AE77" s="181">
        <f t="shared" si="13"/>
        <v>2.7869041512512244E-3</v>
      </c>
      <c r="AF77" s="181">
        <f t="shared" si="14"/>
        <v>2.8057305687608442E-3</v>
      </c>
    </row>
    <row r="78" spans="9:32" x14ac:dyDescent="0.2">
      <c r="I78" s="154"/>
      <c r="J78" s="154"/>
      <c r="AB78" s="183">
        <f>_xll.qlCalendarAdvance(Calendar,AB77,"1d","mf",,Trigger)</f>
        <v>42242</v>
      </c>
      <c r="AC78" s="169">
        <f>_xll.qlDayCounterYearFraction(DayCounter,SettlementDate,AB78,,,Trigger)</f>
        <v>0.29166666666666669</v>
      </c>
      <c r="AD78" s="181">
        <f t="shared" si="16"/>
        <v>2.9114415373554252E-3</v>
      </c>
      <c r="AE78" s="181">
        <f t="shared" si="13"/>
        <v>2.7884805738601385E-3</v>
      </c>
      <c r="AF78" s="181">
        <f t="shared" si="14"/>
        <v>2.805436084644224E-3</v>
      </c>
    </row>
    <row r="79" spans="9:32" x14ac:dyDescent="0.2">
      <c r="I79" s="154"/>
      <c r="J79" s="154"/>
      <c r="AB79" s="183">
        <f>_xll.qlCalendarAdvance(Calendar,AB78,"1d","mf",,Trigger)</f>
        <v>42243</v>
      </c>
      <c r="AC79" s="169">
        <f>_xll.qlDayCounterYearFraction(DayCounter,SettlementDate,AB79,,,Trigger)</f>
        <v>0.29444444444444445</v>
      </c>
      <c r="AD79" s="181">
        <f t="shared" si="16"/>
        <v>2.9114415373554252E-3</v>
      </c>
      <c r="AE79" s="181">
        <f t="shared" si="13"/>
        <v>2.7900569964690526E-3</v>
      </c>
      <c r="AF79" s="181">
        <f t="shared" si="14"/>
        <v>2.8051564894411747E-3</v>
      </c>
    </row>
    <row r="80" spans="9:32" x14ac:dyDescent="0.2">
      <c r="I80" s="154"/>
      <c r="J80" s="154"/>
      <c r="AB80" s="183">
        <f>_xll.qlCalendarAdvance(Calendar,AB79,"1d","mf",,Trigger)</f>
        <v>42244</v>
      </c>
      <c r="AC80" s="169">
        <f>_xll.qlDayCounterYearFraction(DayCounter,SettlementDate,AB80,,,Trigger)</f>
        <v>0.29722222222222222</v>
      </c>
      <c r="AD80" s="181">
        <f t="shared" si="16"/>
        <v>2.9114415373554252E-3</v>
      </c>
      <c r="AE80" s="181">
        <f t="shared" si="13"/>
        <v>2.7916334190779663E-3</v>
      </c>
      <c r="AF80" s="181">
        <f t="shared" si="14"/>
        <v>2.8048917831516962E-3</v>
      </c>
    </row>
    <row r="81" spans="9:32" x14ac:dyDescent="0.2">
      <c r="I81" s="154"/>
      <c r="J81" s="154"/>
      <c r="AB81" s="183">
        <f>_xll.qlCalendarAdvance(Calendar,AB80,"1d","mf",,Trigger)</f>
        <v>42247</v>
      </c>
      <c r="AC81" s="169">
        <f>_xll.qlDayCounterYearFraction(DayCounter,SettlementDate,AB81,,,Trigger)</f>
        <v>0.30555555555555558</v>
      </c>
      <c r="AD81" s="181">
        <f t="shared" si="16"/>
        <v>2.9114415373554252E-3</v>
      </c>
      <c r="AE81" s="181">
        <f t="shared" si="13"/>
        <v>2.7963626869047082E-3</v>
      </c>
      <c r="AF81" s="181">
        <f t="shared" si="14"/>
        <v>2.8041869977646862E-3</v>
      </c>
    </row>
    <row r="82" spans="9:32" x14ac:dyDescent="0.2">
      <c r="I82" s="154"/>
      <c r="J82" s="154"/>
      <c r="AB82" s="183">
        <f>_xll.qlCalendarAdvance(Calendar,AB81,"1d","mf",,Trigger)</f>
        <v>42248</v>
      </c>
      <c r="AC82" s="169">
        <f>_xll.qlDayCounterYearFraction(DayCounter,SettlementDate,AB82,,,Trigger)</f>
        <v>0.30833333333333335</v>
      </c>
      <c r="AD82" s="181">
        <f t="shared" si="16"/>
        <v>2.9114415373554252E-3</v>
      </c>
      <c r="AE82" s="181">
        <f t="shared" si="13"/>
        <v>2.7979391095136219E-3</v>
      </c>
      <c r="AF82" s="181">
        <f t="shared" si="14"/>
        <v>2.8039818471294916E-3</v>
      </c>
    </row>
    <row r="83" spans="9:32" x14ac:dyDescent="0.2">
      <c r="I83" s="154"/>
      <c r="J83" s="154"/>
      <c r="AB83" s="183">
        <f>_xll.qlCalendarAdvance(Calendar,AB82,"1d","mf",,Trigger)</f>
        <v>42249</v>
      </c>
      <c r="AC83" s="169">
        <f>_xll.qlDayCounterYearFraction(DayCounter,SettlementDate,AB83,,,Trigger)</f>
        <v>0.31111111111111112</v>
      </c>
      <c r="AD83" s="181">
        <f t="shared" si="16"/>
        <v>2.9114415373554252E-3</v>
      </c>
      <c r="AE83" s="181">
        <f t="shared" si="13"/>
        <v>2.799515532122536E-3</v>
      </c>
      <c r="AF83" s="181">
        <f t="shared" si="14"/>
        <v>2.8037915854078675E-3</v>
      </c>
    </row>
    <row r="84" spans="9:32" x14ac:dyDescent="0.2">
      <c r="I84" s="154"/>
      <c r="J84" s="154"/>
      <c r="AB84" s="183">
        <f>_xll.qlCalendarAdvance(Calendar,AB83,"1d","mf",,Trigger)</f>
        <v>42250</v>
      </c>
      <c r="AC84" s="169">
        <f>_xll.qlDayCounterYearFraction(DayCounter,SettlementDate,AB84,,,Trigger)</f>
        <v>0.31388888888888888</v>
      </c>
      <c r="AD84" s="181">
        <f t="shared" si="16"/>
        <v>2.9114415373554252E-3</v>
      </c>
      <c r="AE84" s="181">
        <f t="shared" si="13"/>
        <v>2.8010919547314496E-3</v>
      </c>
      <c r="AF84" s="181">
        <f t="shared" si="14"/>
        <v>2.8036162125998137E-3</v>
      </c>
    </row>
    <row r="85" spans="9:32" x14ac:dyDescent="0.2">
      <c r="I85" s="154"/>
      <c r="J85" s="154"/>
      <c r="AB85" s="183">
        <f>_xll.qlCalendarAdvance(Calendar,AB84,"1d","mf",,Trigger)</f>
        <v>42251</v>
      </c>
      <c r="AC85" s="169">
        <f>_xll.qlDayCounterYearFraction(DayCounter,SettlementDate,AB85,,,Trigger)</f>
        <v>0.31666666666666665</v>
      </c>
      <c r="AD85" s="181">
        <f t="shared" si="16"/>
        <v>2.9114415373554252E-3</v>
      </c>
      <c r="AE85" s="181">
        <f t="shared" si="13"/>
        <v>2.8026683773403637E-3</v>
      </c>
      <c r="AF85" s="181">
        <f t="shared" si="14"/>
        <v>2.8034557287053316E-3</v>
      </c>
    </row>
    <row r="86" spans="9:32" x14ac:dyDescent="0.2">
      <c r="I86" s="154"/>
      <c r="J86" s="154"/>
      <c r="AB86" s="183">
        <f>_xll.qlCalendarAdvance(Calendar,AB85,"1d","mf",,Trigger)</f>
        <v>42254</v>
      </c>
      <c r="AC86" s="169">
        <f>_xll.qlDayCounterYearFraction(DayCounter,SettlementDate,AB86,,,Trigger)</f>
        <v>0.32500000000000001</v>
      </c>
      <c r="AD86" s="181">
        <f t="shared" si="16"/>
        <v>2.9114415373554252E-3</v>
      </c>
      <c r="AE86" s="181">
        <f t="shared" ref="AE86:AE145" si="17">$S$10+$S$9*AC86</f>
        <v>2.8073976451671052E-3</v>
      </c>
      <c r="AF86" s="181">
        <f t="shared" ref="AF86:AF145" si="18">($S$5+$S$4*AC86+$S$3*AC86^2)</f>
        <v>2.80306361050331E-3</v>
      </c>
    </row>
    <row r="87" spans="9:32" x14ac:dyDescent="0.2">
      <c r="I87" s="154"/>
      <c r="J87" s="154"/>
      <c r="AB87" s="183">
        <f>_xll.qlCalendarAdvance(Calendar,AB86,"1d","mf",,Trigger)</f>
        <v>42255</v>
      </c>
      <c r="AC87" s="169">
        <f>_xll.qlDayCounterYearFraction(DayCounter,SettlementDate,AB87,,,Trigger)</f>
        <v>0.32777777777777778</v>
      </c>
      <c r="AD87" s="181">
        <f t="shared" si="16"/>
        <v>2.9114415373554252E-3</v>
      </c>
      <c r="AE87" s="181">
        <f t="shared" si="17"/>
        <v>2.8089740677760193E-3</v>
      </c>
      <c r="AF87" s="181">
        <f t="shared" si="18"/>
        <v>2.802962682263111E-3</v>
      </c>
    </row>
    <row r="88" spans="9:32" x14ac:dyDescent="0.2">
      <c r="I88" s="154"/>
      <c r="J88" s="154"/>
      <c r="AB88" s="183">
        <f>_xll.qlCalendarAdvance(Calendar,AB87,"1d","mf",,Trigger)</f>
        <v>42256</v>
      </c>
      <c r="AC88" s="169">
        <f>_xll.qlDayCounterYearFraction(DayCounter,SettlementDate,AB88,,,Trigger)</f>
        <v>0.33055555555555555</v>
      </c>
      <c r="AD88" s="181">
        <f t="shared" si="16"/>
        <v>2.9114415373554252E-3</v>
      </c>
      <c r="AE88" s="181">
        <f t="shared" si="17"/>
        <v>2.8105504903849329E-3</v>
      </c>
      <c r="AF88" s="181">
        <f t="shared" si="18"/>
        <v>2.8028766429364824E-3</v>
      </c>
    </row>
    <row r="89" spans="9:32" x14ac:dyDescent="0.2">
      <c r="I89" s="154"/>
      <c r="J89" s="154"/>
      <c r="AB89" s="183">
        <f>_xll.qlCalendarAdvance(Calendar,AB88,"1d","mf",,Trigger)</f>
        <v>42257</v>
      </c>
      <c r="AC89" s="169">
        <f>_xll.qlDayCounterYearFraction(DayCounter,SettlementDate,AB89,,,Trigger)</f>
        <v>0.33333333333333331</v>
      </c>
      <c r="AD89" s="181">
        <f t="shared" si="16"/>
        <v>2.9114415373554252E-3</v>
      </c>
      <c r="AE89" s="181">
        <f t="shared" si="17"/>
        <v>2.8121269129938471E-3</v>
      </c>
      <c r="AF89" s="181">
        <f t="shared" si="18"/>
        <v>2.8028054925234255E-3</v>
      </c>
    </row>
    <row r="90" spans="9:32" x14ac:dyDescent="0.2">
      <c r="I90" s="154"/>
      <c r="J90" s="154"/>
      <c r="AB90" s="183">
        <f>_xll.qlCalendarAdvance(Calendar,AB89,"1d","mf",,Trigger)</f>
        <v>42258</v>
      </c>
      <c r="AC90" s="169">
        <f>_xll.qlDayCounterYearFraction(DayCounter,SettlementDate,AB90,,,Trigger)</f>
        <v>0.33611111111111114</v>
      </c>
      <c r="AD90" s="181">
        <f t="shared" si="16"/>
        <v>2.9114415373554252E-3</v>
      </c>
      <c r="AE90" s="181">
        <f t="shared" si="17"/>
        <v>2.8137033356027612E-3</v>
      </c>
      <c r="AF90" s="181">
        <f t="shared" si="18"/>
        <v>2.8027492310239389E-3</v>
      </c>
    </row>
    <row r="91" spans="9:32" x14ac:dyDescent="0.2">
      <c r="I91" s="154"/>
      <c r="J91" s="154"/>
      <c r="AB91" s="183">
        <f>_xll.qlCalendarAdvance(Calendar,AB90,"1d","mf",,Trigger)</f>
        <v>42261</v>
      </c>
      <c r="AC91" s="169">
        <f>_xll.qlDayCounterYearFraction(DayCounter,SettlementDate,AB91,,,Trigger)</f>
        <v>0.34444444444444444</v>
      </c>
      <c r="AD91" s="181">
        <f t="shared" si="16"/>
        <v>2.9114415373554252E-3</v>
      </c>
      <c r="AE91" s="181">
        <f t="shared" si="17"/>
        <v>2.8184326034295026E-3</v>
      </c>
      <c r="AF91" s="181">
        <f t="shared" si="18"/>
        <v>2.8026697800069052E-3</v>
      </c>
    </row>
    <row r="92" spans="9:32" x14ac:dyDescent="0.2">
      <c r="I92" s="154"/>
      <c r="J92" s="154"/>
      <c r="AB92" s="183">
        <f>_xll.qlCalendarAdvance(Calendar,AB91,"1d","mf",,Trigger)</f>
        <v>42262</v>
      </c>
      <c r="AC92" s="169">
        <f>_xll.qlDayCounterYearFraction(DayCounter,SettlementDate,AB92,,,Trigger)</f>
        <v>0.34722222222222221</v>
      </c>
      <c r="AD92" s="181">
        <f t="shared" si="16"/>
        <v>2.9114415373554252E-3</v>
      </c>
      <c r="AE92" s="181">
        <f t="shared" si="17"/>
        <v>2.8200090260384167E-3</v>
      </c>
      <c r="AF92" s="181">
        <f t="shared" si="18"/>
        <v>2.8026730741617023E-3</v>
      </c>
    </row>
    <row r="93" spans="9:32" x14ac:dyDescent="0.2">
      <c r="I93" s="154"/>
      <c r="J93" s="154"/>
      <c r="AB93" s="183">
        <f>_xll.qlCalendarAdvance(Calendar,AB92,"1d","mf",,Trigger)</f>
        <v>42263</v>
      </c>
      <c r="AC93" s="169">
        <f>_xll.qlDayCounterYearFraction(DayCounter,SettlementDate,AB93,,,Trigger)</f>
        <v>0.35</v>
      </c>
      <c r="AD93" s="181">
        <f t="shared" si="16"/>
        <v>2.9114415373554252E-3</v>
      </c>
      <c r="AE93" s="181">
        <f t="shared" si="17"/>
        <v>2.8215854486473304E-3</v>
      </c>
      <c r="AF93" s="181">
        <f t="shared" si="18"/>
        <v>2.8026912572300701E-3</v>
      </c>
    </row>
    <row r="94" spans="9:32" x14ac:dyDescent="0.2">
      <c r="I94" s="154"/>
      <c r="J94" s="154"/>
      <c r="AB94" s="183">
        <f>_xll.qlCalendarAdvance(Calendar,AB93,"1d","mf",,Trigger)</f>
        <v>42264</v>
      </c>
      <c r="AC94" s="169">
        <f>_xll.qlDayCounterYearFraction(DayCounter,SettlementDate,AB94,,,Trigger)</f>
        <v>0.3527777777777778</v>
      </c>
      <c r="AD94" s="181">
        <f t="shared" si="16"/>
        <v>2.9114415373554252E-3</v>
      </c>
      <c r="AE94" s="181">
        <f t="shared" si="17"/>
        <v>2.8231618712562445E-3</v>
      </c>
      <c r="AF94" s="181">
        <f t="shared" si="18"/>
        <v>2.8027243292120091E-3</v>
      </c>
    </row>
    <row r="95" spans="9:32" x14ac:dyDescent="0.2">
      <c r="I95" s="154"/>
      <c r="J95" s="154"/>
      <c r="AB95" s="183">
        <f>_xll.qlCalendarAdvance(Calendar,AB94,"1d","mf",,Trigger)</f>
        <v>42265</v>
      </c>
      <c r="AC95" s="169">
        <f>_xll.qlDayCounterYearFraction(DayCounter,SettlementDate,AB95,,,Trigger)</f>
        <v>0.35555555555555557</v>
      </c>
      <c r="AD95" s="181">
        <f t="shared" si="16"/>
        <v>2.9114415373554252E-3</v>
      </c>
      <c r="AE95" s="181">
        <f t="shared" si="17"/>
        <v>2.8247382938651582E-3</v>
      </c>
      <c r="AF95" s="181">
        <f t="shared" si="18"/>
        <v>2.8027722901075186E-3</v>
      </c>
    </row>
    <row r="96" spans="9:32" x14ac:dyDescent="0.2">
      <c r="I96" s="154"/>
      <c r="J96" s="154"/>
      <c r="AB96" s="183">
        <f>_xll.qlCalendarAdvance(Calendar,AB95,"1d","mf",,Trigger)</f>
        <v>42268</v>
      </c>
      <c r="AC96" s="169">
        <f>_xll.qlDayCounterYearFraction(DayCounter,SettlementDate,AB96,,,Trigger)</f>
        <v>0.36388888888888887</v>
      </c>
      <c r="AD96" s="181">
        <f t="shared" si="16"/>
        <v>2.9114415373554252E-3</v>
      </c>
      <c r="AE96" s="181">
        <f t="shared" si="17"/>
        <v>2.8294675616919E-3</v>
      </c>
      <c r="AF96" s="181">
        <f t="shared" si="18"/>
        <v>2.8030055062754728E-3</v>
      </c>
    </row>
    <row r="97" spans="9:32" x14ac:dyDescent="0.2">
      <c r="I97" s="154"/>
      <c r="J97" s="154"/>
      <c r="AB97" s="183">
        <f>_xll.qlCalendarAdvance(Calendar,AB96,"1d","mf",,Trigger)</f>
        <v>42269</v>
      </c>
      <c r="AC97" s="169">
        <f>_xll.qlDayCounterYearFraction(DayCounter,SettlementDate,AB97,,,Trigger)</f>
        <v>0.36666666666666664</v>
      </c>
      <c r="AD97" s="181">
        <f t="shared" si="16"/>
        <v>2.9114415373554252E-3</v>
      </c>
      <c r="AE97" s="181">
        <f t="shared" si="17"/>
        <v>2.8310439843008137E-3</v>
      </c>
      <c r="AF97" s="181">
        <f t="shared" si="18"/>
        <v>2.8031130228252663E-3</v>
      </c>
    </row>
    <row r="98" spans="9:32" x14ac:dyDescent="0.2">
      <c r="I98" s="154"/>
      <c r="J98" s="154"/>
      <c r="AB98" s="183">
        <f>_xll.qlCalendarAdvance(Calendar,AB97,"1d","mf",,Trigger)</f>
        <v>42270</v>
      </c>
      <c r="AC98" s="169">
        <f>_xll.qlDayCounterYearFraction(DayCounter,SettlementDate,AB98,,,Trigger)</f>
        <v>0.36944444444444446</v>
      </c>
      <c r="AD98" s="181">
        <f t="shared" si="16"/>
        <v>2.9114415373554252E-3</v>
      </c>
      <c r="AE98" s="181">
        <f t="shared" si="17"/>
        <v>2.8326204069097278E-3</v>
      </c>
      <c r="AF98" s="181">
        <f t="shared" si="18"/>
        <v>2.8032354282886297E-3</v>
      </c>
    </row>
    <row r="99" spans="9:32" x14ac:dyDescent="0.2">
      <c r="I99" s="154"/>
      <c r="J99" s="154"/>
      <c r="AB99" s="183">
        <f>_xll.qlCalendarAdvance(Calendar,AB98,"1d","mf",,Trigger)</f>
        <v>42271</v>
      </c>
      <c r="AC99" s="169">
        <f>_xll.qlDayCounterYearFraction(DayCounter,SettlementDate,AB99,,,Trigger)</f>
        <v>0.37222222222222223</v>
      </c>
      <c r="AD99" s="181">
        <f t="shared" si="16"/>
        <v>2.9114415373554252E-3</v>
      </c>
      <c r="AE99" s="181">
        <f t="shared" si="17"/>
        <v>2.8341968295186419E-3</v>
      </c>
      <c r="AF99" s="181">
        <f t="shared" si="18"/>
        <v>2.8033727226655647E-3</v>
      </c>
    </row>
    <row r="100" spans="9:32" x14ac:dyDescent="0.2">
      <c r="I100" s="154"/>
      <c r="J100" s="154"/>
      <c r="AB100" s="183">
        <f>_xll.qlCalendarAdvance(Calendar,AB99,"1d","mf",,Trigger)</f>
        <v>42272</v>
      </c>
      <c r="AC100" s="169">
        <f>_xll.qlDayCounterYearFraction(DayCounter,SettlementDate,AB100,,,Trigger)</f>
        <v>0.375</v>
      </c>
      <c r="AD100" s="181">
        <f t="shared" si="16"/>
        <v>2.9114415373554252E-3</v>
      </c>
      <c r="AE100" s="181">
        <f t="shared" si="17"/>
        <v>2.8357732521275556E-3</v>
      </c>
      <c r="AF100" s="181">
        <f t="shared" si="18"/>
        <v>2.8035249059560705E-3</v>
      </c>
    </row>
    <row r="101" spans="9:32" x14ac:dyDescent="0.2">
      <c r="I101" s="154"/>
      <c r="J101" s="154"/>
      <c r="AB101" s="183">
        <f>_xll.qlCalendarAdvance(Calendar,AB100,"1d","mf",,Trigger)</f>
        <v>42275</v>
      </c>
      <c r="AC101" s="169">
        <f>_xll.qlDayCounterYearFraction(DayCounter,SettlementDate,AB101,,,Trigger)</f>
        <v>0.38333333333333336</v>
      </c>
      <c r="AD101" s="181">
        <f t="shared" si="16"/>
        <v>2.9114415373554252E-3</v>
      </c>
      <c r="AE101" s="181">
        <f t="shared" si="17"/>
        <v>2.8405025199542975E-3</v>
      </c>
      <c r="AF101" s="181">
        <f t="shared" si="18"/>
        <v>2.8040707893090123E-3</v>
      </c>
    </row>
    <row r="102" spans="9:32" x14ac:dyDescent="0.2">
      <c r="I102" s="154"/>
      <c r="J102" s="154"/>
      <c r="AB102" s="183">
        <f>_xll.qlCalendarAdvance(Calendar,AB101,"1d","mf",,Trigger)</f>
        <v>42276</v>
      </c>
      <c r="AC102" s="169">
        <f>_xll.qlDayCounterYearFraction(DayCounter,SettlementDate,AB102,,,Trigger)</f>
        <v>0.38611111111111113</v>
      </c>
      <c r="AD102" s="181">
        <f t="shared" si="16"/>
        <v>2.9114415373554252E-3</v>
      </c>
      <c r="AE102" s="181">
        <f t="shared" si="17"/>
        <v>2.8420789425632111E-3</v>
      </c>
      <c r="AF102" s="181">
        <f t="shared" si="18"/>
        <v>2.8042825282538018E-3</v>
      </c>
    </row>
    <row r="103" spans="9:32" x14ac:dyDescent="0.2">
      <c r="I103" s="154"/>
      <c r="J103" s="154"/>
      <c r="AB103" s="183">
        <f>_xll.qlCalendarAdvance(Calendar,AB102,"1d","mf",,Trigger)</f>
        <v>42277</v>
      </c>
      <c r="AC103" s="169">
        <f>_xll.qlDayCounterYearFraction(DayCounter,SettlementDate,AB103,,,Trigger)</f>
        <v>0.3888888888888889</v>
      </c>
      <c r="AD103" s="181">
        <f t="shared" si="16"/>
        <v>2.9114415373554252E-3</v>
      </c>
      <c r="AE103" s="181">
        <f t="shared" si="17"/>
        <v>2.8436553651721252E-3</v>
      </c>
      <c r="AF103" s="181">
        <f t="shared" si="18"/>
        <v>2.8045091561121616E-3</v>
      </c>
    </row>
    <row r="104" spans="9:32" x14ac:dyDescent="0.2">
      <c r="I104" s="154"/>
      <c r="J104" s="154"/>
      <c r="AB104" s="183">
        <f>_xll.qlCalendarAdvance(Calendar,AB103,"1d","mf",,Trigger)</f>
        <v>42278</v>
      </c>
      <c r="AC104" s="169">
        <f>_xll.qlDayCounterYearFraction(DayCounter,SettlementDate,AB104,,,Trigger)</f>
        <v>0.39166666666666666</v>
      </c>
      <c r="AD104" s="181">
        <f t="shared" si="16"/>
        <v>2.9114415373554252E-3</v>
      </c>
      <c r="AE104" s="181">
        <f t="shared" si="17"/>
        <v>2.8452317877810389E-3</v>
      </c>
      <c r="AF104" s="181">
        <f t="shared" si="18"/>
        <v>2.8047506728840926E-3</v>
      </c>
    </row>
    <row r="105" spans="9:32" x14ac:dyDescent="0.2">
      <c r="I105" s="154"/>
      <c r="J105" s="154"/>
      <c r="AB105" s="183">
        <f>_xll.qlCalendarAdvance(Calendar,AB104,"1d","mf",,Trigger)</f>
        <v>42279</v>
      </c>
      <c r="AC105" s="169">
        <f>_xll.qlDayCounterYearFraction(DayCounter,SettlementDate,AB105,,,Trigger)</f>
        <v>0.39444444444444443</v>
      </c>
      <c r="AD105" s="181">
        <f t="shared" si="16"/>
        <v>2.9114415373554252E-3</v>
      </c>
      <c r="AE105" s="181">
        <f t="shared" si="17"/>
        <v>2.846808210389953E-3</v>
      </c>
      <c r="AF105" s="181">
        <f t="shared" si="18"/>
        <v>2.8050070785695944E-3</v>
      </c>
    </row>
    <row r="106" spans="9:32" x14ac:dyDescent="0.2">
      <c r="I106" s="154"/>
      <c r="J106" s="154"/>
      <c r="AB106" s="183">
        <f>_xll.qlCalendarAdvance(Calendar,AB105,"1d","mf",,Trigger)</f>
        <v>42282</v>
      </c>
      <c r="AC106" s="169">
        <f>_xll.qlDayCounterYearFraction(DayCounter,SettlementDate,AB106,,,Trigger)</f>
        <v>0.40277777777777779</v>
      </c>
      <c r="AD106" s="181">
        <f t="shared" si="16"/>
        <v>2.9114415373554252E-3</v>
      </c>
      <c r="AE106" s="181">
        <f t="shared" si="17"/>
        <v>2.8515374782166945E-3</v>
      </c>
      <c r="AF106" s="181">
        <f t="shared" si="18"/>
        <v>2.8058656291075246E-3</v>
      </c>
    </row>
    <row r="107" spans="9:32" x14ac:dyDescent="0.2">
      <c r="I107" s="154"/>
      <c r="J107" s="154"/>
      <c r="AB107" s="183">
        <f>_xll.qlCalendarAdvance(Calendar,AB106,"1d","mf",,Trigger)</f>
        <v>42283</v>
      </c>
      <c r="AC107" s="169">
        <f>_xll.qlDayCounterYearFraction(DayCounter,SettlementDate,AB107,,,Trigger)</f>
        <v>0.40555555555555556</v>
      </c>
      <c r="AD107" s="181">
        <f t="shared" si="16"/>
        <v>2.9114415373554252E-3</v>
      </c>
      <c r="AE107" s="181">
        <f t="shared" si="17"/>
        <v>2.8531139008256086E-3</v>
      </c>
      <c r="AF107" s="181">
        <f t="shared" si="18"/>
        <v>2.8061815904473096E-3</v>
      </c>
    </row>
    <row r="108" spans="9:32" x14ac:dyDescent="0.2">
      <c r="I108" s="154"/>
      <c r="J108" s="154"/>
      <c r="AB108" s="183">
        <f>_xll.qlCalendarAdvance(Calendar,AB107,"1d","mf",,Trigger)</f>
        <v>42284</v>
      </c>
      <c r="AC108" s="169">
        <f>_xll.qlDayCounterYearFraction(DayCounter,SettlementDate,AB108,,,Trigger)</f>
        <v>0.40833333333333333</v>
      </c>
      <c r="AD108" s="181">
        <f t="shared" si="16"/>
        <v>2.9114415373554252E-3</v>
      </c>
      <c r="AE108" s="181">
        <f t="shared" si="17"/>
        <v>2.8546903234345222E-3</v>
      </c>
      <c r="AF108" s="181">
        <f t="shared" si="18"/>
        <v>2.8065124407006658E-3</v>
      </c>
    </row>
    <row r="109" spans="9:32" x14ac:dyDescent="0.2">
      <c r="I109" s="154"/>
      <c r="J109" s="154"/>
      <c r="AB109" s="183">
        <f>_xll.qlCalendarAdvance(Calendar,AB108,"1d","mf",,Trigger)</f>
        <v>42285</v>
      </c>
      <c r="AC109" s="169">
        <f>_xll.qlDayCounterYearFraction(DayCounter,SettlementDate,AB109,,,Trigger)</f>
        <v>0.41111111111111109</v>
      </c>
      <c r="AD109" s="181">
        <f t="shared" si="16"/>
        <v>2.9114415373554252E-3</v>
      </c>
      <c r="AE109" s="181">
        <f t="shared" si="17"/>
        <v>2.8562667460434363E-3</v>
      </c>
      <c r="AF109" s="181">
        <f t="shared" si="18"/>
        <v>2.8068581798675928E-3</v>
      </c>
    </row>
    <row r="110" spans="9:32" x14ac:dyDescent="0.2">
      <c r="I110" s="154"/>
      <c r="J110" s="154"/>
      <c r="AB110" s="183">
        <f>_xll.qlCalendarAdvance(Calendar,AB109,"1d","mf",,Trigger)</f>
        <v>42286</v>
      </c>
      <c r="AC110" s="169">
        <f>_xll.qlDayCounterYearFraction(DayCounter,SettlementDate,AB110,,,Trigger)</f>
        <v>0.41388888888888886</v>
      </c>
      <c r="AD110" s="181">
        <f t="shared" si="16"/>
        <v>2.9114415373554252E-3</v>
      </c>
      <c r="AE110" s="181">
        <f t="shared" si="17"/>
        <v>2.85784316865235E-3</v>
      </c>
      <c r="AF110" s="181">
        <f t="shared" si="18"/>
        <v>2.8072188079480906E-3</v>
      </c>
    </row>
    <row r="111" spans="9:32" x14ac:dyDescent="0.2">
      <c r="I111" s="154"/>
      <c r="J111" s="154"/>
      <c r="AB111" s="183">
        <f>_xll.qlCalendarAdvance(Calendar,AB110,"1d","mf",,Trigger)</f>
        <v>42289</v>
      </c>
      <c r="AC111" s="169">
        <f>_xll.qlDayCounterYearFraction(DayCounter,SettlementDate,AB111,,,Trigger)</f>
        <v>0.42222222222222222</v>
      </c>
      <c r="AD111" s="181">
        <f t="shared" si="16"/>
        <v>2.9114415373554252E-3</v>
      </c>
      <c r="AE111" s="181">
        <f t="shared" si="17"/>
        <v>2.8625724364790919E-3</v>
      </c>
      <c r="AF111" s="181">
        <f t="shared" si="18"/>
        <v>2.8083900256710087E-3</v>
      </c>
    </row>
    <row r="112" spans="9:32" x14ac:dyDescent="0.2">
      <c r="I112" s="154"/>
      <c r="J112" s="154"/>
      <c r="AB112" s="183">
        <f>_xll.qlCalendarAdvance(Calendar,AB111,"1d","mf",,Trigger)</f>
        <v>42290</v>
      </c>
      <c r="AC112" s="169">
        <f>_xll.qlDayCounterYearFraction(DayCounter,SettlementDate,AB112,,,Trigger)</f>
        <v>0.42499999999999999</v>
      </c>
      <c r="AD112" s="181">
        <f t="shared" si="16"/>
        <v>2.9114415373554252E-3</v>
      </c>
      <c r="AE112" s="181">
        <f t="shared" si="17"/>
        <v>2.864148859088006E-3</v>
      </c>
      <c r="AF112" s="181">
        <f t="shared" si="18"/>
        <v>2.8088102094057897E-3</v>
      </c>
    </row>
    <row r="113" spans="9:32" x14ac:dyDescent="0.2">
      <c r="I113" s="154"/>
      <c r="J113" s="154"/>
      <c r="AB113" s="183">
        <f>_xll.qlCalendarAdvance(Calendar,AB112,"1d","mf",,Trigger)</f>
        <v>42291</v>
      </c>
      <c r="AC113" s="169">
        <f>_xll.qlDayCounterYearFraction(DayCounter,SettlementDate,AB113,,,Trigger)</f>
        <v>0.42777777777777776</v>
      </c>
      <c r="AD113" s="181">
        <f t="shared" si="16"/>
        <v>2.9114415373554252E-3</v>
      </c>
      <c r="AE113" s="181">
        <f t="shared" si="17"/>
        <v>2.8657252816969197E-3</v>
      </c>
      <c r="AF113" s="181">
        <f t="shared" si="18"/>
        <v>2.8092452820541419E-3</v>
      </c>
    </row>
    <row r="114" spans="9:32" x14ac:dyDescent="0.2">
      <c r="I114" s="154"/>
      <c r="J114" s="154"/>
      <c r="AB114" s="183">
        <f>_xll.qlCalendarAdvance(Calendar,AB113,"1d","mf",,Trigger)</f>
        <v>42292</v>
      </c>
      <c r="AC114" s="169">
        <f>_xll.qlDayCounterYearFraction(DayCounter,SettlementDate,AB114,,,Trigger)</f>
        <v>0.43055555555555558</v>
      </c>
      <c r="AD114" s="181">
        <f t="shared" si="16"/>
        <v>2.9114415373554252E-3</v>
      </c>
      <c r="AE114" s="181">
        <f t="shared" si="17"/>
        <v>2.8673017043058338E-3</v>
      </c>
      <c r="AF114" s="181">
        <f t="shared" si="18"/>
        <v>2.8096952436160649E-3</v>
      </c>
    </row>
    <row r="115" spans="9:32" x14ac:dyDescent="0.2">
      <c r="I115" s="154"/>
      <c r="J115" s="154"/>
      <c r="AB115" s="183">
        <f>_xll.qlCalendarAdvance(Calendar,AB114,"1d","mf",,Trigger)</f>
        <v>42293</v>
      </c>
      <c r="AC115" s="169">
        <f>_xll.qlDayCounterYearFraction(DayCounter,SettlementDate,AB115,,,Trigger)</f>
        <v>0.43333333333333335</v>
      </c>
      <c r="AD115" s="181">
        <f t="shared" si="16"/>
        <v>2.9114415373554252E-3</v>
      </c>
      <c r="AE115" s="181">
        <f t="shared" si="17"/>
        <v>2.8688781269147474E-3</v>
      </c>
      <c r="AF115" s="181">
        <f t="shared" si="18"/>
        <v>2.8101600940915587E-3</v>
      </c>
    </row>
    <row r="116" spans="9:32" x14ac:dyDescent="0.2">
      <c r="I116" s="154"/>
      <c r="J116" s="154"/>
      <c r="AB116" s="183">
        <f>_xll.qlCalendarAdvance(Calendar,AB115,"1d","mf",,Trigger)</f>
        <v>42296</v>
      </c>
      <c r="AC116" s="169">
        <f>_xll.qlDayCounterYearFraction(DayCounter,SettlementDate,AB116,,,Trigger)</f>
        <v>0.44166666666666665</v>
      </c>
      <c r="AD116" s="181">
        <f t="shared" si="16"/>
        <v>2.9114415373554252E-3</v>
      </c>
      <c r="AE116" s="181">
        <f t="shared" si="17"/>
        <v>2.8736073947414893E-3</v>
      </c>
      <c r="AF116" s="181">
        <f t="shared" si="18"/>
        <v>2.8116439789994648E-3</v>
      </c>
    </row>
    <row r="117" spans="9:32" x14ac:dyDescent="0.2">
      <c r="I117" s="154"/>
      <c r="J117" s="154"/>
      <c r="AB117" s="183">
        <f>_xll.qlCalendarAdvance(Calendar,AB116,"1d","mf",,Trigger)</f>
        <v>42297</v>
      </c>
      <c r="AC117" s="169">
        <f>_xll.qlDayCounterYearFraction(DayCounter,SettlementDate,AB117,,,Trigger)</f>
        <v>0.44444444444444442</v>
      </c>
      <c r="AD117" s="181">
        <f t="shared" si="16"/>
        <v>2.9114415373554252E-3</v>
      </c>
      <c r="AE117" s="181">
        <f t="shared" si="17"/>
        <v>2.875183817350403E-3</v>
      </c>
      <c r="AF117" s="181">
        <f t="shared" si="18"/>
        <v>2.8121683851292422E-3</v>
      </c>
    </row>
    <row r="118" spans="9:32" x14ac:dyDescent="0.2">
      <c r="I118" s="154"/>
      <c r="J118" s="154"/>
      <c r="AB118" s="183">
        <f>_xll.qlCalendarAdvance(Calendar,AB117,"1d","mf",,Trigger)</f>
        <v>42298</v>
      </c>
      <c r="AC118" s="169">
        <f>_xll.qlDayCounterYearFraction(DayCounter,SettlementDate,AB118,,,Trigger)</f>
        <v>0.44722222222222224</v>
      </c>
      <c r="AD118" s="181">
        <f t="shared" si="16"/>
        <v>2.9114415373554252E-3</v>
      </c>
      <c r="AE118" s="181">
        <f t="shared" si="17"/>
        <v>2.8767602399593171E-3</v>
      </c>
      <c r="AF118" s="181">
        <f t="shared" si="18"/>
        <v>2.8127076801725904E-3</v>
      </c>
    </row>
    <row r="119" spans="9:32" x14ac:dyDescent="0.2">
      <c r="I119" s="154"/>
      <c r="J119" s="154"/>
      <c r="AB119" s="183">
        <f>_xll.qlCalendarAdvance(Calendar,AB118,"1d","mf",,Trigger)</f>
        <v>42299</v>
      </c>
      <c r="AC119" s="169">
        <f>_xll.qlDayCounterYearFraction(DayCounter,SettlementDate,AB119,,,Trigger)</f>
        <v>0.45</v>
      </c>
      <c r="AD119" s="181">
        <f t="shared" si="16"/>
        <v>2.9114415373554252E-3</v>
      </c>
      <c r="AE119" s="181">
        <f t="shared" si="17"/>
        <v>2.8783366625682308E-3</v>
      </c>
      <c r="AF119" s="181">
        <f t="shared" si="18"/>
        <v>2.8132618641295093E-3</v>
      </c>
    </row>
    <row r="120" spans="9:32" x14ac:dyDescent="0.2">
      <c r="I120" s="154"/>
      <c r="J120" s="154"/>
      <c r="AB120" s="183">
        <f>_xll.qlCalendarAdvance(Calendar,AB119,"1d","mf",,Trigger)</f>
        <v>42300</v>
      </c>
      <c r="AC120" s="169">
        <f>_xll.qlDayCounterYearFraction(DayCounter,SettlementDate,AB120,,,Trigger)</f>
        <v>0.45277777777777778</v>
      </c>
      <c r="AD120" s="181">
        <f t="shared" si="16"/>
        <v>2.9114415373554252E-3</v>
      </c>
      <c r="AE120" s="181">
        <f t="shared" si="17"/>
        <v>2.8799130851771449E-3</v>
      </c>
      <c r="AF120" s="181">
        <f t="shared" si="18"/>
        <v>2.8138309369999991E-3</v>
      </c>
    </row>
    <row r="121" spans="9:32" x14ac:dyDescent="0.2">
      <c r="I121" s="154"/>
      <c r="J121" s="154"/>
      <c r="AB121" s="183">
        <f>_xll.qlCalendarAdvance(Calendar,AB120,"1d","mf",,Trigger)</f>
        <v>42303</v>
      </c>
      <c r="AC121" s="169">
        <f>_xll.qlDayCounterYearFraction(DayCounter,SettlementDate,AB121,,,Trigger)</f>
        <v>0.46111111111111114</v>
      </c>
      <c r="AD121" s="181">
        <f t="shared" si="16"/>
        <v>2.9114415373554252E-3</v>
      </c>
      <c r="AE121" s="181">
        <f t="shared" si="17"/>
        <v>2.8846423530038867E-3</v>
      </c>
      <c r="AF121" s="181">
        <f t="shared" si="18"/>
        <v>2.8156274890928936E-3</v>
      </c>
    </row>
    <row r="122" spans="9:32" x14ac:dyDescent="0.2">
      <c r="I122" s="155"/>
      <c r="J122" s="154"/>
      <c r="AB122" s="183">
        <f>_xll.qlCalendarAdvance(Calendar,AB121,"1d","mf",,Trigger)</f>
        <v>42304</v>
      </c>
      <c r="AC122" s="169">
        <f>_xll.qlDayCounterYearFraction(DayCounter,SettlementDate,AB122,,,Trigger)</f>
        <v>0.46388888888888891</v>
      </c>
      <c r="AD122" s="181">
        <f t="shared" si="16"/>
        <v>2.9114415373554252E-3</v>
      </c>
      <c r="AE122" s="181">
        <f t="shared" si="17"/>
        <v>2.8862187756128004E-3</v>
      </c>
      <c r="AF122" s="181">
        <f t="shared" si="18"/>
        <v>2.816256117617667E-3</v>
      </c>
    </row>
    <row r="123" spans="9:32" x14ac:dyDescent="0.2">
      <c r="I123" s="155"/>
      <c r="J123" s="154"/>
      <c r="AB123" s="183">
        <f>_xll.qlCalendarAdvance(Calendar,AB122,"1d","mf",,Trigger)</f>
        <v>42305</v>
      </c>
      <c r="AC123" s="169">
        <f>_xll.qlDayCounterYearFraction(DayCounter,SettlementDate,AB123,,,Trigger)</f>
        <v>0.46666666666666667</v>
      </c>
      <c r="AD123" s="181">
        <f t="shared" si="16"/>
        <v>2.9114415373554252E-3</v>
      </c>
      <c r="AE123" s="181">
        <f t="shared" si="17"/>
        <v>2.8877951982217145E-3</v>
      </c>
      <c r="AF123" s="181">
        <f t="shared" si="18"/>
        <v>2.8168996350560107E-3</v>
      </c>
    </row>
    <row r="124" spans="9:32" x14ac:dyDescent="0.2">
      <c r="I124" s="155"/>
      <c r="J124" s="154"/>
      <c r="AB124" s="183">
        <f>_xll.qlCalendarAdvance(Calendar,AB123,"1d","mf",,Trigger)</f>
        <v>42306</v>
      </c>
      <c r="AC124" s="169">
        <f>_xll.qlDayCounterYearFraction(DayCounter,SettlementDate,AB124,,,Trigger)</f>
        <v>0.46944444444444444</v>
      </c>
      <c r="AD124" s="181">
        <f t="shared" si="16"/>
        <v>2.9114415373554252E-3</v>
      </c>
      <c r="AE124" s="181">
        <f t="shared" si="17"/>
        <v>2.8893716208306282E-3</v>
      </c>
      <c r="AF124" s="181">
        <f t="shared" si="18"/>
        <v>2.8175580414079261E-3</v>
      </c>
    </row>
    <row r="125" spans="9:32" x14ac:dyDescent="0.2">
      <c r="I125" s="155"/>
      <c r="J125" s="154"/>
      <c r="AB125" s="183">
        <f>_xll.qlCalendarAdvance(Calendar,AB124,"1d","mf",,Trigger)</f>
        <v>42307</v>
      </c>
      <c r="AC125" s="169">
        <f>_xll.qlDayCounterYearFraction(DayCounter,SettlementDate,AB125,,,Trigger)</f>
        <v>0.47222222222222221</v>
      </c>
      <c r="AD125" s="181">
        <f t="shared" si="16"/>
        <v>2.9114415373554252E-3</v>
      </c>
      <c r="AE125" s="181">
        <f t="shared" si="17"/>
        <v>2.8909480434395423E-3</v>
      </c>
      <c r="AF125" s="181">
        <f t="shared" si="18"/>
        <v>2.8182313366734118E-3</v>
      </c>
    </row>
    <row r="126" spans="9:32" x14ac:dyDescent="0.2">
      <c r="I126" s="155"/>
      <c r="J126" s="154"/>
      <c r="AB126" s="183">
        <f>_xll.qlCalendarAdvance(Calendar,AB125,"1d","mf",,Trigger)</f>
        <v>42310</v>
      </c>
      <c r="AC126" s="169">
        <f>_xll.qlDayCounterYearFraction(DayCounter,SettlementDate,AB126,,,Trigger)</f>
        <v>0.48055555555555557</v>
      </c>
      <c r="AD126" s="181">
        <f t="shared" si="16"/>
        <v>2.9114415373554252E-3</v>
      </c>
      <c r="AE126" s="181">
        <f t="shared" si="17"/>
        <v>2.8956773112662837E-3</v>
      </c>
      <c r="AF126" s="181">
        <f t="shared" si="18"/>
        <v>2.8203405559512943E-3</v>
      </c>
    </row>
    <row r="127" spans="9:32" x14ac:dyDescent="0.2">
      <c r="I127" s="155"/>
      <c r="J127" s="154"/>
      <c r="AB127" s="183">
        <f>_xll.qlCalendarAdvance(Calendar,AB126,"1d","mf",,Trigger)</f>
        <v>42311</v>
      </c>
      <c r="AC127" s="169">
        <f>_xll.qlDayCounterYearFraction(DayCounter,SettlementDate,AB127,,,Trigger)</f>
        <v>0.48333333333333334</v>
      </c>
      <c r="AD127" s="181">
        <f t="shared" si="16"/>
        <v>2.9114415373554252E-3</v>
      </c>
      <c r="AE127" s="181">
        <f t="shared" si="17"/>
        <v>2.8972537338751978E-3</v>
      </c>
      <c r="AF127" s="181">
        <f t="shared" si="18"/>
        <v>2.8210734068710632E-3</v>
      </c>
    </row>
    <row r="128" spans="9:32" x14ac:dyDescent="0.2">
      <c r="I128" s="155"/>
      <c r="J128" s="155"/>
      <c r="AB128" s="183">
        <f>_xll.qlCalendarAdvance(Calendar,AB127,"1d","mf",,Trigger)</f>
        <v>42312</v>
      </c>
      <c r="AC128" s="169">
        <f>_xll.qlDayCounterYearFraction(DayCounter,SettlementDate,AB128,,,Trigger)</f>
        <v>0.4861111111111111</v>
      </c>
      <c r="AD128" s="181">
        <f t="shared" si="16"/>
        <v>2.9114415373554252E-3</v>
      </c>
      <c r="AE128" s="181">
        <f t="shared" si="17"/>
        <v>2.8988301564841115E-3</v>
      </c>
      <c r="AF128" s="181">
        <f t="shared" si="18"/>
        <v>2.8218211467044034E-3</v>
      </c>
    </row>
    <row r="129" spans="9:32" x14ac:dyDescent="0.2">
      <c r="I129" s="155"/>
      <c r="J129" s="155"/>
      <c r="AB129" s="183">
        <f>_xll.qlCalendarAdvance(Calendar,AB128,"1d","mf",,Trigger)</f>
        <v>42313</v>
      </c>
      <c r="AC129" s="169">
        <f>_xll.qlDayCounterYearFraction(DayCounter,SettlementDate,AB129,,,Trigger)</f>
        <v>0.48888888888888887</v>
      </c>
      <c r="AD129" s="181">
        <f t="shared" si="16"/>
        <v>2.9114415373554252E-3</v>
      </c>
      <c r="AE129" s="181">
        <f t="shared" si="17"/>
        <v>2.9004065790930256E-3</v>
      </c>
      <c r="AF129" s="181">
        <f t="shared" si="18"/>
        <v>2.8225837754513147E-3</v>
      </c>
    </row>
    <row r="130" spans="9:32" x14ac:dyDescent="0.2">
      <c r="I130" s="155"/>
      <c r="J130" s="155"/>
      <c r="AB130" s="183">
        <f>_xll.qlCalendarAdvance(Calendar,AB129,"1d","mf",,Trigger)</f>
        <v>42314</v>
      </c>
      <c r="AC130" s="169">
        <f>_xll.qlDayCounterYearFraction(DayCounter,SettlementDate,AB130,,,Trigger)</f>
        <v>0.49166666666666664</v>
      </c>
      <c r="AD130" s="181">
        <f t="shared" si="16"/>
        <v>2.9114415373554252E-3</v>
      </c>
      <c r="AE130" s="181">
        <f t="shared" si="17"/>
        <v>2.9019830017019393E-3</v>
      </c>
      <c r="AF130" s="181">
        <f t="shared" si="18"/>
        <v>2.8233612931117965E-3</v>
      </c>
    </row>
    <row r="131" spans="9:32" x14ac:dyDescent="0.2">
      <c r="I131" s="155"/>
      <c r="J131" s="155"/>
      <c r="AB131" s="183">
        <f>_xll.qlCalendarAdvance(Calendar,AB130,"1d","mf",,Trigger)</f>
        <v>42317</v>
      </c>
      <c r="AC131" s="169">
        <f>_xll.qlDayCounterYearFraction(DayCounter,SettlementDate,AB131,,,Trigger)</f>
        <v>0.5</v>
      </c>
      <c r="AD131" s="181">
        <f t="shared" ref="AD131:AD194" si="19">$S$13</f>
        <v>2.9114415373554252E-3</v>
      </c>
      <c r="AE131" s="181">
        <f t="shared" si="17"/>
        <v>2.9067122695286812E-3</v>
      </c>
      <c r="AF131" s="181">
        <f t="shared" si="18"/>
        <v>2.8257831795746669E-3</v>
      </c>
    </row>
    <row r="132" spans="9:32" x14ac:dyDescent="0.2">
      <c r="I132" s="155"/>
      <c r="J132" s="155"/>
      <c r="AB132" s="183">
        <f>_xll.qlCalendarAdvance(Calendar,AB131,"1d","mf",,Trigger)</f>
        <v>42318</v>
      </c>
      <c r="AC132" s="169">
        <f>_xll.qlDayCounterYearFraction(DayCounter,SettlementDate,AB132,,,Trigger)</f>
        <v>0.50277777777777777</v>
      </c>
      <c r="AD132" s="181">
        <f t="shared" si="19"/>
        <v>2.9114415373554252E-3</v>
      </c>
      <c r="AE132" s="181">
        <f t="shared" si="17"/>
        <v>2.9082886921375948E-3</v>
      </c>
      <c r="AF132" s="181">
        <f t="shared" si="18"/>
        <v>2.8266202528894322E-3</v>
      </c>
    </row>
    <row r="133" spans="9:32" x14ac:dyDescent="0.2">
      <c r="I133" s="155"/>
      <c r="J133" s="155"/>
      <c r="AB133" s="183">
        <f>_xll.qlCalendarAdvance(Calendar,AB132,"1d","mf",,Trigger)</f>
        <v>42319</v>
      </c>
      <c r="AC133" s="169">
        <f>_xll.qlDayCounterYearFraction(DayCounter,SettlementDate,AB133,,,Trigger)</f>
        <v>0.50555555555555554</v>
      </c>
      <c r="AD133" s="181">
        <f t="shared" si="19"/>
        <v>2.9114415373554252E-3</v>
      </c>
      <c r="AE133" s="181">
        <f t="shared" si="17"/>
        <v>2.9098651147465089E-3</v>
      </c>
      <c r="AF133" s="181">
        <f t="shared" si="18"/>
        <v>2.8274722151177684E-3</v>
      </c>
    </row>
    <row r="134" spans="9:32" x14ac:dyDescent="0.2">
      <c r="I134" s="155"/>
      <c r="J134" s="155"/>
      <c r="AB134" s="183">
        <f>_xll.qlCalendarAdvance(Calendar,AB133,"1d","mf",,Trigger)</f>
        <v>42320</v>
      </c>
      <c r="AC134" s="169">
        <f>_xll.qlDayCounterYearFraction(DayCounter,SettlementDate,AB134,,,Trigger)</f>
        <v>0.5083333333333333</v>
      </c>
      <c r="AD134" s="181">
        <f t="shared" si="19"/>
        <v>2.9114415373554252E-3</v>
      </c>
      <c r="AE134" s="181">
        <f t="shared" si="17"/>
        <v>2.911441537355423E-3</v>
      </c>
      <c r="AF134" s="181">
        <f t="shared" si="18"/>
        <v>2.8283390662596753E-3</v>
      </c>
    </row>
    <row r="135" spans="9:32" x14ac:dyDescent="0.2">
      <c r="I135" s="155"/>
      <c r="J135" s="155"/>
      <c r="AB135" s="183">
        <f>_xll.qlCalendarAdvance(Calendar,AB134,"1d","mf",,Trigger)</f>
        <v>42321</v>
      </c>
      <c r="AC135" s="169">
        <f>_xll.qlDayCounterYearFraction(DayCounter,SettlementDate,AB135,,,Trigger)</f>
        <v>0.51111111111111107</v>
      </c>
      <c r="AD135" s="181">
        <f t="shared" si="19"/>
        <v>2.9114415373554252E-3</v>
      </c>
      <c r="AE135" s="181">
        <f t="shared" si="17"/>
        <v>2.9130179599643367E-3</v>
      </c>
      <c r="AF135" s="181">
        <f t="shared" si="18"/>
        <v>2.8292208063151534E-3</v>
      </c>
    </row>
    <row r="136" spans="9:32" x14ac:dyDescent="0.2">
      <c r="I136" s="155"/>
      <c r="J136" s="155"/>
      <c r="AB136" s="183">
        <f>_xll.qlCalendarAdvance(Calendar,AB135,"1d","mf",,Trigger)</f>
        <v>42324</v>
      </c>
      <c r="AC136" s="169">
        <f>_xll.qlDayCounterYearFraction(DayCounter,SettlementDate,AB136,,,Trigger)</f>
        <v>0.51944444444444449</v>
      </c>
      <c r="AD136" s="181">
        <f t="shared" si="19"/>
        <v>2.9114415373554252E-3</v>
      </c>
      <c r="AE136" s="181">
        <f t="shared" si="17"/>
        <v>2.9177472277910786E-3</v>
      </c>
      <c r="AF136" s="181">
        <f t="shared" si="18"/>
        <v>2.8319553599630118E-3</v>
      </c>
    </row>
    <row r="137" spans="9:32" x14ac:dyDescent="0.2">
      <c r="I137" s="155"/>
      <c r="J137" s="155"/>
      <c r="AB137" s="183">
        <f>_xll.qlCalendarAdvance(Calendar,AB136,"1d","mf",,Trigger)</f>
        <v>42325</v>
      </c>
      <c r="AC137" s="169">
        <f>_xll.qlDayCounterYearFraction(DayCounter,SettlementDate,AB137,,,Trigger)</f>
        <v>0.52222222222222225</v>
      </c>
      <c r="AD137" s="181">
        <f t="shared" si="19"/>
        <v>2.9114415373554252E-3</v>
      </c>
      <c r="AE137" s="181">
        <f t="shared" si="17"/>
        <v>2.9193236503999923E-3</v>
      </c>
      <c r="AF137" s="181">
        <f t="shared" si="18"/>
        <v>2.8328966556727731E-3</v>
      </c>
    </row>
    <row r="138" spans="9:32" x14ac:dyDescent="0.2">
      <c r="J138" s="155"/>
      <c r="AB138" s="183">
        <f>_xll.qlCalendarAdvance(Calendar,AB137,"1d","mf",,Trigger)</f>
        <v>42326</v>
      </c>
      <c r="AC138" s="169">
        <f>_xll.qlDayCounterYearFraction(DayCounter,SettlementDate,AB138,,,Trigger)</f>
        <v>0.52500000000000002</v>
      </c>
      <c r="AD138" s="181">
        <f t="shared" si="19"/>
        <v>2.9114415373554252E-3</v>
      </c>
      <c r="AE138" s="181">
        <f t="shared" si="17"/>
        <v>2.9209000730089064E-3</v>
      </c>
      <c r="AF138" s="181">
        <f t="shared" si="18"/>
        <v>2.8338528402961053E-3</v>
      </c>
    </row>
    <row r="139" spans="9:32" x14ac:dyDescent="0.2">
      <c r="J139" s="155"/>
      <c r="AB139" s="183">
        <f>_xll.qlCalendarAdvance(Calendar,AB138,"1d","mf",,Trigger)</f>
        <v>42327</v>
      </c>
      <c r="AC139" s="169">
        <f>_xll.qlDayCounterYearFraction(DayCounter,SettlementDate,AB139,,,Trigger)</f>
        <v>0.52777777777777779</v>
      </c>
      <c r="AD139" s="181">
        <f t="shared" si="19"/>
        <v>2.9114415373554252E-3</v>
      </c>
      <c r="AE139" s="181">
        <f t="shared" si="17"/>
        <v>2.92247649561782E-3</v>
      </c>
      <c r="AF139" s="181">
        <f t="shared" si="18"/>
        <v>2.8348239138330082E-3</v>
      </c>
    </row>
    <row r="140" spans="9:32" x14ac:dyDescent="0.2">
      <c r="J140" s="155"/>
      <c r="AB140" s="183">
        <f>_xll.qlCalendarAdvance(Calendar,AB139,"1d","mf",,Trigger)</f>
        <v>42328</v>
      </c>
      <c r="AC140" s="169">
        <f>_xll.qlDayCounterYearFraction(DayCounter,SettlementDate,AB140,,,Trigger)</f>
        <v>0.53055555555555556</v>
      </c>
      <c r="AD140" s="181">
        <f t="shared" si="19"/>
        <v>2.9114415373554252E-3</v>
      </c>
      <c r="AE140" s="181">
        <f t="shared" si="17"/>
        <v>2.9240529182267341E-3</v>
      </c>
      <c r="AF140" s="181">
        <f t="shared" si="18"/>
        <v>2.8358098762834819E-3</v>
      </c>
    </row>
    <row r="141" spans="9:32" x14ac:dyDescent="0.2">
      <c r="J141" s="155"/>
      <c r="AB141" s="183">
        <f>_xll.qlCalendarAdvance(Calendar,AB140,"1d","mf",,Trigger)</f>
        <v>42331</v>
      </c>
      <c r="AC141" s="169">
        <f>_xll.qlDayCounterYearFraction(DayCounter,SettlementDate,AB141,,,Trigger)</f>
        <v>0.53888888888888886</v>
      </c>
      <c r="AD141" s="181">
        <f t="shared" si="19"/>
        <v>2.9114415373554252E-3</v>
      </c>
      <c r="AE141" s="181">
        <f t="shared" si="17"/>
        <v>2.9287821860534756E-3</v>
      </c>
      <c r="AF141" s="181">
        <f t="shared" si="18"/>
        <v>2.8388570971163291E-3</v>
      </c>
    </row>
    <row r="142" spans="9:32" x14ac:dyDescent="0.2">
      <c r="J142" s="155"/>
      <c r="AB142" s="183">
        <f>_xll.qlCalendarAdvance(Calendar,AB141,"1d","mf",,Trigger)</f>
        <v>42332</v>
      </c>
      <c r="AC142" s="169">
        <f>_xll.qlDayCounterYearFraction(DayCounter,SettlementDate,AB142,,,Trigger)</f>
        <v>0.54166666666666663</v>
      </c>
      <c r="AD142" s="181">
        <f t="shared" si="19"/>
        <v>2.9114415373554252E-3</v>
      </c>
      <c r="AE142" s="181">
        <f t="shared" si="17"/>
        <v>2.9303586086623897E-3</v>
      </c>
      <c r="AF142" s="181">
        <f t="shared" si="18"/>
        <v>2.8399026152210864E-3</v>
      </c>
    </row>
    <row r="143" spans="9:32" x14ac:dyDescent="0.2">
      <c r="J143" s="155"/>
      <c r="AB143" s="183">
        <f>_xll.qlCalendarAdvance(Calendar,AB142,"1d","mf",,Trigger)</f>
        <v>42333</v>
      </c>
      <c r="AC143" s="169">
        <f>_xll.qlDayCounterYearFraction(DayCounter,SettlementDate,AB143,,,Trigger)</f>
        <v>0.5444444444444444</v>
      </c>
      <c r="AD143" s="181">
        <f t="shared" si="19"/>
        <v>2.9114415373554252E-3</v>
      </c>
      <c r="AE143" s="181">
        <f t="shared" si="17"/>
        <v>2.9319350312713034E-3</v>
      </c>
      <c r="AF143" s="181">
        <f t="shared" si="18"/>
        <v>2.8409630222394145E-3</v>
      </c>
    </row>
    <row r="144" spans="9:32" x14ac:dyDescent="0.2">
      <c r="AB144" s="183">
        <f>_xll.qlCalendarAdvance(Calendar,AB143,"1d","mf",,Trigger)</f>
        <v>42334</v>
      </c>
      <c r="AC144" s="169">
        <f>_xll.qlDayCounterYearFraction(DayCounter,SettlementDate,AB144,,,Trigger)</f>
        <v>0.54722222222222228</v>
      </c>
      <c r="AD144" s="181">
        <f t="shared" si="19"/>
        <v>2.9114415373554252E-3</v>
      </c>
      <c r="AE144" s="181">
        <f t="shared" si="17"/>
        <v>2.9335114538802175E-3</v>
      </c>
      <c r="AF144" s="181">
        <f t="shared" si="18"/>
        <v>2.8420383181713134E-3</v>
      </c>
    </row>
    <row r="145" spans="28:32" x14ac:dyDescent="0.2">
      <c r="AB145" s="183">
        <f>_xll.qlCalendarAdvance(Calendar,AB144,"1d","mf",,Trigger)</f>
        <v>42335</v>
      </c>
      <c r="AC145" s="169">
        <f>_xll.qlDayCounterYearFraction(DayCounter,SettlementDate,AB145,,,Trigger)</f>
        <v>0.55000000000000004</v>
      </c>
      <c r="AD145" s="181">
        <f t="shared" si="19"/>
        <v>2.9114415373554252E-3</v>
      </c>
      <c r="AE145" s="181">
        <f t="shared" si="17"/>
        <v>2.9350878764891316E-3</v>
      </c>
      <c r="AF145" s="181">
        <f t="shared" si="18"/>
        <v>2.8431285030167831E-3</v>
      </c>
    </row>
    <row r="146" spans="28:32" x14ac:dyDescent="0.2">
      <c r="AB146" s="183">
        <f>_xll.qlCalendarAdvance(Calendar,AB145,"1d","mf",,Trigger)</f>
        <v>42338</v>
      </c>
      <c r="AC146" s="169">
        <f>_xll.qlDayCounterYearFraction(DayCounter,SettlementDate,AB146,,,Trigger)</f>
        <v>0.55833333333333335</v>
      </c>
      <c r="AD146" s="181">
        <f t="shared" si="19"/>
        <v>2.9114415373554252E-3</v>
      </c>
      <c r="AE146" s="181">
        <f t="shared" ref="AE146:AE187" si="20">$S$10+$S$9*AC146</f>
        <v>2.939817144315873E-3</v>
      </c>
      <c r="AF146" s="181">
        <f t="shared" ref="AF146:AF187" si="21">($S$5+$S$4*AC146+$S$3*AC146^2)</f>
        <v>2.8464883910346182E-3</v>
      </c>
    </row>
    <row r="147" spans="28:32" x14ac:dyDescent="0.2">
      <c r="AB147" s="183">
        <f>_xll.qlCalendarAdvance(Calendar,AB146,"1d","mf",,Trigger)</f>
        <v>42339</v>
      </c>
      <c r="AC147" s="169">
        <f>_xll.qlDayCounterYearFraction(DayCounter,SettlementDate,AB147,,,Trigger)</f>
        <v>0.56111111111111112</v>
      </c>
      <c r="AD147" s="181">
        <f t="shared" si="19"/>
        <v>2.9114415373554252E-3</v>
      </c>
      <c r="AE147" s="181">
        <f t="shared" si="20"/>
        <v>2.9413935669247871E-3</v>
      </c>
      <c r="AF147" s="181">
        <f t="shared" si="21"/>
        <v>2.8476381315343715E-3</v>
      </c>
    </row>
    <row r="148" spans="28:32" x14ac:dyDescent="0.2">
      <c r="AB148" s="183">
        <f>_xll.qlCalendarAdvance(Calendar,AB147,"1d","mf",,Trigger)</f>
        <v>42340</v>
      </c>
      <c r="AC148" s="169">
        <f>_xll.qlDayCounterYearFraction(DayCounter,SettlementDate,AB148,,,Trigger)</f>
        <v>0.56388888888888888</v>
      </c>
      <c r="AD148" s="181">
        <f t="shared" si="19"/>
        <v>2.9114415373554252E-3</v>
      </c>
      <c r="AE148" s="181">
        <f t="shared" si="20"/>
        <v>2.9429699895337008E-3</v>
      </c>
      <c r="AF148" s="181">
        <f t="shared" si="21"/>
        <v>2.8488027609476952E-3</v>
      </c>
    </row>
    <row r="149" spans="28:32" x14ac:dyDescent="0.2">
      <c r="AB149" s="183">
        <f>_xll.qlCalendarAdvance(Calendar,AB148,"1d","mf",,Trigger)</f>
        <v>42341</v>
      </c>
      <c r="AC149" s="169">
        <f>_xll.qlDayCounterYearFraction(DayCounter,SettlementDate,AB149,,,Trigger)</f>
        <v>0.56666666666666665</v>
      </c>
      <c r="AD149" s="181">
        <f t="shared" si="19"/>
        <v>2.9114415373554252E-3</v>
      </c>
      <c r="AE149" s="181">
        <f t="shared" si="20"/>
        <v>2.9445464121426149E-3</v>
      </c>
      <c r="AF149" s="181">
        <f t="shared" si="21"/>
        <v>2.8499822792745905E-3</v>
      </c>
    </row>
    <row r="150" spans="28:32" x14ac:dyDescent="0.2">
      <c r="AB150" s="183">
        <f>_xll.qlCalendarAdvance(Calendar,AB149,"1d","mf",,Trigger)</f>
        <v>42342</v>
      </c>
      <c r="AC150" s="169">
        <f>_xll.qlDayCounterYearFraction(DayCounter,SettlementDate,AB150,,,Trigger)</f>
        <v>0.56944444444444442</v>
      </c>
      <c r="AD150" s="181">
        <f t="shared" si="19"/>
        <v>2.9114415373554252E-3</v>
      </c>
      <c r="AE150" s="181">
        <f t="shared" si="20"/>
        <v>2.9461228347515286E-3</v>
      </c>
      <c r="AF150" s="181">
        <f t="shared" si="21"/>
        <v>2.8511766865150566E-3</v>
      </c>
    </row>
    <row r="151" spans="28:32" x14ac:dyDescent="0.2">
      <c r="AB151" s="183">
        <f>_xll.qlCalendarAdvance(Calendar,AB150,"1d","mf",,Trigger)</f>
        <v>42345</v>
      </c>
      <c r="AC151" s="169">
        <f>_xll.qlDayCounterYearFraction(DayCounter,SettlementDate,AB151,,,Trigger)</f>
        <v>0.57777777777777772</v>
      </c>
      <c r="AD151" s="181">
        <f t="shared" si="19"/>
        <v>2.9114415373554252E-3</v>
      </c>
      <c r="AE151" s="181">
        <f t="shared" si="20"/>
        <v>2.9508521025782704E-3</v>
      </c>
      <c r="AF151" s="181">
        <f t="shared" si="21"/>
        <v>2.8548492417178797E-3</v>
      </c>
    </row>
    <row r="152" spans="28:32" x14ac:dyDescent="0.2">
      <c r="AB152" s="183">
        <f>_xll.qlCalendarAdvance(Calendar,AB151,"1d","mf",,Trigger)</f>
        <v>42346</v>
      </c>
      <c r="AC152" s="169">
        <f>_xll.qlDayCounterYearFraction(DayCounter,SettlementDate,AB152,,,Trigger)</f>
        <v>0.5805555555555556</v>
      </c>
      <c r="AD152" s="181">
        <f t="shared" si="19"/>
        <v>2.9114415373554252E-3</v>
      </c>
      <c r="AE152" s="181">
        <f t="shared" si="20"/>
        <v>2.9524285251871845E-3</v>
      </c>
      <c r="AF152" s="181">
        <f t="shared" si="21"/>
        <v>2.8561032046126285E-3</v>
      </c>
    </row>
    <row r="153" spans="28:32" x14ac:dyDescent="0.2">
      <c r="AB153" s="183">
        <f>_xll.qlCalendarAdvance(Calendar,AB152,"1d","mf",,Trigger)</f>
        <v>42347</v>
      </c>
      <c r="AC153" s="169">
        <f>_xll.qlDayCounterYearFraction(DayCounter,SettlementDate,AB153,,,Trigger)</f>
        <v>0.58333333333333337</v>
      </c>
      <c r="AD153" s="181">
        <f t="shared" si="19"/>
        <v>2.9114415373554252E-3</v>
      </c>
      <c r="AE153" s="181">
        <f t="shared" si="20"/>
        <v>2.9540049477960982E-3</v>
      </c>
      <c r="AF153" s="181">
        <f t="shared" si="21"/>
        <v>2.857372056420949E-3</v>
      </c>
    </row>
    <row r="154" spans="28:32" x14ac:dyDescent="0.2">
      <c r="AB154" s="183">
        <f>_xll.qlCalendarAdvance(Calendar,AB153,"1d","mf",,Trigger)</f>
        <v>42348</v>
      </c>
      <c r="AC154" s="169">
        <f>_xll.qlDayCounterYearFraction(DayCounter,SettlementDate,AB154,,,Trigger)</f>
        <v>0.58611111111111114</v>
      </c>
      <c r="AD154" s="181">
        <f t="shared" si="19"/>
        <v>2.9114415373554252E-3</v>
      </c>
      <c r="AE154" s="181">
        <f t="shared" si="20"/>
        <v>2.9555813704050123E-3</v>
      </c>
      <c r="AF154" s="181">
        <f t="shared" si="21"/>
        <v>2.8586557971428399E-3</v>
      </c>
    </row>
    <row r="155" spans="28:32" x14ac:dyDescent="0.2">
      <c r="AB155" s="183">
        <f>_xll.qlCalendarAdvance(Calendar,AB154,"1d","mf",,Trigger)</f>
        <v>42349</v>
      </c>
      <c r="AC155" s="169">
        <f>_xll.qlDayCounterYearFraction(DayCounter,SettlementDate,AB155,,,Trigger)</f>
        <v>0.58888888888888891</v>
      </c>
      <c r="AD155" s="181">
        <f t="shared" si="19"/>
        <v>2.9114415373554252E-3</v>
      </c>
      <c r="AE155" s="181">
        <f t="shared" si="20"/>
        <v>2.957157793013926E-3</v>
      </c>
      <c r="AF155" s="181">
        <f t="shared" si="21"/>
        <v>2.859954426778302E-3</v>
      </c>
    </row>
    <row r="156" spans="28:32" x14ac:dyDescent="0.2">
      <c r="AB156" s="183">
        <f>_xll.qlCalendarAdvance(Calendar,AB155,"1d","mf",,Trigger)</f>
        <v>42352</v>
      </c>
      <c r="AC156" s="169">
        <f>_xll.qlDayCounterYearFraction(DayCounter,SettlementDate,AB156,,,Trigger)</f>
        <v>0.59722222222222221</v>
      </c>
      <c r="AD156" s="181">
        <f t="shared" si="19"/>
        <v>2.9114415373554252E-3</v>
      </c>
      <c r="AE156" s="181">
        <f t="shared" si="20"/>
        <v>2.9618870608406679E-3</v>
      </c>
      <c r="AF156" s="181">
        <f t="shared" si="21"/>
        <v>2.863939649166113E-3</v>
      </c>
    </row>
    <row r="157" spans="28:32" x14ac:dyDescent="0.2">
      <c r="AB157" s="183">
        <f>_xll.qlCalendarAdvance(Calendar,AB156,"1d","mf",,Trigger)</f>
        <v>42353</v>
      </c>
      <c r="AC157" s="169">
        <f>_xll.qlDayCounterYearFraction(DayCounter,SettlementDate,AB157,,,Trigger)</f>
        <v>0.6</v>
      </c>
      <c r="AD157" s="181">
        <f t="shared" si="19"/>
        <v>2.9114415373554252E-3</v>
      </c>
      <c r="AE157" s="181">
        <f t="shared" si="20"/>
        <v>2.9634634834495815E-3</v>
      </c>
      <c r="AF157" s="181">
        <f t="shared" si="21"/>
        <v>2.8652978344558579E-3</v>
      </c>
    </row>
    <row r="158" spans="28:32" x14ac:dyDescent="0.2">
      <c r="AB158" s="183">
        <f>_xll.qlCalendarAdvance(Calendar,AB157,"1d","mf",,Trigger)</f>
        <v>42354</v>
      </c>
      <c r="AC158" s="169">
        <f>_xll.qlDayCounterYearFraction(DayCounter,SettlementDate,AB158,,,Trigger)</f>
        <v>0.60277777777777775</v>
      </c>
      <c r="AD158" s="181">
        <f t="shared" si="19"/>
        <v>2.9114415373554252E-3</v>
      </c>
      <c r="AE158" s="181">
        <f t="shared" si="20"/>
        <v>2.9650399060584956E-3</v>
      </c>
      <c r="AF158" s="181">
        <f t="shared" si="21"/>
        <v>2.8666709086591744E-3</v>
      </c>
    </row>
    <row r="159" spans="28:32" x14ac:dyDescent="0.2">
      <c r="AB159" s="183">
        <f>_xll.qlCalendarAdvance(Calendar,AB158,"1d","mf",,Trigger)</f>
        <v>42355</v>
      </c>
      <c r="AC159" s="169">
        <f>_xll.qlDayCounterYearFraction(DayCounter,SettlementDate,AB159,,,Trigger)</f>
        <v>0.60555555555555551</v>
      </c>
      <c r="AD159" s="181">
        <f t="shared" si="19"/>
        <v>2.9114415373554252E-3</v>
      </c>
      <c r="AE159" s="181">
        <f t="shared" si="20"/>
        <v>2.9666163286674093E-3</v>
      </c>
      <c r="AF159" s="181">
        <f t="shared" si="21"/>
        <v>2.8680588717760616E-3</v>
      </c>
    </row>
    <row r="160" spans="28:32" x14ac:dyDescent="0.2">
      <c r="AB160" s="183">
        <f>_xll.qlCalendarAdvance(Calendar,AB159,"1d","mf",,Trigger)</f>
        <v>42356</v>
      </c>
      <c r="AC160" s="169">
        <f>_xll.qlDayCounterYearFraction(DayCounter,SettlementDate,AB160,,,Trigger)</f>
        <v>0.60833333333333328</v>
      </c>
      <c r="AD160" s="181">
        <f t="shared" si="19"/>
        <v>2.9114415373554252E-3</v>
      </c>
      <c r="AE160" s="181">
        <f t="shared" si="20"/>
        <v>2.9681927512763234E-3</v>
      </c>
      <c r="AF160" s="181">
        <f t="shared" si="21"/>
        <v>2.8694617238065193E-3</v>
      </c>
    </row>
    <row r="161" spans="28:32" x14ac:dyDescent="0.2">
      <c r="AB161" s="183">
        <f>_xll.qlCalendarAdvance(Calendar,AB160,"1d","mf",,Trigger)</f>
        <v>42359</v>
      </c>
      <c r="AC161" s="169">
        <f>_xll.qlDayCounterYearFraction(DayCounter,SettlementDate,AB161,,,Trigger)</f>
        <v>0.6166666666666667</v>
      </c>
      <c r="AD161" s="181">
        <f t="shared" si="19"/>
        <v>2.9114415373554252E-3</v>
      </c>
      <c r="AE161" s="181">
        <f t="shared" si="20"/>
        <v>2.9729220191030649E-3</v>
      </c>
      <c r="AF161" s="181">
        <f t="shared" si="21"/>
        <v>2.8737596133793183E-3</v>
      </c>
    </row>
    <row r="162" spans="28:32" x14ac:dyDescent="0.2">
      <c r="AB162" s="183">
        <f>_xll.qlCalendarAdvance(Calendar,AB161,"1d","mf",,Trigger)</f>
        <v>42360</v>
      </c>
      <c r="AC162" s="169">
        <f>_xll.qlDayCounterYearFraction(DayCounter,SettlementDate,AB162,,,Trigger)</f>
        <v>0.61944444444444446</v>
      </c>
      <c r="AD162" s="181">
        <f t="shared" si="19"/>
        <v>2.9114415373554252E-3</v>
      </c>
      <c r="AE162" s="181">
        <f t="shared" si="20"/>
        <v>2.974498441711979E-3</v>
      </c>
      <c r="AF162" s="181">
        <f t="shared" si="21"/>
        <v>2.8752220210640595E-3</v>
      </c>
    </row>
    <row r="163" spans="28:32" x14ac:dyDescent="0.2">
      <c r="AB163" s="183">
        <f>_xll.qlCalendarAdvance(Calendar,AB162,"1d","mf",,Trigger)</f>
        <v>42361</v>
      </c>
      <c r="AC163" s="169">
        <f>_xll.qlDayCounterYearFraction(DayCounter,SettlementDate,AB163,,,Trigger)</f>
        <v>0.62222222222222223</v>
      </c>
      <c r="AD163" s="181">
        <f t="shared" si="19"/>
        <v>2.9114415373554252E-3</v>
      </c>
      <c r="AE163" s="181">
        <f t="shared" si="20"/>
        <v>2.9760748643208931E-3</v>
      </c>
      <c r="AF163" s="181">
        <f t="shared" si="21"/>
        <v>2.876699317662372E-3</v>
      </c>
    </row>
    <row r="164" spans="28:32" x14ac:dyDescent="0.2">
      <c r="AB164" s="183">
        <f>_xll.qlCalendarAdvance(Calendar,AB163,"1d","mf",,Trigger)</f>
        <v>42362</v>
      </c>
      <c r="AC164" s="169">
        <f>_xll.qlDayCounterYearFraction(DayCounter,SettlementDate,AB164,,,Trigger)</f>
        <v>0.625</v>
      </c>
      <c r="AD164" s="181">
        <f t="shared" si="19"/>
        <v>2.9114415373554252E-3</v>
      </c>
      <c r="AE164" s="181">
        <f t="shared" si="20"/>
        <v>2.9776512869298067E-3</v>
      </c>
      <c r="AF164" s="181">
        <f t="shared" si="21"/>
        <v>2.8781915031742553E-3</v>
      </c>
    </row>
    <row r="165" spans="28:32" x14ac:dyDescent="0.2">
      <c r="AB165" s="183">
        <f>_xll.qlCalendarAdvance(Calendar,AB164,"1d","mf",,Trigger)</f>
        <v>42366</v>
      </c>
      <c r="AC165" s="169">
        <f>_xll.qlDayCounterYearFraction(DayCounter,SettlementDate,AB165,,,Trigger)</f>
        <v>0.63611111111111107</v>
      </c>
      <c r="AD165" s="181">
        <f t="shared" si="19"/>
        <v>2.9114415373554252E-3</v>
      </c>
      <c r="AE165" s="181">
        <f t="shared" si="20"/>
        <v>2.9839569773654623E-3</v>
      </c>
      <c r="AF165" s="181">
        <f t="shared" si="21"/>
        <v>2.8843091343574963E-3</v>
      </c>
    </row>
    <row r="166" spans="28:32" x14ac:dyDescent="0.2">
      <c r="AB166" s="183">
        <f>_xll.qlCalendarAdvance(Calendar,AB165,"1d","mf",,Trigger)</f>
        <v>42367</v>
      </c>
      <c r="AC166" s="169">
        <f>_xll.qlDayCounterYearFraction(DayCounter,SettlementDate,AB166,,,Trigger)</f>
        <v>0.63888888888888884</v>
      </c>
      <c r="AD166" s="181">
        <f t="shared" si="19"/>
        <v>2.9114415373554252E-3</v>
      </c>
      <c r="AE166" s="181">
        <f t="shared" si="20"/>
        <v>2.9855333999743764E-3</v>
      </c>
      <c r="AF166" s="181">
        <f t="shared" si="21"/>
        <v>2.8858757644372336E-3</v>
      </c>
    </row>
    <row r="167" spans="28:32" x14ac:dyDescent="0.2">
      <c r="AB167" s="183">
        <f>_xll.qlCalendarAdvance(Calendar,AB166,"1d","mf",,Trigger)</f>
        <v>42368</v>
      </c>
      <c r="AC167" s="169">
        <f>_xll.qlDayCounterYearFraction(DayCounter,SettlementDate,AB167,,,Trigger)</f>
        <v>0.64166666666666672</v>
      </c>
      <c r="AD167" s="181">
        <f t="shared" si="19"/>
        <v>2.9114415373554252E-3</v>
      </c>
      <c r="AE167" s="181">
        <f t="shared" si="20"/>
        <v>2.9871098225832901E-3</v>
      </c>
      <c r="AF167" s="181">
        <f t="shared" si="21"/>
        <v>2.887457283430542E-3</v>
      </c>
    </row>
    <row r="168" spans="28:32" x14ac:dyDescent="0.2">
      <c r="AB168" s="183">
        <f>_xll.qlCalendarAdvance(Calendar,AB167,"1d","mf",,Trigger)</f>
        <v>42369</v>
      </c>
      <c r="AC168" s="169">
        <f>_xll.qlDayCounterYearFraction(DayCounter,SettlementDate,AB168,,,Trigger)</f>
        <v>0.64444444444444449</v>
      </c>
      <c r="AD168" s="181">
        <f t="shared" si="19"/>
        <v>2.9114415373554252E-3</v>
      </c>
      <c r="AE168" s="181">
        <f t="shared" si="20"/>
        <v>2.9886862451922042E-3</v>
      </c>
      <c r="AF168" s="181">
        <f t="shared" si="21"/>
        <v>2.8890536913374213E-3</v>
      </c>
    </row>
    <row r="169" spans="28:32" x14ac:dyDescent="0.2">
      <c r="AB169" s="183">
        <f>_xll.qlCalendarAdvance(Calendar,AB168,"1d","mf",,Trigger)</f>
        <v>42373</v>
      </c>
      <c r="AC169" s="169">
        <f>_xll.qlDayCounterYearFraction(DayCounter,SettlementDate,AB169,,,Trigger)</f>
        <v>0.65555555555555556</v>
      </c>
      <c r="AD169" s="181">
        <f t="shared" si="19"/>
        <v>2.9114415373554252E-3</v>
      </c>
      <c r="AE169" s="181">
        <f t="shared" si="20"/>
        <v>2.9949919356278597E-3</v>
      </c>
      <c r="AF169" s="181">
        <f t="shared" si="21"/>
        <v>2.8955882121006462E-3</v>
      </c>
    </row>
    <row r="170" spans="28:32" x14ac:dyDescent="0.2">
      <c r="AB170" s="183">
        <f>_xll.qlCalendarAdvance(Calendar,AB169,"1d","mf",,Trigger)</f>
        <v>42374</v>
      </c>
      <c r="AC170" s="169">
        <f>_xll.qlDayCounterYearFraction(DayCounter,SettlementDate,AB170,,,Trigger)</f>
        <v>0.65833333333333333</v>
      </c>
      <c r="AD170" s="181">
        <f t="shared" si="19"/>
        <v>2.9114415373554252E-3</v>
      </c>
      <c r="AE170" s="181">
        <f t="shared" si="20"/>
        <v>2.9965683582367734E-3</v>
      </c>
      <c r="AF170" s="181">
        <f t="shared" si="21"/>
        <v>2.8972590645753795E-3</v>
      </c>
    </row>
    <row r="171" spans="28:32" x14ac:dyDescent="0.2">
      <c r="AB171" s="183">
        <f>_xll.qlCalendarAdvance(Calendar,AB170,"1d","mf",,Trigger)</f>
        <v>42375</v>
      </c>
      <c r="AC171" s="169">
        <f>_xll.qlDayCounterYearFraction(DayCounter,SettlementDate,AB171,,,Trigger)</f>
        <v>0.66111111111111109</v>
      </c>
      <c r="AD171" s="181">
        <f t="shared" si="19"/>
        <v>2.9114415373554252E-3</v>
      </c>
      <c r="AE171" s="181">
        <f t="shared" si="20"/>
        <v>2.9981447808456875E-3</v>
      </c>
      <c r="AF171" s="181">
        <f t="shared" si="21"/>
        <v>2.8989448059636839E-3</v>
      </c>
    </row>
    <row r="172" spans="28:32" x14ac:dyDescent="0.2">
      <c r="AB172" s="183">
        <f>_xll.qlCalendarAdvance(Calendar,AB171,"1d","mf",,Trigger)</f>
        <v>42376</v>
      </c>
      <c r="AC172" s="169">
        <f>_xll.qlDayCounterYearFraction(DayCounter,SettlementDate,AB172,,,Trigger)</f>
        <v>0.66388888888888886</v>
      </c>
      <c r="AD172" s="181">
        <f t="shared" si="19"/>
        <v>2.9114415373554252E-3</v>
      </c>
      <c r="AE172" s="181">
        <f t="shared" si="20"/>
        <v>2.9997212034546012E-3</v>
      </c>
      <c r="AF172" s="181">
        <f t="shared" si="21"/>
        <v>2.9006454362655591E-3</v>
      </c>
    </row>
    <row r="173" spans="28:32" x14ac:dyDescent="0.2">
      <c r="AB173" s="183">
        <f>_xll.qlCalendarAdvance(Calendar,AB172,"1d","mf",,Trigger)</f>
        <v>42377</v>
      </c>
      <c r="AC173" s="169">
        <f>_xll.qlDayCounterYearFraction(DayCounter,SettlementDate,AB173,,,Trigger)</f>
        <v>0.66666666666666663</v>
      </c>
      <c r="AD173" s="181">
        <f t="shared" si="19"/>
        <v>2.9114415373554252E-3</v>
      </c>
      <c r="AE173" s="181">
        <f t="shared" si="20"/>
        <v>3.0012976260635153E-3</v>
      </c>
      <c r="AF173" s="181">
        <f t="shared" si="21"/>
        <v>2.9023609554810052E-3</v>
      </c>
    </row>
    <row r="174" spans="28:32" x14ac:dyDescent="0.2">
      <c r="AB174" s="183">
        <f>_xll.qlCalendarAdvance(Calendar,AB173,"1d","mf",,Trigger)</f>
        <v>42380</v>
      </c>
      <c r="AC174" s="169">
        <f>_xll.qlDayCounterYearFraction(DayCounter,SettlementDate,AB174,,,Trigger)</f>
        <v>0.67500000000000004</v>
      </c>
      <c r="AD174" s="181">
        <f t="shared" si="19"/>
        <v>2.9114415373554252E-3</v>
      </c>
      <c r="AE174" s="181">
        <f t="shared" si="20"/>
        <v>3.0060268938902571E-3</v>
      </c>
      <c r="AF174" s="181">
        <f t="shared" si="21"/>
        <v>2.9075968466087685E-3</v>
      </c>
    </row>
    <row r="175" spans="28:32" x14ac:dyDescent="0.2">
      <c r="AB175" s="183">
        <f>_xll.qlCalendarAdvance(Calendar,AB174,"1d","mf",,Trigger)</f>
        <v>42381</v>
      </c>
      <c r="AC175" s="169">
        <f>_xll.qlDayCounterYearFraction(DayCounter,SettlementDate,AB175,,,Trigger)</f>
        <v>0.67777777777777781</v>
      </c>
      <c r="AD175" s="181">
        <f t="shared" si="19"/>
        <v>2.9114415373554252E-3</v>
      </c>
      <c r="AE175" s="181">
        <f t="shared" si="20"/>
        <v>3.0076033164991708E-3</v>
      </c>
      <c r="AF175" s="181">
        <f t="shared" si="21"/>
        <v>2.9093719214784977E-3</v>
      </c>
    </row>
    <row r="176" spans="28:32" x14ac:dyDescent="0.2">
      <c r="AB176" s="183">
        <f>_xll.qlCalendarAdvance(Calendar,AB175,"1d","mf",,Trigger)</f>
        <v>42382</v>
      </c>
      <c r="AC176" s="169">
        <f>_xll.qlDayCounterYearFraction(DayCounter,SettlementDate,AB176,,,Trigger)</f>
        <v>0.68055555555555558</v>
      </c>
      <c r="AD176" s="181">
        <f t="shared" si="19"/>
        <v>2.9114415373554252E-3</v>
      </c>
      <c r="AE176" s="181">
        <f t="shared" si="20"/>
        <v>3.0091797391080849E-3</v>
      </c>
      <c r="AF176" s="181">
        <f t="shared" si="21"/>
        <v>2.9111618852617981E-3</v>
      </c>
    </row>
    <row r="177" spans="28:32" x14ac:dyDescent="0.2">
      <c r="AB177" s="183">
        <f>_xll.qlCalendarAdvance(Calendar,AB176,"1d","mf",,Trigger)</f>
        <v>42383</v>
      </c>
      <c r="AC177" s="169">
        <f>_xll.qlDayCounterYearFraction(DayCounter,SettlementDate,AB177,,,Trigger)</f>
        <v>0.68333333333333335</v>
      </c>
      <c r="AD177" s="181">
        <f t="shared" si="19"/>
        <v>2.9114415373554252E-3</v>
      </c>
      <c r="AE177" s="181">
        <f t="shared" si="20"/>
        <v>3.0107561617169986E-3</v>
      </c>
      <c r="AF177" s="181">
        <f t="shared" si="21"/>
        <v>2.9129667379586693E-3</v>
      </c>
    </row>
    <row r="178" spans="28:32" x14ac:dyDescent="0.2">
      <c r="AB178" s="183">
        <f>_xll.qlCalendarAdvance(Calendar,AB177,"1d","mf",,Trigger)</f>
        <v>42384</v>
      </c>
      <c r="AC178" s="169">
        <f>_xll.qlDayCounterYearFraction(DayCounter,SettlementDate,AB178,,,Trigger)</f>
        <v>0.68611111111111112</v>
      </c>
      <c r="AD178" s="181">
        <f t="shared" si="19"/>
        <v>2.9114415373554252E-3</v>
      </c>
      <c r="AE178" s="181">
        <f t="shared" si="20"/>
        <v>3.0123325843259127E-3</v>
      </c>
      <c r="AF178" s="181">
        <f t="shared" si="21"/>
        <v>2.9147864795691114E-3</v>
      </c>
    </row>
    <row r="179" spans="28:32" x14ac:dyDescent="0.2">
      <c r="AB179" s="183">
        <f>_xll.qlCalendarAdvance(Calendar,AB178,"1d","mf",,Trigger)</f>
        <v>42387</v>
      </c>
      <c r="AC179" s="169">
        <f>_xll.qlDayCounterYearFraction(DayCounter,SettlementDate,AB179,,,Trigger)</f>
        <v>0.69444444444444442</v>
      </c>
      <c r="AD179" s="181">
        <f t="shared" si="19"/>
        <v>2.9114415373554252E-3</v>
      </c>
      <c r="AE179" s="181">
        <f t="shared" si="20"/>
        <v>3.0170618521526541E-3</v>
      </c>
      <c r="AF179" s="181">
        <f t="shared" si="21"/>
        <v>2.9203350378818626E-3</v>
      </c>
    </row>
    <row r="180" spans="28:32" x14ac:dyDescent="0.2">
      <c r="AB180" s="183">
        <f>_xll.qlCalendarAdvance(Calendar,AB179,"1d","mf",,Trigger)</f>
        <v>42388</v>
      </c>
      <c r="AC180" s="169">
        <f>_xll.qlDayCounterYearFraction(DayCounter,SettlementDate,AB180,,,Trigger)</f>
        <v>0.69722222222222219</v>
      </c>
      <c r="AD180" s="181">
        <f t="shared" si="19"/>
        <v>2.9114415373554252E-3</v>
      </c>
      <c r="AE180" s="181">
        <f t="shared" si="20"/>
        <v>3.0186382747615682E-3</v>
      </c>
      <c r="AF180" s="181">
        <f t="shared" si="21"/>
        <v>2.9222143351465878E-3</v>
      </c>
    </row>
    <row r="181" spans="28:32" x14ac:dyDescent="0.2">
      <c r="AB181" s="183">
        <f>_xll.qlCalendarAdvance(Calendar,AB180,"1d","mf",,Trigger)</f>
        <v>42389</v>
      </c>
      <c r="AC181" s="169">
        <f>_xll.qlDayCounterYearFraction(DayCounter,SettlementDate,AB181,,,Trigger)</f>
        <v>0.7</v>
      </c>
      <c r="AD181" s="181">
        <f t="shared" si="19"/>
        <v>2.9114415373554252E-3</v>
      </c>
      <c r="AE181" s="181">
        <f t="shared" si="20"/>
        <v>3.0202146973704819E-3</v>
      </c>
      <c r="AF181" s="181">
        <f t="shared" si="21"/>
        <v>2.9241085213248842E-3</v>
      </c>
    </row>
    <row r="182" spans="28:32" x14ac:dyDescent="0.2">
      <c r="AB182" s="183">
        <f>_xll.qlCalendarAdvance(Calendar,AB181,"1d","mf",,Trigger)</f>
        <v>42390</v>
      </c>
      <c r="AC182" s="169">
        <f>_xll.qlDayCounterYearFraction(DayCounter,SettlementDate,AB182,,,Trigger)</f>
        <v>0.70277777777777772</v>
      </c>
      <c r="AD182" s="181">
        <f t="shared" si="19"/>
        <v>2.9114415373554252E-3</v>
      </c>
      <c r="AE182" s="181">
        <f t="shared" si="20"/>
        <v>3.021791119979396E-3</v>
      </c>
      <c r="AF182" s="181">
        <f t="shared" si="21"/>
        <v>2.9260175964167514E-3</v>
      </c>
    </row>
    <row r="183" spans="28:32" x14ac:dyDescent="0.2">
      <c r="AB183" s="183">
        <f>_xll.qlCalendarAdvance(Calendar,AB182,"1d","mf",,Trigger)</f>
        <v>42391</v>
      </c>
      <c r="AC183" s="169">
        <f>_xll.qlDayCounterYearFraction(DayCounter,SettlementDate,AB183,,,Trigger)</f>
        <v>0.7055555555555556</v>
      </c>
      <c r="AD183" s="181">
        <f t="shared" si="19"/>
        <v>2.9114415373554252E-3</v>
      </c>
      <c r="AE183" s="181">
        <f t="shared" si="20"/>
        <v>3.0233675425883101E-3</v>
      </c>
      <c r="AF183" s="181">
        <f t="shared" si="21"/>
        <v>2.9279415604221894E-3</v>
      </c>
    </row>
    <row r="184" spans="28:32" x14ac:dyDescent="0.2">
      <c r="AB184" s="183">
        <f>_xll.qlCalendarAdvance(Calendar,AB183,"1d","mf",,Trigger)</f>
        <v>42394</v>
      </c>
      <c r="AC184" s="169">
        <f>_xll.qlDayCounterYearFraction(DayCounter,SettlementDate,AB184,,,Trigger)</f>
        <v>0.71388888888888891</v>
      </c>
      <c r="AD184" s="181">
        <f t="shared" si="19"/>
        <v>2.9114415373554252E-3</v>
      </c>
      <c r="AE184" s="181">
        <f t="shared" si="20"/>
        <v>3.0280968104150516E-3</v>
      </c>
      <c r="AF184" s="181">
        <f t="shared" si="21"/>
        <v>2.9338027859199291E-3</v>
      </c>
    </row>
    <row r="185" spans="28:32" x14ac:dyDescent="0.2">
      <c r="AB185" s="183">
        <f>_xll.qlCalendarAdvance(Calendar,AB184,"1d","mf",,Trigger)</f>
        <v>42395</v>
      </c>
      <c r="AC185" s="169">
        <f>_xll.qlDayCounterYearFraction(DayCounter,SettlementDate,AB185,,,Trigger)</f>
        <v>0.71666666666666667</v>
      </c>
      <c r="AD185" s="181">
        <f t="shared" si="19"/>
        <v>2.9114415373554252E-3</v>
      </c>
      <c r="AE185" s="181">
        <f t="shared" si="20"/>
        <v>3.0296732330239657E-3</v>
      </c>
      <c r="AF185" s="181">
        <f t="shared" si="21"/>
        <v>2.9357863055796507E-3</v>
      </c>
    </row>
    <row r="186" spans="28:32" x14ac:dyDescent="0.2">
      <c r="AB186" s="183">
        <f>_xll.qlCalendarAdvance(Calendar,AB185,"1d","mf",,Trigger)</f>
        <v>42396</v>
      </c>
      <c r="AC186" s="169">
        <f>_xll.qlDayCounterYearFraction(DayCounter,SettlementDate,AB186,,,Trigger)</f>
        <v>0.71944444444444444</v>
      </c>
      <c r="AD186" s="181">
        <f t="shared" si="19"/>
        <v>2.9114415373554252E-3</v>
      </c>
      <c r="AE186" s="181">
        <f t="shared" si="20"/>
        <v>3.0312496556328793E-3</v>
      </c>
      <c r="AF186" s="181">
        <f t="shared" si="21"/>
        <v>2.9377847141529431E-3</v>
      </c>
    </row>
    <row r="187" spans="28:32" x14ac:dyDescent="0.2">
      <c r="AB187" s="183">
        <f>_xll.qlCalendarAdvance(Calendar,AB186,"1d","mf",,Trigger)</f>
        <v>42397</v>
      </c>
      <c r="AC187" s="169">
        <f>_xll.qlDayCounterYearFraction(DayCounter,SettlementDate,AB187,,,Trigger)</f>
        <v>0.72222222222222221</v>
      </c>
      <c r="AD187" s="181">
        <f t="shared" si="19"/>
        <v>2.9114415373554252E-3</v>
      </c>
      <c r="AE187" s="181">
        <f t="shared" si="20"/>
        <v>3.0328260782417934E-3</v>
      </c>
      <c r="AF187" s="181">
        <f t="shared" si="21"/>
        <v>2.9397980116398063E-3</v>
      </c>
    </row>
    <row r="188" spans="28:32" x14ac:dyDescent="0.2">
      <c r="AB188" s="183">
        <f>_xll.qlCalendarAdvance(Calendar,AB187,"1d","mf",,Trigger)</f>
        <v>42398</v>
      </c>
      <c r="AC188" s="169">
        <f>_xll.qlDayCounterYearFraction(DayCounter,SettlementDate,AB188,,,Trigger)</f>
        <v>0.72499999999999998</v>
      </c>
      <c r="AD188" s="181">
        <f t="shared" si="19"/>
        <v>2.9114415373554252E-3</v>
      </c>
      <c r="AE188" s="181">
        <f t="shared" ref="AE188:AE251" si="22">$S$10+$S$9*AC188</f>
        <v>3.0344025008507071E-3</v>
      </c>
      <c r="AF188" s="181">
        <f t="shared" ref="AF188:AF251" si="23">($S$5+$S$4*AC188+$S$3*AC188^2)</f>
        <v>2.9418261980402398E-3</v>
      </c>
    </row>
    <row r="189" spans="28:32" x14ac:dyDescent="0.2">
      <c r="AB189" s="183">
        <f>_xll.qlCalendarAdvance(Calendar,AB188,"1d","mf",,Trigger)</f>
        <v>42401</v>
      </c>
      <c r="AC189" s="169">
        <f>_xll.qlDayCounterYearFraction(DayCounter,SettlementDate,AB189,,,Trigger)</f>
        <v>0.73333333333333328</v>
      </c>
      <c r="AD189" s="181">
        <f t="shared" si="19"/>
        <v>2.9114415373554252E-3</v>
      </c>
      <c r="AE189" s="181">
        <f t="shared" si="22"/>
        <v>3.039131768677449E-3</v>
      </c>
      <c r="AF189" s="181">
        <f t="shared" si="23"/>
        <v>2.9480000907229674E-3</v>
      </c>
    </row>
    <row r="190" spans="28:32" x14ac:dyDescent="0.2">
      <c r="AB190" s="183">
        <f>_xll.qlCalendarAdvance(Calendar,AB189,"1d","mf",,Trigger)</f>
        <v>42402</v>
      </c>
      <c r="AC190" s="169">
        <f>_xll.qlDayCounterYearFraction(DayCounter,SettlementDate,AB190,,,Trigger)</f>
        <v>0.73611111111111116</v>
      </c>
      <c r="AD190" s="181">
        <f t="shared" si="19"/>
        <v>2.9114415373554252E-3</v>
      </c>
      <c r="AE190" s="181">
        <f t="shared" si="22"/>
        <v>3.0407081912863627E-3</v>
      </c>
      <c r="AF190" s="181">
        <f t="shared" si="23"/>
        <v>2.950087832777685E-3</v>
      </c>
    </row>
    <row r="191" spans="28:32" x14ac:dyDescent="0.2">
      <c r="AB191" s="183">
        <f>_xll.qlCalendarAdvance(Calendar,AB190,"1d","mf",,Trigger)</f>
        <v>42403</v>
      </c>
      <c r="AC191" s="169">
        <f>_xll.qlDayCounterYearFraction(DayCounter,SettlementDate,AB191,,,Trigger)</f>
        <v>0.73888888888888893</v>
      </c>
      <c r="AD191" s="181">
        <f t="shared" si="19"/>
        <v>2.9114415373554252E-3</v>
      </c>
      <c r="AE191" s="181">
        <f t="shared" si="22"/>
        <v>3.0422846138952768E-3</v>
      </c>
      <c r="AF191" s="181">
        <f t="shared" si="23"/>
        <v>2.9521904637459734E-3</v>
      </c>
    </row>
    <row r="192" spans="28:32" x14ac:dyDescent="0.2">
      <c r="AB192" s="183">
        <f>_xll.qlCalendarAdvance(Calendar,AB191,"1d","mf",,Trigger)</f>
        <v>42404</v>
      </c>
      <c r="AC192" s="169">
        <f>_xll.qlDayCounterYearFraction(DayCounter,SettlementDate,AB192,,,Trigger)</f>
        <v>0.7416666666666667</v>
      </c>
      <c r="AD192" s="181">
        <f t="shared" si="19"/>
        <v>2.9114415373554252E-3</v>
      </c>
      <c r="AE192" s="181">
        <f t="shared" si="22"/>
        <v>3.0438610365041904E-3</v>
      </c>
      <c r="AF192" s="181">
        <f t="shared" si="23"/>
        <v>2.954307983627833E-3</v>
      </c>
    </row>
    <row r="193" spans="28:32" x14ac:dyDescent="0.2">
      <c r="AB193" s="183">
        <f>_xll.qlCalendarAdvance(Calendar,AB192,"1d","mf",,Trigger)</f>
        <v>42405</v>
      </c>
      <c r="AC193" s="169">
        <f>_xll.qlDayCounterYearFraction(DayCounter,SettlementDate,AB193,,,Trigger)</f>
        <v>0.74444444444444446</v>
      </c>
      <c r="AD193" s="181">
        <f t="shared" si="19"/>
        <v>2.9114415373554252E-3</v>
      </c>
      <c r="AE193" s="181">
        <f t="shared" si="22"/>
        <v>3.0454374591131045E-3</v>
      </c>
      <c r="AF193" s="181">
        <f t="shared" si="23"/>
        <v>2.9564403924232626E-3</v>
      </c>
    </row>
    <row r="194" spans="28:32" x14ac:dyDescent="0.2">
      <c r="AB194" s="183">
        <f>_xll.qlCalendarAdvance(Calendar,AB193,"1d","mf",,Trigger)</f>
        <v>42408</v>
      </c>
      <c r="AC194" s="169">
        <f>_xll.qlDayCounterYearFraction(DayCounter,SettlementDate,AB194,,,Trigger)</f>
        <v>0.75277777777777777</v>
      </c>
      <c r="AD194" s="181">
        <f t="shared" si="19"/>
        <v>2.9114415373554252E-3</v>
      </c>
      <c r="AE194" s="181">
        <f t="shared" si="22"/>
        <v>3.050166726939846E-3</v>
      </c>
      <c r="AF194" s="181">
        <f t="shared" si="23"/>
        <v>2.9629269522909781E-3</v>
      </c>
    </row>
    <row r="195" spans="28:32" x14ac:dyDescent="0.2">
      <c r="AB195" s="183">
        <f>_xll.qlCalendarAdvance(Calendar,AB194,"1d","mf",,Trigger)</f>
        <v>42409</v>
      </c>
      <c r="AC195" s="169">
        <f>_xll.qlDayCounterYearFraction(DayCounter,SettlementDate,AB195,,,Trigger)</f>
        <v>0.75555555555555554</v>
      </c>
      <c r="AD195" s="181">
        <f t="shared" ref="AD195:AD257" si="24">$S$13</f>
        <v>2.9114415373554252E-3</v>
      </c>
      <c r="AE195" s="181">
        <f t="shared" si="22"/>
        <v>3.0517431495487601E-3</v>
      </c>
      <c r="AF195" s="181">
        <f t="shared" si="23"/>
        <v>2.9651189167406917E-3</v>
      </c>
    </row>
    <row r="196" spans="28:32" x14ac:dyDescent="0.2">
      <c r="AB196" s="183">
        <f>_xll.qlCalendarAdvance(Calendar,AB195,"1d","mf",,Trigger)</f>
        <v>42410</v>
      </c>
      <c r="AC196" s="169">
        <f>_xll.qlDayCounterYearFraction(DayCounter,SettlementDate,AB196,,,Trigger)</f>
        <v>0.7583333333333333</v>
      </c>
      <c r="AD196" s="181">
        <f t="shared" si="24"/>
        <v>2.9114415373554252E-3</v>
      </c>
      <c r="AE196" s="181">
        <f t="shared" si="22"/>
        <v>3.0533195721576742E-3</v>
      </c>
      <c r="AF196" s="181">
        <f t="shared" si="23"/>
        <v>2.9673257701039761E-3</v>
      </c>
    </row>
    <row r="197" spans="28:32" x14ac:dyDescent="0.2">
      <c r="AB197" s="183">
        <f>_xll.qlCalendarAdvance(Calendar,AB196,"1d","mf",,Trigger)</f>
        <v>42411</v>
      </c>
      <c r="AC197" s="169">
        <f>_xll.qlDayCounterYearFraction(DayCounter,SettlementDate,AB197,,,Trigger)</f>
        <v>0.76111111111111107</v>
      </c>
      <c r="AD197" s="181">
        <f t="shared" si="24"/>
        <v>2.9114415373554252E-3</v>
      </c>
      <c r="AE197" s="181">
        <f t="shared" si="22"/>
        <v>3.0548959947665879E-3</v>
      </c>
      <c r="AF197" s="181">
        <f t="shared" si="23"/>
        <v>2.9695475123808317E-3</v>
      </c>
    </row>
    <row r="198" spans="28:32" x14ac:dyDescent="0.2">
      <c r="AB198" s="183">
        <f>_xll.qlCalendarAdvance(Calendar,AB197,"1d","mf",,Trigger)</f>
        <v>42412</v>
      </c>
      <c r="AC198" s="169">
        <f>_xll.qlDayCounterYearFraction(DayCounter,SettlementDate,AB198,,,Trigger)</f>
        <v>0.76388888888888884</v>
      </c>
      <c r="AD198" s="181">
        <f t="shared" si="24"/>
        <v>2.9114415373554252E-3</v>
      </c>
      <c r="AE198" s="181">
        <f t="shared" si="22"/>
        <v>3.056472417375502E-3</v>
      </c>
      <c r="AF198" s="181">
        <f t="shared" si="23"/>
        <v>2.9717841435712572E-3</v>
      </c>
    </row>
    <row r="199" spans="28:32" x14ac:dyDescent="0.2">
      <c r="AB199" s="183">
        <f>_xll.qlCalendarAdvance(Calendar,AB198,"1d","mf",,Trigger)</f>
        <v>42415</v>
      </c>
      <c r="AC199" s="169">
        <f>_xll.qlDayCounterYearFraction(DayCounter,SettlementDate,AB199,,,Trigger)</f>
        <v>0.77222222222222225</v>
      </c>
      <c r="AD199" s="181">
        <f t="shared" si="24"/>
        <v>2.9114415373554252E-3</v>
      </c>
      <c r="AE199" s="181">
        <f t="shared" si="22"/>
        <v>3.0612016852022434E-3</v>
      </c>
      <c r="AF199" s="181">
        <f t="shared" si="23"/>
        <v>2.9785833706239611E-3</v>
      </c>
    </row>
    <row r="200" spans="28:32" x14ac:dyDescent="0.2">
      <c r="AB200" s="183">
        <f>_xll.qlCalendarAdvance(Calendar,AB199,"1d","mf",,Trigger)</f>
        <v>42416</v>
      </c>
      <c r="AC200" s="169">
        <f>_xll.qlDayCounterYearFraction(DayCounter,SettlementDate,AB200,,,Trigger)</f>
        <v>0.77500000000000002</v>
      </c>
      <c r="AD200" s="181">
        <f t="shared" si="24"/>
        <v>2.9114415373554252E-3</v>
      </c>
      <c r="AE200" s="181">
        <f t="shared" si="22"/>
        <v>3.0627781078111575E-3</v>
      </c>
      <c r="AF200" s="181">
        <f t="shared" si="23"/>
        <v>2.9808795574686707E-3</v>
      </c>
    </row>
    <row r="201" spans="28:32" x14ac:dyDescent="0.2">
      <c r="AB201" s="183">
        <f>_xll.qlCalendarAdvance(Calendar,AB200,"1d","mf",,Trigger)</f>
        <v>42417</v>
      </c>
      <c r="AC201" s="169">
        <f>_xll.qlDayCounterYearFraction(DayCounter,SettlementDate,AB201,,,Trigger)</f>
        <v>0.77777777777777779</v>
      </c>
      <c r="AD201" s="181">
        <f t="shared" si="24"/>
        <v>2.9114415373554252E-3</v>
      </c>
      <c r="AE201" s="181">
        <f t="shared" si="22"/>
        <v>3.0643545304200712E-3</v>
      </c>
      <c r="AF201" s="181">
        <f t="shared" si="23"/>
        <v>2.9831906332269511E-3</v>
      </c>
    </row>
    <row r="202" spans="28:32" x14ac:dyDescent="0.2">
      <c r="AB202" s="183">
        <f>_xll.qlCalendarAdvance(Calendar,AB201,"1d","mf",,Trigger)</f>
        <v>42418</v>
      </c>
      <c r="AC202" s="169">
        <f>_xll.qlDayCounterYearFraction(DayCounter,SettlementDate,AB202,,,Trigger)</f>
        <v>0.78055555555555556</v>
      </c>
      <c r="AD202" s="181">
        <f t="shared" si="24"/>
        <v>2.9114415373554252E-3</v>
      </c>
      <c r="AE202" s="181">
        <f t="shared" si="22"/>
        <v>3.0659309530289853E-3</v>
      </c>
      <c r="AF202" s="181">
        <f t="shared" si="23"/>
        <v>2.9855165978988022E-3</v>
      </c>
    </row>
    <row r="203" spans="28:32" x14ac:dyDescent="0.2">
      <c r="AB203" s="183">
        <f>_xll.qlCalendarAdvance(Calendar,AB202,"1d","mf",,Trigger)</f>
        <v>42419</v>
      </c>
      <c r="AC203" s="169">
        <f>_xll.qlDayCounterYearFraction(DayCounter,SettlementDate,AB203,,,Trigger)</f>
        <v>0.78333333333333333</v>
      </c>
      <c r="AD203" s="181">
        <f t="shared" si="24"/>
        <v>2.9114415373554252E-3</v>
      </c>
      <c r="AE203" s="181">
        <f t="shared" si="22"/>
        <v>3.067507375637899E-3</v>
      </c>
      <c r="AF203" s="181">
        <f t="shared" si="23"/>
        <v>2.9878574514842246E-3</v>
      </c>
    </row>
    <row r="204" spans="28:32" x14ac:dyDescent="0.2">
      <c r="AB204" s="183">
        <f>_xll.qlCalendarAdvance(Calendar,AB203,"1d","mf",,Trigger)</f>
        <v>42422</v>
      </c>
      <c r="AC204" s="169">
        <f>_xll.qlDayCounterYearFraction(DayCounter,SettlementDate,AB204,,,Trigger)</f>
        <v>0.79166666666666663</v>
      </c>
      <c r="AD204" s="181">
        <f t="shared" si="24"/>
        <v>2.9114415373554252E-3</v>
      </c>
      <c r="AE204" s="181">
        <f t="shared" si="22"/>
        <v>3.0722366434646408E-3</v>
      </c>
      <c r="AF204" s="181">
        <f t="shared" si="23"/>
        <v>2.994969345721916E-3</v>
      </c>
    </row>
    <row r="205" spans="28:32" x14ac:dyDescent="0.2">
      <c r="AB205" s="183">
        <f>_xll.qlCalendarAdvance(Calendar,AB204,"1d","mf",,Trigger)</f>
        <v>42423</v>
      </c>
      <c r="AC205" s="169">
        <f>_xll.qlDayCounterYearFraction(DayCounter,SettlementDate,AB205,,,Trigger)</f>
        <v>0.7944444444444444</v>
      </c>
      <c r="AD205" s="181">
        <f t="shared" si="24"/>
        <v>2.9114415373554252E-3</v>
      </c>
      <c r="AE205" s="181">
        <f t="shared" si="22"/>
        <v>3.0738130660735545E-3</v>
      </c>
      <c r="AF205" s="181">
        <f t="shared" si="23"/>
        <v>2.9973697549616216E-3</v>
      </c>
    </row>
    <row r="206" spans="28:32" x14ac:dyDescent="0.2">
      <c r="AB206" s="183">
        <f>_xll.qlCalendarAdvance(Calendar,AB205,"1d","mf",,Trigger)</f>
        <v>42424</v>
      </c>
      <c r="AC206" s="169">
        <f>_xll.qlDayCounterYearFraction(DayCounter,SettlementDate,AB206,,,Trigger)</f>
        <v>0.79722222222222228</v>
      </c>
      <c r="AD206" s="181">
        <f t="shared" si="24"/>
        <v>2.9114415373554252E-3</v>
      </c>
      <c r="AE206" s="181">
        <f t="shared" si="22"/>
        <v>3.0753894886824686E-3</v>
      </c>
      <c r="AF206" s="181">
        <f t="shared" si="23"/>
        <v>2.9997850531148979E-3</v>
      </c>
    </row>
    <row r="207" spans="28:32" x14ac:dyDescent="0.2">
      <c r="AB207" s="183">
        <f>_xll.qlCalendarAdvance(Calendar,AB206,"1d","mf",,Trigger)</f>
        <v>42425</v>
      </c>
      <c r="AC207" s="169">
        <f>_xll.qlDayCounterYearFraction(DayCounter,SettlementDate,AB207,,,Trigger)</f>
        <v>0.8</v>
      </c>
      <c r="AD207" s="181">
        <f t="shared" si="24"/>
        <v>2.9114415373554252E-3</v>
      </c>
      <c r="AE207" s="181">
        <f t="shared" si="22"/>
        <v>3.0769659112913827E-3</v>
      </c>
      <c r="AF207" s="181">
        <f t="shared" si="23"/>
        <v>3.0022152401817455E-3</v>
      </c>
    </row>
    <row r="208" spans="28:32" x14ac:dyDescent="0.2">
      <c r="AB208" s="183">
        <f>_xll.qlCalendarAdvance(Calendar,AB207,"1d","mf",,Trigger)</f>
        <v>42426</v>
      </c>
      <c r="AC208" s="169">
        <f>_xll.qlDayCounterYearFraction(DayCounter,SettlementDate,AB208,,,Trigger)</f>
        <v>0.80277777777777781</v>
      </c>
      <c r="AD208" s="181">
        <f t="shared" si="24"/>
        <v>2.9114415373554252E-3</v>
      </c>
      <c r="AE208" s="181">
        <f t="shared" si="22"/>
        <v>3.0785423339002964E-3</v>
      </c>
      <c r="AF208" s="181">
        <f t="shared" si="23"/>
        <v>3.0046603161621634E-3</v>
      </c>
    </row>
    <row r="209" spans="28:32" x14ac:dyDescent="0.2">
      <c r="AB209" s="183">
        <f>_xll.qlCalendarAdvance(Calendar,AB208,"1d","mf",,Trigger)</f>
        <v>42429</v>
      </c>
      <c r="AC209" s="169">
        <f>_xll.qlDayCounterYearFraction(DayCounter,SettlementDate,AB209,,,Trigger)</f>
        <v>0.81111111111111112</v>
      </c>
      <c r="AD209" s="181">
        <f t="shared" si="24"/>
        <v>2.9114415373554252E-3</v>
      </c>
      <c r="AE209" s="181">
        <f t="shared" si="22"/>
        <v>3.0832716017270383E-3</v>
      </c>
      <c r="AF209" s="181">
        <f t="shared" si="23"/>
        <v>3.0120848775848433E-3</v>
      </c>
    </row>
    <row r="210" spans="28:32" x14ac:dyDescent="0.2">
      <c r="AB210" s="183">
        <f>_xll.qlCalendarAdvance(Calendar,AB209,"1d","mf",,Trigger)</f>
        <v>42430</v>
      </c>
      <c r="AC210" s="169">
        <f>_xll.qlDayCounterYearFraction(DayCounter,SettlementDate,AB210,,,Trigger)</f>
        <v>0.81388888888888888</v>
      </c>
      <c r="AD210" s="181">
        <f t="shared" si="24"/>
        <v>2.9114415373554252E-3</v>
      </c>
      <c r="AE210" s="181">
        <f t="shared" si="22"/>
        <v>3.0848480243359519E-3</v>
      </c>
      <c r="AF210" s="181">
        <f t="shared" si="23"/>
        <v>3.0145895092195448E-3</v>
      </c>
    </row>
    <row r="211" spans="28:32" x14ac:dyDescent="0.2">
      <c r="AB211" s="183">
        <f>_xll.qlCalendarAdvance(Calendar,AB210,"1d","mf",,Trigger)</f>
        <v>42431</v>
      </c>
      <c r="AC211" s="169">
        <f>_xll.qlDayCounterYearFraction(DayCounter,SettlementDate,AB211,,,Trigger)</f>
        <v>0.81666666666666665</v>
      </c>
      <c r="AD211" s="181">
        <f t="shared" si="24"/>
        <v>2.9114415373554252E-3</v>
      </c>
      <c r="AE211" s="181">
        <f t="shared" si="22"/>
        <v>3.086424446944866E-3</v>
      </c>
      <c r="AF211" s="181">
        <f t="shared" si="23"/>
        <v>3.0171090297678171E-3</v>
      </c>
    </row>
    <row r="212" spans="28:32" x14ac:dyDescent="0.2">
      <c r="AB212" s="183">
        <f>_xll.qlCalendarAdvance(Calendar,AB211,"1d","mf",,Trigger)</f>
        <v>42432</v>
      </c>
      <c r="AC212" s="169">
        <f>_xll.qlDayCounterYearFraction(DayCounter,SettlementDate,AB212,,,Trigger)</f>
        <v>0.81944444444444442</v>
      </c>
      <c r="AD212" s="181">
        <f t="shared" si="24"/>
        <v>2.9114415373554252E-3</v>
      </c>
      <c r="AE212" s="181">
        <f t="shared" si="22"/>
        <v>3.0880008695537797E-3</v>
      </c>
      <c r="AF212" s="181">
        <f t="shared" si="23"/>
        <v>3.0196434392296603E-3</v>
      </c>
    </row>
    <row r="213" spans="28:32" x14ac:dyDescent="0.2">
      <c r="AB213" s="183">
        <f>_xll.qlCalendarAdvance(Calendar,AB212,"1d","mf",,Trigger)</f>
        <v>42433</v>
      </c>
      <c r="AC213" s="169">
        <f>_xll.qlDayCounterYearFraction(DayCounter,SettlementDate,AB213,,,Trigger)</f>
        <v>0.82222222222222219</v>
      </c>
      <c r="AD213" s="181">
        <f t="shared" si="24"/>
        <v>2.9114415373554252E-3</v>
      </c>
      <c r="AE213" s="181">
        <f t="shared" si="22"/>
        <v>3.0895772921626938E-3</v>
      </c>
      <c r="AF213" s="181">
        <f t="shared" si="23"/>
        <v>3.0221927376050746E-3</v>
      </c>
    </row>
    <row r="214" spans="28:32" x14ac:dyDescent="0.2">
      <c r="AB214" s="183">
        <f>_xll.qlCalendarAdvance(Calendar,AB213,"1d","mf",,Trigger)</f>
        <v>42436</v>
      </c>
      <c r="AC214" s="169">
        <f>_xll.qlDayCounterYearFraction(DayCounter,SettlementDate,AB214,,,Trigger)</f>
        <v>0.8305555555555556</v>
      </c>
      <c r="AD214" s="181">
        <f t="shared" si="24"/>
        <v>2.9114415373554252E-3</v>
      </c>
      <c r="AE214" s="181">
        <f t="shared" si="22"/>
        <v>3.0943065599894357E-3</v>
      </c>
      <c r="AF214" s="181">
        <f t="shared" si="23"/>
        <v>3.0299299662127424E-3</v>
      </c>
    </row>
    <row r="215" spans="28:32" x14ac:dyDescent="0.2">
      <c r="AB215" s="183">
        <f>_xll.qlCalendarAdvance(Calendar,AB214,"1d","mf",,Trigger)</f>
        <v>42437</v>
      </c>
      <c r="AC215" s="169">
        <f>_xll.qlDayCounterYearFraction(DayCounter,SettlementDate,AB215,,,Trigger)</f>
        <v>0.83333333333333337</v>
      </c>
      <c r="AD215" s="181">
        <f t="shared" si="24"/>
        <v>2.9114415373554252E-3</v>
      </c>
      <c r="AE215" s="181">
        <f t="shared" si="22"/>
        <v>3.0958829825983494E-3</v>
      </c>
      <c r="AF215" s="181">
        <f t="shared" si="23"/>
        <v>3.0325388202424404E-3</v>
      </c>
    </row>
    <row r="216" spans="28:32" x14ac:dyDescent="0.2">
      <c r="AB216" s="183">
        <f>_xll.qlCalendarAdvance(Calendar,AB215,"1d","mf",,Trigger)</f>
        <v>42438</v>
      </c>
      <c r="AC216" s="169">
        <f>_xll.qlDayCounterYearFraction(DayCounter,SettlementDate,AB216,,,Trigger)</f>
        <v>0.83611111111111114</v>
      </c>
      <c r="AD216" s="181">
        <f t="shared" si="24"/>
        <v>2.9114415373554252E-3</v>
      </c>
      <c r="AE216" s="181">
        <f t="shared" si="22"/>
        <v>3.0974594052072635E-3</v>
      </c>
      <c r="AF216" s="181">
        <f t="shared" si="23"/>
        <v>3.0351625631857087E-3</v>
      </c>
    </row>
    <row r="217" spans="28:32" x14ac:dyDescent="0.2">
      <c r="AB217" s="183">
        <f>_xll.qlCalendarAdvance(Calendar,AB216,"1d","mf",,Trigger)</f>
        <v>42439</v>
      </c>
      <c r="AC217" s="169">
        <f>_xll.qlDayCounterYearFraction(DayCounter,SettlementDate,AB217,,,Trigger)</f>
        <v>0.83888888888888891</v>
      </c>
      <c r="AD217" s="181">
        <f t="shared" si="24"/>
        <v>2.9114415373554252E-3</v>
      </c>
      <c r="AE217" s="181">
        <f t="shared" si="22"/>
        <v>3.0990358278161771E-3</v>
      </c>
      <c r="AF217" s="181">
        <f t="shared" si="23"/>
        <v>3.0378011950425478E-3</v>
      </c>
    </row>
    <row r="218" spans="28:32" x14ac:dyDescent="0.2">
      <c r="AB218" s="183">
        <f>_xll.qlCalendarAdvance(Calendar,AB217,"1d","mf",,Trigger)</f>
        <v>42440</v>
      </c>
      <c r="AC218" s="169">
        <f>_xll.qlDayCounterYearFraction(DayCounter,SettlementDate,AB218,,,Trigger)</f>
        <v>0.84166666666666667</v>
      </c>
      <c r="AD218" s="181">
        <f t="shared" si="24"/>
        <v>2.9114415373554252E-3</v>
      </c>
      <c r="AE218" s="181">
        <f t="shared" si="22"/>
        <v>3.1006122504250912E-3</v>
      </c>
      <c r="AF218" s="181">
        <f t="shared" si="23"/>
        <v>3.0404547158129581E-3</v>
      </c>
    </row>
    <row r="219" spans="28:32" x14ac:dyDescent="0.2">
      <c r="AB219" s="183">
        <f>_xll.qlCalendarAdvance(Calendar,AB218,"1d","mf",,Trigger)</f>
        <v>42443</v>
      </c>
      <c r="AC219" s="169">
        <f>_xll.qlDayCounterYearFraction(DayCounter,SettlementDate,AB219,,,Trigger)</f>
        <v>0.85</v>
      </c>
      <c r="AD219" s="181">
        <f t="shared" si="24"/>
        <v>2.9114415373554252E-3</v>
      </c>
      <c r="AE219" s="181">
        <f t="shared" si="22"/>
        <v>3.1053415182518327E-3</v>
      </c>
      <c r="AF219" s="181">
        <f t="shared" si="23"/>
        <v>3.0485046116056139E-3</v>
      </c>
    </row>
    <row r="220" spans="28:32" x14ac:dyDescent="0.2">
      <c r="AB220" s="183">
        <f>_xll.qlCalendarAdvance(Calendar,AB219,"1d","mf",,Trigger)</f>
        <v>42444</v>
      </c>
      <c r="AC220" s="169">
        <f>_xll.qlDayCounterYearFraction(DayCounter,SettlementDate,AB220,,,Trigger)</f>
        <v>0.85277777777777775</v>
      </c>
      <c r="AD220" s="181">
        <f t="shared" si="24"/>
        <v>2.9114415373554252E-3</v>
      </c>
      <c r="AE220" s="181">
        <f t="shared" si="22"/>
        <v>3.1069179408607468E-3</v>
      </c>
      <c r="AF220" s="181">
        <f t="shared" si="23"/>
        <v>3.0512176880303074E-3</v>
      </c>
    </row>
    <row r="221" spans="28:32" x14ac:dyDescent="0.2">
      <c r="AB221" s="183">
        <f>_xll.qlCalendarAdvance(Calendar,AB220,"1d","mf",,Trigger)</f>
        <v>42445</v>
      </c>
      <c r="AC221" s="169">
        <f>_xll.qlDayCounterYearFraction(DayCounter,SettlementDate,AB221,,,Trigger)</f>
        <v>0.85555555555555551</v>
      </c>
      <c r="AD221" s="181">
        <f t="shared" si="24"/>
        <v>2.9114415373554252E-3</v>
      </c>
      <c r="AE221" s="181">
        <f t="shared" si="22"/>
        <v>3.1084943634696605E-3</v>
      </c>
      <c r="AF221" s="181">
        <f t="shared" si="23"/>
        <v>3.0539456533685721E-3</v>
      </c>
    </row>
    <row r="222" spans="28:32" x14ac:dyDescent="0.2">
      <c r="AB222" s="183">
        <f>_xll.qlCalendarAdvance(Calendar,AB221,"1d","mf",,Trigger)</f>
        <v>42446</v>
      </c>
      <c r="AC222" s="169">
        <f>_xll.qlDayCounterYearFraction(DayCounter,SettlementDate,AB222,,,Trigger)</f>
        <v>0.85833333333333328</v>
      </c>
      <c r="AD222" s="181">
        <f t="shared" si="24"/>
        <v>2.9114415373554252E-3</v>
      </c>
      <c r="AE222" s="181">
        <f t="shared" si="22"/>
        <v>3.1100707860785746E-3</v>
      </c>
      <c r="AF222" s="181">
        <f t="shared" si="23"/>
        <v>3.0566885076204076E-3</v>
      </c>
    </row>
    <row r="223" spans="28:32" x14ac:dyDescent="0.2">
      <c r="AB223" s="183">
        <f>_xll.qlCalendarAdvance(Calendar,AB222,"1d","mf",,Trigger)</f>
        <v>42447</v>
      </c>
      <c r="AC223" s="169">
        <f>_xll.qlDayCounterYearFraction(DayCounter,SettlementDate,AB223,,,Trigger)</f>
        <v>0.86111111111111116</v>
      </c>
      <c r="AD223" s="181">
        <f t="shared" si="24"/>
        <v>2.9114415373554252E-3</v>
      </c>
      <c r="AE223" s="181">
        <f t="shared" si="22"/>
        <v>3.1116472086874887E-3</v>
      </c>
      <c r="AF223" s="181">
        <f t="shared" si="23"/>
        <v>3.0594462507858139E-3</v>
      </c>
    </row>
    <row r="224" spans="28:32" x14ac:dyDescent="0.2">
      <c r="AB224" s="183">
        <f>_xll.qlCalendarAdvance(Calendar,AB223,"1d","mf",,Trigger)</f>
        <v>42450</v>
      </c>
      <c r="AC224" s="169">
        <f>_xll.qlDayCounterYearFraction(DayCounter,SettlementDate,AB224,,,Trigger)</f>
        <v>0.86944444444444446</v>
      </c>
      <c r="AD224" s="181">
        <f t="shared" si="24"/>
        <v>2.9114415373554252E-3</v>
      </c>
      <c r="AE224" s="181">
        <f t="shared" si="22"/>
        <v>3.1163764765142301E-3</v>
      </c>
      <c r="AF224" s="181">
        <f t="shared" si="23"/>
        <v>3.0678088137634577E-3</v>
      </c>
    </row>
    <row r="225" spans="28:32" x14ac:dyDescent="0.2">
      <c r="AB225" s="183">
        <f>_xll.qlCalendarAdvance(Calendar,AB224,"1d","mf",,Trigger)</f>
        <v>42451</v>
      </c>
      <c r="AC225" s="169">
        <f>_xll.qlDayCounterYearFraction(DayCounter,SettlementDate,AB225,,,Trigger)</f>
        <v>0.87222222222222223</v>
      </c>
      <c r="AD225" s="181">
        <f t="shared" si="24"/>
        <v>2.9114415373554252E-3</v>
      </c>
      <c r="AE225" s="181">
        <f t="shared" si="22"/>
        <v>3.1179528991231442E-3</v>
      </c>
      <c r="AF225" s="181">
        <f t="shared" si="23"/>
        <v>3.0706261125831471E-3</v>
      </c>
    </row>
    <row r="226" spans="28:32" x14ac:dyDescent="0.2">
      <c r="AB226" s="183">
        <f>_xll.qlCalendarAdvance(Calendar,AB225,"1d","mf",,Trigger)</f>
        <v>42452</v>
      </c>
      <c r="AC226" s="169">
        <f>_xll.qlDayCounterYearFraction(DayCounter,SettlementDate,AB226,,,Trigger)</f>
        <v>0.875</v>
      </c>
      <c r="AD226" s="181">
        <f t="shared" si="24"/>
        <v>2.9114415373554252E-3</v>
      </c>
      <c r="AE226" s="181">
        <f t="shared" si="22"/>
        <v>3.1195293217320579E-3</v>
      </c>
      <c r="AF226" s="181">
        <f t="shared" si="23"/>
        <v>3.0734583003164079E-3</v>
      </c>
    </row>
    <row r="227" spans="28:32" x14ac:dyDescent="0.2">
      <c r="AB227" s="183">
        <f>_xll.qlCalendarAdvance(Calendar,AB226,"1d","mf",,Trigger)</f>
        <v>42453</v>
      </c>
      <c r="AC227" s="169">
        <f>_xll.qlDayCounterYearFraction(DayCounter,SettlementDate,AB227,,,Trigger)</f>
        <v>0.87777777777777777</v>
      </c>
      <c r="AD227" s="181">
        <f t="shared" si="24"/>
        <v>2.9114415373554252E-3</v>
      </c>
      <c r="AE227" s="181">
        <f t="shared" si="22"/>
        <v>3.1211057443409716E-3</v>
      </c>
      <c r="AF227" s="181">
        <f t="shared" si="23"/>
        <v>3.0763053769632394E-3</v>
      </c>
    </row>
    <row r="228" spans="28:32" x14ac:dyDescent="0.2">
      <c r="AB228" s="183">
        <f>_xll.qlCalendarAdvance(Calendar,AB227,"1d","mf",,Trigger)</f>
        <v>42458</v>
      </c>
      <c r="AC228" s="169">
        <f>_xll.qlDayCounterYearFraction(DayCounter,SettlementDate,AB228,,,Trigger)</f>
        <v>0.89166666666666672</v>
      </c>
      <c r="AD228" s="181">
        <f t="shared" si="24"/>
        <v>2.9114415373554252E-3</v>
      </c>
      <c r="AE228" s="181">
        <f t="shared" si="22"/>
        <v>3.1289878573855412E-3</v>
      </c>
      <c r="AF228" s="181">
        <f t="shared" si="23"/>
        <v>3.0907640939009592E-3</v>
      </c>
    </row>
    <row r="229" spans="28:32" x14ac:dyDescent="0.2">
      <c r="AB229" s="183">
        <f>_xll.qlCalendarAdvance(Calendar,AB228,"1d","mf",,Trigger)</f>
        <v>42459</v>
      </c>
      <c r="AC229" s="169">
        <f>_xll.qlDayCounterYearFraction(DayCounter,SettlementDate,AB229,,,Trigger)</f>
        <v>0.89444444444444449</v>
      </c>
      <c r="AD229" s="181">
        <f t="shared" si="24"/>
        <v>2.9114415373554252E-3</v>
      </c>
      <c r="AE229" s="181">
        <f t="shared" si="22"/>
        <v>3.1305642799944553E-3</v>
      </c>
      <c r="AF229" s="181">
        <f t="shared" si="23"/>
        <v>3.0937005040292155E-3</v>
      </c>
    </row>
    <row r="230" spans="28:32" x14ac:dyDescent="0.2">
      <c r="AB230" s="183">
        <f>_xll.qlCalendarAdvance(Calendar,AB229,"1d","mf",,Trigger)</f>
        <v>42460</v>
      </c>
      <c r="AC230" s="169">
        <f>_xll.qlDayCounterYearFraction(DayCounter,SettlementDate,AB230,,,Trigger)</f>
        <v>0.89722222222222225</v>
      </c>
      <c r="AD230" s="181">
        <f t="shared" si="24"/>
        <v>2.9114415373554252E-3</v>
      </c>
      <c r="AE230" s="181">
        <f t="shared" si="22"/>
        <v>3.132140702603369E-3</v>
      </c>
      <c r="AF230" s="181">
        <f t="shared" si="23"/>
        <v>3.0966518030710434E-3</v>
      </c>
    </row>
    <row r="231" spans="28:32" x14ac:dyDescent="0.2">
      <c r="AB231" s="183">
        <f>_xll.qlCalendarAdvance(Calendar,AB230,"1d","mf",,Trigger)</f>
        <v>42461</v>
      </c>
      <c r="AC231" s="169">
        <f>_xll.qlDayCounterYearFraction(DayCounter,SettlementDate,AB231,,,Trigger)</f>
        <v>0.9</v>
      </c>
      <c r="AD231" s="181">
        <f t="shared" si="24"/>
        <v>2.9114415373554252E-3</v>
      </c>
      <c r="AE231" s="181">
        <f t="shared" si="22"/>
        <v>3.1337171252122831E-3</v>
      </c>
      <c r="AF231" s="181">
        <f t="shared" si="23"/>
        <v>3.0996179910264413E-3</v>
      </c>
    </row>
    <row r="232" spans="28:32" x14ac:dyDescent="0.2">
      <c r="AB232" s="183">
        <f>_xll.qlCalendarAdvance(Calendar,AB231,"1d","mf",,Trigger)</f>
        <v>42464</v>
      </c>
      <c r="AC232" s="169">
        <f>_xll.qlDayCounterYearFraction(DayCounter,SettlementDate,AB232,,,Trigger)</f>
        <v>0.90833333333333333</v>
      </c>
      <c r="AD232" s="181">
        <f t="shared" si="24"/>
        <v>2.9114415373554252E-3</v>
      </c>
      <c r="AE232" s="181">
        <f t="shared" si="22"/>
        <v>3.1384463930390245E-3</v>
      </c>
      <c r="AF232" s="181">
        <f t="shared" si="23"/>
        <v>3.1086058883740613E-3</v>
      </c>
    </row>
    <row r="233" spans="28:32" x14ac:dyDescent="0.2">
      <c r="AB233" s="183">
        <f>_xll.qlCalendarAdvance(Calendar,AB232,"1d","mf",,Trigger)</f>
        <v>42465</v>
      </c>
      <c r="AC233" s="169">
        <f>_xll.qlDayCounterYearFraction(DayCounter,SettlementDate,AB233,,,Trigger)</f>
        <v>0.91111111111111109</v>
      </c>
      <c r="AD233" s="181">
        <f t="shared" si="24"/>
        <v>2.9114415373554252E-3</v>
      </c>
      <c r="AE233" s="181">
        <f t="shared" si="22"/>
        <v>3.1400228156479386E-3</v>
      </c>
      <c r="AF233" s="181">
        <f t="shared" si="23"/>
        <v>3.1116316319837432E-3</v>
      </c>
    </row>
    <row r="234" spans="28:32" x14ac:dyDescent="0.2">
      <c r="AB234" s="183">
        <f>_xll.qlCalendarAdvance(Calendar,AB233,"1d","mf",,Trigger)</f>
        <v>42466</v>
      </c>
      <c r="AC234" s="169">
        <f>_xll.qlDayCounterYearFraction(DayCounter,SettlementDate,AB234,,,Trigger)</f>
        <v>0.91388888888888886</v>
      </c>
      <c r="AD234" s="181">
        <f t="shared" si="24"/>
        <v>2.9114415373554252E-3</v>
      </c>
      <c r="AE234" s="181">
        <f t="shared" si="22"/>
        <v>3.1415992382568527E-3</v>
      </c>
      <c r="AF234" s="181">
        <f t="shared" si="23"/>
        <v>3.1146722645069955E-3</v>
      </c>
    </row>
    <row r="235" spans="28:32" x14ac:dyDescent="0.2">
      <c r="AB235" s="183">
        <f>_xll.qlCalendarAdvance(Calendar,AB234,"1d","mf",,Trigger)</f>
        <v>42467</v>
      </c>
      <c r="AC235" s="169">
        <f>_xll.qlDayCounterYearFraction(DayCounter,SettlementDate,AB235,,,Trigger)</f>
        <v>0.91666666666666663</v>
      </c>
      <c r="AD235" s="181">
        <f t="shared" si="24"/>
        <v>2.9114415373554252E-3</v>
      </c>
      <c r="AE235" s="181">
        <f t="shared" si="22"/>
        <v>3.1431756608657664E-3</v>
      </c>
      <c r="AF235" s="181">
        <f t="shared" si="23"/>
        <v>3.117727785943819E-3</v>
      </c>
    </row>
    <row r="236" spans="28:32" x14ac:dyDescent="0.2">
      <c r="AB236" s="183">
        <f>_xll.qlCalendarAdvance(Calendar,AB235,"1d","mf",,Trigger)</f>
        <v>42468</v>
      </c>
      <c r="AC236" s="169">
        <f>_xll.qlDayCounterYearFraction(DayCounter,SettlementDate,AB236,,,Trigger)</f>
        <v>0.9194444444444444</v>
      </c>
      <c r="AD236" s="181">
        <f t="shared" si="24"/>
        <v>2.9114415373554252E-3</v>
      </c>
      <c r="AE236" s="181">
        <f t="shared" si="22"/>
        <v>3.1447520834746801E-3</v>
      </c>
      <c r="AF236" s="181">
        <f t="shared" si="23"/>
        <v>3.1207981962942132E-3</v>
      </c>
    </row>
    <row r="237" spans="28:32" x14ac:dyDescent="0.2">
      <c r="AB237" s="183">
        <f>_xll.qlCalendarAdvance(Calendar,AB236,"1d","mf",,Trigger)</f>
        <v>42471</v>
      </c>
      <c r="AC237" s="169">
        <f>_xll.qlDayCounterYearFraction(DayCounter,SettlementDate,AB237,,,Trigger)</f>
        <v>0.92777777777777781</v>
      </c>
      <c r="AD237" s="181">
        <f t="shared" si="24"/>
        <v>2.9114415373554252E-3</v>
      </c>
      <c r="AE237" s="181">
        <f t="shared" si="22"/>
        <v>3.149481351301422E-3</v>
      </c>
      <c r="AF237" s="181">
        <f t="shared" si="23"/>
        <v>3.1300987608268212E-3</v>
      </c>
    </row>
    <row r="238" spans="28:32" x14ac:dyDescent="0.2">
      <c r="AB238" s="183">
        <f>_xll.qlCalendarAdvance(Calendar,AB237,"1d","mf",,Trigger)</f>
        <v>42472</v>
      </c>
      <c r="AC238" s="169">
        <f>_xll.qlDayCounterYearFraction(DayCounter,SettlementDate,AB238,,,Trigger)</f>
        <v>0.93055555555555558</v>
      </c>
      <c r="AD238" s="181">
        <f t="shared" si="24"/>
        <v>2.9114415373554252E-3</v>
      </c>
      <c r="AE238" s="181">
        <f t="shared" si="22"/>
        <v>3.1510577739103361E-3</v>
      </c>
      <c r="AF238" s="181">
        <f t="shared" si="23"/>
        <v>3.1332287268314991E-3</v>
      </c>
    </row>
    <row r="239" spans="28:32" x14ac:dyDescent="0.2">
      <c r="AB239" s="183">
        <f>_xll.qlCalendarAdvance(Calendar,AB238,"1d","mf",,Trigger)</f>
        <v>42473</v>
      </c>
      <c r="AC239" s="169">
        <f>_xll.qlDayCounterYearFraction(DayCounter,SettlementDate,AB239,,,Trigger)</f>
        <v>0.93333333333333335</v>
      </c>
      <c r="AD239" s="181">
        <f t="shared" si="24"/>
        <v>2.9114415373554252E-3</v>
      </c>
      <c r="AE239" s="181">
        <f t="shared" si="22"/>
        <v>3.1526341965192497E-3</v>
      </c>
      <c r="AF239" s="181">
        <f t="shared" si="23"/>
        <v>3.1363735817497478E-3</v>
      </c>
    </row>
    <row r="240" spans="28:32" x14ac:dyDescent="0.2">
      <c r="AB240" s="183">
        <f>_xll.qlCalendarAdvance(Calendar,AB239,"1d","mf",,Trigger)</f>
        <v>42474</v>
      </c>
      <c r="AC240" s="169">
        <f>_xll.qlDayCounterYearFraction(DayCounter,SettlementDate,AB240,,,Trigger)</f>
        <v>0.93611111111111112</v>
      </c>
      <c r="AD240" s="181">
        <f t="shared" si="24"/>
        <v>2.9114415373554252E-3</v>
      </c>
      <c r="AE240" s="181">
        <f t="shared" si="22"/>
        <v>3.1542106191281638E-3</v>
      </c>
      <c r="AF240" s="181">
        <f t="shared" si="23"/>
        <v>3.1395333255815668E-3</v>
      </c>
    </row>
    <row r="241" spans="28:32" x14ac:dyDescent="0.2">
      <c r="AB241" s="183">
        <f>_xll.qlCalendarAdvance(Calendar,AB240,"1d","mf",,Trigger)</f>
        <v>42475</v>
      </c>
      <c r="AC241" s="169">
        <f>_xll.qlDayCounterYearFraction(DayCounter,SettlementDate,AB241,,,Trigger)</f>
        <v>0.93888888888888888</v>
      </c>
      <c r="AD241" s="181">
        <f t="shared" si="24"/>
        <v>2.9114415373554252E-3</v>
      </c>
      <c r="AE241" s="181">
        <f t="shared" si="22"/>
        <v>3.1557870417370775E-3</v>
      </c>
      <c r="AF241" s="181">
        <f t="shared" si="23"/>
        <v>3.1427079583269575E-3</v>
      </c>
    </row>
    <row r="242" spans="28:32" x14ac:dyDescent="0.2">
      <c r="AB242" s="183">
        <f>_xll.qlCalendarAdvance(Calendar,AB241,"1d","mf",,Trigger)</f>
        <v>42478</v>
      </c>
      <c r="AC242" s="169">
        <f>_xll.qlDayCounterYearFraction(DayCounter,SettlementDate,AB242,,,Trigger)</f>
        <v>0.94722222222222219</v>
      </c>
      <c r="AD242" s="181">
        <f t="shared" si="24"/>
        <v>2.9114415373554252E-3</v>
      </c>
      <c r="AE242" s="181">
        <f t="shared" si="22"/>
        <v>3.1605163095638194E-3</v>
      </c>
      <c r="AF242" s="181">
        <f t="shared" si="23"/>
        <v>3.1523211900445535E-3</v>
      </c>
    </row>
    <row r="243" spans="28:32" x14ac:dyDescent="0.2">
      <c r="AB243" s="183">
        <f>_xll.qlCalendarAdvance(Calendar,AB242,"1d","mf",,Trigger)</f>
        <v>42479</v>
      </c>
      <c r="AC243" s="169">
        <f>_xll.qlDayCounterYearFraction(DayCounter,SettlementDate,AB243,,,Trigger)</f>
        <v>0.95</v>
      </c>
      <c r="AD243" s="181">
        <f t="shared" si="24"/>
        <v>2.9114415373554252E-3</v>
      </c>
      <c r="AE243" s="181">
        <f t="shared" si="22"/>
        <v>3.1620927321727331E-3</v>
      </c>
      <c r="AF243" s="181">
        <f t="shared" si="23"/>
        <v>3.1555553784442273E-3</v>
      </c>
    </row>
    <row r="244" spans="28:32" x14ac:dyDescent="0.2">
      <c r="AB244" s="183">
        <f>_xll.qlCalendarAdvance(Calendar,AB243,"1d","mf",,Trigger)</f>
        <v>42480</v>
      </c>
      <c r="AC244" s="169">
        <f>_xll.qlDayCounterYearFraction(DayCounter,SettlementDate,AB244,,,Trigger)</f>
        <v>0.95277777777777772</v>
      </c>
      <c r="AD244" s="181">
        <f t="shared" si="24"/>
        <v>2.9114415373554252E-3</v>
      </c>
      <c r="AE244" s="181">
        <f t="shared" si="22"/>
        <v>3.1636691547816472E-3</v>
      </c>
      <c r="AF244" s="181">
        <f t="shared" si="23"/>
        <v>3.158804455757472E-3</v>
      </c>
    </row>
    <row r="245" spans="28:32" x14ac:dyDescent="0.2">
      <c r="AB245" s="183">
        <f>_xll.qlCalendarAdvance(Calendar,AB244,"1d","mf",,Trigger)</f>
        <v>42481</v>
      </c>
      <c r="AC245" s="169">
        <f>_xll.qlDayCounterYearFraction(DayCounter,SettlementDate,AB245,,,Trigger)</f>
        <v>0.9555555555555556</v>
      </c>
      <c r="AD245" s="181">
        <f t="shared" si="24"/>
        <v>2.9114415373554252E-3</v>
      </c>
      <c r="AE245" s="181">
        <f t="shared" si="22"/>
        <v>3.1652455773905613E-3</v>
      </c>
      <c r="AF245" s="181">
        <f t="shared" si="23"/>
        <v>3.1620684219842874E-3</v>
      </c>
    </row>
    <row r="246" spans="28:32" x14ac:dyDescent="0.2">
      <c r="AB246" s="183">
        <f>_xll.qlCalendarAdvance(Calendar,AB245,"1d","mf",,Trigger)</f>
        <v>42482</v>
      </c>
      <c r="AC246" s="169">
        <f>_xll.qlDayCounterYearFraction(DayCounter,SettlementDate,AB246,,,Trigger)</f>
        <v>0.95833333333333337</v>
      </c>
      <c r="AD246" s="181">
        <f t="shared" si="24"/>
        <v>2.9114415373554252E-3</v>
      </c>
      <c r="AE246" s="181">
        <f t="shared" si="22"/>
        <v>3.1668219999994749E-3</v>
      </c>
      <c r="AF246" s="181">
        <f t="shared" si="23"/>
        <v>3.1653472771246737E-3</v>
      </c>
    </row>
    <row r="247" spans="28:32" x14ac:dyDescent="0.2">
      <c r="AB247" s="183">
        <f>_xll.qlCalendarAdvance(Calendar,AB246,"1d","mf",,Trigger)</f>
        <v>42485</v>
      </c>
      <c r="AC247" s="169">
        <f>_xll.qlDayCounterYearFraction(DayCounter,SettlementDate,AB247,,,Trigger)</f>
        <v>0.96666666666666667</v>
      </c>
      <c r="AD247" s="181">
        <f t="shared" si="24"/>
        <v>2.9114415373554252E-3</v>
      </c>
      <c r="AE247" s="181">
        <f t="shared" si="22"/>
        <v>3.1715512678262168E-3</v>
      </c>
      <c r="AF247" s="181">
        <f t="shared" si="23"/>
        <v>3.175273176027258E-3</v>
      </c>
    </row>
    <row r="248" spans="28:32" x14ac:dyDescent="0.2">
      <c r="AB248" s="183">
        <f>_xll.qlCalendarAdvance(Calendar,AB247,"1d","mf",,Trigger)</f>
        <v>42486</v>
      </c>
      <c r="AC248" s="169">
        <f>_xll.qlDayCounterYearFraction(DayCounter,SettlementDate,AB248,,,Trigger)</f>
        <v>0.96944444444444444</v>
      </c>
      <c r="AD248" s="181">
        <f t="shared" si="24"/>
        <v>2.9114415373554252E-3</v>
      </c>
      <c r="AE248" s="181">
        <f t="shared" si="22"/>
        <v>3.1731276904351305E-3</v>
      </c>
      <c r="AF248" s="181">
        <f t="shared" si="23"/>
        <v>3.1786115868219279E-3</v>
      </c>
    </row>
    <row r="249" spans="28:32" x14ac:dyDescent="0.2">
      <c r="AB249" s="183">
        <f>_xll.qlCalendarAdvance(Calendar,AB248,"1d","mf",,Trigger)</f>
        <v>42487</v>
      </c>
      <c r="AC249" s="169">
        <f>_xll.qlDayCounterYearFraction(DayCounter,SettlementDate,AB249,,,Trigger)</f>
        <v>0.97222222222222221</v>
      </c>
      <c r="AD249" s="181">
        <f t="shared" si="24"/>
        <v>2.9114415373554252E-3</v>
      </c>
      <c r="AE249" s="181">
        <f t="shared" si="22"/>
        <v>3.1747041130440446E-3</v>
      </c>
      <c r="AF249" s="181">
        <f t="shared" si="23"/>
        <v>3.1819648865301685E-3</v>
      </c>
    </row>
    <row r="250" spans="28:32" x14ac:dyDescent="0.2">
      <c r="AB250" s="183">
        <f>_xll.qlCalendarAdvance(Calendar,AB249,"1d","mf",,Trigger)</f>
        <v>42488</v>
      </c>
      <c r="AC250" s="169">
        <f>_xll.qlDayCounterYearFraction(DayCounter,SettlementDate,AB250,,,Trigger)</f>
        <v>0.97499999999999998</v>
      </c>
      <c r="AD250" s="181">
        <f t="shared" si="24"/>
        <v>2.9114415373554252E-3</v>
      </c>
      <c r="AE250" s="181">
        <f t="shared" si="22"/>
        <v>3.1762805356529583E-3</v>
      </c>
      <c r="AF250" s="181">
        <f t="shared" si="23"/>
        <v>3.1853330751519795E-3</v>
      </c>
    </row>
    <row r="251" spans="28:32" x14ac:dyDescent="0.2">
      <c r="AB251" s="183">
        <f>_xll.qlCalendarAdvance(Calendar,AB250,"1d","mf",,Trigger)</f>
        <v>42489</v>
      </c>
      <c r="AC251" s="169">
        <f>_xll.qlDayCounterYearFraction(DayCounter,SettlementDate,AB251,,,Trigger)</f>
        <v>0.97777777777777775</v>
      </c>
      <c r="AD251" s="181">
        <f t="shared" si="24"/>
        <v>2.9114415373554252E-3</v>
      </c>
      <c r="AE251" s="181">
        <f t="shared" si="22"/>
        <v>3.1778569582618724E-3</v>
      </c>
      <c r="AF251" s="181">
        <f t="shared" si="23"/>
        <v>3.1887161526873622E-3</v>
      </c>
    </row>
    <row r="252" spans="28:32" x14ac:dyDescent="0.2">
      <c r="AB252" s="183">
        <f>_xll.qlCalendarAdvance(Calendar,AB251,"1d","mf",,Trigger)</f>
        <v>42492</v>
      </c>
      <c r="AC252" s="169">
        <f>_xll.qlDayCounterYearFraction(DayCounter,SettlementDate,AB252,,,Trigger)</f>
        <v>0.98611111111111116</v>
      </c>
      <c r="AD252" s="181">
        <f t="shared" si="24"/>
        <v>2.9114415373554252E-3</v>
      </c>
      <c r="AE252" s="181">
        <f t="shared" ref="AE252:AE257" si="25">$S$10+$S$9*AC252</f>
        <v>3.1825862260886142E-3</v>
      </c>
      <c r="AF252" s="181">
        <f t="shared" ref="AF252:AF257" si="26">($S$5+$S$4*AC252+$S$3*AC252^2)</f>
        <v>3.1989547187749345E-3</v>
      </c>
    </row>
    <row r="253" spans="28:32" x14ac:dyDescent="0.2">
      <c r="AB253" s="183">
        <f>_xll.qlCalendarAdvance(Calendar,AB252,"1d","mf",,Trigger)</f>
        <v>42493</v>
      </c>
      <c r="AC253" s="169">
        <f>_xll.qlDayCounterYearFraction(DayCounter,SettlementDate,AB253,,,Trigger)</f>
        <v>0.98888888888888893</v>
      </c>
      <c r="AD253" s="181">
        <f t="shared" si="24"/>
        <v>2.9114415373554252E-3</v>
      </c>
      <c r="AE253" s="181">
        <f t="shared" si="25"/>
        <v>3.1841626486975279E-3</v>
      </c>
      <c r="AF253" s="181">
        <f t="shared" si="26"/>
        <v>3.2023973519645999E-3</v>
      </c>
    </row>
    <row r="254" spans="28:32" x14ac:dyDescent="0.2">
      <c r="AB254" s="183">
        <f>_xll.qlCalendarAdvance(Calendar,AB253,"1d","mf",,Trigger)</f>
        <v>42494</v>
      </c>
      <c r="AC254" s="169">
        <f>_xll.qlDayCounterYearFraction(DayCounter,SettlementDate,AB254,,,Trigger)</f>
        <v>0.9916666666666667</v>
      </c>
      <c r="AD254" s="181">
        <f t="shared" si="24"/>
        <v>2.9114415373554252E-3</v>
      </c>
      <c r="AE254" s="181">
        <f t="shared" si="25"/>
        <v>3.1857390713064416E-3</v>
      </c>
      <c r="AF254" s="181">
        <f t="shared" si="26"/>
        <v>3.2058548740678374E-3</v>
      </c>
    </row>
    <row r="255" spans="28:32" x14ac:dyDescent="0.2">
      <c r="AB255" s="183">
        <f>_xll.qlCalendarAdvance(Calendar,AB254,"1d","mf",,Trigger)</f>
        <v>42495</v>
      </c>
      <c r="AC255" s="169">
        <f>_xll.qlDayCounterYearFraction(DayCounter,SettlementDate,AB255,,,Trigger)</f>
        <v>0.99444444444444446</v>
      </c>
      <c r="AD255" s="181">
        <f t="shared" si="24"/>
        <v>2.9114415373554252E-3</v>
      </c>
      <c r="AE255" s="181">
        <f t="shared" si="25"/>
        <v>3.1873154939153557E-3</v>
      </c>
      <c r="AF255" s="181">
        <f t="shared" si="26"/>
        <v>3.2093272850846444E-3</v>
      </c>
    </row>
    <row r="256" spans="28:32" x14ac:dyDescent="0.2">
      <c r="AB256" s="183">
        <f>_xll.qlCalendarAdvance(Calendar,AB255,"1d","mf",,Trigger)</f>
        <v>42496</v>
      </c>
      <c r="AC256" s="169">
        <f>_xll.qlDayCounterYearFraction(DayCounter,SettlementDate,AB256,,,Trigger)</f>
        <v>0.99722222222222223</v>
      </c>
      <c r="AD256" s="181">
        <f t="shared" si="24"/>
        <v>2.9114415373554252E-3</v>
      </c>
      <c r="AE256" s="181">
        <f t="shared" si="25"/>
        <v>3.1888919165242698E-3</v>
      </c>
      <c r="AF256" s="181">
        <f t="shared" si="26"/>
        <v>3.212814585015023E-3</v>
      </c>
    </row>
    <row r="257" spans="28:32" x14ac:dyDescent="0.2">
      <c r="AB257" s="187">
        <f>_xll.qlCalendarAdvance(Calendar,AB256,"1d","mf",,Trigger)</f>
        <v>42499</v>
      </c>
      <c r="AC257" s="174">
        <f>_xll.qlDayCounterYearFraction(DayCounter,SettlementDate,AB257,,,Trigger)</f>
        <v>1.0055555555555555</v>
      </c>
      <c r="AD257" s="190">
        <f t="shared" si="24"/>
        <v>2.9114415373554252E-3</v>
      </c>
      <c r="AE257" s="190">
        <f t="shared" si="25"/>
        <v>3.1936211843510112E-3</v>
      </c>
      <c r="AF257" s="190">
        <f t="shared" si="26"/>
        <v>3.2233658182875833E-3</v>
      </c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workbookViewId="0"/>
  </sheetViews>
  <sheetFormatPr defaultRowHeight="11.25" outlineLevelCol="1" x14ac:dyDescent="0.2"/>
  <cols>
    <col min="1" max="1" width="3.5" style="221" bestFit="1" customWidth="1"/>
    <col min="2" max="2" width="20.1640625" style="221" customWidth="1"/>
    <col min="3" max="3" width="17.6640625" style="221" hidden="1" customWidth="1" outlineLevel="1"/>
    <col min="4" max="4" width="20.1640625" style="221" customWidth="1" collapsed="1"/>
    <col min="5" max="5" width="20.1640625" style="221" customWidth="1"/>
    <col min="6" max="8" width="10.5" style="221" bestFit="1" customWidth="1"/>
    <col min="9" max="9" width="17.6640625" style="221" bestFit="1" customWidth="1"/>
    <col min="10" max="10" width="9.33203125" style="221"/>
    <col min="11" max="15" width="9.33203125" style="222"/>
    <col min="16" max="16" width="2.83203125" style="221" customWidth="1"/>
    <col min="17" max="17" width="27.5" style="221" bestFit="1" customWidth="1"/>
    <col min="18" max="18" width="20.1640625" style="221" hidden="1" customWidth="1"/>
    <col min="19" max="19" width="20.1640625" style="221" bestFit="1" customWidth="1"/>
    <col min="20" max="20" width="20.1640625" style="221" customWidth="1"/>
    <col min="21" max="21" width="20.1640625" style="221" hidden="1" customWidth="1"/>
    <col min="22" max="22" width="10" style="221" bestFit="1" customWidth="1"/>
    <col min="23" max="23" width="9.33203125" style="221" customWidth="1"/>
    <col min="24" max="24" width="10" style="221" bestFit="1" customWidth="1"/>
    <col min="25" max="25" width="9.33203125" style="221"/>
    <col min="26" max="26" width="2.83203125" style="221" customWidth="1"/>
    <col min="27" max="16384" width="9.33203125" style="221"/>
  </cols>
  <sheetData>
    <row r="1" spans="1:29" ht="22.5" x14ac:dyDescent="0.2">
      <c r="A1" s="220"/>
      <c r="B1" s="220" t="s">
        <v>90</v>
      </c>
      <c r="C1" s="220"/>
      <c r="D1" s="220" t="s">
        <v>91</v>
      </c>
      <c r="E1" s="220" t="s">
        <v>92</v>
      </c>
      <c r="F1" s="220" t="s">
        <v>34</v>
      </c>
      <c r="G1" s="220" t="s">
        <v>93</v>
      </c>
      <c r="H1" s="220" t="s">
        <v>94</v>
      </c>
    </row>
    <row r="2" spans="1:29" x14ac:dyDescent="0.2">
      <c r="A2" s="225">
        <v>0</v>
      </c>
      <c r="B2" s="226">
        <f>_xll.qlInterestRateIndexFixingDate(IborIndex1Y,D2)</f>
        <v>42135</v>
      </c>
      <c r="C2" s="225" t="str">
        <f>_xll.qlMakeDatedOIS(,D2,E2,OvernightIndex,0,DayCounter,0)</f>
        <v>obj_005e9#0000</v>
      </c>
      <c r="D2" s="226">
        <f>_xll.qlCalendarAdvance(Calendar,SettlementDate,A2&amp;"M","mf")</f>
        <v>42137</v>
      </c>
      <c r="E2" s="226">
        <f>_xll.qlInterestRateIndexMaturity(IborIndex1Y,D2)</f>
        <v>42503</v>
      </c>
      <c r="F2" s="227">
        <f>_xll.qlOvernightIndexedSwapFairRate(C2,_xll.ohTrigger(InterestRatesTrigger))</f>
        <v>-1.2321022920778412E-3</v>
      </c>
      <c r="G2" s="228">
        <f>_xll.qlInterpolationInterpolate(BasisInterpolator,D2,TRUE,F2)</f>
        <v>2.9121022920778833E-3</v>
      </c>
      <c r="H2" s="227">
        <f t="shared" ref="H2:H33" si="0">F2+G2</f>
        <v>1.6800000000000421E-3</v>
      </c>
      <c r="AA2" s="223"/>
      <c r="AB2" s="223"/>
      <c r="AC2" s="224"/>
    </row>
    <row r="3" spans="1:29" x14ac:dyDescent="0.2">
      <c r="A3" s="229">
        <v>1</v>
      </c>
      <c r="B3" s="230">
        <f>_xll.qlInterestRateIndexFixingDate(IborIndex1Y,D3)</f>
        <v>42166</v>
      </c>
      <c r="C3" s="229" t="str">
        <f>_xll.qlMakeDatedOIS(,D3,E3,OvernightIndex,0,DayCounter,0)</f>
        <v>obj_005d7#0000</v>
      </c>
      <c r="D3" s="230">
        <f>_xll.qlCalendarAdvance(Calendar,SettlementDate,A3&amp;"M","mf")</f>
        <v>42170</v>
      </c>
      <c r="E3" s="230">
        <f>_xll.qlInterestRateIndexMaturity(IborIndex1Y,D3)</f>
        <v>42536</v>
      </c>
      <c r="F3" s="231">
        <f>_xll.qlOvernightIndexedSwapFairRate(C3,_xll.ohTrigger(InterestRatesTrigger))</f>
        <v>-1.2630443816352883E-3</v>
      </c>
      <c r="G3" s="232">
        <f>_xll.qlInterpolationInterpolate(BasisInterpolator,D3,TRUE,F3)</f>
        <v>2.9213568414409048E-3</v>
      </c>
      <c r="H3" s="231">
        <f t="shared" si="0"/>
        <v>1.6583124598056164E-3</v>
      </c>
      <c r="AA3" s="223"/>
      <c r="AB3" s="223"/>
      <c r="AC3" s="224"/>
    </row>
    <row r="4" spans="1:29" x14ac:dyDescent="0.2">
      <c r="A4" s="229">
        <v>2</v>
      </c>
      <c r="B4" s="230">
        <f>_xll.qlInterestRateIndexFixingDate(IborIndex1Y,D4)</f>
        <v>42194</v>
      </c>
      <c r="C4" s="229" t="str">
        <f>_xll.qlMakeDatedOIS(,D4,E4,OvernightIndex,0,DayCounter,0)</f>
        <v>obj_005e6#0000</v>
      </c>
      <c r="D4" s="230">
        <f>_xll.qlCalendarAdvance(Calendar,SettlementDate,A4&amp;"M","mf")</f>
        <v>42198</v>
      </c>
      <c r="E4" s="230">
        <f>_xll.qlInterestRateIndexMaturity(IborIndex1Y,D4)</f>
        <v>42564</v>
      </c>
      <c r="F4" s="231">
        <f>_xll.qlOvernightIndexedSwapFairRate(C4,_xll.ohTrigger(InterestRatesTrigger))</f>
        <v>-1.2705796743466208E-3</v>
      </c>
      <c r="G4" s="232">
        <f>_xll.qlInterpolationInterpolate(BasisInterpolator,D4,TRUE,F4)</f>
        <v>2.9293871519945718E-3</v>
      </c>
      <c r="H4" s="231">
        <f t="shared" si="0"/>
        <v>1.6588074776479509E-3</v>
      </c>
      <c r="AA4" s="223"/>
      <c r="AB4" s="223"/>
      <c r="AC4" s="224"/>
    </row>
    <row r="5" spans="1:29" x14ac:dyDescent="0.2">
      <c r="A5" s="229">
        <v>3</v>
      </c>
      <c r="B5" s="230">
        <f>_xll.qlInterestRateIndexFixingDate(IborIndex1Y,D5)</f>
        <v>42227</v>
      </c>
      <c r="C5" s="229" t="str">
        <f>_xll.qlMakeDatedOIS(,D5,E5,OvernightIndex,0,DayCounter,0)</f>
        <v>obj_005e7#0000</v>
      </c>
      <c r="D5" s="230">
        <f>_xll.qlCalendarAdvance(Calendar,SettlementDate,A5&amp;"M","mf")</f>
        <v>42229</v>
      </c>
      <c r="E5" s="230">
        <f>_xll.qlInterestRateIndexMaturity(IborIndex1Y,D5)</f>
        <v>42597</v>
      </c>
      <c r="F5" s="231">
        <f>_xll.qlOvernightIndexedSwapFairRate(C5,_xll.ohTrigger(InterestRatesTrigger))</f>
        <v>-1.2649022352975226E-3</v>
      </c>
      <c r="G5" s="232">
        <f>_xll.qlInterpolationInterpolate(BasisInterpolator,D5,TRUE,F5)</f>
        <v>2.9386549447654535E-3</v>
      </c>
      <c r="H5" s="231">
        <f t="shared" si="0"/>
        <v>1.6737527094679309E-3</v>
      </c>
      <c r="AA5" s="223"/>
      <c r="AB5" s="223"/>
      <c r="AC5" s="224"/>
    </row>
    <row r="6" spans="1:29" x14ac:dyDescent="0.2">
      <c r="A6" s="229">
        <v>4</v>
      </c>
      <c r="B6" s="230">
        <f>_xll.qlInterestRateIndexFixingDate(IborIndex1Y,D6)</f>
        <v>42257</v>
      </c>
      <c r="C6" s="229" t="str">
        <f>_xll.qlMakeDatedOIS(,D6,E6,OvernightIndex,0,DayCounter,0)</f>
        <v>obj_005f1#0000</v>
      </c>
      <c r="D6" s="230">
        <f>_xll.qlCalendarAdvance(Calendar,SettlementDate,A6&amp;"M","mf")</f>
        <v>42261</v>
      </c>
      <c r="E6" s="230">
        <f>_xll.qlInterestRateIndexMaturity(IborIndex1Y,D6)</f>
        <v>42627</v>
      </c>
      <c r="F6" s="231">
        <f>_xll.qlOvernightIndexedSwapFairRate(C6,_xll.ohTrigger(InterestRatesTrigger))</f>
        <v>-1.2516013716344211E-3</v>
      </c>
      <c r="G6" s="232">
        <f>_xll.qlInterpolationInterpolate(BasisInterpolator,D6,TRUE,F6)</f>
        <v>2.9488406987183214E-3</v>
      </c>
      <c r="H6" s="231">
        <f t="shared" si="0"/>
        <v>1.6972393270839002E-3</v>
      </c>
      <c r="AA6" s="223"/>
      <c r="AB6" s="223"/>
      <c r="AC6" s="224"/>
    </row>
    <row r="7" spans="1:29" x14ac:dyDescent="0.2">
      <c r="A7" s="229">
        <v>5</v>
      </c>
      <c r="B7" s="230">
        <f>_xll.qlInterestRateIndexFixingDate(IborIndex1Y,D7)</f>
        <v>42286</v>
      </c>
      <c r="C7" s="229" t="str">
        <f>_xll.qlMakeDatedOIS(,D7,E7,OvernightIndex,0,DayCounter,0)</f>
        <v>obj_005dc#0000</v>
      </c>
      <c r="D7" s="230">
        <f>_xll.qlCalendarAdvance(Calendar,SettlementDate,A7&amp;"M","mf")</f>
        <v>42290</v>
      </c>
      <c r="E7" s="230">
        <f>_xll.qlInterestRateIndexMaturity(IborIndex1Y,D7)</f>
        <v>42656</v>
      </c>
      <c r="F7" s="231">
        <f>_xll.qlOvernightIndexedSwapFairRate(C7,_xll.ohTrigger(InterestRatesTrigger))</f>
        <v>-1.2367248124604848E-3</v>
      </c>
      <c r="G7" s="232">
        <f>_xll.qlInterpolationInterpolate(BasisInterpolator,D7,TRUE,F7)</f>
        <v>2.9587950983859935E-3</v>
      </c>
      <c r="H7" s="231">
        <f t="shared" si="0"/>
        <v>1.7220702859255088E-3</v>
      </c>
      <c r="AA7" s="223"/>
      <c r="AB7" s="223"/>
      <c r="AC7" s="224"/>
    </row>
    <row r="8" spans="1:29" x14ac:dyDescent="0.2">
      <c r="A8" s="229">
        <v>6</v>
      </c>
      <c r="B8" s="230">
        <f>_xll.qlInterestRateIndexFixingDate(IborIndex1Y,D8)</f>
        <v>42319</v>
      </c>
      <c r="C8" s="229" t="str">
        <f>_xll.qlMakeDatedOIS(,D8,E8,OvernightIndex,0,DayCounter,0)</f>
        <v>obj_005fe#0000</v>
      </c>
      <c r="D8" s="230">
        <f>_xll.qlCalendarAdvance(Calendar,SettlementDate,A8&amp;"M","mf")</f>
        <v>42321</v>
      </c>
      <c r="E8" s="230">
        <f>_xll.qlInterestRateIndexMaturity(IborIndex1Y,D8)</f>
        <v>42688</v>
      </c>
      <c r="F8" s="231">
        <f>_xll.qlOvernightIndexedSwapFairRate(C8,_xll.ohTrigger(InterestRatesTrigger))</f>
        <v>-1.2153001633370476E-3</v>
      </c>
      <c r="G8" s="232">
        <f>_xll.qlInterpolationInterpolate(BasisInterpolator,D8,TRUE,F8)</f>
        <v>2.9703864693933217E-3</v>
      </c>
      <c r="H8" s="231">
        <f t="shared" si="0"/>
        <v>1.7550863060562742E-3</v>
      </c>
      <c r="AA8" s="223"/>
      <c r="AB8" s="223"/>
      <c r="AC8" s="224"/>
    </row>
    <row r="9" spans="1:29" x14ac:dyDescent="0.2">
      <c r="A9" s="229">
        <v>7</v>
      </c>
      <c r="B9" s="230">
        <f>_xll.qlInterestRateIndexFixingDate(IborIndex1Y,D9)</f>
        <v>42348</v>
      </c>
      <c r="C9" s="229" t="str">
        <f>_xll.qlMakeDatedOIS(,D9,E9,OvernightIndex,0,DayCounter,0)</f>
        <v>obj_005e1#0000</v>
      </c>
      <c r="D9" s="230">
        <f>_xll.qlCalendarAdvance(Calendar,SettlementDate,A9&amp;"M","mf")</f>
        <v>42352</v>
      </c>
      <c r="E9" s="230">
        <f>_xll.qlInterestRateIndexMaturity(IborIndex1Y,D9)</f>
        <v>42718</v>
      </c>
      <c r="F9" s="231">
        <f>_xll.qlOvernightIndexedSwapFairRate(C9,_xll.ohTrigger(InterestRatesTrigger))</f>
        <v>-1.1900028226451986E-3</v>
      </c>
      <c r="G9" s="232">
        <f>_xll.qlInterpolationInterpolate(BasisInterpolator,D9,TRUE,F9)</f>
        <v>2.9831538555080759E-3</v>
      </c>
      <c r="H9" s="231">
        <f t="shared" si="0"/>
        <v>1.7931510328628773E-3</v>
      </c>
      <c r="I9" s="224"/>
      <c r="AA9" s="223"/>
      <c r="AB9" s="223"/>
      <c r="AC9" s="224"/>
    </row>
    <row r="10" spans="1:29" x14ac:dyDescent="0.2">
      <c r="A10" s="229">
        <v>8</v>
      </c>
      <c r="B10" s="230">
        <f>_xll.qlInterestRateIndexFixingDate(IborIndex1Y,D10)</f>
        <v>42380</v>
      </c>
      <c r="C10" s="229" t="str">
        <f>_xll.qlMakeDatedOIS(,D10,E10,OvernightIndex,0,DayCounter,0)</f>
        <v>obj_005f9#0000</v>
      </c>
      <c r="D10" s="230">
        <f>_xll.qlCalendarAdvance(Calendar,SettlementDate,A10&amp;"M","mf")</f>
        <v>42382</v>
      </c>
      <c r="E10" s="230">
        <f>_xll.qlInterestRateIndexMaturity(IborIndex1Y,D10)</f>
        <v>42748</v>
      </c>
      <c r="F10" s="231">
        <f>_xll.qlOvernightIndexedSwapFairRate(C10,_xll.ohTrigger(InterestRatesTrigger))</f>
        <v>-1.1231078972902969E-3</v>
      </c>
      <c r="G10" s="232">
        <f>_xll.qlInterpolationInterpolate(BasisInterpolator,D10,TRUE,F10)</f>
        <v>2.9968157339824758E-3</v>
      </c>
      <c r="H10" s="231">
        <f t="shared" si="0"/>
        <v>1.8737078366921789E-3</v>
      </c>
      <c r="I10" s="224"/>
      <c r="AA10" s="223"/>
      <c r="AB10" s="223"/>
      <c r="AC10" s="224"/>
    </row>
    <row r="11" spans="1:29" x14ac:dyDescent="0.2">
      <c r="A11" s="229">
        <v>9</v>
      </c>
      <c r="B11" s="230">
        <f>_xll.qlInterestRateIndexFixingDate(IborIndex1Y,D11)</f>
        <v>42411</v>
      </c>
      <c r="C11" s="229" t="str">
        <f>_xll.qlMakeDatedOIS(,D11,E11,OvernightIndex,0,DayCounter,0)</f>
        <v>obj_005d8#0000</v>
      </c>
      <c r="D11" s="230">
        <f>_xll.qlCalendarAdvance(Calendar,SettlementDate,A11&amp;"M","mf")</f>
        <v>42415</v>
      </c>
      <c r="E11" s="230">
        <f>_xll.qlInterestRateIndexMaturity(IborIndex1Y,D11)</f>
        <v>42781</v>
      </c>
      <c r="F11" s="231">
        <f>_xll.qlOvernightIndexedSwapFairRate(C11,_xll.ohTrigger(InterestRatesTrigger))</f>
        <v>-1.059062822623509E-3</v>
      </c>
      <c r="G11" s="232">
        <f>_xll.qlInterpolationInterpolate(BasisInterpolator,D11,TRUE,F11)</f>
        <v>3.0135445143206581E-3</v>
      </c>
      <c r="H11" s="231">
        <f t="shared" si="0"/>
        <v>1.9544816916971493E-3</v>
      </c>
      <c r="I11" s="224"/>
      <c r="AA11" s="223"/>
      <c r="AB11" s="223"/>
      <c r="AC11" s="224"/>
    </row>
    <row r="12" spans="1:29" x14ac:dyDescent="0.2">
      <c r="A12" s="229">
        <v>10</v>
      </c>
      <c r="B12" s="230">
        <f>_xll.qlInterestRateIndexFixingDate(IborIndex1Y,D12)</f>
        <v>42439</v>
      </c>
      <c r="C12" s="229" t="str">
        <f>_xll.qlMakeDatedOIS(,D12,E12,OvernightIndex,0,DayCounter,0)</f>
        <v>obj_005d5#0000</v>
      </c>
      <c r="D12" s="230">
        <f>_xll.qlCalendarAdvance(Calendar,SettlementDate,A12&amp;"M","mf")</f>
        <v>42443</v>
      </c>
      <c r="E12" s="230">
        <f>_xll.qlInterestRateIndexMaturity(IborIndex1Y,D12)</f>
        <v>42808</v>
      </c>
      <c r="F12" s="231">
        <f>_xll.qlOvernightIndexedSwapFairRate(C12,_xll.ohTrigger(InterestRatesTrigger))</f>
        <v>-9.9558189539573449E-4</v>
      </c>
      <c r="G12" s="232">
        <f>_xll.qlInterpolationInterpolate(BasisInterpolator,D12,TRUE,F12)</f>
        <v>3.0293081364522871E-3</v>
      </c>
      <c r="H12" s="231">
        <f t="shared" si="0"/>
        <v>2.0337262410565528E-3</v>
      </c>
      <c r="I12" s="224"/>
      <c r="AA12" s="223"/>
      <c r="AB12" s="223"/>
      <c r="AC12" s="224"/>
    </row>
    <row r="13" spans="1:29" x14ac:dyDescent="0.2">
      <c r="A13" s="233">
        <v>11</v>
      </c>
      <c r="B13" s="234">
        <f>_xll.qlInterestRateIndexFixingDate(IborIndex1Y,D13)</f>
        <v>42471</v>
      </c>
      <c r="C13" s="233" t="str">
        <f>_xll.qlMakeDatedOIS(,D13,E13,OvernightIndex,0,DayCounter,0)</f>
        <v>obj_00603#0000</v>
      </c>
      <c r="D13" s="234">
        <f>_xll.qlCalendarAdvance(Calendar,SettlementDate,A13&amp;"M","mf")</f>
        <v>42473</v>
      </c>
      <c r="E13" s="234">
        <f>_xll.qlInterestRateIndexMaturity(IborIndex1Y,D13)</f>
        <v>42838</v>
      </c>
      <c r="F13" s="235">
        <f>_xll.qlOvernightIndexedSwapFairRate(C13,_xll.ohTrigger(InterestRatesTrigger))</f>
        <v>-9.1193616756478997E-4</v>
      </c>
      <c r="G13" s="236">
        <f>_xll.qlInterpolationInterpolate(BasisInterpolator,D13,TRUE,F13)</f>
        <v>3.0479721560530137E-3</v>
      </c>
      <c r="H13" s="235">
        <f t="shared" si="0"/>
        <v>2.1360359884882237E-3</v>
      </c>
      <c r="I13" s="224"/>
      <c r="AA13" s="223"/>
      <c r="AB13" s="223"/>
      <c r="AC13" s="224"/>
    </row>
    <row r="14" spans="1:29" x14ac:dyDescent="0.2">
      <c r="A14" s="225">
        <v>12</v>
      </c>
      <c r="B14" s="226">
        <f>_xll.qlInterestRateIndexFixingDate(IborIndex1Y,D14)</f>
        <v>42501</v>
      </c>
      <c r="C14" s="225" t="str">
        <f>_xll.qlMakeDatedOIS(,D14,E14,OvernightIndex,0,DayCounter,0)</f>
        <v>obj_005ed#0000</v>
      </c>
      <c r="D14" s="226">
        <f>_xll.qlCalendarAdvance(Calendar,SettlementDate,A14&amp;"M","mf")</f>
        <v>42503</v>
      </c>
      <c r="E14" s="226">
        <f>_xll.qlInterestRateIndexMaturity(IborIndex1Y,D14)</f>
        <v>42870</v>
      </c>
      <c r="F14" s="227">
        <f>_xll.qlOvernightIndexedSwapFairRate(C14,_xll.ohTrigger(InterestRatesTrigger))</f>
        <v>-8.086527444328245E-4</v>
      </c>
      <c r="G14" s="228">
        <f>_xll.qlInterpolationInterpolate(BasisInterpolator,D14,TRUE,F14)</f>
        <v>3.0686473673951645E-3</v>
      </c>
      <c r="H14" s="227">
        <f t="shared" si="0"/>
        <v>2.2599946229623401E-3</v>
      </c>
      <c r="I14" s="224"/>
      <c r="AA14" s="223"/>
      <c r="AB14" s="223"/>
      <c r="AC14" s="224"/>
    </row>
    <row r="15" spans="1:29" x14ac:dyDescent="0.2">
      <c r="A15" s="229">
        <v>13</v>
      </c>
      <c r="B15" s="230">
        <f>_xll.qlInterestRateIndexFixingDate(IborIndex1Y,D15)</f>
        <v>42530</v>
      </c>
      <c r="C15" s="229" t="str">
        <f>_xll.qlMakeDatedOIS(,D15,E15,OvernightIndex,0,DayCounter,0)</f>
        <v>obj_005f2#0000</v>
      </c>
      <c r="D15" s="230">
        <f>_xll.qlCalendarAdvance(Calendar,SettlementDate,A15&amp;"M","mf")</f>
        <v>42534</v>
      </c>
      <c r="E15" s="230">
        <f>_xll.qlInterestRateIndexMaturity(IborIndex1Y,D15)</f>
        <v>42899</v>
      </c>
      <c r="F15" s="231">
        <f>_xll.qlOvernightIndexedSwapFairRate(C15,_xll.ohTrigger(InterestRatesTrigger))</f>
        <v>-6.9874394966096113E-4</v>
      </c>
      <c r="G15" s="232">
        <f>_xll.qlInterpolationInterpolate(BasisInterpolator,D15,TRUE,F15)</f>
        <v>3.0926910429110387E-3</v>
      </c>
      <c r="H15" s="231">
        <f t="shared" si="0"/>
        <v>2.3939470932500774E-3</v>
      </c>
      <c r="I15" s="224"/>
      <c r="AA15" s="223"/>
      <c r="AB15" s="223"/>
      <c r="AC15" s="224"/>
    </row>
    <row r="16" spans="1:29" x14ac:dyDescent="0.2">
      <c r="A16" s="229">
        <v>14</v>
      </c>
      <c r="B16" s="230">
        <f>_xll.qlInterestRateIndexFixingDate(IborIndex1Y,D16)</f>
        <v>42562</v>
      </c>
      <c r="C16" s="229" t="str">
        <f>_xll.qlMakeDatedOIS(,D16,E16,OvernightIndex,0,DayCounter,0)</f>
        <v>obj_005db#0000</v>
      </c>
      <c r="D16" s="230">
        <f>_xll.qlCalendarAdvance(Calendar,SettlementDate,A16&amp;"M","mf")</f>
        <v>42564</v>
      </c>
      <c r="E16" s="230">
        <f>_xll.qlInterestRateIndexMaturity(IborIndex1Y,D16)</f>
        <v>42929</v>
      </c>
      <c r="F16" s="231">
        <f>_xll.qlOvernightIndexedSwapFairRate(C16,_xll.ohTrigger(InterestRatesTrigger))</f>
        <v>-5.8391497754255726E-4</v>
      </c>
      <c r="G16" s="232">
        <f>_xll.qlInterpolationInterpolate(BasisInterpolator,D16,TRUE,F16)</f>
        <v>3.1184656572839477E-3</v>
      </c>
      <c r="H16" s="231">
        <f t="shared" si="0"/>
        <v>2.5345506797413903E-3</v>
      </c>
      <c r="I16" s="224"/>
      <c r="AA16" s="223"/>
      <c r="AB16" s="223"/>
      <c r="AC16" s="224"/>
    </row>
    <row r="17" spans="1:29" x14ac:dyDescent="0.2">
      <c r="A17" s="229">
        <v>15</v>
      </c>
      <c r="B17" s="230">
        <f>_xll.qlInterestRateIndexFixingDate(IborIndex1Y,D17)</f>
        <v>42593</v>
      </c>
      <c r="C17" s="229" t="str">
        <f>_xll.qlMakeDatedOIS(,D17,E17,OvernightIndex,0,DayCounter,0)</f>
        <v>obj_005f4#0000</v>
      </c>
      <c r="D17" s="230">
        <f>_xll.qlCalendarAdvance(Calendar,SettlementDate,A17&amp;"M","mf")</f>
        <v>42597</v>
      </c>
      <c r="E17" s="230">
        <f>_xll.qlInterestRateIndexMaturity(IborIndex1Y,D17)</f>
        <v>42962</v>
      </c>
      <c r="F17" s="231">
        <f>_xll.qlOvernightIndexedSwapFairRate(C17,_xll.ohTrigger(InterestRatesTrigger))</f>
        <v>-4.5235634472366216E-4</v>
      </c>
      <c r="G17" s="232">
        <f>_xll.qlInterpolationInterpolate(BasisInterpolator,D17,TRUE,F17)</f>
        <v>3.1487917403765905E-3</v>
      </c>
      <c r="H17" s="231">
        <f t="shared" si="0"/>
        <v>2.6964353956529285E-3</v>
      </c>
      <c r="I17" s="224"/>
      <c r="AA17" s="223"/>
      <c r="AB17" s="223"/>
      <c r="AC17" s="224"/>
    </row>
    <row r="18" spans="1:29" x14ac:dyDescent="0.2">
      <c r="A18" s="229">
        <v>16</v>
      </c>
      <c r="B18" s="230">
        <f>_xll.qlInterestRateIndexFixingDate(IborIndex1Y,D18)</f>
        <v>42622</v>
      </c>
      <c r="C18" s="229" t="str">
        <f>_xll.qlMakeDatedOIS(,D18,E18,OvernightIndex,0,DayCounter,0)</f>
        <v>obj_005e8#0000</v>
      </c>
      <c r="D18" s="230">
        <f>_xll.qlCalendarAdvance(Calendar,SettlementDate,A18&amp;"M","mf")</f>
        <v>42626</v>
      </c>
      <c r="E18" s="230">
        <f>_xll.qlInterestRateIndexMaturity(IborIndex1Y,D18)</f>
        <v>42991</v>
      </c>
      <c r="F18" s="231">
        <f>_xll.qlOvernightIndexedSwapFairRate(C18,_xll.ohTrigger(InterestRatesTrigger))</f>
        <v>-3.307908637771238E-4</v>
      </c>
      <c r="G18" s="232">
        <f>_xll.qlInterpolationInterpolate(BasisInterpolator,D18,TRUE,F18)</f>
        <v>3.176409694722806E-3</v>
      </c>
      <c r="H18" s="231">
        <f t="shared" si="0"/>
        <v>2.8456188309456823E-3</v>
      </c>
      <c r="I18" s="224"/>
      <c r="AA18" s="223"/>
      <c r="AB18" s="223"/>
      <c r="AC18" s="224"/>
    </row>
    <row r="19" spans="1:29" x14ac:dyDescent="0.2">
      <c r="A19" s="229">
        <v>17</v>
      </c>
      <c r="B19" s="230">
        <f>_xll.qlInterestRateIndexFixingDate(IborIndex1Y,D19)</f>
        <v>42654</v>
      </c>
      <c r="C19" s="229" t="str">
        <f>_xll.qlMakeDatedOIS(,D19,E19,OvernightIndex,0,DayCounter,0)</f>
        <v>obj_005ef#0000</v>
      </c>
      <c r="D19" s="230">
        <f>_xll.qlCalendarAdvance(Calendar,SettlementDate,A19&amp;"M","mf")</f>
        <v>42656</v>
      </c>
      <c r="E19" s="230">
        <f>_xll.qlInterestRateIndexMaturity(IborIndex1Y,D19)</f>
        <v>43021</v>
      </c>
      <c r="F19" s="231">
        <f>_xll.qlOvernightIndexedSwapFairRate(C19,_xll.ohTrigger(InterestRatesTrigger))</f>
        <v>-1.967184561169036E-4</v>
      </c>
      <c r="G19" s="232">
        <f>_xll.qlInterpolationInterpolate(BasisInterpolator,D19,TRUE,F19)</f>
        <v>3.2052047587051852E-3</v>
      </c>
      <c r="H19" s="231">
        <f t="shared" si="0"/>
        <v>3.0084863025882816E-3</v>
      </c>
      <c r="I19" s="224"/>
      <c r="AA19" s="223"/>
      <c r="AB19" s="223"/>
      <c r="AC19" s="224"/>
    </row>
    <row r="20" spans="1:29" x14ac:dyDescent="0.2">
      <c r="A20" s="229">
        <v>18</v>
      </c>
      <c r="B20" s="230">
        <f>_xll.qlInterestRateIndexFixingDate(IborIndex1Y,D20)</f>
        <v>42684</v>
      </c>
      <c r="C20" s="229" t="str">
        <f>_xll.qlMakeDatedOIS(,D20,E20,OvernightIndex,0,DayCounter,0)</f>
        <v>obj_005d4#0000</v>
      </c>
      <c r="D20" s="230">
        <f>_xll.qlCalendarAdvance(Calendar,SettlementDate,A20&amp;"M","mf")</f>
        <v>42688</v>
      </c>
      <c r="E20" s="230">
        <f>_xll.qlInterestRateIndexMaturity(IborIndex1Y,D20)</f>
        <v>43053</v>
      </c>
      <c r="F20" s="231">
        <f>_xll.qlOvernightIndexedSwapFairRate(C20,_xll.ohTrigger(InterestRatesTrigger))</f>
        <v>-4.1325473207070908E-5</v>
      </c>
      <c r="G20" s="232">
        <f>_xll.qlInterpolationInterpolate(BasisInterpolator,D20,TRUE,F20)</f>
        <v>3.2353643722689823E-3</v>
      </c>
      <c r="H20" s="231">
        <f t="shared" si="0"/>
        <v>3.1940388990619115E-3</v>
      </c>
      <c r="I20" s="224"/>
      <c r="AA20" s="223"/>
      <c r="AB20" s="223"/>
      <c r="AC20" s="224"/>
    </row>
    <row r="21" spans="1:29" x14ac:dyDescent="0.2">
      <c r="A21" s="229">
        <v>19</v>
      </c>
      <c r="B21" s="230">
        <f>_xll.qlInterestRateIndexFixingDate(IborIndex1Y,D21)</f>
        <v>42713</v>
      </c>
      <c r="C21" s="229" t="str">
        <f>_xll.qlMakeDatedOIS(,D21,E21,OvernightIndex,0,DayCounter,0)</f>
        <v>obj_005fd#0000</v>
      </c>
      <c r="D21" s="230">
        <f>_xll.qlCalendarAdvance(Calendar,SettlementDate,A21&amp;"M","mf")</f>
        <v>42717</v>
      </c>
      <c r="E21" s="230">
        <f>_xll.qlInterestRateIndexMaturity(IborIndex1Y,D21)</f>
        <v>43082</v>
      </c>
      <c r="F21" s="231">
        <f>_xll.qlOvernightIndexedSwapFairRate(C21,_xll.ohTrigger(InterestRatesTrigger))</f>
        <v>1.1173003300880512E-4</v>
      </c>
      <c r="G21" s="232">
        <f>_xll.qlInterpolationInterpolate(BasisInterpolator,D21,TRUE,F21)</f>
        <v>3.2614819535627068E-3</v>
      </c>
      <c r="H21" s="231">
        <f t="shared" si="0"/>
        <v>3.3732119865715121E-3</v>
      </c>
      <c r="I21" s="224"/>
      <c r="AA21" s="223"/>
      <c r="AB21" s="223"/>
      <c r="AC21" s="224"/>
    </row>
    <row r="22" spans="1:29" x14ac:dyDescent="0.2">
      <c r="A22" s="229">
        <v>20</v>
      </c>
      <c r="B22" s="230">
        <f>_xll.qlInterestRateIndexFixingDate(IborIndex1Y,D22)</f>
        <v>42746</v>
      </c>
      <c r="C22" s="229" t="str">
        <f>_xll.qlMakeDatedOIS(,D22,E22,OvernightIndex,0,DayCounter,0)</f>
        <v>obj_005e2#0000</v>
      </c>
      <c r="D22" s="230">
        <f>_xll.qlCalendarAdvance(Calendar,SettlementDate,A22&amp;"M","mf")</f>
        <v>42748</v>
      </c>
      <c r="E22" s="230">
        <f>_xll.qlInterestRateIndexMaturity(IborIndex1Y,D22)</f>
        <v>43115</v>
      </c>
      <c r="F22" s="231">
        <f>_xll.qlOvernightIndexedSwapFairRate(C22,_xll.ohTrigger(InterestRatesTrigger))</f>
        <v>2.4270280534584835E-4</v>
      </c>
      <c r="G22" s="232">
        <f>_xll.qlInterpolationInterpolate(BasisInterpolator,D22,TRUE,F22)</f>
        <v>3.2873587636751333E-3</v>
      </c>
      <c r="H22" s="231">
        <f t="shared" si="0"/>
        <v>3.5300615690209815E-3</v>
      </c>
      <c r="I22" s="224"/>
      <c r="AA22" s="223"/>
      <c r="AB22" s="223"/>
      <c r="AC22" s="224"/>
    </row>
    <row r="23" spans="1:29" x14ac:dyDescent="0.2">
      <c r="A23" s="229">
        <v>21</v>
      </c>
      <c r="B23" s="230">
        <f>_xll.qlInterestRateIndexFixingDate(IborIndex1Y,D23)</f>
        <v>42775</v>
      </c>
      <c r="C23" s="229" t="str">
        <f>_xll.qlMakeDatedOIS(,D23,E23,OvernightIndex,0,DayCounter,0)</f>
        <v>obj_005f3#0000</v>
      </c>
      <c r="D23" s="230">
        <f>_xll.qlCalendarAdvance(Calendar,SettlementDate,A23&amp;"M","mf")</f>
        <v>42779</v>
      </c>
      <c r="E23" s="230">
        <f>_xll.qlInterestRateIndexMaturity(IborIndex1Y,D23)</f>
        <v>43144</v>
      </c>
      <c r="F23" s="231">
        <f>_xll.qlOvernightIndexedSwapFairRate(C23,_xll.ohTrigger(InterestRatesTrigger))</f>
        <v>4.0714236628086831E-4</v>
      </c>
      <c r="G23" s="232">
        <f>_xll.qlInterpolationInterpolate(BasisInterpolator,D23,TRUE,F23)</f>
        <v>3.3103436818171998E-3</v>
      </c>
      <c r="H23" s="231">
        <f t="shared" si="0"/>
        <v>3.7174860480980679E-3</v>
      </c>
      <c r="I23" s="224"/>
      <c r="AA23" s="223"/>
      <c r="AB23" s="223"/>
      <c r="AC23" s="224"/>
    </row>
    <row r="24" spans="1:29" x14ac:dyDescent="0.2">
      <c r="A24" s="229">
        <v>22</v>
      </c>
      <c r="B24" s="230">
        <f>_xll.qlInterestRateIndexFixingDate(IborIndex1Y,D24)</f>
        <v>42803</v>
      </c>
      <c r="C24" s="229" t="str">
        <f>_xll.qlMakeDatedOIS(,D24,E24,OvernightIndex,0,DayCounter,0)</f>
        <v>obj_005fb#0000</v>
      </c>
      <c r="D24" s="230">
        <f>_xll.qlCalendarAdvance(Calendar,SettlementDate,A24&amp;"M","mf")</f>
        <v>42807</v>
      </c>
      <c r="E24" s="230">
        <f>_xll.qlInterestRateIndexMaturity(IborIndex1Y,D24)</f>
        <v>43172</v>
      </c>
      <c r="F24" s="231">
        <f>_xll.qlOvernightIndexedSwapFairRate(C24,_xll.ohTrigger(InterestRatesTrigger))</f>
        <v>5.5420662193926724E-4</v>
      </c>
      <c r="G24" s="232">
        <f>_xll.qlInterpolationInterpolate(BasisInterpolator,D24,TRUE,F24)</f>
        <v>3.3279539849120363E-3</v>
      </c>
      <c r="H24" s="231">
        <f t="shared" si="0"/>
        <v>3.8821606068513035E-3</v>
      </c>
      <c r="I24" s="224"/>
      <c r="AA24" s="223"/>
      <c r="AB24" s="223"/>
      <c r="AC24" s="224"/>
    </row>
    <row r="25" spans="1:29" x14ac:dyDescent="0.2">
      <c r="A25" s="233">
        <v>23</v>
      </c>
      <c r="B25" s="234">
        <f>_xll.qlInterestRateIndexFixingDate(IborIndex1Y,D25)</f>
        <v>42836</v>
      </c>
      <c r="C25" s="233" t="str">
        <f>_xll.qlMakeDatedOIS(,D25,E25,OvernightIndex,0,DayCounter,0)</f>
        <v>obj_005f8#0000</v>
      </c>
      <c r="D25" s="234">
        <f>_xll.qlCalendarAdvance(Calendar,SettlementDate,A25&amp;"M","mf")</f>
        <v>42838</v>
      </c>
      <c r="E25" s="234">
        <f>_xll.qlInterestRateIndexMaturity(IborIndex1Y,D25)</f>
        <v>43203</v>
      </c>
      <c r="F25" s="235">
        <f>_xll.qlOvernightIndexedSwapFairRate(C25,_xll.ohTrigger(InterestRatesTrigger))</f>
        <v>7.1382506661227024E-4</v>
      </c>
      <c r="G25" s="236">
        <f>_xll.qlInterpolationInterpolate(BasisInterpolator,D25,TRUE,F25)</f>
        <v>3.3432274741923397E-3</v>
      </c>
      <c r="H25" s="235">
        <f t="shared" si="0"/>
        <v>4.0570525408046097E-3</v>
      </c>
      <c r="I25" s="224"/>
      <c r="AA25" s="223"/>
      <c r="AB25" s="223"/>
      <c r="AC25" s="224"/>
    </row>
    <row r="26" spans="1:29" x14ac:dyDescent="0.2">
      <c r="A26" s="225">
        <v>24</v>
      </c>
      <c r="B26" s="226">
        <f>_xll.qlInterestRateIndexFixingDate(IborIndex1Y,D26)</f>
        <v>42866</v>
      </c>
      <c r="C26" s="225" t="str">
        <f>_xll.qlMakeDatedOIS(,D26,E26,OvernightIndex,0,DayCounter,0)</f>
        <v>obj_005ee#0000</v>
      </c>
      <c r="D26" s="226">
        <f>_xll.qlCalendarAdvance(Calendar,SettlementDate,A26&amp;"M","mf")</f>
        <v>42870</v>
      </c>
      <c r="E26" s="226">
        <f>_xll.qlInterestRateIndexMaturity(IborIndex1Y,D26)</f>
        <v>43235</v>
      </c>
      <c r="F26" s="227">
        <f>_xll.qlOvernightIndexedSwapFairRate(C26,_xll.ohTrigger(InterestRatesTrigger))</f>
        <v>8.8223742753033418E-4</v>
      </c>
      <c r="G26" s="228">
        <f>_xll.qlInterpolationInterpolate(BasisInterpolator,D26,TRUE,F26)</f>
        <v>3.3535181134944367E-3</v>
      </c>
      <c r="H26" s="227">
        <f t="shared" si="0"/>
        <v>4.2357555410247709E-3</v>
      </c>
      <c r="I26" s="224"/>
      <c r="AA26" s="223"/>
      <c r="AB26" s="223"/>
      <c r="AC26" s="224"/>
    </row>
    <row r="27" spans="1:29" x14ac:dyDescent="0.2">
      <c r="A27" s="229">
        <v>25</v>
      </c>
      <c r="B27" s="230">
        <f>_xll.qlInterestRateIndexFixingDate(IborIndex1Y,D27)</f>
        <v>42895</v>
      </c>
      <c r="C27" s="229" t="str">
        <f>_xll.qlMakeDatedOIS(,D27,E27,OvernightIndex,0,DayCounter,0)</f>
        <v>obj_005ea#0000</v>
      </c>
      <c r="D27" s="230">
        <f>_xll.qlCalendarAdvance(Calendar,SettlementDate,A27&amp;"M","mf")</f>
        <v>42899</v>
      </c>
      <c r="E27" s="230">
        <f>_xll.qlInterestRateIndexMaturity(IborIndex1Y,D27)</f>
        <v>43264</v>
      </c>
      <c r="F27" s="231">
        <f>_xll.qlOvernightIndexedSwapFairRate(C27,_xll.ohTrigger(InterestRatesTrigger))</f>
        <v>1.042678995122641E-3</v>
      </c>
      <c r="G27" s="232">
        <f>_xll.qlInterpolationInterpolate(BasisInterpolator,D27,TRUE,F27)</f>
        <v>3.3593564800231657E-3</v>
      </c>
      <c r="H27" s="231">
        <f t="shared" si="0"/>
        <v>4.4020354751458067E-3</v>
      </c>
      <c r="I27" s="224"/>
      <c r="AA27" s="223"/>
      <c r="AB27" s="223"/>
      <c r="AC27" s="224"/>
    </row>
    <row r="28" spans="1:29" x14ac:dyDescent="0.2">
      <c r="A28" s="229">
        <v>26</v>
      </c>
      <c r="B28" s="230">
        <f>_xll.qlInterestRateIndexFixingDate(IborIndex1Y,D28)</f>
        <v>42927</v>
      </c>
      <c r="C28" s="229" t="str">
        <f>_xll.qlMakeDatedOIS(,D28,E28,OvernightIndex,0,DayCounter,0)</f>
        <v>obj_005de#0000</v>
      </c>
      <c r="D28" s="230">
        <f>_xll.qlCalendarAdvance(Calendar,SettlementDate,A28&amp;"M","mf")</f>
        <v>42929</v>
      </c>
      <c r="E28" s="230">
        <f>_xll.qlInterestRateIndexMaturity(IborIndex1Y,D28)</f>
        <v>43294</v>
      </c>
      <c r="F28" s="231">
        <f>_xll.qlOvernightIndexedSwapFairRate(C28,_xll.ohTrigger(InterestRatesTrigger))</f>
        <v>1.2162380899306258E-3</v>
      </c>
      <c r="G28" s="232">
        <f>_xll.qlInterpolationInterpolate(BasisInterpolator,D28,TRUE,F28)</f>
        <v>3.3640436831428758E-3</v>
      </c>
      <c r="H28" s="231">
        <f t="shared" si="0"/>
        <v>4.5802817730735013E-3</v>
      </c>
      <c r="I28" s="224"/>
      <c r="AA28" s="223"/>
      <c r="AB28" s="223"/>
      <c r="AC28" s="224"/>
    </row>
    <row r="29" spans="1:29" x14ac:dyDescent="0.2">
      <c r="A29" s="229">
        <v>27</v>
      </c>
      <c r="B29" s="230">
        <f>_xll.qlInterestRateIndexFixingDate(IborIndex1Y,D29)</f>
        <v>42957</v>
      </c>
      <c r="C29" s="229" t="str">
        <f>_xll.qlMakeDatedOIS(,D29,E29,OvernightIndex,0,DayCounter,0)</f>
        <v>obj_005f6#0000</v>
      </c>
      <c r="D29" s="230">
        <f>_xll.qlCalendarAdvance(Calendar,SettlementDate,A29&amp;"M","mf")</f>
        <v>42961</v>
      </c>
      <c r="E29" s="230">
        <f>_xll.qlInterestRateIndexMaturity(IborIndex1Y,D29)</f>
        <v>43326</v>
      </c>
      <c r="F29" s="231">
        <f>_xll.qlOvernightIndexedSwapFairRate(C29,_xll.ohTrigger(InterestRatesTrigger))</f>
        <v>1.4089822907984698E-3</v>
      </c>
      <c r="G29" s="232">
        <f>_xll.qlInterpolationInterpolate(BasisInterpolator,D29,TRUE,F29)</f>
        <v>3.367756849507421E-3</v>
      </c>
      <c r="H29" s="231">
        <f t="shared" si="0"/>
        <v>4.7767391403058905E-3</v>
      </c>
      <c r="I29" s="224"/>
      <c r="AA29" s="223"/>
      <c r="AB29" s="223"/>
      <c r="AC29" s="224"/>
    </row>
    <row r="30" spans="1:29" x14ac:dyDescent="0.2">
      <c r="A30" s="229">
        <v>28</v>
      </c>
      <c r="B30" s="230">
        <f>_xll.qlInterestRateIndexFixingDate(IborIndex1Y,D30)</f>
        <v>42989</v>
      </c>
      <c r="C30" s="229" t="str">
        <f>_xll.qlMakeDatedOIS(,D30,E30,OvernightIndex,0,DayCounter,0)</f>
        <v>obj_005d3#0000</v>
      </c>
      <c r="D30" s="230">
        <f>_xll.qlCalendarAdvance(Calendar,SettlementDate,A30&amp;"M","mf")</f>
        <v>42991</v>
      </c>
      <c r="E30" s="230">
        <f>_xll.qlInterestRateIndexMaturity(IborIndex1Y,D30)</f>
        <v>43356</v>
      </c>
      <c r="F30" s="231">
        <f>_xll.qlOvernightIndexedSwapFairRate(C30,_xll.ohTrigger(InterestRatesTrigger))</f>
        <v>1.5959768239972158E-3</v>
      </c>
      <c r="G30" s="232">
        <f>_xll.qlInterpolationInterpolate(BasisInterpolator,D30,TRUE,F30)</f>
        <v>3.3702493448109229E-3</v>
      </c>
      <c r="H30" s="231">
        <f t="shared" si="0"/>
        <v>4.9662261688081383E-3</v>
      </c>
      <c r="I30" s="224"/>
      <c r="AA30" s="223"/>
      <c r="AB30" s="223"/>
      <c r="AC30" s="224"/>
    </row>
    <row r="31" spans="1:29" x14ac:dyDescent="0.2">
      <c r="A31" s="229">
        <v>29</v>
      </c>
      <c r="B31" s="230">
        <f>_xll.qlInterestRateIndexFixingDate(IborIndex1Y,D31)</f>
        <v>43019</v>
      </c>
      <c r="C31" s="229" t="str">
        <f>_xll.qlMakeDatedOIS(,D31,E31,OvernightIndex,0,DayCounter,0)</f>
        <v>obj_005e0#0000</v>
      </c>
      <c r="D31" s="230">
        <f>_xll.qlCalendarAdvance(Calendar,SettlementDate,A31&amp;"M","mf")</f>
        <v>43021</v>
      </c>
      <c r="E31" s="230">
        <f>_xll.qlInterestRateIndexMaturity(IborIndex1Y,D31)</f>
        <v>43388</v>
      </c>
      <c r="F31" s="231">
        <f>_xll.qlOvernightIndexedSwapFairRate(C31,_xll.ohTrigger(InterestRatesTrigger))</f>
        <v>1.7950528433525077E-3</v>
      </c>
      <c r="G31" s="232">
        <f>_xll.qlInterpolationInterpolate(BasisInterpolator,D31,TRUE,F31)</f>
        <v>3.3719956272045184E-3</v>
      </c>
      <c r="H31" s="231">
        <f t="shared" si="0"/>
        <v>5.1670484705570261E-3</v>
      </c>
      <c r="I31" s="224"/>
      <c r="AA31" s="223"/>
      <c r="AB31" s="223"/>
      <c r="AC31" s="224"/>
    </row>
    <row r="32" spans="1:29" x14ac:dyDescent="0.2">
      <c r="A32" s="229">
        <v>30</v>
      </c>
      <c r="B32" s="230">
        <f>_xll.qlInterestRateIndexFixingDate(IborIndex1Y,D32)</f>
        <v>43048</v>
      </c>
      <c r="C32" s="229" t="str">
        <f>_xll.qlMakeDatedOIS(,D32,E32,OvernightIndex,0,DayCounter,0)</f>
        <v>obj_005e5#0000</v>
      </c>
      <c r="D32" s="230">
        <f>_xll.qlCalendarAdvance(Calendar,SettlementDate,A32&amp;"M","mf")</f>
        <v>43052</v>
      </c>
      <c r="E32" s="230">
        <f>_xll.qlInterestRateIndexMaturity(IborIndex1Y,D32)</f>
        <v>43417</v>
      </c>
      <c r="F32" s="231">
        <f>_xll.qlOvernightIndexedSwapFairRate(C32,_xll.ohTrigger(InterestRatesTrigger))</f>
        <v>1.9916301593624086E-3</v>
      </c>
      <c r="G32" s="232">
        <f>_xll.qlInterpolationInterpolate(BasisInterpolator,D32,TRUE,F32)</f>
        <v>3.3732349139147105E-3</v>
      </c>
      <c r="H32" s="231">
        <f t="shared" si="0"/>
        <v>5.3648650732771187E-3</v>
      </c>
      <c r="I32" s="224"/>
      <c r="AA32" s="223"/>
      <c r="AB32" s="223"/>
      <c r="AC32" s="224"/>
    </row>
    <row r="33" spans="1:29" x14ac:dyDescent="0.2">
      <c r="A33" s="229">
        <v>31</v>
      </c>
      <c r="B33" s="230">
        <f>_xll.qlInterestRateIndexFixingDate(IborIndex1Y,D33)</f>
        <v>43080</v>
      </c>
      <c r="C33" s="229" t="str">
        <f>_xll.qlMakeDatedOIS(,D33,E33,OvernightIndex,0,DayCounter,0)</f>
        <v>obj_005f7#0000</v>
      </c>
      <c r="D33" s="230">
        <f>_xll.qlCalendarAdvance(Calendar,SettlementDate,A33&amp;"M","mf")</f>
        <v>43082</v>
      </c>
      <c r="E33" s="230">
        <f>_xll.qlInterestRateIndexMaturity(IborIndex1Y,D33)</f>
        <v>43447</v>
      </c>
      <c r="F33" s="231">
        <f>_xll.qlOvernightIndexedSwapFairRate(C33,_xll.ohTrigger(InterestRatesTrigger))</f>
        <v>2.1921752339703199E-3</v>
      </c>
      <c r="G33" s="232">
        <f>_xll.qlInterpolationInterpolate(BasisInterpolator,D33,TRUE,F33)</f>
        <v>3.3740989280778805E-3</v>
      </c>
      <c r="H33" s="231">
        <f t="shared" si="0"/>
        <v>5.5662741620482008E-3</v>
      </c>
      <c r="I33" s="224"/>
      <c r="AA33" s="223"/>
      <c r="AB33" s="223"/>
      <c r="AC33" s="224"/>
    </row>
    <row r="34" spans="1:29" x14ac:dyDescent="0.2">
      <c r="A34" s="229">
        <v>32</v>
      </c>
      <c r="B34" s="230">
        <f>_xll.qlInterestRateIndexFixingDate(IborIndex1Y,D34)</f>
        <v>43111</v>
      </c>
      <c r="C34" s="229" t="str">
        <f>_xll.qlMakeDatedOIS(,D34,E34,OvernightIndex,0,DayCounter,0)</f>
        <v>obj_005f5#0000</v>
      </c>
      <c r="D34" s="230">
        <f>_xll.qlCalendarAdvance(Calendar,SettlementDate,A34&amp;"M","mf")</f>
        <v>43115</v>
      </c>
      <c r="E34" s="230">
        <f>_xll.qlInterestRateIndexMaturity(IborIndex1Y,D34)</f>
        <v>43480</v>
      </c>
      <c r="F34" s="231">
        <f>_xll.qlOvernightIndexedSwapFairRate(C34,_xll.ohTrigger(InterestRatesTrigger))</f>
        <v>2.4160432809274823E-3</v>
      </c>
      <c r="G34" s="232">
        <f>_xll.qlInterpolationInterpolate(BasisInterpolator,D34,TRUE,F34)</f>
        <v>3.3749168328868514E-3</v>
      </c>
      <c r="H34" s="231">
        <f t="shared" ref="H34:H50" si="1">F34+G34</f>
        <v>5.7909601138143342E-3</v>
      </c>
      <c r="I34" s="224"/>
      <c r="AA34" s="223"/>
      <c r="AB34" s="223"/>
      <c r="AC34" s="224"/>
    </row>
    <row r="35" spans="1:29" x14ac:dyDescent="0.2">
      <c r="A35" s="229">
        <v>33</v>
      </c>
      <c r="B35" s="230">
        <f>_xll.qlInterestRateIndexFixingDate(IborIndex1Y,D35)</f>
        <v>43140</v>
      </c>
      <c r="C35" s="229" t="str">
        <f>_xll.qlMakeDatedOIS(,D35,E35,OvernightIndex,0,DayCounter,0)</f>
        <v>obj_005fa#0000</v>
      </c>
      <c r="D35" s="230">
        <f>_xll.qlCalendarAdvance(Calendar,SettlementDate,A35&amp;"M","mf")</f>
        <v>43144</v>
      </c>
      <c r="E35" s="230">
        <f>_xll.qlInterestRateIndexMaturity(IborIndex1Y,D35)</f>
        <v>43509</v>
      </c>
      <c r="F35" s="231">
        <f>_xll.qlOvernightIndexedSwapFairRate(C35,_xll.ohTrigger(InterestRatesTrigger))</f>
        <v>2.6147858757119133E-3</v>
      </c>
      <c r="G35" s="232">
        <f>_xll.qlInterpolationInterpolate(BasisInterpolator,D35,TRUE,F35)</f>
        <v>3.3757312583613261E-3</v>
      </c>
      <c r="H35" s="231">
        <f t="shared" si="1"/>
        <v>5.9905171340732394E-3</v>
      </c>
      <c r="I35" s="224"/>
      <c r="AA35" s="223"/>
      <c r="AB35" s="223"/>
      <c r="AC35" s="224"/>
    </row>
    <row r="36" spans="1:29" x14ac:dyDescent="0.2">
      <c r="A36" s="229">
        <v>34</v>
      </c>
      <c r="B36" s="230">
        <f>_xll.qlInterestRateIndexFixingDate(IborIndex1Y,D36)</f>
        <v>43168</v>
      </c>
      <c r="C36" s="229" t="str">
        <f>_xll.qlMakeDatedOIS(,D36,E36,OvernightIndex,0,DayCounter,0)</f>
        <v>obj_005da#0000</v>
      </c>
      <c r="D36" s="230">
        <f>_xll.qlCalendarAdvance(Calendar,SettlementDate,A36&amp;"M","mf")</f>
        <v>43172</v>
      </c>
      <c r="E36" s="230">
        <f>_xll.qlInterestRateIndexMaturity(IborIndex1Y,D36)</f>
        <v>43537</v>
      </c>
      <c r="F36" s="231">
        <f>_xll.qlOvernightIndexedSwapFairRate(C36,_xll.ohTrigger(InterestRatesTrigger))</f>
        <v>2.8077498219041598E-3</v>
      </c>
      <c r="G36" s="232">
        <f>_xll.qlInterpolationInterpolate(BasisInterpolator,D36,TRUE,F36)</f>
        <v>3.3767850951738651E-3</v>
      </c>
      <c r="H36" s="231">
        <f t="shared" si="1"/>
        <v>6.1845349170780248E-3</v>
      </c>
      <c r="I36" s="224"/>
      <c r="AA36" s="223"/>
      <c r="AB36" s="223"/>
      <c r="AC36" s="224"/>
    </row>
    <row r="37" spans="1:29" x14ac:dyDescent="0.2">
      <c r="A37" s="233">
        <v>35</v>
      </c>
      <c r="B37" s="234">
        <f>_xll.qlInterestRateIndexFixingDate(IborIndex1Y,D37)</f>
        <v>43201</v>
      </c>
      <c r="C37" s="233" t="str">
        <f>_xll.qlMakeDatedOIS(,D37,E37,OvernightIndex,0,DayCounter,0)</f>
        <v>obj_005dd#0000</v>
      </c>
      <c r="D37" s="234">
        <f>_xll.qlCalendarAdvance(Calendar,SettlementDate,A37&amp;"M","mf")</f>
        <v>43203</v>
      </c>
      <c r="E37" s="234">
        <f>_xll.qlInterestRateIndexMaturity(IborIndex1Y,D37)</f>
        <v>43570</v>
      </c>
      <c r="F37" s="235">
        <f>_xll.qlOvernightIndexedSwapFairRate(C37,_xll.ohTrigger(InterestRatesTrigger))</f>
        <v>3.0285998904233139E-3</v>
      </c>
      <c r="G37" s="236">
        <f>_xll.qlInterpolationInterpolate(BasisInterpolator,D37,TRUE,F37)</f>
        <v>3.378462976527215E-3</v>
      </c>
      <c r="H37" s="235">
        <f t="shared" si="1"/>
        <v>6.4070628669505286E-3</v>
      </c>
      <c r="I37" s="224"/>
      <c r="AA37" s="223"/>
      <c r="AB37" s="223"/>
      <c r="AC37" s="224"/>
    </row>
    <row r="38" spans="1:29" x14ac:dyDescent="0.2">
      <c r="A38" s="225">
        <v>36</v>
      </c>
      <c r="B38" s="226">
        <f>_xll.qlInterestRateIndexFixingDate(IborIndex1Y,D38)</f>
        <v>43230</v>
      </c>
      <c r="C38" s="225" t="str">
        <f>_xll.qlMakeDatedOIS(,D38,E38,OvernightIndex,0,DayCounter,0)</f>
        <v>obj_005e4#0000</v>
      </c>
      <c r="D38" s="226">
        <f>_xll.qlCalendarAdvance(Calendar,SettlementDate,A38&amp;"M","mf")</f>
        <v>43234</v>
      </c>
      <c r="E38" s="226">
        <f>_xll.qlInterestRateIndexMaturity(IborIndex1Y,D38)</f>
        <v>43599</v>
      </c>
      <c r="F38" s="227">
        <f>_xll.qlOvernightIndexedSwapFairRate(C38,_xll.ohTrigger(InterestRatesTrigger))</f>
        <v>3.2354997461911464E-3</v>
      </c>
      <c r="G38" s="228">
        <f>_xll.qlInterpolationInterpolate(BasisInterpolator,D38,TRUE,F38)</f>
        <v>3.3808978569159626E-3</v>
      </c>
      <c r="H38" s="227">
        <f t="shared" si="1"/>
        <v>6.6163976031071089E-3</v>
      </c>
      <c r="I38" s="224"/>
      <c r="AA38" s="223"/>
      <c r="AB38" s="223"/>
      <c r="AC38" s="224"/>
    </row>
    <row r="39" spans="1:29" x14ac:dyDescent="0.2">
      <c r="A39" s="229">
        <v>37</v>
      </c>
      <c r="B39" s="230">
        <f>_xll.qlInterestRateIndexFixingDate(IborIndex1Y,D39)</f>
        <v>43262</v>
      </c>
      <c r="C39" s="229" t="str">
        <f>_xll.qlMakeDatedOIS(,D39,E39,OvernightIndex,0,DayCounter,0)</f>
        <v>obj_005ff#0000</v>
      </c>
      <c r="D39" s="230">
        <f>_xll.qlCalendarAdvance(Calendar,SettlementDate,A39&amp;"M","mf")</f>
        <v>43264</v>
      </c>
      <c r="E39" s="230">
        <f>_xll.qlInterestRateIndexMaturity(IborIndex1Y,D39)</f>
        <v>43629</v>
      </c>
      <c r="F39" s="231">
        <f>_xll.qlOvernightIndexedSwapFairRate(C39,_xll.ohTrigger(InterestRatesTrigger))</f>
        <v>3.4411510615222412E-3</v>
      </c>
      <c r="G39" s="232">
        <f>_xll.qlInterpolationInterpolate(BasisInterpolator,D39,TRUE,F39)</f>
        <v>3.3845995690611453E-3</v>
      </c>
      <c r="H39" s="231">
        <f t="shared" si="1"/>
        <v>6.8257506305833861E-3</v>
      </c>
      <c r="I39" s="224"/>
      <c r="AA39" s="223"/>
      <c r="AB39" s="223"/>
      <c r="AC39" s="224"/>
    </row>
    <row r="40" spans="1:29" x14ac:dyDescent="0.2">
      <c r="A40" s="229">
        <v>38</v>
      </c>
      <c r="B40" s="230">
        <f>_xll.qlInterestRateIndexFixingDate(IborIndex1Y,D40)</f>
        <v>43292</v>
      </c>
      <c r="C40" s="229" t="str">
        <f>_xll.qlMakeDatedOIS(,D40,E40,OvernightIndex,0,DayCounter,0)</f>
        <v>obj_005e3#0000</v>
      </c>
      <c r="D40" s="230">
        <f>_xll.qlCalendarAdvance(Calendar,SettlementDate,A40&amp;"M","mf")</f>
        <v>43294</v>
      </c>
      <c r="E40" s="230">
        <f>_xll.qlInterestRateIndexMaturity(IborIndex1Y,D40)</f>
        <v>43661</v>
      </c>
      <c r="F40" s="231">
        <f>_xll.qlOvernightIndexedSwapFairRate(C40,_xll.ohTrigger(InterestRatesTrigger))</f>
        <v>3.6522308517202284E-3</v>
      </c>
      <c r="G40" s="232">
        <f>_xll.qlInterpolationInterpolate(BasisInterpolator,D40,TRUE,F40)</f>
        <v>3.3898459589243538E-3</v>
      </c>
      <c r="H40" s="231">
        <f t="shared" si="1"/>
        <v>7.0420768106445823E-3</v>
      </c>
      <c r="I40" s="224"/>
      <c r="AA40" s="223"/>
      <c r="AB40" s="223"/>
      <c r="AC40" s="224"/>
    </row>
    <row r="41" spans="1:29" x14ac:dyDescent="0.2">
      <c r="A41" s="229">
        <v>39</v>
      </c>
      <c r="B41" s="230">
        <f>_xll.qlInterestRateIndexFixingDate(IborIndex1Y,D41)</f>
        <v>43321</v>
      </c>
      <c r="C41" s="229" t="str">
        <f>_xll.qlMakeDatedOIS(,D41,E41,OvernightIndex,0,DayCounter,0)</f>
        <v>obj_00600#0000</v>
      </c>
      <c r="D41" s="230">
        <f>_xll.qlCalendarAdvance(Calendar,SettlementDate,A41&amp;"M","mf")</f>
        <v>43325</v>
      </c>
      <c r="E41" s="230">
        <f>_xll.qlInterestRateIndexMaturity(IborIndex1Y,D41)</f>
        <v>43690</v>
      </c>
      <c r="F41" s="231">
        <f>_xll.qlOvernightIndexedSwapFairRate(C41,_xll.ohTrigger(InterestRatesTrigger))</f>
        <v>3.8557410347305515E-3</v>
      </c>
      <c r="G41" s="232">
        <f>_xll.qlInterpolationInterpolate(BasisInterpolator,D41,TRUE,F41)</f>
        <v>3.3964647170484199E-3</v>
      </c>
      <c r="H41" s="231">
        <f t="shared" si="1"/>
        <v>7.2522057517789718E-3</v>
      </c>
      <c r="I41" s="224"/>
      <c r="AA41" s="223"/>
      <c r="AB41" s="223"/>
      <c r="AC41" s="224"/>
    </row>
    <row r="42" spans="1:29" x14ac:dyDescent="0.2">
      <c r="A42" s="229">
        <v>40</v>
      </c>
      <c r="B42" s="230">
        <f>_xll.qlInterestRateIndexFixingDate(IborIndex1Y,D42)</f>
        <v>43354</v>
      </c>
      <c r="C42" s="229" t="str">
        <f>_xll.qlMakeDatedOIS(,D42,E42,OvernightIndex,0,DayCounter,0)</f>
        <v>obj_00601#0000</v>
      </c>
      <c r="D42" s="230">
        <f>_xll.qlCalendarAdvance(Calendar,SettlementDate,A42&amp;"M","mf")</f>
        <v>43356</v>
      </c>
      <c r="E42" s="230">
        <f>_xll.qlInterestRateIndexMaturity(IborIndex1Y,D42)</f>
        <v>43721</v>
      </c>
      <c r="F42" s="231">
        <f>_xll.qlOvernightIndexedSwapFairRate(C42,_xll.ohTrigger(InterestRatesTrigger))</f>
        <v>4.0649201194631794E-3</v>
      </c>
      <c r="G42" s="232">
        <f>_xll.qlInterpolationInterpolate(BasisInterpolator,D42,TRUE,F42)</f>
        <v>3.403863591717354E-3</v>
      </c>
      <c r="H42" s="231">
        <f t="shared" si="1"/>
        <v>7.4687837111805334E-3</v>
      </c>
      <c r="I42" s="224"/>
      <c r="AA42" s="223"/>
      <c r="AB42" s="223"/>
      <c r="AC42" s="224"/>
    </row>
    <row r="43" spans="1:29" x14ac:dyDescent="0.2">
      <c r="A43" s="229">
        <v>41</v>
      </c>
      <c r="B43" s="230">
        <f>_xll.qlInterestRateIndexFixingDate(IborIndex1Y,D43)</f>
        <v>43384</v>
      </c>
      <c r="C43" s="229" t="str">
        <f>_xll.qlMakeDatedOIS(,D43,E43,OvernightIndex,0,DayCounter,0)</f>
        <v>obj_005d6#0000</v>
      </c>
      <c r="D43" s="230">
        <f>_xll.qlCalendarAdvance(Calendar,SettlementDate,A43&amp;"M","mf")</f>
        <v>43388</v>
      </c>
      <c r="E43" s="230">
        <f>_xll.qlInterestRateIndexMaturity(IborIndex1Y,D43)</f>
        <v>43753</v>
      </c>
      <c r="F43" s="231">
        <f>_xll.qlOvernightIndexedSwapFairRate(C43,_xll.ohTrigger(InterestRatesTrigger))</f>
        <v>4.2800059049565306E-3</v>
      </c>
      <c r="G43" s="232">
        <f>_xll.qlInterpolationInterpolate(BasisInterpolator,D43,TRUE,F43)</f>
        <v>3.4118510693907345E-3</v>
      </c>
      <c r="H43" s="231">
        <f t="shared" si="1"/>
        <v>7.6918569743472647E-3</v>
      </c>
      <c r="I43" s="224"/>
      <c r="AA43" s="223"/>
      <c r="AB43" s="223"/>
      <c r="AC43" s="224"/>
    </row>
    <row r="44" spans="1:29" x14ac:dyDescent="0.2">
      <c r="A44" s="229">
        <v>42</v>
      </c>
      <c r="B44" s="230">
        <f>_xll.qlInterestRateIndexFixingDate(IborIndex1Y,D44)</f>
        <v>43413</v>
      </c>
      <c r="C44" s="229" t="str">
        <f>_xll.qlMakeDatedOIS(,D44,E44,OvernightIndex,0,DayCounter,0)</f>
        <v>obj_005d9#0000</v>
      </c>
      <c r="D44" s="230">
        <f>_xll.qlCalendarAdvance(Calendar,SettlementDate,A44&amp;"M","mf")</f>
        <v>43417</v>
      </c>
      <c r="E44" s="230">
        <f>_xll.qlInterestRateIndexMaturity(IborIndex1Y,D44)</f>
        <v>43782</v>
      </c>
      <c r="F44" s="231">
        <f>_xll.qlOvernightIndexedSwapFairRate(C44,_xll.ohTrigger(InterestRatesTrigger))</f>
        <v>4.4743388809246774E-3</v>
      </c>
      <c r="G44" s="232">
        <f>_xll.qlInterpolationInterpolate(BasisInterpolator,D44,TRUE,F44)</f>
        <v>3.4189945617640674E-3</v>
      </c>
      <c r="H44" s="231">
        <f t="shared" si="1"/>
        <v>7.8933334426887457E-3</v>
      </c>
      <c r="I44" s="224"/>
      <c r="AA44" s="223"/>
      <c r="AB44" s="223"/>
      <c r="AC44" s="224"/>
    </row>
    <row r="45" spans="1:29" x14ac:dyDescent="0.2">
      <c r="A45" s="229">
        <v>43</v>
      </c>
      <c r="B45" s="230">
        <f>_xll.qlInterestRateIndexFixingDate(IborIndex1Y,D45)</f>
        <v>43445</v>
      </c>
      <c r="C45" s="229" t="str">
        <f>_xll.qlMakeDatedOIS(,D45,E45,OvernightIndex,0,DayCounter,0)</f>
        <v>obj_005fc#0000</v>
      </c>
      <c r="D45" s="230">
        <f>_xll.qlCalendarAdvance(Calendar,SettlementDate,A45&amp;"M","mf")</f>
        <v>43447</v>
      </c>
      <c r="E45" s="230">
        <f>_xll.qlInterestRateIndexMaturity(IborIndex1Y,D45)</f>
        <v>43812</v>
      </c>
      <c r="F45" s="231">
        <f>_xll.qlOvernightIndexedSwapFairRate(C45,_xll.ohTrigger(InterestRatesTrigger))</f>
        <v>4.6749321809047778E-3</v>
      </c>
      <c r="G45" s="232">
        <f>_xll.qlInterpolationInterpolate(BasisInterpolator,D45,TRUE,F45)</f>
        <v>3.425891099836962E-3</v>
      </c>
      <c r="H45" s="231">
        <f t="shared" si="1"/>
        <v>8.1008232807417389E-3</v>
      </c>
      <c r="I45" s="224"/>
      <c r="AA45" s="223"/>
      <c r="AB45" s="223"/>
      <c r="AC45" s="224"/>
    </row>
    <row r="46" spans="1:29" x14ac:dyDescent="0.2">
      <c r="A46" s="229">
        <v>44</v>
      </c>
      <c r="B46" s="230">
        <f>_xll.qlInterestRateIndexFixingDate(IborIndex1Y,D46)</f>
        <v>43475</v>
      </c>
      <c r="C46" s="229" t="str">
        <f>_xll.qlMakeDatedOIS(,D46,E46,OvernightIndex,0,DayCounter,0)</f>
        <v>obj_005eb#0000</v>
      </c>
      <c r="D46" s="230">
        <f>_xll.qlCalendarAdvance(Calendar,SettlementDate,A46&amp;"M","mf")</f>
        <v>43479</v>
      </c>
      <c r="E46" s="230">
        <f>_xll.qlInterestRateIndexMaturity(IborIndex1Y,D46)</f>
        <v>43844</v>
      </c>
      <c r="F46" s="231">
        <f>_xll.qlOvernightIndexedSwapFairRate(C46,_xll.ohTrigger(InterestRatesTrigger))</f>
        <v>4.8885703323004919E-3</v>
      </c>
      <c r="G46" s="232">
        <f>_xll.qlInterpolationInterpolate(BasisInterpolator,D46,TRUE,F46)</f>
        <v>3.4322482891656048E-3</v>
      </c>
      <c r="H46" s="231">
        <f t="shared" si="1"/>
        <v>8.3208186214660963E-3</v>
      </c>
      <c r="I46" s="224"/>
      <c r="AA46" s="223"/>
      <c r="AB46" s="223"/>
      <c r="AC46" s="224"/>
    </row>
    <row r="47" spans="1:29" x14ac:dyDescent="0.2">
      <c r="A47" s="229">
        <v>45</v>
      </c>
      <c r="B47" s="230">
        <f>_xll.qlInterestRateIndexFixingDate(IborIndex1Y,D47)</f>
        <v>43507</v>
      </c>
      <c r="C47" s="229" t="str">
        <f>_xll.qlMakeDatedOIS(,D47,E47,OvernightIndex,0,DayCounter,0)</f>
        <v>obj_005f0#0000</v>
      </c>
      <c r="D47" s="230">
        <f>_xll.qlCalendarAdvance(Calendar,SettlementDate,A47&amp;"M","mf")</f>
        <v>43509</v>
      </c>
      <c r="E47" s="230">
        <f>_xll.qlInterestRateIndexMaturity(IborIndex1Y,D47)</f>
        <v>43874</v>
      </c>
      <c r="F47" s="231">
        <f>_xll.qlOvernightIndexedSwapFairRate(C47,_xll.ohTrigger(InterestRatesTrigger))</f>
        <v>5.0887061003158382E-3</v>
      </c>
      <c r="G47" s="232">
        <f>_xll.qlInterpolationInterpolate(BasisInterpolator,D47,TRUE,F47)</f>
        <v>3.4368485749408334E-3</v>
      </c>
      <c r="H47" s="231">
        <f t="shared" si="1"/>
        <v>8.5255546752566712E-3</v>
      </c>
      <c r="I47" s="224"/>
      <c r="AA47" s="223"/>
      <c r="AB47" s="223"/>
      <c r="AC47" s="224"/>
    </row>
    <row r="48" spans="1:29" x14ac:dyDescent="0.2">
      <c r="A48" s="229">
        <v>46</v>
      </c>
      <c r="B48" s="230">
        <f>_xll.qlInterestRateIndexFixingDate(IborIndex1Y,D48)</f>
        <v>43535</v>
      </c>
      <c r="C48" s="229" t="str">
        <f>_xll.qlMakeDatedOIS(,D48,E48,OvernightIndex,0,DayCounter,0)</f>
        <v>obj_00602#0000</v>
      </c>
      <c r="D48" s="230">
        <f>_xll.qlCalendarAdvance(Calendar,SettlementDate,A48&amp;"M","mf")</f>
        <v>43537</v>
      </c>
      <c r="E48" s="230">
        <f>_xll.qlInterestRateIndexMaturity(IborIndex1Y,D48)</f>
        <v>43903</v>
      </c>
      <c r="F48" s="231">
        <f>_xll.qlOvernightIndexedSwapFairRate(C48,_xll.ohTrigger(InterestRatesTrigger))</f>
        <v>5.2788876265481097E-3</v>
      </c>
      <c r="G48" s="232">
        <f>_xll.qlInterpolationInterpolate(BasisInterpolator,D48,TRUE,F48)</f>
        <v>3.4395938815543385E-3</v>
      </c>
      <c r="H48" s="231">
        <f t="shared" si="1"/>
        <v>8.7184815081024492E-3</v>
      </c>
      <c r="I48" s="224"/>
      <c r="AA48" s="223"/>
      <c r="AB48" s="223"/>
      <c r="AC48" s="224"/>
    </row>
    <row r="49" spans="1:29" x14ac:dyDescent="0.2">
      <c r="A49" s="233">
        <v>47</v>
      </c>
      <c r="B49" s="234">
        <f>_xll.qlInterestRateIndexFixingDate(IborIndex1Y,D49)</f>
        <v>43566</v>
      </c>
      <c r="C49" s="233" t="str">
        <f>_xll.qlMakeDatedOIS(,D49,E49,OvernightIndex,0,DayCounter,0)</f>
        <v>obj_005ec#0000</v>
      </c>
      <c r="D49" s="234">
        <f>_xll.qlCalendarAdvance(Calendar,SettlementDate,A49&amp;"M","mf")</f>
        <v>43570</v>
      </c>
      <c r="E49" s="234">
        <f>_xll.qlInterestRateIndexMaturity(IborIndex1Y,D49)</f>
        <v>43936</v>
      </c>
      <c r="F49" s="235">
        <f>_xll.qlOvernightIndexedSwapFairRate(C49,_xll.ohTrigger(InterestRatesTrigger))</f>
        <v>5.4992258657113012E-3</v>
      </c>
      <c r="G49" s="236">
        <f>_xll.qlInterpolationInterpolate(BasisInterpolator,D49,TRUE,F49)</f>
        <v>3.4404575435390975E-3</v>
      </c>
      <c r="H49" s="235">
        <f t="shared" si="1"/>
        <v>8.9396834092503978E-3</v>
      </c>
      <c r="I49" s="224"/>
      <c r="AA49" s="223"/>
      <c r="AB49" s="223"/>
      <c r="AC49" s="224"/>
    </row>
    <row r="50" spans="1:29" x14ac:dyDescent="0.2">
      <c r="A50" s="233">
        <v>48</v>
      </c>
      <c r="B50" s="234">
        <f>_xll.qlInterestRateIndexFixingDate(IborIndex1Y,D50)</f>
        <v>43594</v>
      </c>
      <c r="C50" s="233" t="str">
        <f>_xll.qlMakeDatedOIS(,D50,E50,OvernightIndex,0,DayCounter,0)</f>
        <v>obj_005df#0000</v>
      </c>
      <c r="D50" s="234">
        <f>_xll.qlCalendarAdvance(Calendar,SettlementDate,A50&amp;"M","mf")</f>
        <v>43598</v>
      </c>
      <c r="E50" s="234">
        <f>_xll.qlInterestRateIndexMaturity(IborIndex1Y,D50)</f>
        <v>43964</v>
      </c>
      <c r="F50" s="235">
        <f>_xll.qlOvernightIndexedSwapFairRate(C50,_xll.ohTrigger(InterestRatesTrigger))</f>
        <v>5.6864675157957427E-3</v>
      </c>
      <c r="G50" s="236">
        <f>_xll.qlInterpolationInterpolate(BasisInterpolator,D50,TRUE,F50)</f>
        <v>3.4388021625298224E-3</v>
      </c>
      <c r="H50" s="235">
        <f t="shared" si="1"/>
        <v>9.1252696783255642E-3</v>
      </c>
      <c r="I50" s="224"/>
      <c r="AA50" s="223"/>
      <c r="AB50" s="223"/>
      <c r="AC50" s="224"/>
    </row>
    <row r="51" spans="1:29" x14ac:dyDescent="0.2">
      <c r="I51" s="224"/>
    </row>
    <row r="52" spans="1:29" x14ac:dyDescent="0.2">
      <c r="I52" s="224"/>
    </row>
    <row r="53" spans="1:29" x14ac:dyDescent="0.2">
      <c r="I53" s="224"/>
    </row>
    <row r="54" spans="1:29" x14ac:dyDescent="0.2">
      <c r="I54" s="224"/>
    </row>
    <row r="55" spans="1:29" x14ac:dyDescent="0.2">
      <c r="I55" s="224"/>
    </row>
    <row r="56" spans="1:29" x14ac:dyDescent="0.2">
      <c r="I56" s="22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85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319" customWidth="1"/>
    <col min="2" max="2" width="7.83203125" style="319" customWidth="1"/>
    <col min="3" max="3" width="36.6640625" style="319" bestFit="1" customWidth="1"/>
    <col min="4" max="4" width="35.83203125" style="319" customWidth="1"/>
    <col min="5" max="5" width="25.6640625" style="319" customWidth="1"/>
    <col min="6" max="6" width="4.33203125" style="319" customWidth="1"/>
    <col min="7" max="7" width="7.83203125" style="319" customWidth="1"/>
    <col min="8" max="8" width="10.5" style="319" bestFit="1" customWidth="1"/>
    <col min="9" max="9" width="3.1640625" style="319" customWidth="1"/>
    <col min="10" max="10" width="10.5" style="319" bestFit="1" customWidth="1"/>
    <col min="11" max="11" width="3.1640625" style="319" customWidth="1"/>
    <col min="12" max="12" width="11.6640625" style="319" bestFit="1" customWidth="1"/>
    <col min="13" max="13" width="10.5" style="319" bestFit="1" customWidth="1"/>
    <col min="14" max="14" width="5.83203125" style="319" customWidth="1"/>
    <col min="15" max="16384" width="9.33203125" style="318"/>
  </cols>
  <sheetData>
    <row r="1" spans="1:14" x14ac:dyDescent="0.2">
      <c r="A1" s="252"/>
      <c r="B1" s="98"/>
      <c r="C1" s="98"/>
      <c r="D1" s="12"/>
      <c r="E1" s="12"/>
      <c r="F1" s="15"/>
      <c r="G1" s="14"/>
      <c r="H1" s="14"/>
      <c r="I1" s="15"/>
      <c r="J1" s="15"/>
      <c r="K1" s="15"/>
      <c r="L1" s="14"/>
      <c r="M1" s="98"/>
      <c r="N1" s="253"/>
    </row>
    <row r="2" spans="1:14" ht="12" x14ac:dyDescent="0.25">
      <c r="A2" s="237"/>
      <c r="B2" s="238"/>
      <c r="C2" s="239" t="str">
        <f>Currency&amp;"_015_SyntheticQuotes"&amp;".xml"</f>
        <v>EUR_015_SyntheticQuotes.xml</v>
      </c>
      <c r="D2" s="240" t="str">
        <f>IF(Serialize,_xll.ohObjectSave(D3:D84,SerializationPath&amp;C2,FileOverwrite,Serialize),"---")</f>
        <v>---</v>
      </c>
      <c r="E2" s="240" t="s">
        <v>102</v>
      </c>
      <c r="F2" s="16"/>
      <c r="G2" s="248"/>
      <c r="H2" s="249" t="s">
        <v>56</v>
      </c>
      <c r="I2" s="16"/>
      <c r="J2" s="250" t="s">
        <v>57</v>
      </c>
      <c r="K2" s="16"/>
      <c r="L2" s="248" t="s">
        <v>58</v>
      </c>
      <c r="M2" s="251" t="s">
        <v>59</v>
      </c>
      <c r="N2" s="254">
        <f>_xll.ohTrigger(M3:M7)</f>
        <v>2</v>
      </c>
    </row>
    <row r="3" spans="1:14" x14ac:dyDescent="0.2">
      <c r="A3" s="255">
        <v>1</v>
      </c>
      <c r="B3" s="309" t="s">
        <v>60</v>
      </c>
      <c r="C3" s="310" t="str">
        <f t="shared" ref="C3" si="0">Currency&amp;$B3&amp;"_SYNTH"&amp;Tenor1M&amp;QuoteSuffix</f>
        <v>EURSND_SYNTH1M_Quote</v>
      </c>
      <c r="D3" s="310" t="str">
        <f>_xll.qlSimpleQuote(C3,,RateTickValue,Permanent,EvaluationDate,ObjectOverwrite)</f>
        <v>EURSND_SYNTH1M_Quote#0000</v>
      </c>
      <c r="E3" s="315" t="str">
        <f>_xll.ohRangeRetrieveError(D3)</f>
        <v/>
      </c>
      <c r="F3" s="16"/>
      <c r="G3" s="290" t="s">
        <v>60</v>
      </c>
      <c r="H3" s="291">
        <f>'1MSynthDepo'!C23</f>
        <v>-5.4439729520350255E-4</v>
      </c>
      <c r="I3" s="17" t="s">
        <v>61</v>
      </c>
      <c r="J3" s="284">
        <v>-5.4430867625132606E-4</v>
      </c>
      <c r="K3" s="16"/>
      <c r="L3" s="272">
        <f t="array" ref="L3:L84">QuoteStatic</f>
        <v>-5.4430867625132606E-4</v>
      </c>
      <c r="M3" s="273" t="e">
        <f>_xll.qlSimpleQuoteSetValue(D3,ROUND($L3,6),EvaluationDate)</f>
        <v>#N/A</v>
      </c>
      <c r="N3" s="256"/>
    </row>
    <row r="4" spans="1:14" x14ac:dyDescent="0.2">
      <c r="A4" s="257" t="str">
        <f>_xll.qlPeriodEquivalent(Months1M&amp;"M")</f>
        <v>1M</v>
      </c>
      <c r="B4" s="311" t="s">
        <v>62</v>
      </c>
      <c r="C4" s="312" t="str">
        <f t="shared" ref="C4:C7" si="1">Currency&amp;$B4&amp;"_SYNTH"&amp;Tenor1M&amp;QuoteSuffix</f>
        <v>EURSWD_SYNTH1M_Quote</v>
      </c>
      <c r="D4" s="312" t="str">
        <f>_xll.qlSimpleQuote(C4,,RateTickValue,Permanent,EvaluationDate,ObjectOverwrite)</f>
        <v>EURSWD_SYNTH1M_Quote#0000</v>
      </c>
      <c r="E4" s="316" t="str">
        <f>_xll.ohRangeRetrieveError(D4)</f>
        <v/>
      </c>
      <c r="F4" s="16"/>
      <c r="G4" s="290" t="s">
        <v>62</v>
      </c>
      <c r="H4" s="291">
        <f>'1MSynthDepo'!C24</f>
        <v>-5.2198247374743033E-4</v>
      </c>
      <c r="I4" s="17" t="s">
        <v>61</v>
      </c>
      <c r="J4" s="284">
        <v>-5.2191732717358054E-4</v>
      </c>
      <c r="K4" s="16"/>
      <c r="L4" s="272">
        <v>-5.2191732717358054E-4</v>
      </c>
      <c r="M4" s="273" t="e">
        <f>_xll.qlSimpleQuoteSetValue(D4,ROUND($L4,6),EvaluationDate)</f>
        <v>#N/A</v>
      </c>
      <c r="N4" s="256"/>
    </row>
    <row r="5" spans="1:14" x14ac:dyDescent="0.2">
      <c r="A5" s="258"/>
      <c r="B5" s="311" t="s">
        <v>63</v>
      </c>
      <c r="C5" s="312" t="str">
        <f t="shared" si="1"/>
        <v>EUR2WD_SYNTH1M_Quote</v>
      </c>
      <c r="D5" s="312" t="str">
        <f>_xll.qlSimpleQuote(C5,,RateTickValue,Permanent,EvaluationDate,ObjectOverwrite)</f>
        <v>EUR2WD_SYNTH1M_Quote#0000</v>
      </c>
      <c r="E5" s="316" t="str">
        <f>_xll.ohRangeRetrieveError(D5)</f>
        <v/>
      </c>
      <c r="F5" s="16"/>
      <c r="G5" s="290" t="s">
        <v>63</v>
      </c>
      <c r="H5" s="291">
        <f>'1MSynthDepo'!C25</f>
        <v>-5.2012081003852519E-4</v>
      </c>
      <c r="I5" s="17" t="s">
        <v>61</v>
      </c>
      <c r="J5" s="284">
        <v>-5.2007905771407029E-4</v>
      </c>
      <c r="K5" s="16"/>
      <c r="L5" s="272">
        <v>-5.2007905771407029E-4</v>
      </c>
      <c r="M5" s="273" t="e">
        <f>_xll.qlSimpleQuoteSetValue(D5,ROUND($L5,6),EvaluationDate)</f>
        <v>#N/A</v>
      </c>
      <c r="N5" s="256"/>
    </row>
    <row r="6" spans="1:14" x14ac:dyDescent="0.2">
      <c r="A6" s="258"/>
      <c r="B6" s="311" t="s">
        <v>64</v>
      </c>
      <c r="C6" s="312" t="str">
        <f t="shared" si="1"/>
        <v>EUR3WD_SYNTH1M_Quote</v>
      </c>
      <c r="D6" s="312" t="str">
        <f>_xll.qlSimpleQuote(C6,,RateTickValue,Permanent,EvaluationDate,ObjectOverwrite)</f>
        <v>EUR3WD_SYNTH1M_Quote#0000</v>
      </c>
      <c r="E6" s="316" t="str">
        <f>_xll.ohRangeRetrieveError(D6)</f>
        <v/>
      </c>
      <c r="F6" s="16"/>
      <c r="G6" s="292" t="s">
        <v>64</v>
      </c>
      <c r="H6" s="291">
        <f>'1MSynthDepo'!C26</f>
        <v>-4.2866889981103232E-4</v>
      </c>
      <c r="I6" s="17" t="s">
        <v>61</v>
      </c>
      <c r="J6" s="285">
        <v>-4.2864622804180845E-4</v>
      </c>
      <c r="K6" s="16"/>
      <c r="L6" s="274">
        <v>-4.2864622804180845E-4</v>
      </c>
      <c r="M6" s="275" t="e">
        <f>_xll.qlSimpleQuoteSetValue(D6,ROUND($L6,6),EvaluationDate)</f>
        <v>#N/A</v>
      </c>
      <c r="N6" s="256"/>
    </row>
    <row r="7" spans="1:14" x14ac:dyDescent="0.2">
      <c r="A7" s="258"/>
      <c r="B7" s="313" t="s">
        <v>65</v>
      </c>
      <c r="C7" s="314" t="str">
        <f t="shared" si="1"/>
        <v>EUR1MD_SYNTH1M_Quote</v>
      </c>
      <c r="D7" s="314" t="str">
        <f>_xll.qlSimpleQuote(C7,,RateTickValue,Permanent,EvaluationDate,ObjectOverwrite)</f>
        <v>EUR1MD_SYNTH1M_Quote#0000</v>
      </c>
      <c r="E7" s="317" t="str">
        <f>_xll.ohRangeRetrieveError(D7)</f>
        <v/>
      </c>
      <c r="F7" s="16"/>
      <c r="G7" s="293" t="s">
        <v>65</v>
      </c>
      <c r="H7" s="294">
        <f>'1MSynthDepo'!C27</f>
        <v>-4.4999999999870903E-4</v>
      </c>
      <c r="I7" s="17" t="s">
        <v>61</v>
      </c>
      <c r="J7" s="286">
        <v>-4.4999999999870903E-4</v>
      </c>
      <c r="K7" s="16"/>
      <c r="L7" s="276">
        <v>-4.4999999999870903E-4</v>
      </c>
      <c r="M7" s="277" t="e">
        <f>_xll.qlSimpleQuoteSetValue(D7,ROUND($L7,6),EvaluationDate)</f>
        <v>#N/A</v>
      </c>
      <c r="N7" s="259"/>
    </row>
    <row r="8" spans="1:14" x14ac:dyDescent="0.2">
      <c r="A8" s="241">
        <v>3</v>
      </c>
      <c r="B8" s="309" t="s">
        <v>60</v>
      </c>
      <c r="C8" s="310" t="str">
        <f t="shared" ref="C8:C14" si="2">Currency&amp;$B8&amp;"_SYNTH"&amp;Tenor3M&amp;QuoteSuffix</f>
        <v>EURSND_SYNTH3M_Quote</v>
      </c>
      <c r="D8" s="310" t="str">
        <f>_xll.qlSimpleQuote(C8,,RateTickValue,Permanent,EvaluationDate,ObjectOverwrite)</f>
        <v>EURSND_SYNTH3M_Quote#0000</v>
      </c>
      <c r="E8" s="315"/>
      <c r="F8" s="18"/>
      <c r="G8" s="295" t="s">
        <v>60</v>
      </c>
      <c r="H8" s="296">
        <f>'3MSynthDepo'!C25</f>
        <v>-2.8055546130278941E-4</v>
      </c>
      <c r="I8" s="19"/>
      <c r="J8" s="284">
        <v>-2.8191457816184595E-4</v>
      </c>
      <c r="K8" s="18"/>
      <c r="L8" s="272">
        <v>-2.8191457816184595E-4</v>
      </c>
      <c r="M8" s="273" t="e">
        <f>_xll.qlSimpleQuoteSetValue(D8,ROUND($L8,6),EvaluationDate)</f>
        <v>#N/A</v>
      </c>
      <c r="N8" s="260">
        <f>_xll.ohTrigger(M8:M14)</f>
        <v>2</v>
      </c>
    </row>
    <row r="9" spans="1:14" x14ac:dyDescent="0.2">
      <c r="A9" s="257" t="str">
        <f>_xll.qlPeriodEquivalent(Months3M&amp;"M")</f>
        <v>3M</v>
      </c>
      <c r="B9" s="311" t="s">
        <v>62</v>
      </c>
      <c r="C9" s="312" t="str">
        <f t="shared" si="2"/>
        <v>EURSWD_SYNTH3M_Quote</v>
      </c>
      <c r="D9" s="312" t="str">
        <f>_xll.qlSimpleQuote(C9,,RateTickValue,Permanent,EvaluationDate,ObjectOverwrite)</f>
        <v>EURSWD_SYNTH3M_Quote#0000</v>
      </c>
      <c r="E9" s="316"/>
      <c r="F9" s="18"/>
      <c r="G9" s="297" t="s">
        <v>62</v>
      </c>
      <c r="H9" s="291">
        <f>'3MSynthDepo'!C26</f>
        <v>-2.5249449640821605E-4</v>
      </c>
      <c r="I9" s="19"/>
      <c r="J9" s="284">
        <v>-2.5367771939637559E-4</v>
      </c>
      <c r="K9" s="18"/>
      <c r="L9" s="272">
        <v>-2.5367771939637559E-4</v>
      </c>
      <c r="M9" s="273" t="e">
        <f>_xll.qlSimpleQuoteSetValue(D9,ROUND($L9,6),EvaluationDate)</f>
        <v>#N/A</v>
      </c>
      <c r="N9" s="256"/>
    </row>
    <row r="10" spans="1:14" x14ac:dyDescent="0.2">
      <c r="A10" s="261"/>
      <c r="B10" s="311" t="s">
        <v>63</v>
      </c>
      <c r="C10" s="312" t="str">
        <f t="shared" si="2"/>
        <v>EUR2WD_SYNTH3M_Quote</v>
      </c>
      <c r="D10" s="312" t="str">
        <f>_xll.qlSimpleQuote(C10,,RateTickValue,Permanent,EvaluationDate,ObjectOverwrite)</f>
        <v>EUR2WD_SYNTH3M_Quote#0000</v>
      </c>
      <c r="E10" s="316"/>
      <c r="F10" s="18"/>
      <c r="G10" s="297" t="s">
        <v>63</v>
      </c>
      <c r="H10" s="291">
        <f>'3MSynthDepo'!C27</f>
        <v>-2.4374652506661425E-4</v>
      </c>
      <c r="I10" s="19"/>
      <c r="J10" s="284">
        <v>-2.4473993384470968E-4</v>
      </c>
      <c r="K10" s="18"/>
      <c r="L10" s="272">
        <v>-2.4473993384470968E-4</v>
      </c>
      <c r="M10" s="273" t="e">
        <f>_xll.qlSimpleQuoteSetValue(D10,ROUND($L10,6),EvaluationDate)</f>
        <v>#N/A</v>
      </c>
      <c r="N10" s="256"/>
    </row>
    <row r="11" spans="1:14" x14ac:dyDescent="0.2">
      <c r="A11" s="261"/>
      <c r="B11" s="311" t="s">
        <v>64</v>
      </c>
      <c r="C11" s="312" t="str">
        <f t="shared" si="2"/>
        <v>EUR3WD_SYNTH3M_Quote</v>
      </c>
      <c r="D11" s="312" t="str">
        <f>_xll.qlSimpleQuote(C11,,RateTickValue,Permanent,EvaluationDate,ObjectOverwrite)</f>
        <v>EUR3WD_SYNTH3M_Quote#0000</v>
      </c>
      <c r="E11" s="316"/>
      <c r="F11" s="18"/>
      <c r="G11" s="298" t="s">
        <v>64</v>
      </c>
      <c r="H11" s="299">
        <f>'3MSynthDepo'!C28</f>
        <v>-1.4508465501566242E-4</v>
      </c>
      <c r="I11" s="19"/>
      <c r="J11" s="285">
        <v>-1.4590481659241102E-4</v>
      </c>
      <c r="K11" s="18"/>
      <c r="L11" s="274">
        <v>-1.4590481659241102E-4</v>
      </c>
      <c r="M11" s="275" t="e">
        <f>_xll.qlSimpleQuoteSetValue(D11,ROUND($L11,6),EvaluationDate)</f>
        <v>#N/A</v>
      </c>
      <c r="N11" s="256"/>
    </row>
    <row r="12" spans="1:14" x14ac:dyDescent="0.2">
      <c r="A12" s="261"/>
      <c r="B12" s="311" t="s">
        <v>65</v>
      </c>
      <c r="C12" s="312" t="str">
        <f t="shared" si="2"/>
        <v>EUR1MD_SYNTH3M_Quote</v>
      </c>
      <c r="D12" s="312" t="str">
        <f>_xll.qlSimpleQuote(C12,,RateTickValue,Permanent,EvaluationDate,ObjectOverwrite)</f>
        <v>EUR1MD_SYNTH3M_Quote#0000</v>
      </c>
      <c r="E12" s="316"/>
      <c r="F12" s="18"/>
      <c r="G12" s="297" t="s">
        <v>65</v>
      </c>
      <c r="H12" s="291">
        <f>'3MSynthDepo'!C29</f>
        <v>-1.5330853665835261E-4</v>
      </c>
      <c r="I12" s="19"/>
      <c r="J12" s="284">
        <v>-1.5387022450246752E-4</v>
      </c>
      <c r="K12" s="18"/>
      <c r="L12" s="272">
        <v>-1.5387022450246752E-4</v>
      </c>
      <c r="M12" s="273" t="e">
        <f>_xll.qlSimpleQuoteSetValue(D12,ROUND($L12,6),EvaluationDate)</f>
        <v>#N/A</v>
      </c>
      <c r="N12" s="256"/>
    </row>
    <row r="13" spans="1:14" x14ac:dyDescent="0.2">
      <c r="A13" s="261"/>
      <c r="B13" s="311" t="s">
        <v>66</v>
      </c>
      <c r="C13" s="312" t="str">
        <f t="shared" si="2"/>
        <v>EUR2MD_SYNTH3M_Quote</v>
      </c>
      <c r="D13" s="312" t="str">
        <f>_xll.qlSimpleQuote(C13,,RateTickValue,Permanent,EvaluationDate,ObjectOverwrite)</f>
        <v>EUR2MD_SYNTH3M_Quote#0000</v>
      </c>
      <c r="E13" s="316"/>
      <c r="F13" s="18"/>
      <c r="G13" s="297" t="s">
        <v>66</v>
      </c>
      <c r="H13" s="291">
        <f>'3MSynthDepo'!C30</f>
        <v>-1.6019717063509747E-4</v>
      </c>
      <c r="I13" s="19"/>
      <c r="J13" s="284">
        <v>-1.6034501177442822E-4</v>
      </c>
      <c r="K13" s="18"/>
      <c r="L13" s="272">
        <v>-1.6034501177442822E-4</v>
      </c>
      <c r="M13" s="273" t="e">
        <f>_xll.qlSimpleQuoteSetValue(D13,ROUND($L13,6),EvaluationDate)</f>
        <v>#N/A</v>
      </c>
      <c r="N13" s="256"/>
    </row>
    <row r="14" spans="1:14" x14ac:dyDescent="0.2">
      <c r="A14" s="246"/>
      <c r="B14" s="313" t="s">
        <v>67</v>
      </c>
      <c r="C14" s="314" t="str">
        <f t="shared" si="2"/>
        <v>EUR3MD_SYNTH3M_Quote</v>
      </c>
      <c r="D14" s="314" t="str">
        <f>_xll.qlSimpleQuote(C14,,RateTickValue,Permanent,EvaluationDate,ObjectOverwrite)</f>
        <v>EUR3MD_SYNTH3M_Quote#0000</v>
      </c>
      <c r="E14" s="317"/>
      <c r="F14" s="18"/>
      <c r="G14" s="298" t="s">
        <v>67</v>
      </c>
      <c r="H14" s="299">
        <f>'3MSynthDepo'!C31</f>
        <v>-1.4116390531461044E-4</v>
      </c>
      <c r="I14" s="19"/>
      <c r="J14" s="285">
        <v>-1.4122704171723818E-4</v>
      </c>
      <c r="K14" s="18"/>
      <c r="L14" s="274">
        <v>-1.4122704171723818E-4</v>
      </c>
      <c r="M14" s="275" t="e">
        <f>_xll.qlSimpleQuoteSetValue(D14,ROUND($L14,6),EvaluationDate)</f>
        <v>#N/A</v>
      </c>
      <c r="N14" s="256"/>
    </row>
    <row r="15" spans="1:14" x14ac:dyDescent="0.2">
      <c r="A15" s="255">
        <v>6</v>
      </c>
      <c r="B15" s="309" t="s">
        <v>60</v>
      </c>
      <c r="C15" s="310" t="str">
        <f t="shared" ref="C15:C24" si="3">Currency&amp;$B15&amp;"_SYNTH"&amp;Tenor6M&amp;QuoteSuffix</f>
        <v>EURSND_SYNTH6M_Quote</v>
      </c>
      <c r="D15" s="310" t="str">
        <f>_xll.qlSimpleQuote(C15,,RateTickValue,Permanent,EvaluationDate,ObjectOverwrite)</f>
        <v>EURSND_SYNTH6M_Quote#0000</v>
      </c>
      <c r="E15" s="315" t="str">
        <f>_xll.ohRangeRetrieveError(D15)</f>
        <v/>
      </c>
      <c r="F15" s="18"/>
      <c r="G15" s="295" t="s">
        <v>60</v>
      </c>
      <c r="H15" s="296">
        <f>'6MSynthDepo'!C28</f>
        <v>7.7917919252712409E-4</v>
      </c>
      <c r="I15" s="19"/>
      <c r="J15" s="284">
        <v>7.8222022003693326E-4</v>
      </c>
      <c r="K15" s="18"/>
      <c r="L15" s="272">
        <v>7.8222022003693326E-4</v>
      </c>
      <c r="M15" s="273" t="e">
        <f>_xll.qlSimpleQuoteSetValue(D15,ROUND($L15,6),EvaluationDate)</f>
        <v>#N/A</v>
      </c>
      <c r="N15" s="262">
        <f>_xll.ohTrigger(M15:M24)</f>
        <v>2</v>
      </c>
    </row>
    <row r="16" spans="1:14" x14ac:dyDescent="0.2">
      <c r="A16" s="257" t="str">
        <f>_xll.qlPeriodEquivalent(Months6M&amp;"M")</f>
        <v>6M</v>
      </c>
      <c r="B16" s="311" t="s">
        <v>62</v>
      </c>
      <c r="C16" s="312" t="str">
        <f t="shared" si="3"/>
        <v>EURSWD_SYNTH6M_Quote</v>
      </c>
      <c r="D16" s="312" t="str">
        <f>_xll.qlSimpleQuote(C16,,RateTickValue,Permanent,EvaluationDate,ObjectOverwrite)</f>
        <v>EURSWD_SYNTH6M_Quote#0000</v>
      </c>
      <c r="E16" s="316" t="str">
        <f>_xll.ohRangeRetrieveError(D16)</f>
        <v/>
      </c>
      <c r="F16" s="18"/>
      <c r="G16" s="297" t="s">
        <v>62</v>
      </c>
      <c r="H16" s="291">
        <f>'6MSynthDepo'!C29</f>
        <v>7.9339057724757216E-4</v>
      </c>
      <c r="I16" s="19"/>
      <c r="J16" s="284">
        <v>7.9637740020796087E-4</v>
      </c>
      <c r="K16" s="18"/>
      <c r="L16" s="272">
        <v>7.9637740020796087E-4</v>
      </c>
      <c r="M16" s="273" t="e">
        <f>_xll.qlSimpleQuoteSetValue(D16,ROUND($L16,6),EvaluationDate)</f>
        <v>#N/A</v>
      </c>
      <c r="N16" s="263"/>
    </row>
    <row r="17" spans="1:14" x14ac:dyDescent="0.2">
      <c r="A17" s="264"/>
      <c r="B17" s="311" t="s">
        <v>63</v>
      </c>
      <c r="C17" s="312" t="str">
        <f t="shared" si="3"/>
        <v>EUR2WD_SYNTH6M_Quote</v>
      </c>
      <c r="D17" s="312" t="str">
        <f>_xll.qlSimpleQuote(C17,,RateTickValue,Permanent,EvaluationDate,ObjectOverwrite)</f>
        <v>EUR2WD_SYNTH6M_Quote#0000</v>
      </c>
      <c r="E17" s="316" t="str">
        <f>_xll.ohRangeRetrieveError(D17)</f>
        <v/>
      </c>
      <c r="F17" s="10"/>
      <c r="G17" s="297" t="s">
        <v>63</v>
      </c>
      <c r="H17" s="291">
        <f>'6MSynthDepo'!C30</f>
        <v>7.8606374979425396E-4</v>
      </c>
      <c r="I17" s="19"/>
      <c r="J17" s="284">
        <v>7.8898731493280499E-4</v>
      </c>
      <c r="K17" s="18"/>
      <c r="L17" s="272">
        <v>7.8898731493280499E-4</v>
      </c>
      <c r="M17" s="273" t="e">
        <f>_xll.qlSimpleQuoteSetValue(D17,ROUND($L17,6),EvaluationDate)</f>
        <v>#N/A</v>
      </c>
      <c r="N17" s="263"/>
    </row>
    <row r="18" spans="1:14" x14ac:dyDescent="0.2">
      <c r="A18" s="261"/>
      <c r="B18" s="311" t="s">
        <v>64</v>
      </c>
      <c r="C18" s="312" t="str">
        <f t="shared" si="3"/>
        <v>EUR3WD_SYNTH6M_Quote</v>
      </c>
      <c r="D18" s="312" t="str">
        <f>_xll.qlSimpleQuote(C18,,RateTickValue,Permanent,EvaluationDate,ObjectOverwrite)</f>
        <v>EUR3WD_SYNTH6M_Quote#0000</v>
      </c>
      <c r="E18" s="316" t="str">
        <f>_xll.ohRangeRetrieveError(D18)</f>
        <v/>
      </c>
      <c r="F18" s="10"/>
      <c r="G18" s="297" t="s">
        <v>64</v>
      </c>
      <c r="H18" s="291">
        <f>'6MSynthDepo'!C31</f>
        <v>8.6874565013011259E-4</v>
      </c>
      <c r="I18" s="19"/>
      <c r="J18" s="284">
        <v>8.7160596859980899E-4</v>
      </c>
      <c r="K18" s="18"/>
      <c r="L18" s="272">
        <v>8.7160596859980899E-4</v>
      </c>
      <c r="M18" s="273" t="e">
        <f>_xll.qlSimpleQuoteSetValue(D18,ROUND($L18,6),EvaluationDate)</f>
        <v>#N/A</v>
      </c>
      <c r="N18" s="263"/>
    </row>
    <row r="19" spans="1:14" x14ac:dyDescent="0.2">
      <c r="A19" s="261"/>
      <c r="B19" s="311" t="s">
        <v>65</v>
      </c>
      <c r="C19" s="312" t="str">
        <f t="shared" si="3"/>
        <v>EUR1MD_SYNTH6M_Quote</v>
      </c>
      <c r="D19" s="312" t="str">
        <f>_xll.qlSimpleQuote(C19,,RateTickValue,Permanent,EvaluationDate,ObjectOverwrite)</f>
        <v>EUR1MD_SYNTH6M_Quote#0000</v>
      </c>
      <c r="E19" s="316" t="str">
        <f>_xll.ohRangeRetrieveError(D19)</f>
        <v/>
      </c>
      <c r="F19" s="10"/>
      <c r="G19" s="295" t="s">
        <v>65</v>
      </c>
      <c r="H19" s="296">
        <f>'6MSynthDepo'!C32</f>
        <v>8.333273919277932E-4</v>
      </c>
      <c r="I19" s="111"/>
      <c r="J19" s="287">
        <v>8.360792577321132E-4</v>
      </c>
      <c r="K19" s="112"/>
      <c r="L19" s="278">
        <v>8.360792577321132E-4</v>
      </c>
      <c r="M19" s="279" t="e">
        <f>_xll.qlSimpleQuoteSetValue(D19,ROUND($L19,6),EvaluationDate)</f>
        <v>#N/A</v>
      </c>
      <c r="N19" s="263"/>
    </row>
    <row r="20" spans="1:14" x14ac:dyDescent="0.2">
      <c r="A20" s="261"/>
      <c r="B20" s="311" t="s">
        <v>66</v>
      </c>
      <c r="C20" s="312" t="str">
        <f t="shared" si="3"/>
        <v>EUR2MD_SYNTH6M_Quote</v>
      </c>
      <c r="D20" s="312" t="str">
        <f>_xll.qlSimpleQuote(C20,,RateTickValue,Permanent,EvaluationDate,ObjectOverwrite)</f>
        <v>EUR2MD_SYNTH6M_Quote#0000</v>
      </c>
      <c r="E20" s="316" t="str">
        <f>_xll.ohRangeRetrieveError(D20)</f>
        <v/>
      </c>
      <c r="F20" s="10"/>
      <c r="G20" s="297" t="s">
        <v>66</v>
      </c>
      <c r="H20" s="291">
        <f>'6MSynthDepo'!C33</f>
        <v>7.6400448303683935E-4</v>
      </c>
      <c r="I20" s="19"/>
      <c r="J20" s="284">
        <v>7.6650325586745686E-4</v>
      </c>
      <c r="K20" s="18"/>
      <c r="L20" s="272">
        <v>7.6650325586745686E-4</v>
      </c>
      <c r="M20" s="273" t="e">
        <f>_xll.qlSimpleQuoteSetValue(D20,ROUND($L20,6),EvaluationDate)</f>
        <v>#N/A</v>
      </c>
      <c r="N20" s="263"/>
    </row>
    <row r="21" spans="1:14" x14ac:dyDescent="0.2">
      <c r="A21" s="261"/>
      <c r="B21" s="311" t="s">
        <v>67</v>
      </c>
      <c r="C21" s="312" t="str">
        <f t="shared" si="3"/>
        <v>EUR3MD_SYNTH6M_Quote</v>
      </c>
      <c r="D21" s="312" t="str">
        <f>_xll.qlSimpleQuote(C21,,RateTickValue,Permanent,EvaluationDate,ObjectOverwrite)</f>
        <v>EUR3MD_SYNTH6M_Quote#0000</v>
      </c>
      <c r="E21" s="316" t="str">
        <f>_xll.ohRangeRetrieveError(D21)</f>
        <v/>
      </c>
      <c r="F21" s="10"/>
      <c r="G21" s="297" t="s">
        <v>67</v>
      </c>
      <c r="H21" s="291">
        <f>'6MSynthDepo'!C34</f>
        <v>7.1558454574284567E-4</v>
      </c>
      <c r="I21" s="19"/>
      <c r="J21" s="284">
        <v>7.1773862812574629E-4</v>
      </c>
      <c r="K21" s="18"/>
      <c r="L21" s="272">
        <v>7.1773862812574629E-4</v>
      </c>
      <c r="M21" s="273" t="e">
        <f>_xll.qlSimpleQuoteSetValue(D21,ROUND($L21,6),EvaluationDate)</f>
        <v>#N/A</v>
      </c>
      <c r="N21" s="263"/>
    </row>
    <row r="22" spans="1:14" x14ac:dyDescent="0.2">
      <c r="A22" s="261"/>
      <c r="B22" s="311" t="s">
        <v>68</v>
      </c>
      <c r="C22" s="312" t="str">
        <f t="shared" si="3"/>
        <v>EUR4MD_SYNTH6M_Quote</v>
      </c>
      <c r="D22" s="312" t="str">
        <f>_xll.qlSimpleQuote(C22,,RateTickValue,Permanent,EvaluationDate,ObjectOverwrite)</f>
        <v>EUR4MD_SYNTH6M_Quote#0000</v>
      </c>
      <c r="E22" s="316" t="str">
        <f>_xll.ohRangeRetrieveError(D22)</f>
        <v/>
      </c>
      <c r="F22" s="10"/>
      <c r="G22" s="297" t="s">
        <v>68</v>
      </c>
      <c r="H22" s="291">
        <f>'6MSynthDepo'!C35</f>
        <v>6.8769699003314792E-4</v>
      </c>
      <c r="I22" s="19"/>
      <c r="J22" s="284">
        <v>6.8967233375657935E-4</v>
      </c>
      <c r="K22" s="18"/>
      <c r="L22" s="272">
        <v>6.8967233375657935E-4</v>
      </c>
      <c r="M22" s="273" t="e">
        <f>_xll.qlSimpleQuoteSetValue(D22,ROUND($L22,6),EvaluationDate)</f>
        <v>#N/A</v>
      </c>
      <c r="N22" s="263"/>
    </row>
    <row r="23" spans="1:14" x14ac:dyDescent="0.2">
      <c r="A23" s="261"/>
      <c r="B23" s="311" t="s">
        <v>69</v>
      </c>
      <c r="C23" s="312" t="str">
        <f t="shared" si="3"/>
        <v>EUR5MD_SYNTH6M_Quote</v>
      </c>
      <c r="D23" s="312" t="str">
        <f>_xll.qlSimpleQuote(C23,,RateTickValue,Permanent,EvaluationDate,ObjectOverwrite)</f>
        <v>EUR5MD_SYNTH6M_Quote#0000</v>
      </c>
      <c r="E23" s="316" t="str">
        <f>_xll.ohRangeRetrieveError(D23)</f>
        <v/>
      </c>
      <c r="F23" s="10"/>
      <c r="G23" s="297" t="s">
        <v>69</v>
      </c>
      <c r="H23" s="291">
        <f>'6MSynthDepo'!C36</f>
        <v>6.8012006340388651E-4</v>
      </c>
      <c r="I23" s="19"/>
      <c r="J23" s="284">
        <v>6.8198853630708307E-4</v>
      </c>
      <c r="K23" s="18"/>
      <c r="L23" s="272">
        <v>6.8198853630708307E-4</v>
      </c>
      <c r="M23" s="273" t="e">
        <f>_xll.qlSimpleQuoteSetValue(D23,ROUND($L23,6),EvaluationDate)</f>
        <v>#N/A</v>
      </c>
      <c r="N23" s="263"/>
    </row>
    <row r="24" spans="1:14" x14ac:dyDescent="0.2">
      <c r="A24" s="246"/>
      <c r="B24" s="313" t="s">
        <v>70</v>
      </c>
      <c r="C24" s="314" t="str">
        <f t="shared" si="3"/>
        <v>EUR6MD_SYNTH6M_Quote</v>
      </c>
      <c r="D24" s="314" t="str">
        <f>_xll.qlSimpleQuote(C24,,RateTickValue,Permanent,EvaluationDate,ObjectOverwrite)</f>
        <v>EUR6MD_SYNTH6M_Quote#0000</v>
      </c>
      <c r="E24" s="317" t="str">
        <f>_xll.ohRangeRetrieveError(D24)</f>
        <v/>
      </c>
      <c r="F24" s="10"/>
      <c r="G24" s="298" t="s">
        <v>70</v>
      </c>
      <c r="H24" s="299">
        <f>'6MSynthDepo'!C37</f>
        <v>6.7139041690982676E-4</v>
      </c>
      <c r="I24" s="19"/>
      <c r="J24" s="285">
        <v>6.7281013333989666E-4</v>
      </c>
      <c r="K24" s="18"/>
      <c r="L24" s="274">
        <v>6.7281013333989666E-4</v>
      </c>
      <c r="M24" s="275" t="e">
        <f>_xll.qlSimpleQuoteSetValue(D24,ROUND($L24,6),EvaluationDate)</f>
        <v>#N/A</v>
      </c>
      <c r="N24" s="263"/>
    </row>
    <row r="25" spans="1:14" x14ac:dyDescent="0.2">
      <c r="A25" s="247">
        <v>12</v>
      </c>
      <c r="B25" s="311" t="s">
        <v>60</v>
      </c>
      <c r="C25" s="312" t="str">
        <f t="shared" ref="C25:C40" si="4">Currency&amp;$B25&amp;"_SYNTH"&amp;Tenor12M&amp;QuoteSuffix</f>
        <v>EURSND_SYNTH1Y_Quote</v>
      </c>
      <c r="D25" s="312" t="str">
        <f>_xll.qlSimpleQuote(C25,,RateTickValue,Permanent,EvaluationDate,ObjectOverwrite)</f>
        <v>EURSND_SYNTH1Y_Quote#0000</v>
      </c>
      <c r="E25" s="316" t="str">
        <f>_xll.ohRangeRetrieveError(D25)</f>
        <v/>
      </c>
      <c r="F25" s="18"/>
      <c r="G25" s="300" t="s">
        <v>60</v>
      </c>
      <c r="H25" s="296">
        <f>'1YSynthDepo'!C34</f>
        <v>1.6318272343784912E-3</v>
      </c>
      <c r="I25" s="19"/>
      <c r="J25" s="284">
        <v>1.6384908701017054E-3</v>
      </c>
      <c r="K25" s="18"/>
      <c r="L25" s="272">
        <v>1.6384908701017054E-3</v>
      </c>
      <c r="M25" s="273" t="e">
        <f>_xll.qlSimpleQuoteSetValue(D25,ROUND($L25,6),EvaluationDate)</f>
        <v>#N/A</v>
      </c>
      <c r="N25" s="262">
        <f>_xll.ohTrigger(M25:M40)</f>
        <v>2</v>
      </c>
    </row>
    <row r="26" spans="1:14" x14ac:dyDescent="0.2">
      <c r="A26" s="241" t="str">
        <f>_xll.qlPeriodEquivalent(Months12M&amp;"M")</f>
        <v>1Y</v>
      </c>
      <c r="B26" s="311" t="s">
        <v>62</v>
      </c>
      <c r="C26" s="312" t="str">
        <f t="shared" si="4"/>
        <v>EURSWD_SYNTH1Y_Quote</v>
      </c>
      <c r="D26" s="312" t="str">
        <f>_xll.qlSimpleQuote(C26,,RateTickValue,Permanent,EvaluationDate,ObjectOverwrite)</f>
        <v>EURSWD_SYNTH1Y_Quote#0000</v>
      </c>
      <c r="E26" s="316" t="str">
        <f>_xll.ohRangeRetrieveError(D26)</f>
        <v/>
      </c>
      <c r="F26" s="18"/>
      <c r="G26" s="301" t="s">
        <v>62</v>
      </c>
      <c r="H26" s="291">
        <f>'1YSynthDepo'!C35</f>
        <v>1.648490761496646E-3</v>
      </c>
      <c r="I26" s="19"/>
      <c r="J26" s="284">
        <v>1.6550673540814487E-3</v>
      </c>
      <c r="K26" s="18"/>
      <c r="L26" s="272">
        <v>1.6550673540814487E-3</v>
      </c>
      <c r="M26" s="273" t="e">
        <f>_xll.qlSimpleQuoteSetValue(D26,ROUND($L26,6),EvaluationDate)</f>
        <v>#N/A</v>
      </c>
      <c r="N26" s="263"/>
    </row>
    <row r="27" spans="1:14" x14ac:dyDescent="0.2">
      <c r="A27" s="243"/>
      <c r="B27" s="311" t="s">
        <v>63</v>
      </c>
      <c r="C27" s="312" t="str">
        <f t="shared" si="4"/>
        <v>EUR2WD_SYNTH1Y_Quote</v>
      </c>
      <c r="D27" s="312" t="str">
        <f>_xll.qlSimpleQuote(C27,,RateTickValue,Permanent,EvaluationDate,ObjectOverwrite)</f>
        <v>EUR2WD_SYNTH1Y_Quote#0000</v>
      </c>
      <c r="E27" s="316" t="str">
        <f>_xll.ohRangeRetrieveError(D27)</f>
        <v/>
      </c>
      <c r="F27" s="10"/>
      <c r="G27" s="301" t="s">
        <v>63</v>
      </c>
      <c r="H27" s="291">
        <f>'1YSynthDepo'!C36</f>
        <v>1.6440246526938651E-3</v>
      </c>
      <c r="I27" s="19"/>
      <c r="J27" s="284">
        <v>1.6504996710153819E-3</v>
      </c>
      <c r="K27" s="18"/>
      <c r="L27" s="272">
        <v>1.6504996710153819E-3</v>
      </c>
      <c r="M27" s="273" t="e">
        <f>_xll.qlSimpleQuoteSetValue(D27,ROUND($L27,6),EvaluationDate)</f>
        <v>#N/A</v>
      </c>
      <c r="N27" s="263"/>
    </row>
    <row r="28" spans="1:14" x14ac:dyDescent="0.2">
      <c r="A28" s="243"/>
      <c r="B28" s="311" t="s">
        <v>64</v>
      </c>
      <c r="C28" s="312" t="str">
        <f t="shared" si="4"/>
        <v>EUR3WD_SYNTH1Y_Quote</v>
      </c>
      <c r="D28" s="312" t="str">
        <f>_xll.qlSimpleQuote(C28,,RateTickValue,Permanent,EvaluationDate,ObjectOverwrite)</f>
        <v>EUR3WD_SYNTH1Y_Quote#0000</v>
      </c>
      <c r="E28" s="316" t="str">
        <f>_xll.ohRangeRetrieveError(D28)</f>
        <v/>
      </c>
      <c r="F28" s="10"/>
      <c r="G28" s="301" t="s">
        <v>64</v>
      </c>
      <c r="H28" s="291">
        <f>'1YSynthDepo'!C37</f>
        <v>1.729571727346573E-3</v>
      </c>
      <c r="I28" s="19"/>
      <c r="J28" s="284">
        <v>1.7359451961431102E-3</v>
      </c>
      <c r="K28" s="18"/>
      <c r="L28" s="272">
        <v>1.7359451961431102E-3</v>
      </c>
      <c r="M28" s="273" t="e">
        <f>_xll.qlSimpleQuoteSetValue(D28,ROUND($L28,6),EvaluationDate)</f>
        <v>#N/A</v>
      </c>
      <c r="N28" s="263"/>
    </row>
    <row r="29" spans="1:14" x14ac:dyDescent="0.2">
      <c r="A29" s="243"/>
      <c r="B29" s="311" t="s">
        <v>65</v>
      </c>
      <c r="C29" s="312" t="str">
        <f t="shared" si="4"/>
        <v>EUR1MD_SYNTH1Y_Quote</v>
      </c>
      <c r="D29" s="312" t="str">
        <f>_xll.qlSimpleQuote(C29,,RateTickValue,Permanent,EvaluationDate,ObjectOverwrite)</f>
        <v>EUR1MD_SYNTH1Y_Quote#0000</v>
      </c>
      <c r="E29" s="316" t="str">
        <f>_xll.ohRangeRetrieveError(D29)</f>
        <v/>
      </c>
      <c r="F29" s="10"/>
      <c r="G29" s="302" t="s">
        <v>65</v>
      </c>
      <c r="H29" s="299">
        <f>'1YSynthDepo'!C38</f>
        <v>1.6990581036114738E-3</v>
      </c>
      <c r="I29" s="19"/>
      <c r="J29" s="285">
        <v>1.7052574174785725E-3</v>
      </c>
      <c r="K29" s="18"/>
      <c r="L29" s="274">
        <v>1.7052574174785725E-3</v>
      </c>
      <c r="M29" s="275" t="e">
        <f>_xll.qlSimpleQuoteSetValue(D29,ROUND($L29,6),EvaluationDate)</f>
        <v>#N/A</v>
      </c>
      <c r="N29" s="263"/>
    </row>
    <row r="30" spans="1:14" x14ac:dyDescent="0.2">
      <c r="A30" s="243"/>
      <c r="B30" s="311" t="s">
        <v>66</v>
      </c>
      <c r="C30" s="312" t="str">
        <f t="shared" si="4"/>
        <v>EUR2MD_SYNTH1Y_Quote</v>
      </c>
      <c r="D30" s="312" t="str">
        <f>_xll.qlSimpleQuote(C30,,RateTickValue,Permanent,EvaluationDate,ObjectOverwrite)</f>
        <v>EUR2MD_SYNTH1Y_Quote#0000</v>
      </c>
      <c r="E30" s="316" t="str">
        <f>_xll.ohRangeRetrieveError(D30)</f>
        <v/>
      </c>
      <c r="F30" s="10"/>
      <c r="G30" s="301" t="s">
        <v>66</v>
      </c>
      <c r="H30" s="291">
        <f>'1YSynthDepo'!C39</f>
        <v>1.6411753505547173E-3</v>
      </c>
      <c r="I30" s="19"/>
      <c r="J30" s="284">
        <v>1.6469681977926782E-3</v>
      </c>
      <c r="K30" s="18"/>
      <c r="L30" s="272">
        <v>1.6469681977926782E-3</v>
      </c>
      <c r="M30" s="273" t="e">
        <f>_xll.qlSimpleQuoteSetValue(D30,ROUND($L30,6),EvaluationDate)</f>
        <v>#N/A</v>
      </c>
      <c r="N30" s="262"/>
    </row>
    <row r="31" spans="1:14" x14ac:dyDescent="0.2">
      <c r="A31" s="243"/>
      <c r="B31" s="311" t="s">
        <v>67</v>
      </c>
      <c r="C31" s="312" t="str">
        <f t="shared" si="4"/>
        <v>EUR3MD_SYNTH1Y_Quote</v>
      </c>
      <c r="D31" s="312" t="str">
        <f>_xll.qlSimpleQuote(C31,,RateTickValue,Permanent,EvaluationDate,ObjectOverwrite)</f>
        <v>EUR3MD_SYNTH1Y_Quote#0000</v>
      </c>
      <c r="E31" s="316" t="str">
        <f>_xll.ohRangeRetrieveError(D31)</f>
        <v/>
      </c>
      <c r="F31" s="10"/>
      <c r="G31" s="301" t="s">
        <v>67</v>
      </c>
      <c r="H31" s="291">
        <f>'1YSynthDepo'!C40</f>
        <v>1.6054197979756873E-3</v>
      </c>
      <c r="I31" s="19"/>
      <c r="J31" s="284">
        <v>1.6106980427969036E-3</v>
      </c>
      <c r="K31" s="18"/>
      <c r="L31" s="272">
        <v>1.6106980427969036E-3</v>
      </c>
      <c r="M31" s="273" t="e">
        <f>_xll.qlSimpleQuoteSetValue(D31,ROUND($L31,6),EvaluationDate)</f>
        <v>#N/A</v>
      </c>
      <c r="N31" s="263"/>
    </row>
    <row r="32" spans="1:14" x14ac:dyDescent="0.2">
      <c r="A32" s="243"/>
      <c r="B32" s="311" t="s">
        <v>68</v>
      </c>
      <c r="C32" s="312" t="str">
        <f t="shared" si="4"/>
        <v>EUR4MD_SYNTH1Y_Quote</v>
      </c>
      <c r="D32" s="312" t="str">
        <f>_xll.qlSimpleQuote(C32,,RateTickValue,Permanent,EvaluationDate,ObjectOverwrite)</f>
        <v>EUR4MD_SYNTH1Y_Quote#0000</v>
      </c>
      <c r="E32" s="316" t="str">
        <f>_xll.ohRangeRetrieveError(D32)</f>
        <v/>
      </c>
      <c r="F32" s="10"/>
      <c r="G32" s="301" t="s">
        <v>68</v>
      </c>
      <c r="H32" s="291">
        <f>'1YSynthDepo'!C41</f>
        <v>1.5906076102677506E-3</v>
      </c>
      <c r="I32" s="19"/>
      <c r="J32" s="284">
        <v>1.5955316816454906E-3</v>
      </c>
      <c r="K32" s="18"/>
      <c r="L32" s="272">
        <v>1.5955316816454906E-3</v>
      </c>
      <c r="M32" s="273" t="e">
        <f>_xll.qlSimpleQuoteSetValue(D32,ROUND($L32,6),EvaluationDate)</f>
        <v>#N/A</v>
      </c>
      <c r="N32" s="263"/>
    </row>
    <row r="33" spans="1:14" x14ac:dyDescent="0.2">
      <c r="A33" s="243"/>
      <c r="B33" s="311" t="s">
        <v>69</v>
      </c>
      <c r="C33" s="312" t="str">
        <f t="shared" si="4"/>
        <v>EUR5MD_SYNTH1Y_Quote</v>
      </c>
      <c r="D33" s="312" t="str">
        <f>_xll.qlSimpleQuote(C33,,RateTickValue,Permanent,EvaluationDate,ObjectOverwrite)</f>
        <v>EUR5MD_SYNTH1Y_Quote#0000</v>
      </c>
      <c r="E33" s="316" t="str">
        <f>_xll.ohRangeRetrieveError(D33)</f>
        <v/>
      </c>
      <c r="F33" s="18"/>
      <c r="G33" s="301" t="s">
        <v>69</v>
      </c>
      <c r="H33" s="291">
        <f>'1YSynthDepo'!C42</f>
        <v>1.5948862639217844E-3</v>
      </c>
      <c r="I33" s="19"/>
      <c r="J33" s="284">
        <v>1.5995444486465301E-3</v>
      </c>
      <c r="K33" s="18"/>
      <c r="L33" s="272">
        <v>1.5995444486465301E-3</v>
      </c>
      <c r="M33" s="273" t="e">
        <f>_xll.qlSimpleQuoteSetValue(D33,ROUND($L33,6),EvaluationDate)</f>
        <v>#N/A</v>
      </c>
      <c r="N33" s="263"/>
    </row>
    <row r="34" spans="1:14" x14ac:dyDescent="0.2">
      <c r="A34" s="243"/>
      <c r="B34" s="311" t="s">
        <v>70</v>
      </c>
      <c r="C34" s="312" t="str">
        <f t="shared" si="4"/>
        <v>EUR6MD_SYNTH1Y_Quote</v>
      </c>
      <c r="D34" s="312" t="str">
        <f>_xll.qlSimpleQuote(C34,,RateTickValue,Permanent,EvaluationDate,ObjectOverwrite)</f>
        <v>EUR6MD_SYNTH1Y_Quote#0000</v>
      </c>
      <c r="E34" s="316" t="str">
        <f>_xll.ohRangeRetrieveError(D34)</f>
        <v/>
      </c>
      <c r="F34" s="18"/>
      <c r="G34" s="301" t="s">
        <v>70</v>
      </c>
      <c r="H34" s="291">
        <f>'1YSynthDepo'!C43</f>
        <v>1.5988316222211815E-3</v>
      </c>
      <c r="I34" s="19"/>
      <c r="J34" s="284">
        <v>1.6028708495720361E-3</v>
      </c>
      <c r="K34" s="18"/>
      <c r="L34" s="272">
        <v>1.6028708495720361E-3</v>
      </c>
      <c r="M34" s="273" t="e">
        <f>_xll.qlSimpleQuoteSetValue(D34,ROUND($L34,6),EvaluationDate)</f>
        <v>#N/A</v>
      </c>
      <c r="N34" s="263"/>
    </row>
    <row r="35" spans="1:14" x14ac:dyDescent="0.2">
      <c r="A35" s="243"/>
      <c r="B35" s="311" t="s">
        <v>71</v>
      </c>
      <c r="C35" s="312" t="str">
        <f t="shared" si="4"/>
        <v>EUR7MD_SYNTH1Y_Quote</v>
      </c>
      <c r="D35" s="312" t="str">
        <f>_xll.qlSimpleQuote(C35,,RateTickValue,Permanent,EvaluationDate,ObjectOverwrite)</f>
        <v>EUR7MD_SYNTH1Y_Quote#0000</v>
      </c>
      <c r="E35" s="316" t="str">
        <f>_xll.ohRangeRetrieveError(D35)</f>
        <v/>
      </c>
      <c r="F35" s="18"/>
      <c r="G35" s="301" t="s">
        <v>71</v>
      </c>
      <c r="H35" s="291">
        <f>'1YSynthDepo'!C44</f>
        <v>1.6019987900507534E-3</v>
      </c>
      <c r="I35" s="19"/>
      <c r="J35" s="284">
        <v>1.6049939201835009E-3</v>
      </c>
      <c r="K35" s="18"/>
      <c r="L35" s="272">
        <v>1.6049939201835009E-3</v>
      </c>
      <c r="M35" s="273" t="e">
        <f>_xll.qlSimpleQuoteSetValue(D35,ROUND($L35,6),EvaluationDate)</f>
        <v>#N/A</v>
      </c>
      <c r="N35" s="263"/>
    </row>
    <row r="36" spans="1:14" x14ac:dyDescent="0.2">
      <c r="A36" s="243"/>
      <c r="B36" s="311" t="s">
        <v>72</v>
      </c>
      <c r="C36" s="312" t="str">
        <f t="shared" si="4"/>
        <v>EUR8MD_SYNTH1Y_Quote</v>
      </c>
      <c r="D36" s="312" t="str">
        <f>_xll.qlSimpleQuote(C36,,RateTickValue,Permanent,EvaluationDate,ObjectOverwrite)</f>
        <v>EUR8MD_SYNTH1Y_Quote#0000</v>
      </c>
      <c r="E36" s="316" t="str">
        <f>_xll.ohRangeRetrieveError(D36)</f>
        <v/>
      </c>
      <c r="F36" s="18"/>
      <c r="G36" s="301" t="s">
        <v>72</v>
      </c>
      <c r="H36" s="291">
        <f>'1YSynthDepo'!C45</f>
        <v>1.6252028290032268E-3</v>
      </c>
      <c r="I36" s="19"/>
      <c r="J36" s="284">
        <v>1.6280591023918095E-3</v>
      </c>
      <c r="K36" s="18"/>
      <c r="L36" s="272">
        <v>1.6280591023918095E-3</v>
      </c>
      <c r="M36" s="273" t="e">
        <f>_xll.qlSimpleQuoteSetValue(D36,ROUND($L36,6),EvaluationDate)</f>
        <v>#N/A</v>
      </c>
      <c r="N36" s="263"/>
    </row>
    <row r="37" spans="1:14" x14ac:dyDescent="0.2">
      <c r="A37" s="244"/>
      <c r="B37" s="311" t="s">
        <v>73</v>
      </c>
      <c r="C37" s="312" t="str">
        <f t="shared" si="4"/>
        <v>EUR9MD_SYNTH1Y_Quote</v>
      </c>
      <c r="D37" s="312" t="str">
        <f>_xll.qlSimpleQuote(C37,,RateTickValue,Permanent,EvaluationDate,ObjectOverwrite)</f>
        <v>EUR9MD_SYNTH1Y_Quote#0000</v>
      </c>
      <c r="E37" s="316" t="str">
        <f>_xll.ohRangeRetrieveError(D37)</f>
        <v/>
      </c>
      <c r="F37" s="18"/>
      <c r="G37" s="301" t="s">
        <v>73</v>
      </c>
      <c r="H37" s="291">
        <f>'1YSynthDepo'!C46</f>
        <v>1.6229579900159524E-3</v>
      </c>
      <c r="I37" s="19"/>
      <c r="J37" s="284">
        <v>1.6258576985902151E-3</v>
      </c>
      <c r="K37" s="18"/>
      <c r="L37" s="272">
        <v>1.6258576985902151E-3</v>
      </c>
      <c r="M37" s="273" t="e">
        <f>_xll.qlSimpleQuoteSetValue(D37,ROUND($L37,6),EvaluationDate)</f>
        <v>#N/A</v>
      </c>
      <c r="N37" s="263"/>
    </row>
    <row r="38" spans="1:14" x14ac:dyDescent="0.2">
      <c r="A38" s="245"/>
      <c r="B38" s="311" t="s">
        <v>74</v>
      </c>
      <c r="C38" s="312" t="str">
        <f t="shared" si="4"/>
        <v>EUR10MD_SYNTH1Y_Quote</v>
      </c>
      <c r="D38" s="312" t="str">
        <f>_xll.qlSimpleQuote(C38,,RateTickValue,Permanent,EvaluationDate,ObjectOverwrite)</f>
        <v>EUR10MD_SYNTH1Y_Quote#0000</v>
      </c>
      <c r="E38" s="316" t="str">
        <f>_xll.ohRangeRetrieveError(D38)</f>
        <v/>
      </c>
      <c r="F38" s="18"/>
      <c r="G38" s="301" t="s">
        <v>74</v>
      </c>
      <c r="H38" s="291">
        <f>'1YSynthDepo'!C47</f>
        <v>1.6377187928026181E-3</v>
      </c>
      <c r="I38" s="19"/>
      <c r="J38" s="284">
        <v>1.6385342401851776E-3</v>
      </c>
      <c r="K38" s="18"/>
      <c r="L38" s="272">
        <v>1.6385342401851776E-3</v>
      </c>
      <c r="M38" s="273" t="e">
        <f>_xll.qlSimpleQuoteSetValue(D38,ROUND($L38,6),EvaluationDate)</f>
        <v>#N/A</v>
      </c>
      <c r="N38" s="263"/>
    </row>
    <row r="39" spans="1:14" x14ac:dyDescent="0.2">
      <c r="A39" s="243"/>
      <c r="B39" s="311" t="s">
        <v>75</v>
      </c>
      <c r="C39" s="312" t="str">
        <f t="shared" si="4"/>
        <v>EUR11MD_SYNTH1Y_Quote</v>
      </c>
      <c r="D39" s="312" t="str">
        <f>_xll.qlSimpleQuote(C39,,RateTickValue,Permanent,EvaluationDate,ObjectOverwrite)</f>
        <v>EUR11MD_SYNTH1Y_Quote#0000</v>
      </c>
      <c r="E39" s="316" t="str">
        <f>_xll.ohRangeRetrieveError(D39)</f>
        <v/>
      </c>
      <c r="F39" s="18"/>
      <c r="G39" s="301" t="s">
        <v>75</v>
      </c>
      <c r="H39" s="291">
        <f>'1YSynthDepo'!C48</f>
        <v>1.6595201042138694E-3</v>
      </c>
      <c r="I39" s="19"/>
      <c r="J39" s="284">
        <v>1.6605265520644055E-3</v>
      </c>
      <c r="K39" s="18"/>
      <c r="L39" s="272">
        <v>1.6605265520644055E-3</v>
      </c>
      <c r="M39" s="273" t="e">
        <f>_xll.qlSimpleQuoteSetValue(D39,ROUND($L39,6),EvaluationDate)</f>
        <v>#N/A</v>
      </c>
      <c r="N39" s="263"/>
    </row>
    <row r="40" spans="1:14" x14ac:dyDescent="0.2">
      <c r="A40" s="246"/>
      <c r="B40" s="313" t="s">
        <v>76</v>
      </c>
      <c r="C40" s="312" t="str">
        <f t="shared" si="4"/>
        <v>EUR1YD_SYNTH1Y_Quote</v>
      </c>
      <c r="D40" s="312" t="str">
        <f>_xll.qlSimpleQuote(C40,,RateTickValue,Permanent,EvaluationDate,ObjectOverwrite)</f>
        <v>EUR1YD_SYNTH1Y_Quote#0000</v>
      </c>
      <c r="E40" s="316" t="str">
        <f>_xll.ohRangeRetrieveError(D40)</f>
        <v/>
      </c>
      <c r="F40" s="18"/>
      <c r="G40" s="302" t="s">
        <v>76</v>
      </c>
      <c r="H40" s="299">
        <f>'1YSynthDepo'!C49</f>
        <v>1.6800000000000421E-3</v>
      </c>
      <c r="I40" s="19"/>
      <c r="J40" s="285">
        <v>1.6800000000000421E-3</v>
      </c>
      <c r="K40" s="18"/>
      <c r="L40" s="274">
        <v>1.6800000000000421E-3</v>
      </c>
      <c r="M40" s="275" t="e">
        <f>_xll.qlSimpleQuoteSetValue(D40,ROUND($L40,6),EvaluationDate)</f>
        <v>#N/A</v>
      </c>
      <c r="N40" s="262"/>
    </row>
    <row r="41" spans="1:14" x14ac:dyDescent="0.2">
      <c r="A41" s="242">
        <v>1</v>
      </c>
      <c r="B41" s="309" t="str">
        <f t="shared" ref="B41:B84" si="5">A41&amp;"x"&amp;A41+Months12M&amp;"F"</f>
        <v>1x13F</v>
      </c>
      <c r="C41" s="310" t="str">
        <f t="shared" ref="C41:C84" si="6">Currency&amp;$B41&amp;"_SYNTH"&amp;"1Y"&amp;"_Quote"</f>
        <v>EUR1x13F_SYNTH1Y_Quote</v>
      </c>
      <c r="D41" s="310" t="str">
        <f>_xll.qlSimpleQuote(C41,,RateTickValue,Permanent,Trigger,ObjectOverwrite)</f>
        <v>EUR1x13F_SYNTH1Y_Quote#0000</v>
      </c>
      <c r="E41" s="315" t="str">
        <f>_xll.ohRangeRetrieveError(D41)</f>
        <v/>
      </c>
      <c r="F41" s="10">
        <v>1</v>
      </c>
      <c r="G41" s="303" t="str">
        <f t="shared" ref="G41:G84" si="7">F41&amp;"x"&amp;(F41+Months12M)&amp;"F"</f>
        <v>1x13F</v>
      </c>
      <c r="H41" s="304">
        <f>SynthFra!H3</f>
        <v>1.6583124598056164E-3</v>
      </c>
      <c r="I41" s="20"/>
      <c r="J41" s="288">
        <v>1.658103931123844E-3</v>
      </c>
      <c r="K41" s="21"/>
      <c r="L41" s="280">
        <v>1.658103931123844E-3</v>
      </c>
      <c r="M41" s="281" t="e">
        <f>_xll.qlSimpleQuoteSetValue(D41,ROUND(L41,6),EvaluationDate)</f>
        <v>#N/A</v>
      </c>
      <c r="N41" s="262">
        <f>_xll.ohTrigger(M41:M84)</f>
        <v>2</v>
      </c>
    </row>
    <row r="42" spans="1:14" x14ac:dyDescent="0.2">
      <c r="A42" s="265">
        <v>2</v>
      </c>
      <c r="B42" s="311" t="str">
        <f t="shared" si="5"/>
        <v>2x14F</v>
      </c>
      <c r="C42" s="312" t="str">
        <f t="shared" si="6"/>
        <v>EUR2x14F_SYNTH1Y_Quote</v>
      </c>
      <c r="D42" s="312" t="str">
        <f>_xll.qlSimpleQuote(C42,,RateTickValue,Permanent,Trigger,ObjectOverwrite)</f>
        <v>EUR2x14F_SYNTH1Y_Quote#0000</v>
      </c>
      <c r="E42" s="316" t="str">
        <f>_xll.ohRangeRetrieveError(D42)</f>
        <v/>
      </c>
      <c r="F42" s="10">
        <v>2</v>
      </c>
      <c r="G42" s="305" t="str">
        <f t="shared" si="7"/>
        <v>2x14F</v>
      </c>
      <c r="H42" s="306">
        <f>SynthFra!H4</f>
        <v>1.6588074776479509E-3</v>
      </c>
      <c r="I42" s="21"/>
      <c r="J42" s="288">
        <v>1.6588668667642788E-3</v>
      </c>
      <c r="K42" s="21"/>
      <c r="L42" s="280">
        <v>1.6588668667642788E-3</v>
      </c>
      <c r="M42" s="281" t="e">
        <f>_xll.qlSimpleQuoteSetValue(D42,ROUND(L42,6),EvaluationDate)</f>
        <v>#N/A</v>
      </c>
      <c r="N42" s="263"/>
    </row>
    <row r="43" spans="1:14" x14ac:dyDescent="0.2">
      <c r="A43" s="265">
        <v>3</v>
      </c>
      <c r="B43" s="311" t="str">
        <f t="shared" si="5"/>
        <v>3x15F</v>
      </c>
      <c r="C43" s="312" t="str">
        <f t="shared" si="6"/>
        <v>EUR3x15F_SYNTH1Y_Quote</v>
      </c>
      <c r="D43" s="312" t="str">
        <f>_xll.qlSimpleQuote(C43,,RateTickValue,Permanent,Trigger,ObjectOverwrite)</f>
        <v>EUR3x15F_SYNTH1Y_Quote#0000</v>
      </c>
      <c r="E43" s="316" t="str">
        <f>_xll.ohRangeRetrieveError(D43)</f>
        <v/>
      </c>
      <c r="F43" s="10">
        <v>3</v>
      </c>
      <c r="G43" s="305" t="str">
        <f t="shared" si="7"/>
        <v>3x15F</v>
      </c>
      <c r="H43" s="306">
        <f>SynthFra!H5</f>
        <v>1.6737527094679309E-3</v>
      </c>
      <c r="I43" s="21"/>
      <c r="J43" s="288">
        <v>1.6741649353735387E-3</v>
      </c>
      <c r="K43" s="21"/>
      <c r="L43" s="280">
        <v>1.6741649353735387E-3</v>
      </c>
      <c r="M43" s="281" t="e">
        <f>_xll.qlSimpleQuoteSetValue(D43,ROUND(L43,6),EvaluationDate)</f>
        <v>#N/A</v>
      </c>
      <c r="N43" s="263"/>
    </row>
    <row r="44" spans="1:14" x14ac:dyDescent="0.2">
      <c r="A44" s="265">
        <v>4</v>
      </c>
      <c r="B44" s="311" t="str">
        <f t="shared" si="5"/>
        <v>4x16F</v>
      </c>
      <c r="C44" s="312" t="str">
        <f t="shared" si="6"/>
        <v>EUR4x16F_SYNTH1Y_Quote</v>
      </c>
      <c r="D44" s="312" t="str">
        <f>_xll.qlSimpleQuote(C44,,RateTickValue,Permanent,Trigger,ObjectOverwrite)</f>
        <v>EUR4x16F_SYNTH1Y_Quote#0000</v>
      </c>
      <c r="E44" s="316" t="str">
        <f>_xll.ohRangeRetrieveError(D44)</f>
        <v/>
      </c>
      <c r="F44" s="10">
        <v>4</v>
      </c>
      <c r="G44" s="305" t="str">
        <f t="shared" si="7"/>
        <v>4x16F</v>
      </c>
      <c r="H44" s="306">
        <f>SynthFra!H6</f>
        <v>1.6972393270839002E-3</v>
      </c>
      <c r="I44" s="21"/>
      <c r="J44" s="288">
        <v>1.6975324163032567E-3</v>
      </c>
      <c r="K44" s="21"/>
      <c r="L44" s="280">
        <v>1.6975324163032567E-3</v>
      </c>
      <c r="M44" s="281" t="e">
        <f>_xll.qlSimpleQuoteSetValue(D44,ROUND(L44,6),EvaluationDate)</f>
        <v>#N/A</v>
      </c>
      <c r="N44" s="263"/>
    </row>
    <row r="45" spans="1:14" x14ac:dyDescent="0.2">
      <c r="A45" s="265">
        <v>5</v>
      </c>
      <c r="B45" s="311" t="str">
        <f t="shared" si="5"/>
        <v>5x17F</v>
      </c>
      <c r="C45" s="312" t="str">
        <f t="shared" si="6"/>
        <v>EUR5x17F_SYNTH1Y_Quote</v>
      </c>
      <c r="D45" s="312" t="str">
        <f>_xll.qlSimpleQuote(C45,,RateTickValue,Permanent,Trigger,ObjectOverwrite)</f>
        <v>EUR5x17F_SYNTH1Y_Quote#0000</v>
      </c>
      <c r="E45" s="316" t="str">
        <f>_xll.ohRangeRetrieveError(D45)</f>
        <v/>
      </c>
      <c r="F45" s="10">
        <v>5</v>
      </c>
      <c r="G45" s="305" t="str">
        <f t="shared" si="7"/>
        <v>5x17F</v>
      </c>
      <c r="H45" s="306">
        <f>SynthFra!H7</f>
        <v>1.7220702859255088E-3</v>
      </c>
      <c r="I45" s="21"/>
      <c r="J45" s="288">
        <v>1.7219736781284318E-3</v>
      </c>
      <c r="K45" s="21"/>
      <c r="L45" s="280">
        <v>1.7219736781284318E-3</v>
      </c>
      <c r="M45" s="281" t="e">
        <f>_xll.qlSimpleQuoteSetValue(D45,ROUND(L45,6),EvaluationDate)</f>
        <v>#N/A</v>
      </c>
      <c r="N45" s="263"/>
    </row>
    <row r="46" spans="1:14" x14ac:dyDescent="0.2">
      <c r="A46" s="265">
        <v>6</v>
      </c>
      <c r="B46" s="311" t="str">
        <f t="shared" si="5"/>
        <v>6x18F</v>
      </c>
      <c r="C46" s="312" t="str">
        <f t="shared" si="6"/>
        <v>EUR6x18F_SYNTH1Y_Quote</v>
      </c>
      <c r="D46" s="312" t="str">
        <f>_xll.qlSimpleQuote(C46,,RateTickValue,Permanent,Trigger,ObjectOverwrite)</f>
        <v>EUR6x18F_SYNTH1Y_Quote#0000</v>
      </c>
      <c r="E46" s="316" t="str">
        <f>_xll.ohRangeRetrieveError(D46)</f>
        <v/>
      </c>
      <c r="F46" s="10">
        <v>6</v>
      </c>
      <c r="G46" s="305" t="str">
        <f t="shared" si="7"/>
        <v>6x18F</v>
      </c>
      <c r="H46" s="306">
        <f>SynthFra!H8</f>
        <v>1.7550863060562742E-3</v>
      </c>
      <c r="I46" s="21"/>
      <c r="J46" s="288">
        <v>1.7546198915595326E-3</v>
      </c>
      <c r="K46" s="21"/>
      <c r="L46" s="280">
        <v>1.7546198915595326E-3</v>
      </c>
      <c r="M46" s="281" t="e">
        <f>_xll.qlSimpleQuoteSetValue(D46,ROUND(L46,6),EvaluationDate)</f>
        <v>#N/A</v>
      </c>
      <c r="N46" s="263"/>
    </row>
    <row r="47" spans="1:14" x14ac:dyDescent="0.2">
      <c r="A47" s="265">
        <v>7</v>
      </c>
      <c r="B47" s="311" t="str">
        <f t="shared" si="5"/>
        <v>7x19F</v>
      </c>
      <c r="C47" s="312" t="str">
        <f t="shared" si="6"/>
        <v>EUR7x19F_SYNTH1Y_Quote</v>
      </c>
      <c r="D47" s="312" t="str">
        <f>_xll.qlSimpleQuote(C47,,RateTickValue,Permanent,Trigger,ObjectOverwrite)</f>
        <v>EUR7x19F_SYNTH1Y_Quote#0000</v>
      </c>
      <c r="E47" s="316" t="str">
        <f>_xll.ohRangeRetrieveError(D47)</f>
        <v/>
      </c>
      <c r="F47" s="10">
        <v>7</v>
      </c>
      <c r="G47" s="305" t="str">
        <f t="shared" si="7"/>
        <v>7x19F</v>
      </c>
      <c r="H47" s="306">
        <f>SynthFra!H9</f>
        <v>1.7931510328628773E-3</v>
      </c>
      <c r="I47" s="21"/>
      <c r="J47" s="288">
        <v>1.7926747371433411E-3</v>
      </c>
      <c r="K47" s="21"/>
      <c r="L47" s="280">
        <v>1.7926747371433411E-3</v>
      </c>
      <c r="M47" s="281" t="e">
        <f>_xll.qlSimpleQuoteSetValue(D47,ROUND(L47,6),EvaluationDate)</f>
        <v>#N/A</v>
      </c>
      <c r="N47" s="263"/>
    </row>
    <row r="48" spans="1:14" x14ac:dyDescent="0.2">
      <c r="A48" s="265">
        <v>8</v>
      </c>
      <c r="B48" s="311" t="str">
        <f t="shared" si="5"/>
        <v>8x20F</v>
      </c>
      <c r="C48" s="312" t="str">
        <f t="shared" si="6"/>
        <v>EUR8x20F_SYNTH1Y_Quote</v>
      </c>
      <c r="D48" s="312" t="str">
        <f>_xll.qlSimpleQuote(C48,,RateTickValue,Permanent,Trigger,ObjectOverwrite)</f>
        <v>EUR8x20F_SYNTH1Y_Quote#0000</v>
      </c>
      <c r="E48" s="316" t="str">
        <f>_xll.ohRangeRetrieveError(D48)</f>
        <v/>
      </c>
      <c r="F48" s="10">
        <v>8</v>
      </c>
      <c r="G48" s="305" t="str">
        <f t="shared" si="7"/>
        <v>8x20F</v>
      </c>
      <c r="H48" s="306">
        <f>SynthFra!H10</f>
        <v>1.8737078366921789E-3</v>
      </c>
      <c r="I48" s="21"/>
      <c r="J48" s="288">
        <v>1.8730142347834536E-3</v>
      </c>
      <c r="K48" s="21"/>
      <c r="L48" s="280">
        <v>1.8730142347834536E-3</v>
      </c>
      <c r="M48" s="281" t="e">
        <f>_xll.qlSimpleQuoteSetValue(D48,ROUND(L48,6),EvaluationDate)</f>
        <v>#N/A</v>
      </c>
      <c r="N48" s="263"/>
    </row>
    <row r="49" spans="1:14" x14ac:dyDescent="0.2">
      <c r="A49" s="265">
        <v>9</v>
      </c>
      <c r="B49" s="311" t="str">
        <f t="shared" si="5"/>
        <v>9x21F</v>
      </c>
      <c r="C49" s="312" t="str">
        <f t="shared" si="6"/>
        <v>EUR9x21F_SYNTH1Y_Quote</v>
      </c>
      <c r="D49" s="312" t="str">
        <f>_xll.qlSimpleQuote(C49,,RateTickValue,Permanent,Trigger,ObjectOverwrite)</f>
        <v>EUR9x21F_SYNTH1Y_Quote#0000</v>
      </c>
      <c r="E49" s="316" t="str">
        <f>_xll.ohRangeRetrieveError(D49)</f>
        <v/>
      </c>
      <c r="F49" s="10">
        <v>9</v>
      </c>
      <c r="G49" s="305" t="str">
        <f t="shared" si="7"/>
        <v>9x21F</v>
      </c>
      <c r="H49" s="306">
        <f>SynthFra!H11</f>
        <v>1.9544816916971493E-3</v>
      </c>
      <c r="I49" s="21"/>
      <c r="J49" s="288">
        <v>1.9532034289214146E-3</v>
      </c>
      <c r="K49" s="21"/>
      <c r="L49" s="280">
        <v>1.9532034289214146E-3</v>
      </c>
      <c r="M49" s="281" t="e">
        <f>_xll.qlSimpleQuoteSetValue(D49,ROUND(L49,6),EvaluationDate)</f>
        <v>#N/A</v>
      </c>
      <c r="N49" s="263"/>
    </row>
    <row r="50" spans="1:14" x14ac:dyDescent="0.2">
      <c r="A50" s="265">
        <v>10</v>
      </c>
      <c r="B50" s="311" t="str">
        <f t="shared" si="5"/>
        <v>10x22F</v>
      </c>
      <c r="C50" s="312" t="str">
        <f t="shared" si="6"/>
        <v>EUR10x22F_SYNTH1Y_Quote</v>
      </c>
      <c r="D50" s="312" t="str">
        <f>_xll.qlSimpleQuote(C50,,RateTickValue,Permanent,Trigger,ObjectOverwrite)</f>
        <v>EUR10x22F_SYNTH1Y_Quote#0000</v>
      </c>
      <c r="E50" s="316" t="str">
        <f>_xll.ohRangeRetrieveError(D50)</f>
        <v/>
      </c>
      <c r="F50" s="10">
        <v>10</v>
      </c>
      <c r="G50" s="305" t="str">
        <f t="shared" si="7"/>
        <v>10x22F</v>
      </c>
      <c r="H50" s="306">
        <f>SynthFra!H12</f>
        <v>2.0337262410565528E-3</v>
      </c>
      <c r="I50" s="21"/>
      <c r="J50" s="288">
        <v>2.0336998260127928E-3</v>
      </c>
      <c r="K50" s="21"/>
      <c r="L50" s="280">
        <v>2.0336998260127928E-3</v>
      </c>
      <c r="M50" s="281" t="e">
        <f>_xll.qlSimpleQuoteSetValue(D50,ROUND(L50,6),EvaluationDate)</f>
        <v>#N/A</v>
      </c>
      <c r="N50" s="263"/>
    </row>
    <row r="51" spans="1:14" x14ac:dyDescent="0.2">
      <c r="A51" s="265">
        <v>11</v>
      </c>
      <c r="B51" s="311" t="str">
        <f t="shared" si="5"/>
        <v>11x23F</v>
      </c>
      <c r="C51" s="312" t="str">
        <f t="shared" si="6"/>
        <v>EUR11x23F_SYNTH1Y_Quote</v>
      </c>
      <c r="D51" s="312" t="str">
        <f>_xll.qlSimpleQuote(C51,,RateTickValue,Permanent,Trigger,ObjectOverwrite)</f>
        <v>EUR11x23F_SYNTH1Y_Quote#0000</v>
      </c>
      <c r="E51" s="316" t="str">
        <f>_xll.ohRangeRetrieveError(D51)</f>
        <v/>
      </c>
      <c r="F51" s="10">
        <v>11</v>
      </c>
      <c r="G51" s="305" t="str">
        <f t="shared" si="7"/>
        <v>11x23F</v>
      </c>
      <c r="H51" s="306">
        <f>SynthFra!H13</f>
        <v>2.1360359884882237E-3</v>
      </c>
      <c r="I51" s="21"/>
      <c r="J51" s="288">
        <v>2.1354567916920916E-3</v>
      </c>
      <c r="K51" s="21"/>
      <c r="L51" s="280">
        <v>2.1354567916920916E-3</v>
      </c>
      <c r="M51" s="281" t="e">
        <f>_xll.qlSimpleQuoteSetValue(D51,ROUND(L51,6),EvaluationDate)</f>
        <v>#N/A</v>
      </c>
      <c r="N51" s="263"/>
    </row>
    <row r="52" spans="1:14" x14ac:dyDescent="0.2">
      <c r="A52" s="265">
        <v>13</v>
      </c>
      <c r="B52" s="311" t="str">
        <f t="shared" si="5"/>
        <v>13x25F</v>
      </c>
      <c r="C52" s="312" t="str">
        <f t="shared" si="6"/>
        <v>EUR13x25F_SYNTH1Y_Quote</v>
      </c>
      <c r="D52" s="312" t="str">
        <f>_xll.qlSimpleQuote(C52,,RateTickValue,Permanent,Trigger,ObjectOverwrite)</f>
        <v>EUR13x25F_SYNTH1Y_Quote#0000</v>
      </c>
      <c r="E52" s="316" t="str">
        <f>_xll.ohRangeRetrieveError(D52)</f>
        <v/>
      </c>
      <c r="F52" s="10">
        <v>13</v>
      </c>
      <c r="G52" s="305" t="str">
        <f t="shared" si="7"/>
        <v>13x25F</v>
      </c>
      <c r="H52" s="306">
        <f>SynthFra!H15</f>
        <v>2.3939470932500774E-3</v>
      </c>
      <c r="I52" s="21"/>
      <c r="J52" s="288">
        <v>2.3938515389188824E-3</v>
      </c>
      <c r="K52" s="21"/>
      <c r="L52" s="280">
        <v>2.3938515389188824E-3</v>
      </c>
      <c r="M52" s="281" t="e">
        <f>_xll.qlSimpleQuoteSetValue(D52,ROUND(L52,6),EvaluationDate)</f>
        <v>#N/A</v>
      </c>
      <c r="N52" s="263"/>
    </row>
    <row r="53" spans="1:14" x14ac:dyDescent="0.2">
      <c r="A53" s="265">
        <v>14</v>
      </c>
      <c r="B53" s="311" t="str">
        <f t="shared" si="5"/>
        <v>14x26F</v>
      </c>
      <c r="C53" s="312" t="str">
        <f t="shared" si="6"/>
        <v>EUR14x26F_SYNTH1Y_Quote</v>
      </c>
      <c r="D53" s="312" t="str">
        <f>_xll.qlSimpleQuote(C53,,RateTickValue,Permanent,Trigger,ObjectOverwrite)</f>
        <v>EUR14x26F_SYNTH1Y_Quote#0000</v>
      </c>
      <c r="E53" s="316" t="str">
        <f>_xll.ohRangeRetrieveError(D53)</f>
        <v/>
      </c>
      <c r="F53" s="10">
        <v>14</v>
      </c>
      <c r="G53" s="305" t="str">
        <f t="shared" si="7"/>
        <v>14x26F</v>
      </c>
      <c r="H53" s="306">
        <f>SynthFra!H16</f>
        <v>2.5345506797413903E-3</v>
      </c>
      <c r="I53" s="21"/>
      <c r="J53" s="288">
        <v>2.5339332991812622E-3</v>
      </c>
      <c r="K53" s="21"/>
      <c r="L53" s="280">
        <v>2.5339332991812622E-3</v>
      </c>
      <c r="M53" s="281" t="e">
        <f>_xll.qlSimpleQuoteSetValue(D53,ROUND(L53,6),EvaluationDate)</f>
        <v>#N/A</v>
      </c>
      <c r="N53" s="263"/>
    </row>
    <row r="54" spans="1:14" x14ac:dyDescent="0.2">
      <c r="A54" s="265">
        <v>15</v>
      </c>
      <c r="B54" s="311" t="str">
        <f t="shared" si="5"/>
        <v>15x27F</v>
      </c>
      <c r="C54" s="312" t="str">
        <f t="shared" si="6"/>
        <v>EUR15x27F_SYNTH1Y_Quote</v>
      </c>
      <c r="D54" s="312" t="str">
        <f>_xll.qlSimpleQuote(C54,,RateTickValue,Permanent,Trigger,ObjectOverwrite)</f>
        <v>EUR15x27F_SYNTH1Y_Quote#0000</v>
      </c>
      <c r="E54" s="316" t="str">
        <f>_xll.ohRangeRetrieveError(D54)</f>
        <v/>
      </c>
      <c r="F54" s="10">
        <v>15</v>
      </c>
      <c r="G54" s="305" t="str">
        <f t="shared" si="7"/>
        <v>15x27F</v>
      </c>
      <c r="H54" s="306">
        <f>SynthFra!H17</f>
        <v>2.6964353956529285E-3</v>
      </c>
      <c r="I54" s="21"/>
      <c r="J54" s="288">
        <v>2.6952970848197868E-3</v>
      </c>
      <c r="K54" s="21"/>
      <c r="L54" s="280">
        <v>2.6952970848197868E-3</v>
      </c>
      <c r="M54" s="281" t="e">
        <f>_xll.qlSimpleQuoteSetValue(D54,ROUND(L54,6),EvaluationDate)</f>
        <v>#N/A</v>
      </c>
      <c r="N54" s="263"/>
    </row>
    <row r="55" spans="1:14" x14ac:dyDescent="0.2">
      <c r="A55" s="265">
        <v>16</v>
      </c>
      <c r="B55" s="311" t="str">
        <f t="shared" si="5"/>
        <v>16x28F</v>
      </c>
      <c r="C55" s="312" t="str">
        <f t="shared" si="6"/>
        <v>EUR16x28F_SYNTH1Y_Quote</v>
      </c>
      <c r="D55" s="312" t="str">
        <f>_xll.qlSimpleQuote(C55,,RateTickValue,Permanent,Trigger,ObjectOverwrite)</f>
        <v>EUR16x28F_SYNTH1Y_Quote#0000</v>
      </c>
      <c r="E55" s="316" t="str">
        <f>_xll.ohRangeRetrieveError(D55)</f>
        <v/>
      </c>
      <c r="F55" s="10">
        <v>16</v>
      </c>
      <c r="G55" s="305" t="str">
        <f t="shared" si="7"/>
        <v>16x28F</v>
      </c>
      <c r="H55" s="306">
        <f>SynthFra!H18</f>
        <v>2.8456188309456823E-3</v>
      </c>
      <c r="I55" s="21"/>
      <c r="J55" s="288">
        <v>2.8444095487522637E-3</v>
      </c>
      <c r="K55" s="21"/>
      <c r="L55" s="280">
        <v>2.8444095487522637E-3</v>
      </c>
      <c r="M55" s="281" t="e">
        <f>_xll.qlSimpleQuoteSetValue(D55,ROUND(L55,6),EvaluationDate)</f>
        <v>#N/A</v>
      </c>
      <c r="N55" s="263"/>
    </row>
    <row r="56" spans="1:14" x14ac:dyDescent="0.2">
      <c r="A56" s="265">
        <v>17</v>
      </c>
      <c r="B56" s="311" t="str">
        <f t="shared" si="5"/>
        <v>17x29F</v>
      </c>
      <c r="C56" s="312" t="str">
        <f t="shared" si="6"/>
        <v>EUR17x29F_SYNTH1Y_Quote</v>
      </c>
      <c r="D56" s="312" t="str">
        <f>_xll.qlSimpleQuote(C56,,RateTickValue,Permanent,Trigger,ObjectOverwrite)</f>
        <v>EUR17x29F_SYNTH1Y_Quote#0000</v>
      </c>
      <c r="E56" s="316" t="str">
        <f>_xll.ohRangeRetrieveError(D56)</f>
        <v/>
      </c>
      <c r="F56" s="10">
        <v>17</v>
      </c>
      <c r="G56" s="305" t="str">
        <f t="shared" si="7"/>
        <v>17x29F</v>
      </c>
      <c r="H56" s="306">
        <f>SynthFra!H19</f>
        <v>3.0084863025882816E-3</v>
      </c>
      <c r="I56" s="21"/>
      <c r="J56" s="288">
        <v>3.0075091968411061E-3</v>
      </c>
      <c r="K56" s="21"/>
      <c r="L56" s="280">
        <v>3.0075091968411061E-3</v>
      </c>
      <c r="M56" s="281" t="e">
        <f>_xll.qlSimpleQuoteSetValue(D56,ROUND(L56,6),EvaluationDate)</f>
        <v>#N/A</v>
      </c>
      <c r="N56" s="263"/>
    </row>
    <row r="57" spans="1:14" x14ac:dyDescent="0.2">
      <c r="A57" s="265">
        <v>18</v>
      </c>
      <c r="B57" s="311" t="str">
        <f t="shared" si="5"/>
        <v>18x30F</v>
      </c>
      <c r="C57" s="312" t="str">
        <f t="shared" si="6"/>
        <v>EUR18x30F_SYNTH1Y_Quote</v>
      </c>
      <c r="D57" s="312" t="str">
        <f>_xll.qlSimpleQuote(C57,,RateTickValue,Permanent,Trigger,ObjectOverwrite)</f>
        <v>EUR18x30F_SYNTH1Y_Quote#0000</v>
      </c>
      <c r="E57" s="316" t="str">
        <f>_xll.ohRangeRetrieveError(D57)</f>
        <v/>
      </c>
      <c r="F57" s="10">
        <v>18</v>
      </c>
      <c r="G57" s="305" t="str">
        <f t="shared" si="7"/>
        <v>18x30F</v>
      </c>
      <c r="H57" s="306">
        <f>SynthFra!H20</f>
        <v>3.1940388990619115E-3</v>
      </c>
      <c r="I57" s="21"/>
      <c r="J57" s="288">
        <v>3.19343709013382E-3</v>
      </c>
      <c r="K57" s="21"/>
      <c r="L57" s="280">
        <v>3.19343709013382E-3</v>
      </c>
      <c r="M57" s="281" t="e">
        <f>_xll.qlSimpleQuoteSetValue(D57,ROUND(L57,6),EvaluationDate)</f>
        <v>#N/A</v>
      </c>
      <c r="N57" s="263"/>
    </row>
    <row r="58" spans="1:14" x14ac:dyDescent="0.2">
      <c r="A58" s="265">
        <v>19</v>
      </c>
      <c r="B58" s="311" t="str">
        <f t="shared" si="5"/>
        <v>19x31F</v>
      </c>
      <c r="C58" s="312" t="str">
        <f t="shared" si="6"/>
        <v>EUR19x31F_SYNTH1Y_Quote</v>
      </c>
      <c r="D58" s="312" t="str">
        <f>_xll.qlSimpleQuote(C58,,RateTickValue,Permanent,Trigger,ObjectOverwrite)</f>
        <v>EUR19x31F_SYNTH1Y_Quote#0000</v>
      </c>
      <c r="E58" s="316" t="str">
        <f>_xll.ohRangeRetrieveError(D58)</f>
        <v/>
      </c>
      <c r="F58" s="10">
        <v>19</v>
      </c>
      <c r="G58" s="305" t="str">
        <f t="shared" si="7"/>
        <v>19x31F</v>
      </c>
      <c r="H58" s="306">
        <f>SynthFra!H21</f>
        <v>3.3732119865715121E-3</v>
      </c>
      <c r="I58" s="21"/>
      <c r="J58" s="288">
        <v>3.3729030868061721E-3</v>
      </c>
      <c r="K58" s="21"/>
      <c r="L58" s="280">
        <v>3.3729030868061721E-3</v>
      </c>
      <c r="M58" s="281" t="e">
        <f>_xll.qlSimpleQuoteSetValue(D58,ROUND(L58,6),EvaluationDate)</f>
        <v>#N/A</v>
      </c>
      <c r="N58" s="263"/>
    </row>
    <row r="59" spans="1:14" x14ac:dyDescent="0.2">
      <c r="A59" s="265">
        <v>20</v>
      </c>
      <c r="B59" s="311" t="str">
        <f t="shared" si="5"/>
        <v>20x32F</v>
      </c>
      <c r="C59" s="312" t="str">
        <f t="shared" si="6"/>
        <v>EUR20x32F_SYNTH1Y_Quote</v>
      </c>
      <c r="D59" s="312" t="str">
        <f>_xll.qlSimpleQuote(C59,,RateTickValue,Permanent,Trigger,ObjectOverwrite)</f>
        <v>EUR20x32F_SYNTH1Y_Quote#0000</v>
      </c>
      <c r="E59" s="316" t="str">
        <f>_xll.ohRangeRetrieveError(D59)</f>
        <v/>
      </c>
      <c r="F59" s="10">
        <v>20</v>
      </c>
      <c r="G59" s="305" t="str">
        <f t="shared" si="7"/>
        <v>20x32F</v>
      </c>
      <c r="H59" s="306">
        <f>SynthFra!H22</f>
        <v>3.5300615690209815E-3</v>
      </c>
      <c r="I59" s="21"/>
      <c r="J59" s="288">
        <v>3.5297904732331017E-3</v>
      </c>
      <c r="K59" s="21"/>
      <c r="L59" s="280">
        <v>3.5297904732331017E-3</v>
      </c>
      <c r="M59" s="281" t="e">
        <f>_xll.qlSimpleQuoteSetValue(D59,ROUND(L59,6),EvaluationDate)</f>
        <v>#N/A</v>
      </c>
      <c r="N59" s="263"/>
    </row>
    <row r="60" spans="1:14" x14ac:dyDescent="0.2">
      <c r="A60" s="265">
        <v>21</v>
      </c>
      <c r="B60" s="311" t="str">
        <f t="shared" si="5"/>
        <v>21x33F</v>
      </c>
      <c r="C60" s="312" t="str">
        <f t="shared" si="6"/>
        <v>EUR21x33F_SYNTH1Y_Quote</v>
      </c>
      <c r="D60" s="312" t="str">
        <f>_xll.qlSimpleQuote(C60,,RateTickValue,Permanent,Trigger,ObjectOverwrite)</f>
        <v>EUR21x33F_SYNTH1Y_Quote#0000</v>
      </c>
      <c r="E60" s="316" t="str">
        <f>_xll.ohRangeRetrieveError(D60)</f>
        <v/>
      </c>
      <c r="F60" s="10">
        <v>21</v>
      </c>
      <c r="G60" s="305" t="str">
        <f t="shared" si="7"/>
        <v>21x33F</v>
      </c>
      <c r="H60" s="306">
        <f>SynthFra!H23</f>
        <v>3.7174860480980679E-3</v>
      </c>
      <c r="I60" s="21"/>
      <c r="J60" s="288">
        <v>3.7173828903358831E-3</v>
      </c>
      <c r="K60" s="21"/>
      <c r="L60" s="280">
        <v>3.7173828903358831E-3</v>
      </c>
      <c r="M60" s="281" t="e">
        <f>_xll.qlSimpleQuoteSetValue(D60,ROUND(L60,6),EvaluationDate)</f>
        <v>#N/A</v>
      </c>
      <c r="N60" s="263"/>
    </row>
    <row r="61" spans="1:14" x14ac:dyDescent="0.2">
      <c r="A61" s="265">
        <v>22</v>
      </c>
      <c r="B61" s="311" t="str">
        <f t="shared" si="5"/>
        <v>22x34F</v>
      </c>
      <c r="C61" s="312" t="str">
        <f t="shared" si="6"/>
        <v>EUR22x34F_SYNTH1Y_Quote</v>
      </c>
      <c r="D61" s="312" t="str">
        <f>_xll.qlSimpleQuote(C61,,RateTickValue,Permanent,Trigger,ObjectOverwrite)</f>
        <v>EUR22x34F_SYNTH1Y_Quote#0000</v>
      </c>
      <c r="E61" s="316" t="str">
        <f>_xll.ohRangeRetrieveError(D61)</f>
        <v/>
      </c>
      <c r="F61" s="10">
        <v>22</v>
      </c>
      <c r="G61" s="305" t="str">
        <f t="shared" si="7"/>
        <v>22x34F</v>
      </c>
      <c r="H61" s="306">
        <f>SynthFra!H24</f>
        <v>3.8821606068513035E-3</v>
      </c>
      <c r="I61" s="21"/>
      <c r="J61" s="288">
        <v>3.8821545424007281E-3</v>
      </c>
      <c r="K61" s="21"/>
      <c r="L61" s="280">
        <v>3.8821545424007281E-3</v>
      </c>
      <c r="M61" s="281" t="e">
        <f>_xll.qlSimpleQuoteSetValue(D61,ROUND(L61,6),EvaluationDate)</f>
        <v>#N/A</v>
      </c>
      <c r="N61" s="263"/>
    </row>
    <row r="62" spans="1:14" x14ac:dyDescent="0.2">
      <c r="A62" s="265">
        <v>23</v>
      </c>
      <c r="B62" s="311" t="str">
        <f t="shared" si="5"/>
        <v>23x35F</v>
      </c>
      <c r="C62" s="312" t="str">
        <f t="shared" si="6"/>
        <v>EUR23x35F_SYNTH1Y_Quote</v>
      </c>
      <c r="D62" s="312" t="str">
        <f>_xll.qlSimpleQuote(C62,,RateTickValue,Permanent,Trigger,ObjectOverwrite)</f>
        <v>EUR23x35F_SYNTH1Y_Quote#0000</v>
      </c>
      <c r="E62" s="316" t="str">
        <f>_xll.ohRangeRetrieveError(D62)</f>
        <v/>
      </c>
      <c r="F62" s="10">
        <v>23</v>
      </c>
      <c r="G62" s="305" t="str">
        <f t="shared" si="7"/>
        <v>23x35F</v>
      </c>
      <c r="H62" s="306">
        <f>SynthFra!H25</f>
        <v>4.0570525408046097E-3</v>
      </c>
      <c r="I62" s="21"/>
      <c r="J62" s="288">
        <v>4.0570882744141437E-3</v>
      </c>
      <c r="K62" s="21"/>
      <c r="L62" s="280">
        <v>4.0570882744141437E-3</v>
      </c>
      <c r="M62" s="281" t="e">
        <f>_xll.qlSimpleQuoteSetValue(D62,ROUND(L62,6),EvaluationDate)</f>
        <v>#N/A</v>
      </c>
      <c r="N62" s="263"/>
    </row>
    <row r="63" spans="1:14" x14ac:dyDescent="0.2">
      <c r="A63" s="265">
        <v>25</v>
      </c>
      <c r="B63" s="311" t="str">
        <f t="shared" si="5"/>
        <v>25x37F</v>
      </c>
      <c r="C63" s="312" t="str">
        <f t="shared" si="6"/>
        <v>EUR25x37F_SYNTH1Y_Quote</v>
      </c>
      <c r="D63" s="312" t="str">
        <f>_xll.qlSimpleQuote(C63,,RateTickValue,Permanent,Trigger,ObjectOverwrite)</f>
        <v>EUR25x37F_SYNTH1Y_Quote#0000</v>
      </c>
      <c r="E63" s="316" t="str">
        <f>_xll.ohRangeRetrieveError(D63)</f>
        <v/>
      </c>
      <c r="F63" s="10">
        <v>25</v>
      </c>
      <c r="G63" s="305" t="str">
        <f t="shared" si="7"/>
        <v>25x37F</v>
      </c>
      <c r="H63" s="306">
        <f>SynthFra!H27</f>
        <v>4.4020354751458067E-3</v>
      </c>
      <c r="I63" s="21"/>
      <c r="J63" s="288">
        <v>4.4019577318605797E-3</v>
      </c>
      <c r="K63" s="21"/>
      <c r="L63" s="280">
        <v>4.4019577318605797E-3</v>
      </c>
      <c r="M63" s="281" t="e">
        <f>_xll.qlSimpleQuoteSetValue(D63,ROUND(L63,6),EvaluationDate)</f>
        <v>#N/A</v>
      </c>
      <c r="N63" s="263"/>
    </row>
    <row r="64" spans="1:14" x14ac:dyDescent="0.2">
      <c r="A64" s="265">
        <v>26</v>
      </c>
      <c r="B64" s="311" t="str">
        <f t="shared" si="5"/>
        <v>26x38F</v>
      </c>
      <c r="C64" s="312" t="str">
        <f t="shared" si="6"/>
        <v>EUR26x38F_SYNTH1Y_Quote</v>
      </c>
      <c r="D64" s="312" t="str">
        <f>_xll.qlSimpleQuote(C64,,RateTickValue,Permanent,Trigger,ObjectOverwrite)</f>
        <v>EUR26x38F_SYNTH1Y_Quote#0000</v>
      </c>
      <c r="E64" s="316" t="str">
        <f>_xll.ohRangeRetrieveError(D64)</f>
        <v/>
      </c>
      <c r="F64" s="10">
        <v>26</v>
      </c>
      <c r="G64" s="305" t="str">
        <f t="shared" si="7"/>
        <v>26x38F</v>
      </c>
      <c r="H64" s="306">
        <f>SynthFra!H28</f>
        <v>4.5802817730735013E-3</v>
      </c>
      <c r="I64" s="21"/>
      <c r="J64" s="288">
        <v>4.5801052092983331E-3</v>
      </c>
      <c r="K64" s="21"/>
      <c r="L64" s="280">
        <v>4.5801052092983331E-3</v>
      </c>
      <c r="M64" s="281" t="e">
        <f>_xll.qlSimpleQuoteSetValue(D64,ROUND(L64,6),EvaluationDate)</f>
        <v>#N/A</v>
      </c>
      <c r="N64" s="263"/>
    </row>
    <row r="65" spans="1:14" x14ac:dyDescent="0.2">
      <c r="A65" s="265">
        <v>27</v>
      </c>
      <c r="B65" s="311" t="str">
        <f t="shared" si="5"/>
        <v>27x39F</v>
      </c>
      <c r="C65" s="312" t="str">
        <f t="shared" si="6"/>
        <v>EUR27x39F_SYNTH1Y_Quote</v>
      </c>
      <c r="D65" s="312" t="str">
        <f>_xll.qlSimpleQuote(C65,,RateTickValue,Permanent,Trigger,ObjectOverwrite)</f>
        <v>EUR27x39F_SYNTH1Y_Quote#0000</v>
      </c>
      <c r="E65" s="316" t="str">
        <f>_xll.ohRangeRetrieveError(D65)</f>
        <v/>
      </c>
      <c r="F65" s="10">
        <v>27</v>
      </c>
      <c r="G65" s="305" t="str">
        <f t="shared" si="7"/>
        <v>27x39F</v>
      </c>
      <c r="H65" s="306">
        <f>SynthFra!H29</f>
        <v>4.7767391403058905E-3</v>
      </c>
      <c r="I65" s="21"/>
      <c r="J65" s="288">
        <v>4.7764486700175787E-3</v>
      </c>
      <c r="K65" s="21"/>
      <c r="L65" s="280">
        <v>4.7764486700175787E-3</v>
      </c>
      <c r="M65" s="281" t="e">
        <f>_xll.qlSimpleQuoteSetValue(D65,ROUND(L65,6),EvaluationDate)</f>
        <v>#N/A</v>
      </c>
      <c r="N65" s="263"/>
    </row>
    <row r="66" spans="1:14" x14ac:dyDescent="0.2">
      <c r="A66" s="265">
        <v>28</v>
      </c>
      <c r="B66" s="311" t="str">
        <f t="shared" si="5"/>
        <v>28x40F</v>
      </c>
      <c r="C66" s="312" t="str">
        <f t="shared" si="6"/>
        <v>EUR28x40F_SYNTH1Y_Quote</v>
      </c>
      <c r="D66" s="312" t="str">
        <f>_xll.qlSimpleQuote(C66,,RateTickValue,Permanent,Trigger,ObjectOverwrite)</f>
        <v>EUR28x40F_SYNTH1Y_Quote#0000</v>
      </c>
      <c r="E66" s="316" t="str">
        <f>_xll.ohRangeRetrieveError(D66)</f>
        <v/>
      </c>
      <c r="F66" s="10">
        <v>28</v>
      </c>
      <c r="G66" s="305" t="str">
        <f t="shared" si="7"/>
        <v>28x40F</v>
      </c>
      <c r="H66" s="306">
        <f>SynthFra!H30</f>
        <v>4.9662261688081383E-3</v>
      </c>
      <c r="I66" s="21"/>
      <c r="J66" s="288">
        <v>4.9658308652551818E-3</v>
      </c>
      <c r="K66" s="21"/>
      <c r="L66" s="280">
        <v>4.9658308652551818E-3</v>
      </c>
      <c r="M66" s="281" t="e">
        <f>_xll.qlSimpleQuoteSetValue(D66,ROUND(L66,6),EvaluationDate)</f>
        <v>#N/A</v>
      </c>
      <c r="N66" s="263"/>
    </row>
    <row r="67" spans="1:14" x14ac:dyDescent="0.2">
      <c r="A67" s="265">
        <v>29</v>
      </c>
      <c r="B67" s="311" t="str">
        <f t="shared" si="5"/>
        <v>29x41F</v>
      </c>
      <c r="C67" s="312" t="str">
        <f t="shared" si="6"/>
        <v>EUR29x41F_SYNTH1Y_Quote</v>
      </c>
      <c r="D67" s="312" t="str">
        <f>_xll.qlSimpleQuote(C67,,RateTickValue,Permanent,Trigger,ObjectOverwrite)</f>
        <v>EUR29x41F_SYNTH1Y_Quote#0000</v>
      </c>
      <c r="E67" s="316" t="str">
        <f>_xll.ohRangeRetrieveError(D67)</f>
        <v/>
      </c>
      <c r="F67" s="10">
        <v>29</v>
      </c>
      <c r="G67" s="305" t="str">
        <f t="shared" si="7"/>
        <v>29x41F</v>
      </c>
      <c r="H67" s="306">
        <f>SynthFra!H31</f>
        <v>5.1670484705570261E-3</v>
      </c>
      <c r="I67" s="21"/>
      <c r="J67" s="288">
        <v>5.1665580197131815E-3</v>
      </c>
      <c r="K67" s="21"/>
      <c r="L67" s="280">
        <v>5.1665580197131815E-3</v>
      </c>
      <c r="M67" s="281" t="e">
        <f>_xll.qlSimpleQuoteSetValue(D67,ROUND(L67,6),EvaluationDate)</f>
        <v>#N/A</v>
      </c>
      <c r="N67" s="263"/>
    </row>
    <row r="68" spans="1:14" x14ac:dyDescent="0.2">
      <c r="A68" s="265">
        <v>30</v>
      </c>
      <c r="B68" s="311" t="str">
        <f t="shared" si="5"/>
        <v>30x42F</v>
      </c>
      <c r="C68" s="312" t="str">
        <f t="shared" si="6"/>
        <v>EUR30x42F_SYNTH1Y_Quote</v>
      </c>
      <c r="D68" s="312" t="str">
        <f>_xll.qlSimpleQuote(C68,,RateTickValue,Permanent,Trigger,ObjectOverwrite)</f>
        <v>EUR30x42F_SYNTH1Y_Quote#0000</v>
      </c>
      <c r="E68" s="316" t="str">
        <f>_xll.ohRangeRetrieveError(D68)</f>
        <v/>
      </c>
      <c r="F68" s="10">
        <v>30</v>
      </c>
      <c r="G68" s="305" t="str">
        <f t="shared" si="7"/>
        <v>30x42F</v>
      </c>
      <c r="H68" s="306">
        <f>SynthFra!H32</f>
        <v>5.3648650732771187E-3</v>
      </c>
      <c r="I68" s="21"/>
      <c r="J68" s="288">
        <v>5.364302069944627E-3</v>
      </c>
      <c r="K68" s="21"/>
      <c r="L68" s="280">
        <v>5.364302069944627E-3</v>
      </c>
      <c r="M68" s="281" t="e">
        <f>_xll.qlSimpleQuoteSetValue(D68,ROUND(L68,6),EvaluationDate)</f>
        <v>#N/A</v>
      </c>
      <c r="N68" s="263"/>
    </row>
    <row r="69" spans="1:14" x14ac:dyDescent="0.2">
      <c r="A69" s="265">
        <v>31</v>
      </c>
      <c r="B69" s="311" t="str">
        <f t="shared" si="5"/>
        <v>31x43F</v>
      </c>
      <c r="C69" s="312" t="str">
        <f t="shared" si="6"/>
        <v>EUR31x43F_SYNTH1Y_Quote</v>
      </c>
      <c r="D69" s="312" t="str">
        <f>_xll.qlSimpleQuote(C69,,RateTickValue,Permanent,Trigger,ObjectOverwrite)</f>
        <v>EUR31x43F_SYNTH1Y_Quote#0000</v>
      </c>
      <c r="E69" s="316" t="str">
        <f>_xll.ohRangeRetrieveError(D69)</f>
        <v/>
      </c>
      <c r="F69" s="10">
        <v>31</v>
      </c>
      <c r="G69" s="305" t="str">
        <f t="shared" si="7"/>
        <v>31x43F</v>
      </c>
      <c r="H69" s="306">
        <f>SynthFra!H33</f>
        <v>5.5662741620482008E-3</v>
      </c>
      <c r="I69" s="21"/>
      <c r="J69" s="288">
        <v>5.5656702374583776E-3</v>
      </c>
      <c r="K69" s="21"/>
      <c r="L69" s="280">
        <v>5.5656702374583776E-3</v>
      </c>
      <c r="M69" s="281" t="e">
        <f>_xll.qlSimpleQuoteSetValue(D69,ROUND(L69,6),EvaluationDate)</f>
        <v>#N/A</v>
      </c>
      <c r="N69" s="263"/>
    </row>
    <row r="70" spans="1:14" x14ac:dyDescent="0.2">
      <c r="A70" s="265">
        <v>32</v>
      </c>
      <c r="B70" s="311" t="str">
        <f t="shared" si="5"/>
        <v>32x44F</v>
      </c>
      <c r="C70" s="312" t="str">
        <f t="shared" si="6"/>
        <v>EUR32x44F_SYNTH1Y_Quote</v>
      </c>
      <c r="D70" s="312" t="str">
        <f>_xll.qlSimpleQuote(C70,,RateTickValue,Permanent,Trigger,ObjectOverwrite)</f>
        <v>EUR32x44F_SYNTH1Y_Quote#0000</v>
      </c>
      <c r="E70" s="316" t="str">
        <f>_xll.ohRangeRetrieveError(D70)</f>
        <v/>
      </c>
      <c r="F70" s="10">
        <v>32</v>
      </c>
      <c r="G70" s="305" t="str">
        <f t="shared" si="7"/>
        <v>32x44F</v>
      </c>
      <c r="H70" s="306">
        <f>SynthFra!H34</f>
        <v>5.7909601138143342E-3</v>
      </c>
      <c r="I70" s="21"/>
      <c r="J70" s="288">
        <v>5.7903578207694692E-3</v>
      </c>
      <c r="K70" s="21"/>
      <c r="L70" s="280">
        <v>5.7903578207694692E-3</v>
      </c>
      <c r="M70" s="281" t="e">
        <f>_xll.qlSimpleQuoteSetValue(D70,ROUND(L70,6),EvaluationDate)</f>
        <v>#N/A</v>
      </c>
      <c r="N70" s="263"/>
    </row>
    <row r="71" spans="1:14" x14ac:dyDescent="0.2">
      <c r="A71" s="265">
        <v>33</v>
      </c>
      <c r="B71" s="311" t="str">
        <f t="shared" si="5"/>
        <v>33x45F</v>
      </c>
      <c r="C71" s="312" t="str">
        <f t="shared" si="6"/>
        <v>EUR33x45F_SYNTH1Y_Quote</v>
      </c>
      <c r="D71" s="312" t="str">
        <f>_xll.qlSimpleQuote(C71,,RateTickValue,Permanent,Trigger,ObjectOverwrite)</f>
        <v>EUR33x45F_SYNTH1Y_Quote#0000</v>
      </c>
      <c r="E71" s="316" t="str">
        <f>_xll.ohRangeRetrieveError(D71)</f>
        <v/>
      </c>
      <c r="F71" s="10">
        <v>33</v>
      </c>
      <c r="G71" s="305" t="str">
        <f t="shared" si="7"/>
        <v>33x45F</v>
      </c>
      <c r="H71" s="306">
        <f>SynthFra!H35</f>
        <v>5.9905171340732394E-3</v>
      </c>
      <c r="I71" s="21"/>
      <c r="J71" s="288">
        <v>5.9899662521476441E-3</v>
      </c>
      <c r="K71" s="21"/>
      <c r="L71" s="280">
        <v>5.9899662521476441E-3</v>
      </c>
      <c r="M71" s="281" t="e">
        <f>_xll.qlSimpleQuoteSetValue(D71,ROUND(L71,6),EvaluationDate)</f>
        <v>#N/A</v>
      </c>
      <c r="N71" s="263"/>
    </row>
    <row r="72" spans="1:14" x14ac:dyDescent="0.2">
      <c r="A72" s="265">
        <v>34</v>
      </c>
      <c r="B72" s="311" t="str">
        <f t="shared" si="5"/>
        <v>34x46F</v>
      </c>
      <c r="C72" s="312" t="str">
        <f t="shared" si="6"/>
        <v>EUR34x46F_SYNTH1Y_Quote</v>
      </c>
      <c r="D72" s="312" t="str">
        <f>_xll.qlSimpleQuote(C72,,RateTickValue,Permanent,Trigger,ObjectOverwrite)</f>
        <v>EUR34x46F_SYNTH1Y_Quote#0000</v>
      </c>
      <c r="E72" s="316" t="str">
        <f>_xll.ohRangeRetrieveError(D72)</f>
        <v/>
      </c>
      <c r="F72" s="10">
        <v>34</v>
      </c>
      <c r="G72" s="305" t="str">
        <f t="shared" si="7"/>
        <v>34x46F</v>
      </c>
      <c r="H72" s="306">
        <f>SynthFra!H36</f>
        <v>6.1845349170780248E-3</v>
      </c>
      <c r="I72" s="21"/>
      <c r="J72" s="288">
        <v>6.1840864125618476E-3</v>
      </c>
      <c r="K72" s="21"/>
      <c r="L72" s="280">
        <v>6.1840864125618476E-3</v>
      </c>
      <c r="M72" s="281" t="e">
        <f>_xll.qlSimpleQuoteSetValue(D72,ROUND(L72,6),EvaluationDate)</f>
        <v>#N/A</v>
      </c>
      <c r="N72" s="263"/>
    </row>
    <row r="73" spans="1:14" x14ac:dyDescent="0.2">
      <c r="A73" s="265">
        <v>35</v>
      </c>
      <c r="B73" s="311" t="str">
        <f t="shared" si="5"/>
        <v>35x47F</v>
      </c>
      <c r="C73" s="312" t="str">
        <f t="shared" si="6"/>
        <v>EUR35x47F_SYNTH1Y_Quote</v>
      </c>
      <c r="D73" s="312" t="str">
        <f>_xll.qlSimpleQuote(C73,,RateTickValue,Permanent,Trigger,ObjectOverwrite)</f>
        <v>EUR35x47F_SYNTH1Y_Quote#0000</v>
      </c>
      <c r="E73" s="316" t="str">
        <f>_xll.ohRangeRetrieveError(D73)</f>
        <v/>
      </c>
      <c r="F73" s="10">
        <v>35</v>
      </c>
      <c r="G73" s="305" t="str">
        <f t="shared" si="7"/>
        <v>35x47F</v>
      </c>
      <c r="H73" s="306">
        <f>SynthFra!H37</f>
        <v>6.4070628669505286E-3</v>
      </c>
      <c r="I73" s="21"/>
      <c r="J73" s="288">
        <v>6.4068116818041306E-3</v>
      </c>
      <c r="K73" s="21"/>
      <c r="L73" s="280">
        <v>6.4068116818041306E-3</v>
      </c>
      <c r="M73" s="281" t="e">
        <f>_xll.qlSimpleQuoteSetValue(D73,ROUND(L73,6),EvaluationDate)</f>
        <v>#N/A</v>
      </c>
      <c r="N73" s="263"/>
    </row>
    <row r="74" spans="1:14" x14ac:dyDescent="0.2">
      <c r="A74" s="265">
        <v>37</v>
      </c>
      <c r="B74" s="311" t="str">
        <f t="shared" si="5"/>
        <v>37x49F</v>
      </c>
      <c r="C74" s="312" t="str">
        <f t="shared" si="6"/>
        <v>EUR37x49F_SYNTH1Y_Quote</v>
      </c>
      <c r="D74" s="312" t="str">
        <f>_xll.qlSimpleQuote(C74,,RateTickValue,Permanent,Trigger,ObjectOverwrite)</f>
        <v>EUR37x49F_SYNTH1Y_Quote#0000</v>
      </c>
      <c r="E74" s="316" t="str">
        <f>_xll.ohRangeRetrieveError(D74)</f>
        <v/>
      </c>
      <c r="F74" s="10">
        <v>37</v>
      </c>
      <c r="G74" s="305" t="str">
        <f t="shared" si="7"/>
        <v>37x49F</v>
      </c>
      <c r="H74" s="306">
        <f>SynthFra!H39</f>
        <v>6.8257506305833861E-3</v>
      </c>
      <c r="I74" s="21"/>
      <c r="J74" s="288">
        <v>6.8260981205323212E-3</v>
      </c>
      <c r="K74" s="21"/>
      <c r="L74" s="280">
        <v>6.8260981205323212E-3</v>
      </c>
      <c r="M74" s="281" t="e">
        <f>_xll.qlSimpleQuoteSetValue(D74,ROUND(L74,6),EvaluationDate)</f>
        <v>#N/A</v>
      </c>
      <c r="N74" s="263"/>
    </row>
    <row r="75" spans="1:14" x14ac:dyDescent="0.2">
      <c r="A75" s="265">
        <v>38</v>
      </c>
      <c r="B75" s="311" t="str">
        <f t="shared" si="5"/>
        <v>38x50F</v>
      </c>
      <c r="C75" s="312" t="str">
        <f t="shared" si="6"/>
        <v>EUR38x50F_SYNTH1Y_Quote</v>
      </c>
      <c r="D75" s="312" t="str">
        <f>_xll.qlSimpleQuote(C75,,RateTickValue,Permanent,Trigger,ObjectOverwrite)</f>
        <v>EUR38x50F_SYNTH1Y_Quote#0000</v>
      </c>
      <c r="E75" s="316" t="str">
        <f>_xll.ohRangeRetrieveError(D75)</f>
        <v/>
      </c>
      <c r="F75" s="10">
        <v>38</v>
      </c>
      <c r="G75" s="305" t="str">
        <f t="shared" si="7"/>
        <v>38x50F</v>
      </c>
      <c r="H75" s="306">
        <f>SynthFra!H40</f>
        <v>7.0420768106445823E-3</v>
      </c>
      <c r="I75" s="21"/>
      <c r="J75" s="288">
        <v>7.0428531587581576E-3</v>
      </c>
      <c r="K75" s="21"/>
      <c r="L75" s="280">
        <v>7.0428531587581576E-3</v>
      </c>
      <c r="M75" s="281" t="e">
        <f>_xll.qlSimpleQuoteSetValue(D75,ROUND(L75,6),EvaluationDate)</f>
        <v>#N/A</v>
      </c>
      <c r="N75" s="263"/>
    </row>
    <row r="76" spans="1:14" x14ac:dyDescent="0.2">
      <c r="A76" s="265">
        <v>39</v>
      </c>
      <c r="B76" s="311" t="str">
        <f t="shared" si="5"/>
        <v>39x51F</v>
      </c>
      <c r="C76" s="312" t="str">
        <f t="shared" si="6"/>
        <v>EUR39x51F_SYNTH1Y_Quote</v>
      </c>
      <c r="D76" s="312" t="str">
        <f>_xll.qlSimpleQuote(C76,,RateTickValue,Permanent,Trigger,ObjectOverwrite)</f>
        <v>EUR39x51F_SYNTH1Y_Quote#0000</v>
      </c>
      <c r="E76" s="316" t="str">
        <f>_xll.ohRangeRetrieveError(D76)</f>
        <v/>
      </c>
      <c r="F76" s="10">
        <v>39</v>
      </c>
      <c r="G76" s="305" t="str">
        <f t="shared" si="7"/>
        <v>39x51F</v>
      </c>
      <c r="H76" s="306">
        <f>SynthFra!H41</f>
        <v>7.2522057517789718E-3</v>
      </c>
      <c r="I76" s="21"/>
      <c r="J76" s="288">
        <v>7.2534147532887158E-3</v>
      </c>
      <c r="K76" s="21"/>
      <c r="L76" s="280">
        <v>7.2534147532887158E-3</v>
      </c>
      <c r="M76" s="281" t="e">
        <f>_xll.qlSimpleQuoteSetValue(D76,ROUND(L76,6),EvaluationDate)</f>
        <v>#N/A</v>
      </c>
      <c r="N76" s="263"/>
    </row>
    <row r="77" spans="1:14" x14ac:dyDescent="0.2">
      <c r="A77" s="265">
        <v>40</v>
      </c>
      <c r="B77" s="311" t="str">
        <f t="shared" si="5"/>
        <v>40x52F</v>
      </c>
      <c r="C77" s="312" t="str">
        <f t="shared" si="6"/>
        <v>EUR40x52F_SYNTH1Y_Quote</v>
      </c>
      <c r="D77" s="312" t="str">
        <f>_xll.qlSimpleQuote(C77,,RateTickValue,Permanent,Trigger,ObjectOverwrite)</f>
        <v>EUR40x52F_SYNTH1Y_Quote#0000</v>
      </c>
      <c r="E77" s="316" t="str">
        <f>_xll.ohRangeRetrieveError(D77)</f>
        <v/>
      </c>
      <c r="F77" s="10">
        <v>40</v>
      </c>
      <c r="G77" s="305" t="str">
        <f t="shared" si="7"/>
        <v>40x52F</v>
      </c>
      <c r="H77" s="306">
        <f>SynthFra!H42</f>
        <v>7.4687837111805334E-3</v>
      </c>
      <c r="I77" s="21"/>
      <c r="J77" s="288">
        <v>7.4704317784367001E-3</v>
      </c>
      <c r="K77" s="21"/>
      <c r="L77" s="280">
        <v>7.4704317784367001E-3</v>
      </c>
      <c r="M77" s="281" t="e">
        <f>_xll.qlSimpleQuoteSetValue(D77,ROUND(L77,6),EvaluationDate)</f>
        <v>#N/A</v>
      </c>
      <c r="N77" s="263"/>
    </row>
    <row r="78" spans="1:14" x14ac:dyDescent="0.2">
      <c r="A78" s="265">
        <v>41</v>
      </c>
      <c r="B78" s="311" t="str">
        <f t="shared" si="5"/>
        <v>41x53F</v>
      </c>
      <c r="C78" s="312" t="str">
        <f t="shared" si="6"/>
        <v>EUR41x53F_SYNTH1Y_Quote</v>
      </c>
      <c r="D78" s="312" t="str">
        <f>_xll.qlSimpleQuote(C78,,RateTickValue,Permanent,Trigger,ObjectOverwrite)</f>
        <v>EUR41x53F_SYNTH1Y_Quote#0000</v>
      </c>
      <c r="E78" s="316" t="str">
        <f>_xll.ohRangeRetrieveError(D78)</f>
        <v/>
      </c>
      <c r="F78" s="10">
        <v>41</v>
      </c>
      <c r="G78" s="305" t="str">
        <f t="shared" si="7"/>
        <v>41x53F</v>
      </c>
      <c r="H78" s="306">
        <f>SynthFra!H43</f>
        <v>7.6918569743472647E-3</v>
      </c>
      <c r="I78" s="21"/>
      <c r="J78" s="288">
        <v>7.6939017847851982E-3</v>
      </c>
      <c r="K78" s="21"/>
      <c r="L78" s="280">
        <v>7.6939017847851982E-3</v>
      </c>
      <c r="M78" s="281" t="e">
        <f>_xll.qlSimpleQuoteSetValue(D78,ROUND(L78,6),EvaluationDate)</f>
        <v>#N/A</v>
      </c>
      <c r="N78" s="263"/>
    </row>
    <row r="79" spans="1:14" x14ac:dyDescent="0.2">
      <c r="A79" s="265">
        <v>42</v>
      </c>
      <c r="B79" s="311" t="str">
        <f t="shared" si="5"/>
        <v>42x54F</v>
      </c>
      <c r="C79" s="312" t="str">
        <f t="shared" si="6"/>
        <v>EUR42x54F_SYNTH1Y_Quote</v>
      </c>
      <c r="D79" s="312" t="str">
        <f>_xll.qlSimpleQuote(C79,,RateTickValue,Permanent,Trigger,ObjectOverwrite)</f>
        <v>EUR42x54F_SYNTH1Y_Quote#0000</v>
      </c>
      <c r="E79" s="316" t="str">
        <f>_xll.ohRangeRetrieveError(D79)</f>
        <v/>
      </c>
      <c r="F79" s="10">
        <v>42</v>
      </c>
      <c r="G79" s="305" t="str">
        <f t="shared" si="7"/>
        <v>42x54F</v>
      </c>
      <c r="H79" s="306">
        <f>SynthFra!H44</f>
        <v>7.8933334426887457E-3</v>
      </c>
      <c r="I79" s="21"/>
      <c r="J79" s="288">
        <v>7.8956508499923254E-3</v>
      </c>
      <c r="K79" s="21"/>
      <c r="L79" s="280">
        <v>7.8956508499923254E-3</v>
      </c>
      <c r="M79" s="281" t="e">
        <f>_xll.qlSimpleQuoteSetValue(D79,ROUND(L79,6),EvaluationDate)</f>
        <v>#N/A</v>
      </c>
      <c r="N79" s="263"/>
    </row>
    <row r="80" spans="1:14" x14ac:dyDescent="0.2">
      <c r="A80" s="265">
        <v>43</v>
      </c>
      <c r="B80" s="311" t="str">
        <f t="shared" si="5"/>
        <v>43x55F</v>
      </c>
      <c r="C80" s="312" t="str">
        <f t="shared" si="6"/>
        <v>EUR43x55F_SYNTH1Y_Quote</v>
      </c>
      <c r="D80" s="312" t="str">
        <f>_xll.qlSimpleQuote(C80,,RateTickValue,Permanent,Trigger,ObjectOverwrite)</f>
        <v>EUR43x55F_SYNTH1Y_Quote#0000</v>
      </c>
      <c r="E80" s="316" t="str">
        <f>_xll.ohRangeRetrieveError(D80)</f>
        <v/>
      </c>
      <c r="F80" s="10">
        <v>43</v>
      </c>
      <c r="G80" s="305" t="str">
        <f t="shared" si="7"/>
        <v>43x55F</v>
      </c>
      <c r="H80" s="306">
        <f>SynthFra!H45</f>
        <v>8.1008232807417389E-3</v>
      </c>
      <c r="I80" s="21"/>
      <c r="J80" s="288">
        <v>8.1032986537564293E-3</v>
      </c>
      <c r="K80" s="21"/>
      <c r="L80" s="280">
        <v>8.1032986537564293E-3</v>
      </c>
      <c r="M80" s="281" t="e">
        <f>_xll.qlSimpleQuoteSetValue(D80,ROUND(L80,6),EvaluationDate)</f>
        <v>#N/A</v>
      </c>
      <c r="N80" s="263"/>
    </row>
    <row r="81" spans="1:14" x14ac:dyDescent="0.2">
      <c r="A81" s="265">
        <v>44</v>
      </c>
      <c r="B81" s="311" t="str">
        <f t="shared" si="5"/>
        <v>44x56F</v>
      </c>
      <c r="C81" s="312" t="str">
        <f t="shared" si="6"/>
        <v>EUR44x56F_SYNTH1Y_Quote</v>
      </c>
      <c r="D81" s="312" t="str">
        <f>_xll.qlSimpleQuote(C81,,RateTickValue,Permanent,Trigger,ObjectOverwrite)</f>
        <v>EUR44x56F_SYNTH1Y_Quote#0000</v>
      </c>
      <c r="E81" s="316" t="str">
        <f>_xll.ohRangeRetrieveError(D81)</f>
        <v/>
      </c>
      <c r="F81" s="10">
        <v>44</v>
      </c>
      <c r="G81" s="305" t="str">
        <f t="shared" si="7"/>
        <v>44x56F</v>
      </c>
      <c r="H81" s="306">
        <f>SynthFra!H46</f>
        <v>8.3208186214660963E-3</v>
      </c>
      <c r="I81" s="21"/>
      <c r="J81" s="288">
        <v>8.3232819238499307E-3</v>
      </c>
      <c r="K81" s="21"/>
      <c r="L81" s="280">
        <v>8.3232819238499307E-3</v>
      </c>
      <c r="M81" s="281" t="e">
        <f>_xll.qlSimpleQuoteSetValue(D81,ROUND(L81,6),EvaluationDate)</f>
        <v>#N/A</v>
      </c>
      <c r="N81" s="263"/>
    </row>
    <row r="82" spans="1:14" x14ac:dyDescent="0.2">
      <c r="A82" s="265">
        <v>45</v>
      </c>
      <c r="B82" s="311" t="str">
        <f t="shared" si="5"/>
        <v>45x57F</v>
      </c>
      <c r="C82" s="312" t="str">
        <f t="shared" si="6"/>
        <v>EUR45x57F_SYNTH1Y_Quote</v>
      </c>
      <c r="D82" s="312" t="str">
        <f>_xll.qlSimpleQuote(C82,,RateTickValue,Permanent,Trigger,ObjectOverwrite)</f>
        <v>EUR45x57F_SYNTH1Y_Quote#0000</v>
      </c>
      <c r="E82" s="316" t="str">
        <f>_xll.ohRangeRetrieveError(D82)</f>
        <v/>
      </c>
      <c r="F82" s="10">
        <v>45</v>
      </c>
      <c r="G82" s="305" t="str">
        <f t="shared" si="7"/>
        <v>45x57F</v>
      </c>
      <c r="H82" s="306">
        <f>SynthFra!H47</f>
        <v>8.5255546752566712E-3</v>
      </c>
      <c r="I82" s="21"/>
      <c r="J82" s="288">
        <v>8.5277979763807438E-3</v>
      </c>
      <c r="K82" s="21"/>
      <c r="L82" s="280">
        <v>8.5277979763807438E-3</v>
      </c>
      <c r="M82" s="281" t="e">
        <f>_xll.qlSimpleQuoteSetValue(D82,ROUND(L82,6),EvaluationDate)</f>
        <v>#N/A</v>
      </c>
      <c r="N82" s="263"/>
    </row>
    <row r="83" spans="1:14" x14ac:dyDescent="0.2">
      <c r="A83" s="265">
        <v>46</v>
      </c>
      <c r="B83" s="311" t="str">
        <f t="shared" si="5"/>
        <v>46x58F</v>
      </c>
      <c r="C83" s="312" t="str">
        <f t="shared" si="6"/>
        <v>EUR46x58F_SYNTH1Y_Quote</v>
      </c>
      <c r="D83" s="312" t="str">
        <f>_xll.qlSimpleQuote(C83,,RateTickValue,Permanent,Trigger,ObjectOverwrite)</f>
        <v>EUR46x58F_SYNTH1Y_Quote#0000</v>
      </c>
      <c r="E83" s="316" t="str">
        <f>_xll.ohRangeRetrieveError(D83)</f>
        <v/>
      </c>
      <c r="F83" s="10">
        <v>46</v>
      </c>
      <c r="G83" s="305" t="str">
        <f t="shared" si="7"/>
        <v>46x58F</v>
      </c>
      <c r="H83" s="306">
        <f>SynthFra!H48</f>
        <v>8.7184815081024492E-3</v>
      </c>
      <c r="I83" s="21"/>
      <c r="J83" s="288">
        <v>8.7202831434597377E-3</v>
      </c>
      <c r="K83" s="21"/>
      <c r="L83" s="280">
        <v>8.7202831434597377E-3</v>
      </c>
      <c r="M83" s="281" t="e">
        <f>_xll.qlSimpleQuoteSetValue(D83,ROUND(L83,6),EvaluationDate)</f>
        <v>#N/A</v>
      </c>
      <c r="N83" s="263"/>
    </row>
    <row r="84" spans="1:14" x14ac:dyDescent="0.2">
      <c r="A84" s="266">
        <v>47</v>
      </c>
      <c r="B84" s="313" t="str">
        <f t="shared" si="5"/>
        <v>47x59F</v>
      </c>
      <c r="C84" s="314" t="str">
        <f t="shared" si="6"/>
        <v>EUR47x59F_SYNTH1Y_Quote</v>
      </c>
      <c r="D84" s="314" t="str">
        <f>_xll.qlSimpleQuote(C84,,RateTickValue,Permanent,Trigger,ObjectOverwrite)</f>
        <v>EUR47x59F_SYNTH1Y_Quote#0000</v>
      </c>
      <c r="E84" s="317" t="str">
        <f>_xll.ohRangeRetrieveError(D84)</f>
        <v/>
      </c>
      <c r="F84" s="10">
        <v>47</v>
      </c>
      <c r="G84" s="307" t="str">
        <f t="shared" si="7"/>
        <v>47x59F</v>
      </c>
      <c r="H84" s="308">
        <f>SynthFra!H49</f>
        <v>8.9396834092503978E-3</v>
      </c>
      <c r="I84" s="21"/>
      <c r="J84" s="289">
        <v>8.9406724720873191E-3</v>
      </c>
      <c r="K84" s="21"/>
      <c r="L84" s="282">
        <v>8.9406724720873191E-3</v>
      </c>
      <c r="M84" s="283" t="e">
        <f>_xll.qlSimpleQuoteSetValue(D84,ROUND(L84,6),EvaluationDate)</f>
        <v>#N/A</v>
      </c>
      <c r="N84" s="263"/>
    </row>
    <row r="85" spans="1:14" x14ac:dyDescent="0.2">
      <c r="A85" s="267"/>
      <c r="B85" s="268"/>
      <c r="C85" s="269"/>
      <c r="D85" s="269"/>
      <c r="E85" s="269"/>
      <c r="F85" s="270"/>
      <c r="G85" s="270"/>
      <c r="H85" s="270"/>
      <c r="I85" s="270"/>
      <c r="J85" s="270"/>
      <c r="K85" s="270"/>
      <c r="L85" s="270"/>
      <c r="M85" s="270"/>
      <c r="N85" s="271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N1" workbookViewId="0">
      <selection activeCell="X25" sqref="X25"/>
    </sheetView>
  </sheetViews>
  <sheetFormatPr defaultRowHeight="11.25" outlineLevelCol="1" x14ac:dyDescent="0.2"/>
  <cols>
    <col min="1" max="1" width="3.1640625" style="319" hidden="1" customWidth="1" outlineLevel="1"/>
    <col min="2" max="3" width="7" style="319" hidden="1" customWidth="1" outlineLevel="1"/>
    <col min="4" max="4" width="3.5" style="319" hidden="1" customWidth="1" outlineLevel="1"/>
    <col min="5" max="5" width="2.33203125" style="336" hidden="1" customWidth="1" outlineLevel="1"/>
    <col min="6" max="6" width="4.6640625" style="336" hidden="1" customWidth="1" outlineLevel="1"/>
    <col min="7" max="7" width="8.1640625" style="319" hidden="1" customWidth="1" outlineLevel="1"/>
    <col min="8" max="8" width="22.5" style="319" hidden="1" customWidth="1" outlineLevel="1"/>
    <col min="9" max="9" width="12.83203125" style="319" hidden="1" customWidth="1" outlineLevel="1"/>
    <col min="10" max="10" width="9.33203125" style="319" hidden="1" customWidth="1" outlineLevel="1"/>
    <col min="11" max="11" width="31.1640625" style="319" hidden="1" customWidth="1" outlineLevel="1"/>
    <col min="12" max="12" width="17.83203125" style="338" hidden="1" customWidth="1" outlineLevel="1"/>
    <col min="13" max="13" width="26.33203125" style="319" hidden="1" customWidth="1" outlineLevel="1"/>
    <col min="14" max="14" width="3.5" style="319" customWidth="1" collapsed="1"/>
    <col min="15" max="15" width="3.5" style="319" customWidth="1"/>
    <col min="16" max="16" width="31.1640625" style="319" bestFit="1" customWidth="1"/>
    <col min="17" max="21" width="20.1640625" style="319" bestFit="1" customWidth="1"/>
    <col min="22" max="22" width="20.1640625" style="319" hidden="1" customWidth="1" outlineLevel="1"/>
    <col min="23" max="23" width="14.1640625" style="319" hidden="1" customWidth="1" outlineLevel="1"/>
    <col min="24" max="24" width="10.5" style="319" bestFit="1" customWidth="1" collapsed="1"/>
    <col min="25" max="25" width="9.33203125" style="319" customWidth="1"/>
    <col min="26" max="26" width="9.33203125" style="319" bestFit="1" customWidth="1"/>
    <col min="27" max="27" width="7" style="319" bestFit="1" customWidth="1"/>
    <col min="28" max="16384" width="9.33203125" style="319"/>
  </cols>
  <sheetData>
    <row r="1" spans="1:21" ht="11.25" customHeight="1" x14ac:dyDescent="0.2">
      <c r="E1" s="319"/>
      <c r="F1" s="319"/>
      <c r="K1" s="319" t="s">
        <v>40</v>
      </c>
      <c r="L1" s="319" t="str">
        <f>_xll.qlEuribor(,K1,,,Trigger)</f>
        <v>obj_0056b#0000</v>
      </c>
      <c r="M1" s="319" t="str">
        <f>_xll.ohRangeRetrieveError(L1)</f>
        <v/>
      </c>
    </row>
    <row r="2" spans="1:21" ht="24" customHeight="1" x14ac:dyDescent="0.2">
      <c r="A2" s="332"/>
      <c r="B2" s="320" t="s">
        <v>161</v>
      </c>
      <c r="C2" s="320" t="s">
        <v>124</v>
      </c>
      <c r="D2" s="320"/>
      <c r="E2" s="321"/>
      <c r="F2" s="321"/>
      <c r="G2" s="320" t="s">
        <v>125</v>
      </c>
      <c r="H2" s="320" t="s">
        <v>126</v>
      </c>
      <c r="I2" s="320" t="s">
        <v>127</v>
      </c>
      <c r="J2" s="320" t="s">
        <v>128</v>
      </c>
      <c r="K2" s="320" t="s">
        <v>77</v>
      </c>
      <c r="L2" s="320" t="s">
        <v>78</v>
      </c>
      <c r="M2" s="322" t="s">
        <v>36</v>
      </c>
      <c r="N2" s="335"/>
      <c r="O2" s="335"/>
      <c r="P2" s="323" t="s">
        <v>129</v>
      </c>
      <c r="Q2" s="323" t="s">
        <v>79</v>
      </c>
      <c r="R2" s="323" t="s">
        <v>128</v>
      </c>
      <c r="S2" s="323" t="s">
        <v>80</v>
      </c>
      <c r="T2" s="320" t="s">
        <v>81</v>
      </c>
      <c r="U2" s="320" t="s">
        <v>82</v>
      </c>
    </row>
    <row r="3" spans="1:21" ht="11.25" customHeight="1" x14ac:dyDescent="0.2">
      <c r="A3" s="333"/>
      <c r="B3" s="42">
        <v>2</v>
      </c>
      <c r="C3" s="42" t="s">
        <v>132</v>
      </c>
      <c r="D3" s="71"/>
      <c r="E3" s="72"/>
      <c r="F3" s="72"/>
      <c r="G3" s="69"/>
      <c r="H3" s="69"/>
      <c r="I3" s="69"/>
      <c r="J3" s="73"/>
      <c r="K3" s="63" t="str">
        <f>PROPER((Currency))&amp;IborType&amp;K1&amp;"LastFixing"&amp;QuoteSuffix</f>
        <v>Euribor1MLastFixing_Quote</v>
      </c>
      <c r="L3" s="70" t="str">
        <f>_xll.qlDepositRateHelper(,K3,L1,,Trigger)</f>
        <v>obj_005cd#0000</v>
      </c>
      <c r="M3" s="81" t="str">
        <f>_xll.ohRangeRetrieveError(L3)</f>
        <v/>
      </c>
      <c r="N3" s="334"/>
      <c r="O3" s="334"/>
      <c r="P3" s="374" t="str">
        <f>_xll.qlRateHelperQuoteName(L3,Trigger)</f>
        <v>Euribor1MLastFixing_Quote</v>
      </c>
      <c r="Q3" s="364">
        <f>_xll.qlQuoteValue(K3,AllTriggers)</f>
        <v>-4.4999999999999999E-4</v>
      </c>
      <c r="R3" s="365" t="str">
        <f>IF(ISBLANK(J3),"--",_xll.qlSwapRateHelperSpread(L3,AllTriggers))</f>
        <v>--</v>
      </c>
      <c r="S3" s="374" t="b">
        <v>1</v>
      </c>
      <c r="T3" s="366">
        <f>_xll.qlRateHelperEarliestDate(L3,Trigger)</f>
        <v>42137</v>
      </c>
      <c r="U3" s="366">
        <f>_xll.qlRateHelperLatestDate(L3,Trigger)</f>
        <v>42170</v>
      </c>
    </row>
    <row r="4" spans="1:21" ht="11.25" customHeight="1" x14ac:dyDescent="0.2">
      <c r="A4" s="333"/>
      <c r="B4" s="74">
        <v>2</v>
      </c>
      <c r="C4" s="74" t="s">
        <v>132</v>
      </c>
      <c r="D4" s="75" t="s">
        <v>47</v>
      </c>
      <c r="E4" s="76">
        <v>2</v>
      </c>
      <c r="F4" s="76" t="s">
        <v>133</v>
      </c>
      <c r="G4" s="74" t="s">
        <v>134</v>
      </c>
      <c r="H4" s="77" t="s">
        <v>130</v>
      </c>
      <c r="I4" s="77" t="s">
        <v>15</v>
      </c>
      <c r="J4" s="78">
        <v>0</v>
      </c>
      <c r="K4" s="79" t="str">
        <f t="shared" ref="K4:K9" si="0">Currency&amp;$E4&amp;$F4&amp;"_Quote"</f>
        <v>EUR2X1S_Quote</v>
      </c>
      <c r="L4" s="80" t="str">
        <f>_xll.qlSwapRateHelper2(,$K4,$B4,D4,Calendar,$G4,$H4,$I4,$L$1,$J4,C4,Discounting,Permanent,Trigger,ObjectOverwrite)</f>
        <v>obj_0056e#0000</v>
      </c>
      <c r="M4" s="81" t="str">
        <f>_xll.ohRangeRetrieveError(L4)</f>
        <v/>
      </c>
      <c r="N4" s="334"/>
      <c r="O4" s="334"/>
      <c r="P4" s="374" t="str">
        <f>_xll.qlRateHelperQuoteName(L4,Trigger)</f>
        <v>EUR2X1S_Quote</v>
      </c>
      <c r="Q4" s="364">
        <f>_xll.qlQuoteValue(K4,AllTriggers)</f>
        <v>-4.8999999999999998E-4</v>
      </c>
      <c r="R4" s="375">
        <f>IF(ISBLANK(J4),"--",_xll.qlSwapRateHelperSpread(L4,AllTriggers))</f>
        <v>0</v>
      </c>
      <c r="S4" s="374" t="b">
        <v>1</v>
      </c>
      <c r="T4" s="366">
        <f>_xll.qlRateHelperEarliestDate(L4,Trigger)</f>
        <v>42137</v>
      </c>
      <c r="U4" s="366">
        <f>_xll.qlRateHelperLatestDate(L4,Trigger)</f>
        <v>42198</v>
      </c>
    </row>
    <row r="5" spans="1:21" ht="11.25" customHeight="1" x14ac:dyDescent="0.2">
      <c r="A5" s="333"/>
      <c r="B5" s="42">
        <v>2</v>
      </c>
      <c r="C5" s="42" t="s">
        <v>132</v>
      </c>
      <c r="D5" s="43" t="s">
        <v>41</v>
      </c>
      <c r="E5" s="44">
        <v>3</v>
      </c>
      <c r="F5" s="44" t="s">
        <v>133</v>
      </c>
      <c r="G5" s="42" t="s">
        <v>134</v>
      </c>
      <c r="H5" s="45" t="s">
        <v>130</v>
      </c>
      <c r="I5" s="45" t="s">
        <v>15</v>
      </c>
      <c r="J5" s="46">
        <v>0</v>
      </c>
      <c r="K5" s="47" t="str">
        <f t="shared" si="0"/>
        <v>EUR3X1S_Quote</v>
      </c>
      <c r="L5" s="48" t="str">
        <f>_xll.qlSwapRateHelper2(,$K5,$B5,D5,Calendar,$G5,$H5,$I5,$L$1,$J5,C5,Discounting,Permanent,Trigger,ObjectOverwrite)</f>
        <v>obj_0056f#0000</v>
      </c>
      <c r="M5" s="49" t="str">
        <f>_xll.ohRangeRetrieveError(L5)</f>
        <v/>
      </c>
      <c r="N5" s="334"/>
      <c r="O5" s="334"/>
      <c r="P5" s="374" t="str">
        <f>_xll.qlRateHelperQuoteName(L5,Trigger)</f>
        <v>EUR3X1S_Quote</v>
      </c>
      <c r="Q5" s="364">
        <f>_xll.qlQuoteValue(K5,AllTriggers)</f>
        <v>-5.2999999999999998E-4</v>
      </c>
      <c r="R5" s="375">
        <f>IF(ISBLANK(J5),"--",_xll.qlSwapRateHelperSpread(L5,AllTriggers))</f>
        <v>0</v>
      </c>
      <c r="S5" s="374" t="b">
        <v>1</v>
      </c>
      <c r="T5" s="366">
        <f>_xll.qlRateHelperEarliestDate(L5,Trigger)</f>
        <v>42137</v>
      </c>
      <c r="U5" s="366">
        <f>_xll.qlRateHelperLatestDate(L5,Trigger)</f>
        <v>42229</v>
      </c>
    </row>
    <row r="6" spans="1:21" ht="11.25" customHeight="1" x14ac:dyDescent="0.2">
      <c r="A6" s="332"/>
      <c r="B6" s="42">
        <v>2</v>
      </c>
      <c r="C6" s="42" t="s">
        <v>132</v>
      </c>
      <c r="D6" s="43" t="s">
        <v>48</v>
      </c>
      <c r="E6" s="44">
        <v>4</v>
      </c>
      <c r="F6" s="44" t="s">
        <v>133</v>
      </c>
      <c r="G6" s="42" t="s">
        <v>134</v>
      </c>
      <c r="H6" s="45" t="s">
        <v>130</v>
      </c>
      <c r="I6" s="45" t="s">
        <v>15</v>
      </c>
      <c r="J6" s="46">
        <v>0</v>
      </c>
      <c r="K6" s="47" t="str">
        <f t="shared" si="0"/>
        <v>EUR4X1S_Quote</v>
      </c>
      <c r="L6" s="48" t="str">
        <f>_xll.qlSwapRateHelper2(,$K6,$B6,D6,Calendar,$G6,$H6,$I6,$L$1,$J6,C6,Discounting,Permanent,Trigger,ObjectOverwrite)</f>
        <v>obj_00570#0000</v>
      </c>
      <c r="M6" s="49" t="str">
        <f>_xll.ohRangeRetrieveError(L6)</f>
        <v/>
      </c>
      <c r="N6" s="334"/>
      <c r="O6" s="334"/>
      <c r="P6" s="374" t="str">
        <f>_xll.qlRateHelperQuoteName(L6,Trigger)</f>
        <v>EUR4X1S_Quote</v>
      </c>
      <c r="Q6" s="364">
        <f>_xll.qlQuoteValue(K6,AllTriggers)</f>
        <v>-5.5000000000000003E-4</v>
      </c>
      <c r="R6" s="375">
        <f>IF(ISBLANK(J6),"--",_xll.qlSwapRateHelperSpread(L6,AllTriggers))</f>
        <v>0</v>
      </c>
      <c r="S6" s="374" t="b">
        <v>1</v>
      </c>
      <c r="T6" s="366">
        <f>_xll.qlRateHelperEarliestDate(L6,Trigger)</f>
        <v>42137</v>
      </c>
      <c r="U6" s="366">
        <f>_xll.qlRateHelperLatestDate(L6,Trigger)</f>
        <v>42261</v>
      </c>
    </row>
    <row r="7" spans="1:21" ht="11.25" customHeight="1" x14ac:dyDescent="0.2">
      <c r="A7" s="332"/>
      <c r="B7" s="42">
        <v>2</v>
      </c>
      <c r="C7" s="42" t="s">
        <v>132</v>
      </c>
      <c r="D7" s="43" t="s">
        <v>49</v>
      </c>
      <c r="E7" s="44">
        <v>5</v>
      </c>
      <c r="F7" s="44" t="s">
        <v>133</v>
      </c>
      <c r="G7" s="42" t="s">
        <v>134</v>
      </c>
      <c r="H7" s="45" t="s">
        <v>130</v>
      </c>
      <c r="I7" s="45" t="s">
        <v>15</v>
      </c>
      <c r="J7" s="46">
        <v>0</v>
      </c>
      <c r="K7" s="47" t="str">
        <f t="shared" si="0"/>
        <v>EUR5X1S_Quote</v>
      </c>
      <c r="L7" s="48" t="str">
        <f>_xll.qlSwapRateHelper2(,$K7,$B7,D7,Calendar,$G7,$H7,$I7,$L$1,$J7,C7,Discounting,Permanent,Trigger,ObjectOverwrite)</f>
        <v>obj_00571#0000</v>
      </c>
      <c r="M7" s="49" t="str">
        <f>_xll.ohRangeRetrieveError(L7)</f>
        <v/>
      </c>
      <c r="N7" s="334"/>
      <c r="O7" s="334"/>
      <c r="P7" s="374" t="str">
        <f>_xll.qlRateHelperQuoteName(L7,Trigger)</f>
        <v>EUR5X1S_Quote</v>
      </c>
      <c r="Q7" s="364">
        <f>_xll.qlQuoteValue(K7,AllTriggers)</f>
        <v>-5.5999999999999995E-4</v>
      </c>
      <c r="R7" s="375">
        <f>IF(ISBLANK(J7),"--",_xll.qlSwapRateHelperSpread(L7,AllTriggers))</f>
        <v>0</v>
      </c>
      <c r="S7" s="374" t="b">
        <v>1</v>
      </c>
      <c r="T7" s="366">
        <f>_xll.qlRateHelperEarliestDate(L7,Trigger)</f>
        <v>42137</v>
      </c>
      <c r="U7" s="366">
        <f>_xll.qlRateHelperLatestDate(L7,Trigger)</f>
        <v>42290</v>
      </c>
    </row>
    <row r="8" spans="1:21" ht="11.25" customHeight="1" x14ac:dyDescent="0.2">
      <c r="A8" s="332"/>
      <c r="B8" s="42">
        <v>2</v>
      </c>
      <c r="C8" s="42" t="s">
        <v>132</v>
      </c>
      <c r="D8" s="43" t="s">
        <v>42</v>
      </c>
      <c r="E8" s="44">
        <v>6</v>
      </c>
      <c r="F8" s="44" t="s">
        <v>133</v>
      </c>
      <c r="G8" s="42" t="s">
        <v>134</v>
      </c>
      <c r="H8" s="45" t="s">
        <v>130</v>
      </c>
      <c r="I8" s="45" t="s">
        <v>15</v>
      </c>
      <c r="J8" s="46">
        <v>0</v>
      </c>
      <c r="K8" s="47" t="str">
        <f t="shared" si="0"/>
        <v>EUR6X1S_Quote</v>
      </c>
      <c r="L8" s="48" t="str">
        <f>_xll.qlSwapRateHelper2(,$K8,$B8,D8,Calendar,$G8,$H8,$I8,$L$1,$J8,C8,Discounting,Permanent,Trigger,ObjectOverwrite)</f>
        <v>obj_0056c#0000</v>
      </c>
      <c r="M8" s="49" t="str">
        <f>_xll.ohRangeRetrieveError(L8)</f>
        <v/>
      </c>
      <c r="N8" s="334"/>
      <c r="O8" s="334"/>
      <c r="P8" s="374" t="str">
        <f>_xll.qlRateHelperQuoteName(L8,Trigger)</f>
        <v>EUR6X1S_Quote</v>
      </c>
      <c r="Q8" s="364">
        <f>_xll.qlQuoteValue(K8,AllTriggers)</f>
        <v>-5.8E-4</v>
      </c>
      <c r="R8" s="375">
        <f>IF(ISBLANK(J8),"--",_xll.qlSwapRateHelperSpread(L8,AllTriggers))</f>
        <v>0</v>
      </c>
      <c r="S8" s="374" t="b">
        <v>0</v>
      </c>
      <c r="T8" s="366">
        <f>_xll.qlRateHelperEarliestDate(L8,Trigger)</f>
        <v>42137</v>
      </c>
      <c r="U8" s="366">
        <f>_xll.qlRateHelperLatestDate(L8,Trigger)</f>
        <v>42321</v>
      </c>
    </row>
    <row r="9" spans="1:21" ht="11.25" customHeight="1" x14ac:dyDescent="0.2">
      <c r="B9" s="52">
        <v>2</v>
      </c>
      <c r="C9" s="52" t="s">
        <v>132</v>
      </c>
      <c r="D9" s="53" t="s">
        <v>50</v>
      </c>
      <c r="E9" s="54">
        <v>7</v>
      </c>
      <c r="F9" s="54" t="s">
        <v>133</v>
      </c>
      <c r="G9" s="52" t="s">
        <v>134</v>
      </c>
      <c r="H9" s="55" t="s">
        <v>130</v>
      </c>
      <c r="I9" s="55" t="s">
        <v>15</v>
      </c>
      <c r="J9" s="56">
        <v>0</v>
      </c>
      <c r="K9" s="67" t="str">
        <f t="shared" si="0"/>
        <v>EUR7X1S_Quote</v>
      </c>
      <c r="L9" s="68" t="str">
        <f>_xll.qlSwapRateHelper2(,$K9,$B9,D9,Calendar,$G9,$H9,$I9,$L$1,$J9,C9,Discounting,Permanent,Trigger,ObjectOverwrite)</f>
        <v>obj_0056d#0000</v>
      </c>
      <c r="M9" s="57" t="str">
        <f>_xll.ohRangeRetrieveError(L9)</f>
        <v/>
      </c>
      <c r="P9" s="376" t="str">
        <f>_xll.qlRateHelperQuoteName(L9,Trigger)</f>
        <v>EUR7X1S_Quote</v>
      </c>
      <c r="Q9" s="369">
        <f>_xll.qlQuoteValue(K9,AllTriggers)</f>
        <v>-6.0999999999999997E-4</v>
      </c>
      <c r="R9" s="377">
        <f>IF(ISBLANK(J9),"--",_xll.qlSwapRateHelperSpread(L9,AllTriggers))</f>
        <v>0</v>
      </c>
      <c r="S9" s="376" t="b">
        <v>0</v>
      </c>
      <c r="T9" s="371">
        <f>_xll.qlRateHelperEarliestDate(L9,Trigger)</f>
        <v>42137</v>
      </c>
      <c r="U9" s="371">
        <f>_xll.qlRateHelperLatestDate(L9,Trigger)</f>
        <v>42352</v>
      </c>
    </row>
    <row r="10" spans="1:21" x14ac:dyDescent="0.2">
      <c r="E10" s="319"/>
      <c r="F10" s="319"/>
      <c r="L10" s="319"/>
      <c r="M10" s="334"/>
    </row>
    <row r="11" spans="1:21" x14ac:dyDescent="0.2">
      <c r="J11" s="337"/>
      <c r="K11" s="337"/>
      <c r="P11" s="324" t="str">
        <f>K1&amp;" "&amp;PROPER(Currency)&amp;IborType&amp;" Curve"</f>
        <v>1M Euribor Curve</v>
      </c>
      <c r="Q11" s="325"/>
      <c r="R11" s="325"/>
      <c r="S11" s="325"/>
      <c r="T11" s="325"/>
      <c r="U11" s="326" t="s">
        <v>158</v>
      </c>
    </row>
    <row r="12" spans="1:21" ht="11.25" customHeight="1" x14ac:dyDescent="0.2">
      <c r="M12" s="323" t="s">
        <v>131</v>
      </c>
      <c r="P12" s="323" t="s">
        <v>88</v>
      </c>
      <c r="Q12" s="323" t="s">
        <v>89</v>
      </c>
      <c r="R12" s="323" t="s">
        <v>128</v>
      </c>
      <c r="S12" s="323" t="s">
        <v>81</v>
      </c>
      <c r="T12" s="323" t="s">
        <v>82</v>
      </c>
      <c r="U12" s="373">
        <f t="array" ref="U12:U21">_xll.qlPiecewiseYieldCurveData('General Settings'!I34,InterestRatesTrigger)</f>
        <v>1</v>
      </c>
    </row>
    <row r="13" spans="1:21" x14ac:dyDescent="0.2">
      <c r="J13" s="337"/>
      <c r="K13" s="337"/>
      <c r="M13" s="63" t="str">
        <f t="array" ref="M13:M21">_xll.ohFilter(L3:L9,S3:S9)</f>
        <v>obj_005cd#0000</v>
      </c>
      <c r="P13" s="363" t="str">
        <f t="array" ref="P13:P21">_xll.ohFilter(P3:P8,S3:S8)</f>
        <v>Euribor1MLastFixing_Quote</v>
      </c>
      <c r="Q13" s="364">
        <f t="array" ref="Q13:Q21">_xll.ohFilter(Q3:Q8,S3:S8)</f>
        <v>-4.4999999999999999E-4</v>
      </c>
      <c r="R13" s="365" t="str">
        <f t="array" ref="R13:R21">_xll.ohFilter(R3:R8,S3:S8)</f>
        <v>--</v>
      </c>
      <c r="S13" s="366">
        <f t="array" ref="S13:S21">_xll.ohFilter(T3:T8,S3:S8)</f>
        <v>42137</v>
      </c>
      <c r="T13" s="366">
        <f t="array" ref="T13:T21">_xll.ohFilter(U3:U8,S3:S8)</f>
        <v>42170</v>
      </c>
      <c r="U13" s="367">
        <v>1.0000412517016326</v>
      </c>
    </row>
    <row r="14" spans="1:21" x14ac:dyDescent="0.2">
      <c r="M14" s="64" t="str">
        <v>obj_0056e#0000</v>
      </c>
      <c r="P14" s="363" t="str">
        <v>EUR2X1S_Quote</v>
      </c>
      <c r="Q14" s="364">
        <v>-4.8999999999999998E-4</v>
      </c>
      <c r="R14" s="365">
        <v>0</v>
      </c>
      <c r="S14" s="366">
        <v>42137</v>
      </c>
      <c r="T14" s="366">
        <v>42198</v>
      </c>
      <c r="U14" s="367">
        <v>1.0000830365561901</v>
      </c>
    </row>
    <row r="15" spans="1:21" x14ac:dyDescent="0.2">
      <c r="J15" s="337"/>
      <c r="K15" s="337"/>
      <c r="M15" s="64" t="str">
        <v>obj_0056f#0000</v>
      </c>
      <c r="P15" s="363" t="str">
        <v>EUR3X1S_Quote</v>
      </c>
      <c r="Q15" s="364">
        <v>-5.2999999999999998E-4</v>
      </c>
      <c r="R15" s="365">
        <v>0</v>
      </c>
      <c r="S15" s="366">
        <v>42137</v>
      </c>
      <c r="T15" s="366">
        <v>42229</v>
      </c>
      <c r="U15" s="367">
        <v>1.0001354689684261</v>
      </c>
    </row>
    <row r="16" spans="1:21" x14ac:dyDescent="0.2">
      <c r="M16" s="64" t="str">
        <v>obj_00570#0000</v>
      </c>
      <c r="P16" s="363" t="str">
        <v>EUR4X1S_Quote</v>
      </c>
      <c r="Q16" s="364">
        <v>-5.5000000000000003E-4</v>
      </c>
      <c r="R16" s="365">
        <v>0</v>
      </c>
      <c r="S16" s="366">
        <v>42137</v>
      </c>
      <c r="T16" s="366">
        <v>42261</v>
      </c>
      <c r="U16" s="367">
        <v>1.000189494203489</v>
      </c>
    </row>
    <row r="17" spans="10:24" x14ac:dyDescent="0.2">
      <c r="J17" s="337"/>
      <c r="K17" s="337"/>
      <c r="M17" s="64" t="str">
        <v>obj_00571#0000</v>
      </c>
      <c r="P17" s="363" t="str">
        <v>EUR5X1S_Quote</v>
      </c>
      <c r="Q17" s="364">
        <v>-5.5999999999999995E-4</v>
      </c>
      <c r="R17" s="365">
        <v>0</v>
      </c>
      <c r="S17" s="366">
        <v>42137</v>
      </c>
      <c r="T17" s="366">
        <v>42290</v>
      </c>
      <c r="U17" s="367">
        <v>1.000238080079707</v>
      </c>
    </row>
    <row r="18" spans="10:24" x14ac:dyDescent="0.2">
      <c r="M18" s="64" t="e">
        <v>#N/A</v>
      </c>
      <c r="P18" s="363" t="e">
        <v>#N/A</v>
      </c>
      <c r="Q18" s="364" t="e">
        <v>#N/A</v>
      </c>
      <c r="R18" s="365" t="e">
        <v>#N/A</v>
      </c>
      <c r="S18" s="366" t="e">
        <v>#N/A</v>
      </c>
      <c r="T18" s="366" t="e">
        <v>#N/A</v>
      </c>
      <c r="U18" s="367" t="e">
        <v>#N/A</v>
      </c>
    </row>
    <row r="19" spans="10:24" x14ac:dyDescent="0.2">
      <c r="J19" s="337"/>
      <c r="K19" s="337"/>
      <c r="M19" s="64" t="e">
        <v>#N/A</v>
      </c>
      <c r="P19" s="363" t="e">
        <v>#N/A</v>
      </c>
      <c r="Q19" s="364" t="e">
        <v>#N/A</v>
      </c>
      <c r="R19" s="365" t="e">
        <v>#N/A</v>
      </c>
      <c r="S19" s="366" t="e">
        <v>#N/A</v>
      </c>
      <c r="T19" s="366" t="e">
        <v>#N/A</v>
      </c>
      <c r="U19" s="367" t="e">
        <v>#N/A</v>
      </c>
    </row>
    <row r="20" spans="10:24" x14ac:dyDescent="0.2">
      <c r="M20" s="64" t="e">
        <v>#N/A</v>
      </c>
      <c r="P20" s="363" t="e">
        <v>#N/A</v>
      </c>
      <c r="Q20" s="364" t="e">
        <v>#N/A</v>
      </c>
      <c r="R20" s="365" t="e">
        <v>#N/A</v>
      </c>
      <c r="S20" s="366" t="e">
        <v>#N/A</v>
      </c>
      <c r="T20" s="366" t="e">
        <v>#N/A</v>
      </c>
      <c r="U20" s="367" t="e">
        <v>#N/A</v>
      </c>
    </row>
    <row r="21" spans="10:24" x14ac:dyDescent="0.2">
      <c r="J21" s="337"/>
      <c r="K21" s="337"/>
      <c r="M21" s="65" t="e">
        <v>#N/A</v>
      </c>
      <c r="P21" s="368" t="e">
        <v>#N/A</v>
      </c>
      <c r="Q21" s="369" t="e">
        <v>#N/A</v>
      </c>
      <c r="R21" s="370" t="e">
        <v>#N/A</v>
      </c>
      <c r="S21" s="371" t="e">
        <v>#N/A</v>
      </c>
      <c r="T21" s="371" t="e">
        <v>#N/A</v>
      </c>
      <c r="U21" s="372" t="e">
        <v>#N/A</v>
      </c>
    </row>
    <row r="22" spans="10:24" x14ac:dyDescent="0.2">
      <c r="M22" s="339"/>
    </row>
    <row r="23" spans="10:24" x14ac:dyDescent="0.2">
      <c r="J23" s="337"/>
      <c r="K23" s="337"/>
    </row>
    <row r="24" spans="10:24" x14ac:dyDescent="0.2">
      <c r="P24" s="327" t="str">
        <f>"Delta "&amp;K1</f>
        <v>Delta 1M</v>
      </c>
      <c r="Q24" s="328"/>
      <c r="R24" s="329"/>
      <c r="S24" s="329"/>
      <c r="T24" s="330"/>
      <c r="U24" s="330"/>
      <c r="V24" s="330"/>
      <c r="W24" s="330"/>
      <c r="X24" s="331"/>
    </row>
    <row r="25" spans="10:24" x14ac:dyDescent="0.2">
      <c r="J25" s="337"/>
      <c r="K25" s="337"/>
      <c r="P25" s="156" t="str">
        <f>K1&amp;" Instruments"</f>
        <v>1M Instruments</v>
      </c>
      <c r="Q25" s="156" t="s">
        <v>117</v>
      </c>
      <c r="R25" s="156" t="s">
        <v>118</v>
      </c>
      <c r="S25" s="156" t="s">
        <v>143</v>
      </c>
      <c r="T25" s="156" t="str">
        <f>"F "&amp;K1</f>
        <v>F 1M</v>
      </c>
      <c r="U25" s="156" t="s">
        <v>146</v>
      </c>
      <c r="V25" s="156" t="s">
        <v>144</v>
      </c>
      <c r="W25" s="156" t="s">
        <v>145</v>
      </c>
      <c r="X25" s="156" t="s">
        <v>147</v>
      </c>
    </row>
    <row r="26" spans="10:24" x14ac:dyDescent="0.2">
      <c r="N26" s="319">
        <v>0</v>
      </c>
      <c r="O26" s="319">
        <f>N26+SUBSTITUTE($K$1,"M","")</f>
        <v>1</v>
      </c>
      <c r="P26" s="378" t="str">
        <f>N26&amp;"x"&amp;O26</f>
        <v>0x1</v>
      </c>
      <c r="Q26" s="379">
        <f>SettlementDate</f>
        <v>42137</v>
      </c>
      <c r="R26" s="379">
        <f>_xll.qlInterestRateIndexMaturity(iborindex1M,Q26,Trigger)</f>
        <v>42170</v>
      </c>
      <c r="S26" s="169">
        <f>_xll.qlDayCounterYearFraction(DayCounter,Q26,R26,,,Trigger)</f>
        <v>9.166666666666666E-2</v>
      </c>
      <c r="T26" s="181">
        <f>_xll.qlIndexFixing(iborindex1M,_xll.qlInterestRateIndexFixingDate(iborindex1M,Q26,Trigger),TRUE,AllTriggers)</f>
        <v>-4.4999999999870903E-4</v>
      </c>
      <c r="U26" s="181">
        <f>(V26/W26-1)/S26</f>
        <v>-9.5000000023210361E-4</v>
      </c>
      <c r="V26" s="184">
        <f>_xll.qlYieldTSDiscount(Discounting,Q26,,AllTriggers)</f>
        <v>1.0000055555787037</v>
      </c>
      <c r="W26" s="184">
        <f>_xll.qlYieldTSDiscount(Discounting,R26,,AllTriggers)</f>
        <v>1.0000926469800662</v>
      </c>
      <c r="X26" s="380">
        <f>LN((1+T26*S26)/(1+U26*S26))</f>
        <v>4.5836274523754443E-5</v>
      </c>
    </row>
    <row r="27" spans="10:24" x14ac:dyDescent="0.2">
      <c r="J27" s="337"/>
      <c r="K27" s="337"/>
      <c r="N27" s="319">
        <v>1</v>
      </c>
      <c r="O27" s="319">
        <f t="shared" ref="O27:O29" si="1">N27+SUBSTITUTE($K$1,"M","")</f>
        <v>2</v>
      </c>
      <c r="P27" s="378" t="str">
        <f t="shared" ref="P27:P29" si="2">N27&amp;"x"&amp;O27</f>
        <v>1x2</v>
      </c>
      <c r="Q27" s="379">
        <f>R26</f>
        <v>42170</v>
      </c>
      <c r="R27" s="379">
        <f>_xll.qlInterestRateIndexMaturity(iborindex1M,Q27,Trigger)</f>
        <v>42200</v>
      </c>
      <c r="S27" s="169">
        <f>_xll.qlDayCounterYearFraction(DayCounter,Q27,R27,,,Trigger)</f>
        <v>8.3333333333333329E-2</v>
      </c>
      <c r="T27" s="181">
        <f>_xll.qlIndexFixing(iborindex1M,_xll.qlInterestRateIndexFixingDate(iborindex1M,Q27,Trigger),TRUE,AllTriggers)</f>
        <v>-5.4196325851663119E-4</v>
      </c>
      <c r="U27" s="181">
        <f>(V27/W27-1)/S27</f>
        <v>-1.128915587620849E-3</v>
      </c>
      <c r="V27" s="184">
        <f>_xll.qlYieldTSDiscount(Discounting,Q27,,AllTriggers)</f>
        <v>1.0000926469800662</v>
      </c>
      <c r="W27" s="184">
        <f>_xll.qlYieldTSDiscount(Discounting,R27,,AllTriggers)</f>
        <v>1.0001867408469223</v>
      </c>
      <c r="X27" s="380">
        <f>LN((1+T27*S27)/(1+U27*S27))</f>
        <v>4.891609963836729E-5</v>
      </c>
    </row>
    <row r="28" spans="10:24" x14ac:dyDescent="0.2">
      <c r="N28" s="319">
        <v>2</v>
      </c>
      <c r="O28" s="319">
        <f t="shared" si="1"/>
        <v>3</v>
      </c>
      <c r="P28" s="378" t="str">
        <f t="shared" si="2"/>
        <v>2x3</v>
      </c>
      <c r="Q28" s="379">
        <f>R27</f>
        <v>42200</v>
      </c>
      <c r="R28" s="379">
        <f>_xll.qlInterestRateIndexMaturity(iborindex1M,Q28,Trigger)</f>
        <v>42233</v>
      </c>
      <c r="S28" s="169">
        <f>_xll.qlDayCounterYearFraction(DayCounter,Q28,R28,,,Trigger)</f>
        <v>9.166666666666666E-2</v>
      </c>
      <c r="T28" s="181">
        <f>_xll.qlIndexFixing(iborindex1M,_xll.qlInterestRateIndexFixingDate(iborindex1M,Q28,Trigger),TRUE,AllTriggers)</f>
        <v>-6.0867074680932961E-4</v>
      </c>
      <c r="U28" s="181">
        <f>(V28/W28-1)/S28</f>
        <v>-1.2134664827028793E-3</v>
      </c>
      <c r="V28" s="184">
        <f>_xll.qlYieldTSDiscount(Discounting,Q28,,AllTriggers)</f>
        <v>1.0001867408469223</v>
      </c>
      <c r="W28" s="184">
        <f>_xll.qlYieldTSDiscount(Discounting,R28,,AllTriggers)</f>
        <v>1.0002980084232997</v>
      </c>
      <c r="X28" s="380">
        <f>LN((1+T28*S28)/(1+U28*S28))</f>
        <v>5.5444239542624268E-5</v>
      </c>
    </row>
    <row r="29" spans="10:24" x14ac:dyDescent="0.2">
      <c r="J29" s="337"/>
      <c r="K29" s="337"/>
      <c r="N29" s="319">
        <v>3</v>
      </c>
      <c r="O29" s="319">
        <f t="shared" si="1"/>
        <v>4</v>
      </c>
      <c r="P29" s="381" t="str">
        <f t="shared" si="2"/>
        <v>3x4</v>
      </c>
      <c r="Q29" s="382">
        <f>R28</f>
        <v>42233</v>
      </c>
      <c r="R29" s="382">
        <f>_xll.qlInterestRateIndexMaturity(iborindex1M,Q29,Trigger)</f>
        <v>42264</v>
      </c>
      <c r="S29" s="174">
        <f>_xll.qlDayCounterYearFraction(DayCounter,Q29,R29,,,Trigger)</f>
        <v>8.611111111111111E-2</v>
      </c>
      <c r="T29" s="190">
        <f>_xll.qlIndexFixing(iborindex1M,_xll.qlInterestRateIndexFixingDate(iborindex1M,Q29,Trigger),TRUE,AllTriggers)</f>
        <v>-6.0721646937439248E-4</v>
      </c>
      <c r="U29" s="190">
        <f>(V29/W29-1)/S29</f>
        <v>-1.2475361584148607E-3</v>
      </c>
      <c r="V29" s="188">
        <f>_xll.qlYieldTSDiscount(Discounting,Q29,,AllTriggers)</f>
        <v>1.0002980084232997</v>
      </c>
      <c r="W29" s="188">
        <f>_xll.qlYieldTSDiscount(Discounting,R29,,AllTriggers)</f>
        <v>1.0004054787073016</v>
      </c>
      <c r="X29" s="383">
        <f>LN((1+T29*S29)/(1+U29*S29))</f>
        <v>5.5143043483873312E-5</v>
      </c>
    </row>
    <row r="31" spans="10:24" x14ac:dyDescent="0.2">
      <c r="J31" s="337"/>
      <c r="K31" s="337"/>
    </row>
    <row r="33" spans="10:11" x14ac:dyDescent="0.2">
      <c r="J33" s="337"/>
      <c r="K33" s="337"/>
    </row>
    <row r="35" spans="10:11" x14ac:dyDescent="0.2">
      <c r="J35" s="337"/>
      <c r="K35" s="337"/>
    </row>
    <row r="37" spans="10:11" x14ac:dyDescent="0.2">
      <c r="J37" s="337"/>
      <c r="K37" s="337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36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129" customWidth="1"/>
    <col min="2" max="2" width="2.33203125" style="129" customWidth="1"/>
    <col min="3" max="3" width="3.1640625" style="129" customWidth="1"/>
    <col min="4" max="4" width="30.83203125" style="129" customWidth="1"/>
    <col min="5" max="6" width="20.1640625" style="129" bestFit="1" customWidth="1"/>
    <col min="7" max="7" width="8.1640625" style="129" bestFit="1" customWidth="1"/>
    <col min="8" max="8" width="11.6640625" style="129" bestFit="1" customWidth="1"/>
    <col min="9" max="10" width="14.1640625" style="129" hidden="1" customWidth="1" outlineLevel="1"/>
    <col min="11" max="11" width="10.5" style="129" bestFit="1" customWidth="1" collapsed="1"/>
    <col min="12" max="12" width="9.33203125" style="129" bestFit="1" customWidth="1"/>
    <col min="13" max="13" width="10.33203125" style="129" customWidth="1"/>
    <col min="14" max="14" width="9.33203125" style="129" customWidth="1"/>
    <col min="15" max="15" width="7" style="129" bestFit="1" customWidth="1"/>
    <col min="16" max="16" width="9.33203125" style="129" customWidth="1"/>
    <col min="17" max="17" width="11.33203125" style="129" customWidth="1"/>
    <col min="18" max="18" width="20.1640625" style="129" bestFit="1" customWidth="1"/>
    <col min="19" max="19" width="20.1640625" style="129" customWidth="1"/>
    <col min="20" max="20" width="8.1640625" style="129" bestFit="1" customWidth="1"/>
    <col min="21" max="21" width="9.33203125" style="129" bestFit="1" customWidth="1"/>
    <col min="22" max="23" width="14.1640625" style="129" hidden="1" customWidth="1" outlineLevel="1"/>
    <col min="24" max="24" width="10.5" style="129" bestFit="1" customWidth="1" collapsed="1"/>
    <col min="25" max="25" width="17.83203125" style="129" bestFit="1" customWidth="1"/>
    <col min="26" max="27" width="15.33203125" style="129" bestFit="1" customWidth="1"/>
    <col min="28" max="28" width="9.33203125" style="129"/>
    <col min="29" max="29" width="14.1640625" style="129" bestFit="1" customWidth="1"/>
    <col min="30" max="30" width="15.33203125" style="129" bestFit="1" customWidth="1"/>
    <col min="31" max="16384" width="9.33203125" style="129"/>
  </cols>
  <sheetData>
    <row r="1" spans="1:30" hidden="1" outlineLevel="1" x14ac:dyDescent="0.2">
      <c r="E1" s="346" t="s">
        <v>116</v>
      </c>
      <c r="F1" s="362" t="s">
        <v>41</v>
      </c>
      <c r="N1" s="344" t="str">
        <f>_xll.qlInterpolation(,interpolator3M,_xll.ohFilter(E3:E15,M3:M15),_xll.ohFilter(L3:L15,M3:M15))</f>
        <v>obj_00569#0003</v>
      </c>
    </row>
    <row r="2" spans="1:30" ht="26.25" customHeight="1" collapsed="1" x14ac:dyDescent="0.2">
      <c r="D2" s="156" t="str">
        <f>F1&amp;" Instruments"</f>
        <v>3M Instruments</v>
      </c>
      <c r="E2" s="156" t="s">
        <v>117</v>
      </c>
      <c r="F2" s="156" t="s">
        <v>118</v>
      </c>
      <c r="G2" s="156" t="s">
        <v>143</v>
      </c>
      <c r="H2" s="156" t="str">
        <f>F1&amp;" Market quote"</f>
        <v>3M Market quote</v>
      </c>
      <c r="I2" s="156" t="s">
        <v>144</v>
      </c>
      <c r="J2" s="156" t="s">
        <v>145</v>
      </c>
      <c r="K2" s="156" t="s">
        <v>146</v>
      </c>
      <c r="L2" s="156" t="s">
        <v>157</v>
      </c>
      <c r="M2" s="156" t="s">
        <v>88</v>
      </c>
      <c r="N2" s="156" t="s">
        <v>150</v>
      </c>
      <c r="O2" s="156" t="s">
        <v>160</v>
      </c>
      <c r="P2" s="156" t="s">
        <v>147</v>
      </c>
      <c r="R2" s="156" t="s">
        <v>117</v>
      </c>
      <c r="S2" s="156" t="s">
        <v>118</v>
      </c>
      <c r="T2" s="156" t="s">
        <v>143</v>
      </c>
      <c r="U2" s="156" t="s">
        <v>150</v>
      </c>
      <c r="V2" s="156" t="s">
        <v>144</v>
      </c>
      <c r="W2" s="156" t="s">
        <v>145</v>
      </c>
      <c r="X2" s="156" t="s">
        <v>146</v>
      </c>
    </row>
    <row r="3" spans="1:30" ht="11.25" customHeight="1" x14ac:dyDescent="0.2">
      <c r="D3" s="356" t="str">
        <f>PROPER(Currency&amp;IborType)&amp;F1&amp;"LastFixing"&amp;QuoteSuffix</f>
        <v>Euribor3MLastFixing_Quote</v>
      </c>
      <c r="E3" s="357">
        <f>SettlementDate</f>
        <v>42137</v>
      </c>
      <c r="F3" s="357">
        <f>_xll.qlCalendarAdvance(Calendar,E3,F1,"mf",,Trigger)</f>
        <v>42229</v>
      </c>
      <c r="G3" s="164">
        <f>_xll.qlDayCounterYearFraction(DayCounter,E3,F3,,,Trigger)</f>
        <v>0.25555555555555554</v>
      </c>
      <c r="H3" s="358">
        <f>_xll.qlQuoteValue(D3,LastFixingsTrigger)</f>
        <v>-8.9999999999999992E-5</v>
      </c>
      <c r="I3" s="359">
        <f>_xll.qlYieldTSDiscount(Discounting,E3,,AllTriggers)</f>
        <v>1.0000055555787037</v>
      </c>
      <c r="J3" s="359">
        <f>_xll.qlYieldTSDiscount(Discounting,F3,,AllTriggers)</f>
        <v>1.0002842488977353</v>
      </c>
      <c r="K3" s="358">
        <f t="shared" ref="K3:K8" si="0">(I3/J3-1)/G3</f>
        <v>-1.0902291780291789E-3</v>
      </c>
      <c r="L3" s="358">
        <f>H3-K3</f>
        <v>1.0002291780291789E-3</v>
      </c>
      <c r="M3" s="345" t="b">
        <v>0</v>
      </c>
      <c r="N3" s="351">
        <f>_xll.qlInterpolationInterpolate(B3Minterpolation,E3,TRUE,Trigger)</f>
        <v>9.4906527271435763E-4</v>
      </c>
      <c r="O3" s="352">
        <f>(L3-N3)*10000</f>
        <v>0.51163905314821279</v>
      </c>
      <c r="P3" s="353">
        <f>LN((1+H3*G3)/(1+K3*G3))</f>
        <v>2.5565267889574549E-4</v>
      </c>
      <c r="R3" s="178">
        <f>E3</f>
        <v>42137</v>
      </c>
      <c r="S3" s="178">
        <f>_xll.qlCalendarAdvance(Calendar,R3,$F$1,"mf",,Trigger)</f>
        <v>42229</v>
      </c>
      <c r="T3" s="179">
        <f>_xll.qlDayCounterYearFraction(DayCounter,R3,S3,,,Trigger)</f>
        <v>0.25555555555555554</v>
      </c>
      <c r="U3" s="194">
        <f>_xll.qlInterpolationInterpolate(B3Minterpolation,R3,TRUE)</f>
        <v>9.4906527271435763E-4</v>
      </c>
      <c r="V3" s="180">
        <f>_xll.qlYieldTSDiscount(Discounting,R3,,AllTriggers)</f>
        <v>1.0000055555787037</v>
      </c>
      <c r="W3" s="180">
        <f>_xll.qlYieldTSDiscount(Discounting,S3,,AllTriggers)</f>
        <v>1.0002842488977353</v>
      </c>
      <c r="X3" s="194">
        <f>(V3/W3-1)/T3</f>
        <v>-1.0902291780291789E-3</v>
      </c>
      <c r="AC3" s="155"/>
      <c r="AD3" s="155"/>
    </row>
    <row r="4" spans="1:30" ht="11.25" customHeight="1" x14ac:dyDescent="0.2">
      <c r="A4" s="129">
        <v>1</v>
      </c>
      <c r="B4" s="129" t="s">
        <v>37</v>
      </c>
      <c r="C4" s="129">
        <f>A4+SUBSTITUTE($F$1,"M","")</f>
        <v>4</v>
      </c>
      <c r="D4" s="360" t="str">
        <f>Currency&amp;A4&amp;B4&amp;C4&amp;"F"&amp;QuoteSuffix</f>
        <v>EUR1x4F_Quote</v>
      </c>
      <c r="E4" s="183">
        <f>_xll.qlCalendarAdvance("target",$E$3,A4&amp;"M","mf",,Trigger)</f>
        <v>42170</v>
      </c>
      <c r="F4" s="183">
        <f>_xll.qlCalendarAdvance(Calendar,E4,$F$1,"mf",,Trigger)</f>
        <v>42262</v>
      </c>
      <c r="G4" s="169">
        <f>_xll.qlDayCounterYearFraction(DayCounter,E4,F4,,,Trigger)</f>
        <v>0.25555555555555554</v>
      </c>
      <c r="H4" s="181">
        <f>_xll.qlQuoteValue(D4,AllTriggers)</f>
        <v>-4.9999999999999996E-5</v>
      </c>
      <c r="I4" s="184">
        <f>_xll.qlYieldTSDiscount(Discounting,E4,,AllTriggers)</f>
        <v>1.0000926469800662</v>
      </c>
      <c r="J4" s="184">
        <f>_xll.qlYieldTSDiscount(Discounting,F4,,AllTriggers)</f>
        <v>1.0003985155109503</v>
      </c>
      <c r="K4" s="181">
        <f t="shared" si="0"/>
        <v>-1.1964000759937582E-3</v>
      </c>
      <c r="L4" s="181">
        <f t="shared" ref="L4:L15" si="1">H4-K4</f>
        <v>1.1464000759937583E-3</v>
      </c>
      <c r="M4" s="99" t="b">
        <v>0</v>
      </c>
      <c r="N4" s="181">
        <f>_xll.qlInterpolationInterpolate(B3Minterpolation,E4,TRUE,Trigger)</f>
        <v>1.1200546480165674E-3</v>
      </c>
      <c r="O4" s="354">
        <f t="shared" ref="O4:O15" si="2">(L4-N4)*10000</f>
        <v>0.26345427977190899</v>
      </c>
      <c r="P4" s="348">
        <f t="shared" ref="P4:P15" si="3">LN((1+H4*G4)/(1+K4*G4))</f>
        <v>2.9301557672048136E-4</v>
      </c>
      <c r="R4" s="183">
        <f>_xll.qlCalendarAdvance(Calendar,R3,"1D","f")</f>
        <v>42138</v>
      </c>
      <c r="S4" s="183">
        <f>_xll.qlCalendarAdvance(Calendar,R4,$F$1,"mf",,Trigger)</f>
        <v>42230</v>
      </c>
      <c r="T4" s="169">
        <f>_xll.qlDayCounterYearFraction(DayCounter,R4,S4,,,Trigger)</f>
        <v>0.25555555555555554</v>
      </c>
      <c r="U4" s="181">
        <f>_xll.qlInterpolationInterpolate(B3Minterpolation,R4,TRUE)</f>
        <v>9.5370503316592823E-4</v>
      </c>
      <c r="V4" s="184">
        <f>_xll.qlYieldTSDiscount(Discounting,R4,,AllTriggers)</f>
        <v>1.0000083109335718</v>
      </c>
      <c r="W4" s="184">
        <f>_xll.qlYieldTSDiscount(Discounting,S4,,AllTriggers)</f>
        <v>1.0002876853644167</v>
      </c>
      <c r="X4" s="181">
        <f t="shared" ref="X4:X67" si="4">(V4/W4-1)/T4</f>
        <v>-1.0928898861851523E-3</v>
      </c>
      <c r="AC4" s="155"/>
      <c r="AD4" s="155"/>
    </row>
    <row r="5" spans="1:30" ht="11.25" customHeight="1" x14ac:dyDescent="0.2">
      <c r="A5" s="129">
        <v>2</v>
      </c>
      <c r="B5" s="129" t="s">
        <v>37</v>
      </c>
      <c r="C5" s="129">
        <f t="shared" ref="C5:C6" si="5">A5+SUBSTITUTE($F$1,"M","")</f>
        <v>5</v>
      </c>
      <c r="D5" s="360" t="str">
        <f>Currency&amp;A5&amp;B5&amp;C5&amp;"F"&amp;QuoteSuffix</f>
        <v>EUR2x5F_Quote</v>
      </c>
      <c r="E5" s="183">
        <f>_xll.qlCalendarAdvance("target",$E$3,A5&amp;"M","mf",,Trigger)</f>
        <v>42198</v>
      </c>
      <c r="F5" s="183">
        <f>_xll.qlCalendarAdvance(Calendar,E5,$F$1,"mf",,Trigger)</f>
        <v>42290</v>
      </c>
      <c r="G5" s="169">
        <f>_xll.qlDayCounterYearFraction(DayCounter,E5,F5,,,Trigger)</f>
        <v>0.25555555555555554</v>
      </c>
      <c r="H5" s="181">
        <f>_xll.qlQuoteValue(D5,AllTriggers)</f>
        <v>-4.9999999999999996E-5</v>
      </c>
      <c r="I5" s="184">
        <f>_xll.qlYieldTSDiscount(Discounting,E5,,AllTriggers)</f>
        <v>1.0001801147915161</v>
      </c>
      <c r="J5" s="184">
        <f>_xll.qlYieldTSDiscount(Discounting,F5,,AllTriggers)</f>
        <v>1.0004940903693356</v>
      </c>
      <c r="K5" s="181">
        <f t="shared" si="0"/>
        <v>-1.227993347432737E-3</v>
      </c>
      <c r="L5" s="181">
        <f t="shared" si="1"/>
        <v>1.1779933474327371E-3</v>
      </c>
      <c r="M5" s="99" t="b">
        <v>0</v>
      </c>
      <c r="N5" s="181">
        <f>_xll.qlInterpolationInterpolate(B3Minterpolation,E5,TRUE,Trigger)</f>
        <v>1.1738394557898001E-3</v>
      </c>
      <c r="O5" s="354">
        <f t="shared" si="2"/>
        <v>4.1538916429370146E-2</v>
      </c>
      <c r="P5" s="348">
        <f t="shared" si="3"/>
        <v>3.0109191467202656E-4</v>
      </c>
      <c r="R5" s="183">
        <f>_xll.qlCalendarAdvance(Calendar,R4,"1D","f")</f>
        <v>42139</v>
      </c>
      <c r="S5" s="183">
        <f>_xll.qlCalendarAdvance(Calendar,R5,$F$1,"mf",,Trigger)</f>
        <v>42233</v>
      </c>
      <c r="T5" s="169">
        <f>_xll.qlDayCounterYearFraction(DayCounter,R5,S5,,,Trigger)</f>
        <v>0.26111111111111113</v>
      </c>
      <c r="U5" s="181">
        <f>_xll.qlInterpolationInterpolate(B3Minterpolation,R5,TRUE)</f>
        <v>9.5853115208624604E-4</v>
      </c>
      <c r="V5" s="184">
        <f>_xll.qlYieldTSDiscount(Discounting,R5,,AllTriggers)</f>
        <v>1.0000110435113609</v>
      </c>
      <c r="W5" s="184">
        <f>_xll.qlYieldTSDiscount(Discounting,S5,,AllTriggers)</f>
        <v>1.0002980084232997</v>
      </c>
      <c r="X5" s="181">
        <f t="shared" si="4"/>
        <v>-1.0986871383397417E-3</v>
      </c>
      <c r="AC5" s="155"/>
      <c r="AD5" s="155"/>
    </row>
    <row r="6" spans="1:30" ht="11.25" customHeight="1" x14ac:dyDescent="0.2">
      <c r="A6" s="129">
        <v>3</v>
      </c>
      <c r="B6" s="129" t="s">
        <v>37</v>
      </c>
      <c r="C6" s="129">
        <f t="shared" si="5"/>
        <v>6</v>
      </c>
      <c r="D6" s="361" t="str">
        <f>Currency&amp;A6&amp;B6&amp;C6&amp;"F"&amp;QuoteSuffix</f>
        <v>EUR3x6F_Quote</v>
      </c>
      <c r="E6" s="187">
        <f>_xll.qlCalendarAdvance("target",$E$3,A6&amp;"M","mf",,Trigger)</f>
        <v>42229</v>
      </c>
      <c r="F6" s="187">
        <f>_xll.qlCalendarAdvance(Calendar,E6,$F$1,"mf",,Trigger)</f>
        <v>42321</v>
      </c>
      <c r="G6" s="174">
        <f>_xll.qlDayCounterYearFraction(DayCounter,E6,F6,,,Trigger)</f>
        <v>0.25555555555555554</v>
      </c>
      <c r="H6" s="190">
        <f>_xll.qlQuoteValue(D6,AllTriggers)</f>
        <v>-6.0000000000000002E-5</v>
      </c>
      <c r="I6" s="188">
        <f>_xll.qlYieldTSDiscount(Discounting,E6,,AllTriggers)</f>
        <v>1.0002842488977353</v>
      </c>
      <c r="J6" s="188">
        <f>_xll.qlYieldTSDiscount(Discounting,F6,,AllTriggers)</f>
        <v>1.0006036397357938</v>
      </c>
      <c r="K6" s="190">
        <f t="shared" si="0"/>
        <v>-1.2490362679583734E-3</v>
      </c>
      <c r="L6" s="190">
        <f t="shared" si="1"/>
        <v>1.1890362679583735E-3</v>
      </c>
      <c r="M6" s="118" t="b">
        <v>0</v>
      </c>
      <c r="N6" s="190">
        <f>_xll.qlInterpolationInterpolate(B3Minterpolation,E6,TRUE,Trigger)</f>
        <v>1.1965422732841404E-3</v>
      </c>
      <c r="O6" s="355">
        <f t="shared" si="2"/>
        <v>-7.5060053257669596E-2</v>
      </c>
      <c r="P6" s="350">
        <f t="shared" si="3"/>
        <v>3.0391566105217099E-4</v>
      </c>
      <c r="R6" s="183">
        <f>_xll.qlCalendarAdvance(Calendar,R5,"1D","f")</f>
        <v>42142</v>
      </c>
      <c r="S6" s="183">
        <f>_xll.qlCalendarAdvance(Calendar,R6,$F$1,"mf",,Trigger)</f>
        <v>42234</v>
      </c>
      <c r="T6" s="169">
        <f>_xll.qlDayCounterYearFraction(DayCounter,R6,S6,,,Trigger)</f>
        <v>0.25555555555555554</v>
      </c>
      <c r="U6" s="181">
        <f>_xll.qlInterpolationInterpolate(B3Minterpolation,R6,TRUE)</f>
        <v>9.7398007903083672E-4</v>
      </c>
      <c r="V6" s="184">
        <f>_xll.qlYieldTSDiscount(Discounting,R6,,AllTriggers)</f>
        <v>1.0000191751130485</v>
      </c>
      <c r="W6" s="184">
        <f>_xll.qlYieldTSDiscount(Discounting,S6,,AllTriggers)</f>
        <v>1.0003014537707</v>
      </c>
      <c r="X6" s="181">
        <f t="shared" si="4"/>
        <v>-1.1042357843344085E-3</v>
      </c>
      <c r="AC6" s="155"/>
      <c r="AD6" s="155"/>
    </row>
    <row r="7" spans="1:30" ht="11.25" customHeight="1" x14ac:dyDescent="0.2">
      <c r="C7" s="129" t="str">
        <f>_xll.qlIMMNextCode(SettlementDate,FALSE)</f>
        <v>K5</v>
      </c>
      <c r="D7" s="360" t="str">
        <f t="shared" ref="D7:D15" si="6">Currency&amp;"FUT"&amp;"3M"&amp;C7&amp;QuoteSuffix</f>
        <v>EURFUT3MK5_Quote</v>
      </c>
      <c r="E7" s="183">
        <f>_xll.qlIMMdate(C7,$E$3,Trigger)</f>
        <v>42144</v>
      </c>
      <c r="F7" s="183">
        <f>_xll.qlCalendarAdvance(Calendar,E7,$F$1,"mf",,Trigger)</f>
        <v>42236</v>
      </c>
      <c r="G7" s="169">
        <f>_xll.qlDayCounterYearFraction(DayCounter,E7,F7,,,Trigger)</f>
        <v>0.25555555555555554</v>
      </c>
      <c r="H7" s="181">
        <f>1-_xll.qlQuoteValue(D7,AllTriggers)/100-_xll.qlQuoteValue(Currency&amp;"FUT"&amp;"3M"&amp;C7&amp;"ConvAdj_Quote")</f>
        <v>-1.2499999999993072E-4</v>
      </c>
      <c r="I7" s="184">
        <f>_xll.qlYieldTSDiscount(Discounting,E7,,AllTriggers)</f>
        <v>1.000024611603247</v>
      </c>
      <c r="J7" s="184">
        <f>_xll.qlYieldTSDiscount(Discounting,F7,,AllTriggers)</f>
        <v>1.0003083505518378</v>
      </c>
      <c r="K7" s="181">
        <f t="shared" si="0"/>
        <v>-1.1099405915180134E-3</v>
      </c>
      <c r="L7" s="181">
        <f t="shared" si="1"/>
        <v>9.8494059151808268E-4</v>
      </c>
      <c r="M7" s="99" t="b">
        <v>1</v>
      </c>
      <c r="N7" s="181">
        <f>_xll.qlInterpolationInterpolate(B3Minterpolation,E7,TRUE,Trigger)</f>
        <v>9.8494059151808268E-4</v>
      </c>
      <c r="O7" s="354">
        <f t="shared" si="2"/>
        <v>0</v>
      </c>
      <c r="P7" s="348">
        <f t="shared" si="3"/>
        <v>2.5174676651135841E-4</v>
      </c>
      <c r="R7" s="183">
        <f>_xll.qlCalendarAdvance(Calendar,R6,"1D","f")</f>
        <v>42143</v>
      </c>
      <c r="S7" s="183">
        <f>_xll.qlCalendarAdvance(Calendar,R7,$F$1,"mf",,Trigger)</f>
        <v>42235</v>
      </c>
      <c r="T7" s="169">
        <f>_xll.qlDayCounterYearFraction(DayCounter,R7,S7,,,Trigger)</f>
        <v>0.25555555555555554</v>
      </c>
      <c r="U7" s="181">
        <f>_xll.qlInterpolationInterpolate(B3Minterpolation,R7,TRUE)</f>
        <v>9.7940405119729739E-4</v>
      </c>
      <c r="V7" s="184">
        <f>_xll.qlYieldTSDiscount(Discounting,R7,,AllTriggers)</f>
        <v>1.0000218871137008</v>
      </c>
      <c r="W7" s="184">
        <f>_xll.qlYieldTSDiscount(Discounting,S7,,AllTriggers)</f>
        <v>1.0003049011693979</v>
      </c>
      <c r="X7" s="181">
        <f t="shared" si="4"/>
        <v>-1.1071087461502472E-3</v>
      </c>
      <c r="AC7" s="155"/>
      <c r="AD7" s="155"/>
    </row>
    <row r="8" spans="1:30" ht="11.25" customHeight="1" x14ac:dyDescent="0.2">
      <c r="C8" s="129" t="str">
        <f>_xll.qlIMMNextCode($E$7,TRUE)</f>
        <v>M5</v>
      </c>
      <c r="D8" s="360" t="str">
        <f t="shared" si="6"/>
        <v>EURFUT3MM5_Quote</v>
      </c>
      <c r="E8" s="183">
        <f>_xll.qlIMMdate(C8,$E$3,Trigger)</f>
        <v>42172</v>
      </c>
      <c r="F8" s="183">
        <f>_xll.qlCalendarAdvance(Calendar,E8,$F$1,"mf",,Trigger)</f>
        <v>42264</v>
      </c>
      <c r="G8" s="169">
        <f>_xll.qlDayCounterYearFraction(DayCounter,E8,F8,,,Trigger)</f>
        <v>0.25555555555555554</v>
      </c>
      <c r="H8" s="181">
        <f>1-_xll.qlQuoteValue(D8,AllTriggers)/100-_xll.qlQuoteValue(Currency&amp;"FUT"&amp;"3M"&amp;C8&amp;"ConvAdj_Quote")</f>
        <v>-7.4999999999825206E-5</v>
      </c>
      <c r="I8" s="184">
        <f>_xll.qlYieldTSDiscount(Discounting,E8,,AllTriggers)</f>
        <v>1.0000984962930937</v>
      </c>
      <c r="J8" s="184">
        <f>_xll.qlYieldTSDiscount(Discounting,F8,,AllTriggers)</f>
        <v>1.0004054787073016</v>
      </c>
      <c r="K8" s="181">
        <f t="shared" si="0"/>
        <v>-1.2007486558443163E-3</v>
      </c>
      <c r="L8" s="181">
        <f t="shared" si="1"/>
        <v>1.1257486558444911E-3</v>
      </c>
      <c r="M8" s="99" t="b">
        <v>1</v>
      </c>
      <c r="N8" s="181">
        <f>_xll.qlInterpolationInterpolate(B3Minterpolation,E8,TRUE,Trigger)</f>
        <v>1.1257486558444911E-3</v>
      </c>
      <c r="O8" s="354">
        <f t="shared" si="2"/>
        <v>0</v>
      </c>
      <c r="P8" s="348">
        <f t="shared" si="3"/>
        <v>2.8773823002404652E-4</v>
      </c>
      <c r="R8" s="183">
        <f>_xll.qlCalendarAdvance(Calendar,R7,"1D","f")</f>
        <v>42144</v>
      </c>
      <c r="S8" s="183">
        <f>_xll.qlCalendarAdvance(Calendar,R8,$F$1,"mf",,Trigger)</f>
        <v>42236</v>
      </c>
      <c r="T8" s="169">
        <f>_xll.qlDayCounterYearFraction(DayCounter,R8,S8,,,Trigger)</f>
        <v>0.25555555555555554</v>
      </c>
      <c r="U8" s="181">
        <f>_xll.qlInterpolationInterpolate(B3Minterpolation,R8,TRUE)</f>
        <v>9.8494059151808268E-4</v>
      </c>
      <c r="V8" s="184">
        <f>_xll.qlYieldTSDiscount(Discounting,R8,,AllTriggers)</f>
        <v>1.000024611603247</v>
      </c>
      <c r="W8" s="184">
        <f>_xll.qlYieldTSDiscount(Discounting,S8,,AllTriggers)</f>
        <v>1.0003083505518378</v>
      </c>
      <c r="X8" s="181">
        <f t="shared" si="4"/>
        <v>-1.1099405915180134E-3</v>
      </c>
      <c r="AC8" s="155"/>
      <c r="AD8" s="155"/>
    </row>
    <row r="9" spans="1:30" ht="11.25" customHeight="1" x14ac:dyDescent="0.2">
      <c r="C9" s="129" t="str">
        <f>_xll.qlIMMNextCode($E8,TRUE)</f>
        <v>U5</v>
      </c>
      <c r="D9" s="360" t="str">
        <f t="shared" si="6"/>
        <v>EURFUT3MU5_Quote</v>
      </c>
      <c r="E9" s="183">
        <f>_xll.qlIMMdate(C9,$E$3,Trigger)</f>
        <v>42263</v>
      </c>
      <c r="F9" s="183">
        <f>_xll.qlCalendarAdvance(Calendar,E9,$F$1,"mf",,Trigger)</f>
        <v>42354</v>
      </c>
      <c r="G9" s="169">
        <f>_xll.qlDayCounterYearFraction(DayCounter,E9,F9,,,Trigger)</f>
        <v>0.25277777777777777</v>
      </c>
      <c r="H9" s="181">
        <f>1-_xll.qlQuoteValue(D9,AllTriggers)/100-_xll.qlQuoteValue(Currency&amp;"FUT"&amp;"3M"&amp;C9&amp;"ConvAdj_Quote")</f>
        <v>-7.4999999999825206E-5</v>
      </c>
      <c r="I9" s="184">
        <f>_xll.qlYieldTSDiscount(Discounting,E9,,AllTriggers)</f>
        <v>1.0004019964746511</v>
      </c>
      <c r="J9" s="184">
        <f>_xll.qlYieldTSDiscount(Discounting,F9,,AllTriggers)</f>
        <v>1.0007252399372006</v>
      </c>
      <c r="K9" s="181">
        <f t="shared" ref="K9:K15" si="7">(I9/J9-1)/G9</f>
        <v>-1.277838606758777E-3</v>
      </c>
      <c r="L9" s="181">
        <f t="shared" si="1"/>
        <v>1.2028386067589518E-3</v>
      </c>
      <c r="M9" s="99" t="b">
        <v>1</v>
      </c>
      <c r="N9" s="181">
        <f>_xll.qlInterpolationInterpolate(B3Minterpolation,E9,TRUE,Trigger)</f>
        <v>1.2028386067589518E-3</v>
      </c>
      <c r="O9" s="354">
        <f t="shared" si="2"/>
        <v>0</v>
      </c>
      <c r="P9" s="348">
        <f t="shared" si="3"/>
        <v>3.041028690394694E-4</v>
      </c>
      <c r="R9" s="183">
        <f>_xll.qlCalendarAdvance(Calendar,R8,"1D","f")</f>
        <v>42145</v>
      </c>
      <c r="S9" s="183">
        <f>_xll.qlCalendarAdvance(Calendar,R9,$F$1,"mf",,Trigger)</f>
        <v>42237</v>
      </c>
      <c r="T9" s="169">
        <f>_xll.qlDayCounterYearFraction(DayCounter,R9,S9,,,Trigger)</f>
        <v>0.25555555555555554</v>
      </c>
      <c r="U9" s="181">
        <f>_xll.qlInterpolationInterpolate(B3Minterpolation,R9,TRUE)</f>
        <v>9.9057494193030777E-4</v>
      </c>
      <c r="V9" s="184">
        <f>_xll.qlYieldTSDiscount(Discounting,R9,,AllTriggers)</f>
        <v>1.0000273539793332</v>
      </c>
      <c r="W9" s="184">
        <f>_xll.qlYieldTSDiscount(Discounting,S9,,AllTriggers)</f>
        <v>1.0003118018504646</v>
      </c>
      <c r="X9" s="181">
        <f t="shared" si="4"/>
        <v>-1.1127099420173692E-3</v>
      </c>
      <c r="AC9" s="155"/>
      <c r="AD9" s="155"/>
    </row>
    <row r="10" spans="1:30" ht="11.25" customHeight="1" x14ac:dyDescent="0.2">
      <c r="C10" s="129" t="str">
        <f>_xll.qlIMMNextCode($E9,TRUE)</f>
        <v>Z5</v>
      </c>
      <c r="D10" s="360" t="str">
        <f t="shared" si="6"/>
        <v>EURFUT3MZ5_Quote</v>
      </c>
      <c r="E10" s="183">
        <f>_xll.qlIMMdate(C10,$E$3,Trigger)</f>
        <v>42354</v>
      </c>
      <c r="F10" s="183">
        <f>_xll.qlCalendarAdvance(Calendar,E10,$F$1,"mf",,Trigger)</f>
        <v>42445</v>
      </c>
      <c r="G10" s="169">
        <f>_xll.qlDayCounterYearFraction(DayCounter,E10,F10,,,Trigger)</f>
        <v>0.25277777777777777</v>
      </c>
      <c r="H10" s="181">
        <f>1-_xll.qlQuoteValue(D10,AllTriggers)/100-_xll.qlQuoteValue(Currency&amp;"FUT"&amp;"3M"&amp;C10&amp;"ConvAdj_Quote")</f>
        <v>-2.4999999999941735E-5</v>
      </c>
      <c r="I10" s="184">
        <f>_xll.qlYieldTSDiscount(Discounting,E10,,AllTriggers)</f>
        <v>1.0007252399372006</v>
      </c>
      <c r="J10" s="184">
        <f>_xll.qlYieldTSDiscount(Discounting,F10,,AllTriggers)</f>
        <v>1.00105711243982</v>
      </c>
      <c r="K10" s="181">
        <f>(I10/J10-1)/G10</f>
        <v>-1.3115157885093208E-3</v>
      </c>
      <c r="L10" s="181">
        <f t="shared" si="1"/>
        <v>1.2865157885093791E-3</v>
      </c>
      <c r="M10" s="99" t="b">
        <v>1</v>
      </c>
      <c r="N10" s="181">
        <f>_xll.qlInterpolationInterpolate(B3Minterpolation,E10,TRUE,Trigger)</f>
        <v>1.2865157885093791E-3</v>
      </c>
      <c r="O10" s="354">
        <f t="shared" si="2"/>
        <v>0</v>
      </c>
      <c r="P10" s="348">
        <f t="shared" si="3"/>
        <v>3.2525754770982212E-4</v>
      </c>
      <c r="R10" s="183">
        <f>_xll.qlCalendarAdvance(Calendar,R9,"1D","f")</f>
        <v>42146</v>
      </c>
      <c r="S10" s="183">
        <f>_xll.qlCalendarAdvance(Calendar,R10,$F$1,"mf",,Trigger)</f>
        <v>42240</v>
      </c>
      <c r="T10" s="169">
        <f>_xll.qlDayCounterYearFraction(DayCounter,R10,S10,,,Trigger)</f>
        <v>0.26111111111111113</v>
      </c>
      <c r="U10" s="181">
        <f>_xll.qlInterpolationInterpolate(B3Minterpolation,R10,TRUE)</f>
        <v>9.9629234437108804E-4</v>
      </c>
      <c r="V10" s="184">
        <f>_xll.qlYieldTSDiscount(Discounting,R10,,AllTriggers)</f>
        <v>1.0000301130165283</v>
      </c>
      <c r="W10" s="184">
        <f>_xll.qlYieldTSDiscount(Discounting,S10,,AllTriggers)</f>
        <v>1.0003221665678945</v>
      </c>
      <c r="X10" s="181">
        <f t="shared" si="4"/>
        <v>-1.1181427344717592E-3</v>
      </c>
      <c r="AC10" s="155"/>
      <c r="AD10" s="155"/>
    </row>
    <row r="11" spans="1:30" ht="11.25" customHeight="1" x14ac:dyDescent="0.2">
      <c r="C11" s="129" t="str">
        <f>_xll.qlIMMNextCode($E10,TRUE)</f>
        <v>H6</v>
      </c>
      <c r="D11" s="360" t="str">
        <f t="shared" si="6"/>
        <v>EURFUT3MH6_Quote</v>
      </c>
      <c r="E11" s="183">
        <f>_xll.qlIMMdate(C11,$E$3,Trigger)</f>
        <v>42445</v>
      </c>
      <c r="F11" s="183">
        <f>_xll.qlCalendarAdvance(Calendar,E11,$F$1,"mf",,Trigger)</f>
        <v>42537</v>
      </c>
      <c r="G11" s="169">
        <f>_xll.qlDayCounterYearFraction(DayCounter,E11,F11,,,Trigger)</f>
        <v>0.25555555555555554</v>
      </c>
      <c r="H11" s="181">
        <f>1-_xll.qlQuoteValue(D11,AllTriggers)/100-_xll.qlQuoteValue(Currency&amp;"FUT"&amp;"3M"&amp;C11&amp;"ConvAdj_Quote")</f>
        <v>2.4999999999941735E-5</v>
      </c>
      <c r="I11" s="184">
        <f>_xll.qlYieldTSDiscount(Discounting,E11,,AllTriggers)</f>
        <v>1.00105711243982</v>
      </c>
      <c r="J11" s="184">
        <f>_xll.qlYieldTSDiscount(Discounting,F11,,AllTriggers)</f>
        <v>1.0013820099032182</v>
      </c>
      <c r="K11" s="181">
        <f>(I11/J11-1)/G11</f>
        <v>-1.2695833235279574E-3</v>
      </c>
      <c r="L11" s="181">
        <f t="shared" si="1"/>
        <v>1.2945833235278991E-3</v>
      </c>
      <c r="M11" s="99" t="b">
        <v>1</v>
      </c>
      <c r="N11" s="181">
        <f>_xll.qlInterpolationInterpolate(B3Minterpolation,E11,TRUE,Trigger)</f>
        <v>1.2945833235278991E-3</v>
      </c>
      <c r="O11" s="354">
        <f t="shared" si="2"/>
        <v>0</v>
      </c>
      <c r="P11" s="348">
        <f t="shared" si="3"/>
        <v>3.3089058503567472E-4</v>
      </c>
      <c r="R11" s="183">
        <f>_xll.qlCalendarAdvance(Calendar,R10,"1D","f")</f>
        <v>42149</v>
      </c>
      <c r="S11" s="183">
        <f>_xll.qlCalendarAdvance(Calendar,R11,$F$1,"mf",,Trigger)</f>
        <v>42241</v>
      </c>
      <c r="T11" s="169">
        <f>_xll.qlDayCounterYearFraction(DayCounter,R11,S11,,,Trigger)</f>
        <v>0.25555555555555554</v>
      </c>
      <c r="U11" s="181">
        <f>_xll.qlInterpolationInterpolate(B3Minterpolation,R11,TRUE)</f>
        <v>1.013795283235915E-3</v>
      </c>
      <c r="V11" s="184">
        <f>_xll.qlYieldTSDiscount(Discounting,R11,,AllTriggers)</f>
        <v>1.0000384612822892</v>
      </c>
      <c r="W11" s="184">
        <f>_xll.qlYieldTSDiscount(Discounting,S11,,AllTriggers)</f>
        <v>1.0003256248556927</v>
      </c>
      <c r="X11" s="181">
        <f t="shared" si="4"/>
        <v>-1.1233177679141797E-3</v>
      </c>
      <c r="AC11" s="155"/>
      <c r="AD11" s="155"/>
    </row>
    <row r="12" spans="1:30" ht="11.25" customHeight="1" x14ac:dyDescent="0.2">
      <c r="C12" s="129" t="str">
        <f>_xll.qlIMMNextCode($E11,TRUE)</f>
        <v>M6</v>
      </c>
      <c r="D12" s="360" t="str">
        <f t="shared" si="6"/>
        <v>EURFUT3MM6_Quote</v>
      </c>
      <c r="E12" s="183">
        <f>_xll.qlIMMdate(C12,$E$3,Trigger)</f>
        <v>42536</v>
      </c>
      <c r="F12" s="183">
        <f>_xll.qlCalendarAdvance(Calendar,E12,$F$1,"mf",,Trigger)</f>
        <v>42628</v>
      </c>
      <c r="G12" s="169">
        <f>_xll.qlDayCounterYearFraction(DayCounter,E12,F12,,,Trigger)</f>
        <v>0.25555555555555554</v>
      </c>
      <c r="H12" s="181">
        <f>1-_xll.qlQuoteValue(D12,AllTriggers)/100-_xll.qlQuoteValue(Currency&amp;"FUT"&amp;"3M"&amp;C12&amp;"ConvAdj_Quote")</f>
        <v>2.2500000000003073E-4</v>
      </c>
      <c r="I12" s="184">
        <f>_xll.qlYieldTSDiscount(Discounting,E12,,AllTriggers)</f>
        <v>1.0013785122422403</v>
      </c>
      <c r="J12" s="184">
        <f>_xll.qlYieldTSDiscount(Discounting,F12,,AllTriggers)</f>
        <v>1.0016725616113791</v>
      </c>
      <c r="K12" s="181">
        <f>(I12/J12-1)/G12</f>
        <v>-1.1487066834936499E-3</v>
      </c>
      <c r="L12" s="181">
        <f t="shared" si="1"/>
        <v>1.3737066834936806E-3</v>
      </c>
      <c r="M12" s="99" t="b">
        <v>1</v>
      </c>
      <c r="N12" s="181">
        <f>_xll.qlInterpolationInterpolate(B3Minterpolation,E12,TRUE,Trigger)</f>
        <v>1.3737066834936806E-3</v>
      </c>
      <c r="O12" s="354">
        <f t="shared" si="2"/>
        <v>0</v>
      </c>
      <c r="P12" s="348">
        <f t="shared" si="3"/>
        <v>3.5109981830304285E-4</v>
      </c>
      <c r="R12" s="183">
        <f>_xll.qlCalendarAdvance(Calendar,R11,"1D","f")</f>
        <v>42150</v>
      </c>
      <c r="S12" s="183">
        <f>_xll.qlCalendarAdvance(Calendar,R12,$F$1,"mf",,Trigger)</f>
        <v>42242</v>
      </c>
      <c r="T12" s="169">
        <f>_xll.qlDayCounterYearFraction(DayCounter,R12,S12,,,Trigger)</f>
        <v>0.25555555555555554</v>
      </c>
      <c r="U12" s="181">
        <f>_xll.qlInterpolationInterpolate(B3Minterpolation,R12,TRUE)</f>
        <v>1.0196973131620709E-3</v>
      </c>
      <c r="V12" s="184">
        <f>_xll.qlYieldTSDiscount(Discounting,R12,,AllTriggers)</f>
        <v>1.0000412581512839</v>
      </c>
      <c r="W12" s="184">
        <f>_xll.qlYieldTSDiscount(Discounting,S12,,AllTriggers)</f>
        <v>1.0003290847218851</v>
      </c>
      <c r="X12" s="181">
        <f t="shared" si="4"/>
        <v>-1.1259073660488032E-3</v>
      </c>
      <c r="AC12" s="155"/>
      <c r="AD12" s="155"/>
    </row>
    <row r="13" spans="1:30" ht="11.25" customHeight="1" x14ac:dyDescent="0.2">
      <c r="C13" s="129" t="str">
        <f>_xll.qlIMMNextCode($E12,TRUE)</f>
        <v>U6</v>
      </c>
      <c r="D13" s="360" t="str">
        <f t="shared" si="6"/>
        <v>EURFUT3MU6_Quote</v>
      </c>
      <c r="E13" s="183">
        <f>_xll.qlIMMdate(C13,$E$3,Trigger)</f>
        <v>42634</v>
      </c>
      <c r="F13" s="183">
        <f>_xll.qlCalendarAdvance(Calendar,E13,$F$1,"mf",,Trigger)</f>
        <v>42725</v>
      </c>
      <c r="G13" s="169">
        <f>_xll.qlDayCounterYearFraction(DayCounter,E13,F13,,,Trigger)</f>
        <v>0.25277777777777777</v>
      </c>
      <c r="H13" s="181">
        <f>1-_xll.qlQuoteValue(D13,AllTriggers)/100-_xll.qlQuoteValue(Currency&amp;"FUT"&amp;"3M"&amp;C13&amp;"ConvAdj_Quote")</f>
        <v>5.2500000000010871E-4</v>
      </c>
      <c r="I13" s="184">
        <f>_xll.qlYieldTSDiscount(Discounting,E13,,AllTriggers)</f>
        <v>1.0016901249301775</v>
      </c>
      <c r="J13" s="184">
        <f>_xll.qlYieldTSDiscount(Discounting,F13,,AllTriggers)</f>
        <v>1.0019483373188667</v>
      </c>
      <c r="K13" s="181">
        <f>(I13/J13-1)/G13</f>
        <v>-1.0195132040270681E-3</v>
      </c>
      <c r="L13" s="181">
        <f t="shared" si="1"/>
        <v>1.5445132040271768E-3</v>
      </c>
      <c r="M13" s="99" t="b">
        <v>1</v>
      </c>
      <c r="N13" s="181">
        <f>_xll.qlInterpolationInterpolate(B3Minterpolation,E13,TRUE,Trigger)</f>
        <v>1.5445132040271768E-3</v>
      </c>
      <c r="O13" s="354">
        <f t="shared" si="2"/>
        <v>0</v>
      </c>
      <c r="P13" s="348">
        <f t="shared" si="3"/>
        <v>3.9044302349158311E-4</v>
      </c>
      <c r="R13" s="183">
        <f>_xll.qlCalendarAdvance(Calendar,R12,"1D","f")</f>
        <v>42151</v>
      </c>
      <c r="S13" s="183">
        <f>_xll.qlCalendarAdvance(Calendar,R13,$F$1,"mf",,Trigger)</f>
        <v>42243</v>
      </c>
      <c r="T13" s="169">
        <f>_xll.qlDayCounterYearFraction(DayCounter,R13,S13,,,Trigger)</f>
        <v>0.25555555555555554</v>
      </c>
      <c r="U13" s="181">
        <f>_xll.qlInterpolationInterpolate(B3Minterpolation,R13,TRUE)</f>
        <v>1.0256086048023594E-3</v>
      </c>
      <c r="V13" s="184">
        <f>_xll.qlYieldTSDiscount(Discounting,R13,,AllTriggers)</f>
        <v>1.0000440572749105</v>
      </c>
      <c r="W13" s="184">
        <f>_xll.qlYieldTSDiscount(Discounting,S13,,AllTriggers)</f>
        <v>1.0003325460989105</v>
      </c>
      <c r="X13" s="181">
        <f t="shared" si="4"/>
        <v>-1.1284940350152148E-3</v>
      </c>
      <c r="AC13" s="155"/>
      <c r="AD13" s="155"/>
    </row>
    <row r="14" spans="1:30" ht="11.25" customHeight="1" x14ac:dyDescent="0.2">
      <c r="C14" s="129" t="str">
        <f>_xll.qlIMMNextCode($E13,TRUE)</f>
        <v>Z6</v>
      </c>
      <c r="D14" s="360" t="str">
        <f t="shared" si="6"/>
        <v>EURFUT3MZ6_Quote</v>
      </c>
      <c r="E14" s="183">
        <f>_xll.qlIMMdate(C14,$E$3,Trigger)</f>
        <v>42725</v>
      </c>
      <c r="F14" s="183">
        <f>_xll.qlCalendarAdvance(Calendar,E14,$F$1,"mf",,Trigger)</f>
        <v>42815</v>
      </c>
      <c r="G14" s="169">
        <f>_xll.qlDayCounterYearFraction(DayCounter,E14,F14,,,Trigger)</f>
        <v>0.25</v>
      </c>
      <c r="H14" s="181">
        <f>1-_xll.qlQuoteValue(D14,AllTriggers)/100-_xll.qlQuoteValue(Currency&amp;"FUT"&amp;"3M"&amp;C14&amp;"ConvAdj_Quote")</f>
        <v>8.7500000000007017E-4</v>
      </c>
      <c r="I14" s="184">
        <f>_xll.qlYieldTSDiscount(Discounting,E14,,AllTriggers)</f>
        <v>1.0019483373188667</v>
      </c>
      <c r="J14" s="184">
        <f>_xll.qlYieldTSDiscount(Discounting,F14,,AllTriggers)</f>
        <v>1.0020670700024294</v>
      </c>
      <c r="K14" s="181">
        <f>(I14/J14-1)/G14</f>
        <v>-4.7395104426506407E-4</v>
      </c>
      <c r="L14" s="181">
        <f t="shared" si="1"/>
        <v>1.3489510442651342E-3</v>
      </c>
      <c r="M14" s="99" t="b">
        <v>1</v>
      </c>
      <c r="N14" s="181">
        <f>_xll.qlInterpolationInterpolate(B3Minterpolation,E14,TRUE,Trigger)</f>
        <v>1.3489510442651342E-3</v>
      </c>
      <c r="O14" s="354">
        <f t="shared" si="2"/>
        <v>0</v>
      </c>
      <c r="P14" s="348">
        <f t="shared" si="3"/>
        <v>3.3722085900290738E-4</v>
      </c>
      <c r="R14" s="183">
        <f>_xll.qlCalendarAdvance(Calendar,R13,"1D","f")</f>
        <v>42152</v>
      </c>
      <c r="S14" s="183">
        <f>_xll.qlCalendarAdvance(Calendar,R14,$F$1,"mf",,Trigger)</f>
        <v>42244</v>
      </c>
      <c r="T14" s="169">
        <f>_xll.qlDayCounterYearFraction(DayCounter,R14,S14,,,Trigger)</f>
        <v>0.25555555555555554</v>
      </c>
      <c r="U14" s="181">
        <f>_xll.qlInterpolationInterpolate(B3Minterpolation,R14,TRUE)</f>
        <v>1.0315144000938958E-3</v>
      </c>
      <c r="V14" s="184">
        <f>_xll.qlYieldTSDiscount(Discounting,R14,,AllTriggers)</f>
        <v>1.0000468562677289</v>
      </c>
      <c r="W14" s="184">
        <f>_xll.qlYieldTSDiscount(Discounting,S14,,AllTriggers)</f>
        <v>1.0003360089192068</v>
      </c>
      <c r="X14" s="181">
        <f t="shared" si="4"/>
        <v>-1.1310868418201244E-3</v>
      </c>
      <c r="AC14" s="155"/>
      <c r="AD14" s="155"/>
    </row>
    <row r="15" spans="1:30" ht="11.25" customHeight="1" x14ac:dyDescent="0.2">
      <c r="C15" s="129" t="str">
        <f>_xll.qlIMMNextCode($E14,TRUE)</f>
        <v>H7</v>
      </c>
      <c r="D15" s="361" t="str">
        <f t="shared" si="6"/>
        <v>EURFUT3MH7_Quote</v>
      </c>
      <c r="E15" s="187">
        <f>_xll.qlIMMdate(C15,$E$3,Trigger)</f>
        <v>42809</v>
      </c>
      <c r="F15" s="187">
        <f>_xll.qlCalendarAdvance(Calendar,E15,$F$1,"mf",,Trigger)</f>
        <v>42901</v>
      </c>
      <c r="G15" s="174">
        <f>_xll.qlDayCounterYearFraction(DayCounter,E15,F15,,,Trigger)</f>
        <v>0.25555555555555554</v>
      </c>
      <c r="H15" s="190">
        <f>1-_xll.qlQuoteValue(D15,AllTriggers)/100-_xll.qlQuoteValue(Currency&amp;"FUT"&amp;"3M"&amp;C15&amp;"ConvAdj_Quote")</f>
        <v>1.3249999999999096E-3</v>
      </c>
      <c r="I15" s="188">
        <f>_xll.qlYieldTSDiscount(Discounting,E15,,AllTriggers)</f>
        <v>1.0020619557199577</v>
      </c>
      <c r="J15" s="188">
        <f>_xll.qlYieldTSDiscount(Discounting,F15,,AllTriggers)</f>
        <v>1.0020807762810804</v>
      </c>
      <c r="K15" s="190">
        <f t="shared" si="7"/>
        <v>-7.3492751983225574E-5</v>
      </c>
      <c r="L15" s="190">
        <f t="shared" si="1"/>
        <v>1.3984927519831351E-3</v>
      </c>
      <c r="M15" s="118" t="b">
        <v>1</v>
      </c>
      <c r="N15" s="190">
        <f>_xll.qlInterpolationInterpolate(B3Minterpolation,E15,TRUE,Trigger)</f>
        <v>1.3984927519831351E-3</v>
      </c>
      <c r="O15" s="355">
        <f t="shared" si="2"/>
        <v>0</v>
      </c>
      <c r="P15" s="350">
        <f t="shared" si="3"/>
        <v>3.573354527435355E-4</v>
      </c>
      <c r="R15" s="183">
        <f>_xll.qlCalendarAdvance(Calendar,R14,"1D","f")</f>
        <v>42153</v>
      </c>
      <c r="S15" s="183">
        <f>_xll.qlCalendarAdvance(Calendar,R15,$F$1,"mf",,Trigger)</f>
        <v>42247</v>
      </c>
      <c r="T15" s="169">
        <f>_xll.qlDayCounterYearFraction(DayCounter,R15,S15,,,Trigger)</f>
        <v>0.26111111111111113</v>
      </c>
      <c r="U15" s="181">
        <f>_xll.qlInterpolationInterpolate(B3Minterpolation,R15,TRUE)</f>
        <v>1.0373999409737957E-3</v>
      </c>
      <c r="V15" s="184">
        <f>_xll.qlYieldTSDiscount(Discounting,R15,,AllTriggers)</f>
        <v>1.0000496547280822</v>
      </c>
      <c r="W15" s="184">
        <f>_xll.qlYieldTSDiscount(Discounting,S15,,AllTriggers)</f>
        <v>1.0003464053640847</v>
      </c>
      <c r="X15" s="181">
        <f t="shared" si="4"/>
        <v>-1.1360982469294783E-3</v>
      </c>
      <c r="AC15" s="155"/>
      <c r="AD15" s="155"/>
    </row>
    <row r="16" spans="1:30" ht="11.25" customHeight="1" x14ac:dyDescent="0.2">
      <c r="E16" s="340"/>
      <c r="F16" s="340"/>
      <c r="G16" s="155"/>
      <c r="K16" s="155"/>
      <c r="L16" s="155"/>
      <c r="R16" s="183">
        <f>_xll.qlCalendarAdvance(Calendar,R15,"1D","f")</f>
        <v>42156</v>
      </c>
      <c r="S16" s="183">
        <f>_xll.qlCalendarAdvance(Calendar,R16,$F$1,"mf",,Trigger)</f>
        <v>42248</v>
      </c>
      <c r="T16" s="169">
        <f>_xll.qlDayCounterYearFraction(DayCounter,R16,S16,,,Trigger)</f>
        <v>0.25555555555555554</v>
      </c>
      <c r="U16" s="181">
        <f>_xll.qlInterpolationInterpolate(B3Minterpolation,R16,TRUE)</f>
        <v>1.05478745651483E-3</v>
      </c>
      <c r="V16" s="184">
        <f>_xll.qlYieldTSDiscount(Discounting,R16,,AllTriggers)</f>
        <v>1.0000530475670482</v>
      </c>
      <c r="W16" s="184">
        <f>_xll.qlYieldTSDiscount(Discounting,S16,,AllTriggers)</f>
        <v>1.0003498732818237</v>
      </c>
      <c r="X16" s="181">
        <f t="shared" si="4"/>
        <v>-1.1610856945198922E-3</v>
      </c>
      <c r="AC16" s="155"/>
      <c r="AD16" s="155"/>
    </row>
    <row r="17" spans="5:30" ht="11.25" customHeight="1" x14ac:dyDescent="0.2">
      <c r="E17" s="340"/>
      <c r="F17" s="340"/>
      <c r="G17" s="155"/>
      <c r="K17" s="155"/>
      <c r="L17" s="155"/>
      <c r="R17" s="183">
        <f>_xll.qlCalendarAdvance(Calendar,R16,"1D","f")</f>
        <v>42157</v>
      </c>
      <c r="S17" s="183">
        <f>_xll.qlCalendarAdvance(Calendar,R17,$F$1,"mf",,Trigger)</f>
        <v>42249</v>
      </c>
      <c r="T17" s="169">
        <f>_xll.qlDayCounterYearFraction(DayCounter,R17,S17,,,Trigger)</f>
        <v>0.25555555555555554</v>
      </c>
      <c r="U17" s="181">
        <f>_xll.qlInterpolationInterpolate(B3Minterpolation,R17,TRUE)</f>
        <v>1.0604443991193381E-3</v>
      </c>
      <c r="V17" s="184">
        <f>_xll.qlYieldTSDiscount(Discounting,R17,,AllTriggers)</f>
        <v>1.0000558448264953</v>
      </c>
      <c r="W17" s="184">
        <f>_xll.qlYieldTSDiscount(Discounting,S17,,AllTriggers)</f>
        <v>1.0003533423050084</v>
      </c>
      <c r="X17" s="181">
        <f t="shared" si="4"/>
        <v>-1.1637093803397991E-3</v>
      </c>
      <c r="AC17" s="155"/>
      <c r="AD17" s="155"/>
    </row>
    <row r="18" spans="5:30" ht="11.25" customHeight="1" x14ac:dyDescent="0.2">
      <c r="E18" s="340"/>
      <c r="F18" s="340"/>
      <c r="G18" s="155"/>
      <c r="K18" s="155"/>
      <c r="L18" s="155"/>
      <c r="R18" s="183">
        <f>_xll.qlCalendarAdvance(Calendar,R17,"1D","f")</f>
        <v>42158</v>
      </c>
      <c r="S18" s="183">
        <f>_xll.qlCalendarAdvance(Calendar,R18,$F$1,"mf",,Trigger)</f>
        <v>42250</v>
      </c>
      <c r="T18" s="169">
        <f>_xll.qlDayCounterYearFraction(DayCounter,R18,S18,,,Trigger)</f>
        <v>0.25555555555555554</v>
      </c>
      <c r="U18" s="181">
        <f>_xll.qlInterpolationInterpolate(B3Minterpolation,R18,TRUE)</f>
        <v>1.0660072969977867E-3</v>
      </c>
      <c r="V18" s="184">
        <f>_xll.qlYieldTSDiscount(Discounting,R18,,AllTriggers)</f>
        <v>1.0000586420249531</v>
      </c>
      <c r="W18" s="184">
        <f>_xll.qlYieldTSDiscount(Discounting,S18,,AllTriggers)</f>
        <v>1.0003568123660713</v>
      </c>
      <c r="X18" s="181">
        <f t="shared" si="4"/>
        <v>-1.1663373451355752E-3</v>
      </c>
      <c r="AC18" s="155"/>
      <c r="AD18" s="155"/>
    </row>
    <row r="19" spans="5:30" ht="11.25" customHeight="1" x14ac:dyDescent="0.2">
      <c r="E19" s="340"/>
      <c r="F19" s="340"/>
      <c r="G19" s="155"/>
      <c r="K19" s="155"/>
      <c r="L19" s="155"/>
      <c r="R19" s="183">
        <f>_xll.qlCalendarAdvance(Calendar,R18,"1D","f")</f>
        <v>42159</v>
      </c>
      <c r="S19" s="183">
        <f>_xll.qlCalendarAdvance(Calendar,R19,$F$1,"mf",,Trigger)</f>
        <v>42251</v>
      </c>
      <c r="T19" s="169">
        <f>_xll.qlDayCounterYearFraction(DayCounter,R19,S19,,,Trigger)</f>
        <v>0.25555555555555554</v>
      </c>
      <c r="U19" s="181">
        <f>_xll.qlInterpolationInterpolate(B3Minterpolation,R19,TRUE)</f>
        <v>1.0714613920872916E-3</v>
      </c>
      <c r="V19" s="184">
        <f>_xll.qlYieldTSDiscount(Discounting,R19,,AllTriggers)</f>
        <v>1.0000614394934044</v>
      </c>
      <c r="W19" s="184">
        <f>_xll.qlYieldTSDiscount(Discounting,S19,,AllTriggers)</f>
        <v>1.0003602833974437</v>
      </c>
      <c r="X19" s="181">
        <f t="shared" si="4"/>
        <v>-1.1689680299455652E-3</v>
      </c>
      <c r="AC19" s="155"/>
      <c r="AD19" s="155"/>
    </row>
    <row r="20" spans="5:30" ht="11.25" customHeight="1" x14ac:dyDescent="0.2">
      <c r="E20" s="340"/>
      <c r="F20" s="340"/>
      <c r="G20" s="155"/>
      <c r="K20" s="155"/>
      <c r="L20" s="155"/>
      <c r="R20" s="183">
        <f>_xll.qlCalendarAdvance(Calendar,R19,"1D","f")</f>
        <v>42160</v>
      </c>
      <c r="S20" s="183">
        <f>_xll.qlCalendarAdvance(Calendar,R20,$F$1,"mf",,Trigger)</f>
        <v>42254</v>
      </c>
      <c r="T20" s="169">
        <f>_xll.qlDayCounterYearFraction(DayCounter,R20,S20,,,Trigger)</f>
        <v>0.26111111111111113</v>
      </c>
      <c r="U20" s="181">
        <f>_xll.qlInterpolationInterpolate(B3Minterpolation,R20,TRUE)</f>
        <v>1.076791926324968E-3</v>
      </c>
      <c r="V20" s="184">
        <f>_xll.qlYieldTSDiscount(Discounting,R20,,AllTriggers)</f>
        <v>1.0000642385095819</v>
      </c>
      <c r="W20" s="184">
        <f>_xll.qlYieldTSDiscount(Discounting,S20,,AllTriggers)</f>
        <v>1.0003707016377152</v>
      </c>
      <c r="X20" s="181">
        <f t="shared" si="4"/>
        <v>-1.1732536487804529E-3</v>
      </c>
      <c r="AC20" s="155"/>
      <c r="AD20" s="155"/>
    </row>
    <row r="21" spans="5:30" ht="11.25" customHeight="1" x14ac:dyDescent="0.2">
      <c r="E21" s="340"/>
      <c r="F21" s="340"/>
      <c r="G21" s="155"/>
      <c r="K21" s="155"/>
      <c r="L21" s="155"/>
      <c r="R21" s="183">
        <f>_xll.qlCalendarAdvance(Calendar,R20,"1D","f")</f>
        <v>42163</v>
      </c>
      <c r="S21" s="183">
        <f>_xll.qlCalendarAdvance(Calendar,R21,$F$1,"mf",,Trigger)</f>
        <v>42255</v>
      </c>
      <c r="T21" s="169">
        <f>_xll.qlDayCounterYearFraction(DayCounter,R21,S21,,,Trigger)</f>
        <v>0.25555555555555554</v>
      </c>
      <c r="U21" s="181">
        <f>_xll.qlInterpolationInterpolate(B3Minterpolation,R21,TRUE)</f>
        <v>1.0918945832981812E-3</v>
      </c>
      <c r="V21" s="184">
        <f>_xll.qlYieldTSDiscount(Discounting,R21,,AllTriggers)</f>
        <v>1.0000726599888858</v>
      </c>
      <c r="W21" s="184">
        <f>_xll.qlYieldTSDiscount(Discounting,S21,,AllTriggers)</f>
        <v>1.000374175874619</v>
      </c>
      <c r="X21" s="181">
        <f t="shared" si="4"/>
        <v>-1.179403465936547E-3</v>
      </c>
      <c r="AC21" s="155"/>
      <c r="AD21" s="155"/>
    </row>
    <row r="22" spans="5:30" ht="11.25" customHeight="1" x14ac:dyDescent="0.2">
      <c r="E22" s="340"/>
      <c r="F22" s="340"/>
      <c r="G22" s="155"/>
      <c r="K22" s="155"/>
      <c r="L22" s="155"/>
      <c r="R22" s="183">
        <f>_xll.qlCalendarAdvance(Calendar,R21,"1D","f")</f>
        <v>42164</v>
      </c>
      <c r="S22" s="183">
        <f>_xll.qlCalendarAdvance(Calendar,R22,$F$1,"mf",,Trigger)</f>
        <v>42256</v>
      </c>
      <c r="T22" s="169">
        <f>_xll.qlDayCounterYearFraction(DayCounter,R22,S22,,,Trigger)</f>
        <v>0.25555555555555554</v>
      </c>
      <c r="U22" s="181">
        <f>_xll.qlInterpolationInterpolate(B3Minterpolation,R22,TRUE)</f>
        <v>1.0965832934996982E-3</v>
      </c>
      <c r="V22" s="184">
        <f>_xll.qlYieldTSDiscount(Discounting,R22,,AllTriggers)</f>
        <v>1.000075480340469</v>
      </c>
      <c r="W22" s="184">
        <f>_xll.qlYieldTSDiscount(Discounting,S22,,AllTriggers)</f>
        <v>1.0003776507439746</v>
      </c>
      <c r="X22" s="181">
        <f t="shared" si="4"/>
        <v>-1.181959558854309E-3</v>
      </c>
      <c r="AC22" s="155"/>
      <c r="AD22" s="155"/>
    </row>
    <row r="23" spans="5:30" ht="11.25" customHeight="1" x14ac:dyDescent="0.2">
      <c r="E23" s="340"/>
      <c r="F23" s="340"/>
      <c r="G23" s="155"/>
      <c r="K23" s="155"/>
      <c r="L23" s="155"/>
      <c r="R23" s="183">
        <f>_xll.qlCalendarAdvance(Calendar,R22,"1D","f")</f>
        <v>42165</v>
      </c>
      <c r="S23" s="183">
        <f>_xll.qlCalendarAdvance(Calendar,R23,$F$1,"mf",,Trigger)</f>
        <v>42257</v>
      </c>
      <c r="T23" s="169">
        <f>_xll.qlDayCounterYearFraction(DayCounter,R23,S23,,,Trigger)</f>
        <v>0.25555555555555554</v>
      </c>
      <c r="U23" s="181">
        <f>_xll.qlInterpolationInterpolate(B3Minterpolation,R23,TRUE)</f>
        <v>1.1010746525349643E-3</v>
      </c>
      <c r="V23" s="184">
        <f>_xll.qlYieldTSDiscount(Discounting,R23,,AllTriggers)</f>
        <v>1.0000783098121147</v>
      </c>
      <c r="W23" s="184">
        <f>_xll.qlYieldTSDiscount(Discounting,S23,,AllTriggers)</f>
        <v>1.000381126206233</v>
      </c>
      <c r="X23" s="181">
        <f t="shared" si="4"/>
        <v>-1.1844822788780573E-3</v>
      </c>
      <c r="AC23" s="155"/>
      <c r="AD23" s="155"/>
    </row>
    <row r="24" spans="5:30" ht="11.25" customHeight="1" x14ac:dyDescent="0.2">
      <c r="E24" s="340"/>
      <c r="F24" s="340"/>
      <c r="G24" s="155"/>
      <c r="K24" s="155"/>
      <c r="L24" s="155"/>
      <c r="R24" s="183">
        <f>_xll.qlCalendarAdvance(Calendar,R23,"1D","f")</f>
        <v>42166</v>
      </c>
      <c r="S24" s="183">
        <f>_xll.qlCalendarAdvance(Calendar,R24,$F$1,"mf",,Trigger)</f>
        <v>42258</v>
      </c>
      <c r="T24" s="169">
        <f>_xll.qlDayCounterYearFraction(DayCounter,R24,S24,,,Trigger)</f>
        <v>0.25555555555555554</v>
      </c>
      <c r="U24" s="181">
        <f>_xll.qlInterpolationInterpolate(B3Minterpolation,R24,TRUE)</f>
        <v>1.1053539023410945E-3</v>
      </c>
      <c r="V24" s="184">
        <f>_xll.qlYieldTSDiscount(Discounting,R24,,AllTriggers)</f>
        <v>1.0000811499183424</v>
      </c>
      <c r="W24" s="184">
        <f>_xll.qlYieldTSDiscount(Discounting,S24,,AllTriggers)</f>
        <v>1.0003846023339462</v>
      </c>
      <c r="X24" s="181">
        <f t="shared" si="4"/>
        <v>-1.1869659859524127E-3</v>
      </c>
      <c r="AC24" s="155"/>
      <c r="AD24" s="155"/>
    </row>
    <row r="25" spans="5:30" ht="11.25" customHeight="1" x14ac:dyDescent="0.2">
      <c r="E25" s="340"/>
      <c r="F25" s="340"/>
      <c r="G25" s="155"/>
      <c r="K25" s="155"/>
      <c r="L25" s="155"/>
      <c r="R25" s="183">
        <f>_xll.qlCalendarAdvance(Calendar,R24,"1D","f")</f>
        <v>42167</v>
      </c>
      <c r="S25" s="183">
        <f>_xll.qlCalendarAdvance(Calendar,R25,$F$1,"mf",,Trigger)</f>
        <v>42261</v>
      </c>
      <c r="T25" s="169">
        <f>_xll.qlDayCounterYearFraction(DayCounter,R25,S25,,,Trigger)</f>
        <v>0.26111111111111113</v>
      </c>
      <c r="U25" s="181">
        <f>_xll.qlInterpolationInterpolate(B3Minterpolation,R25,TRUE)</f>
        <v>1.1094062848552046E-3</v>
      </c>
      <c r="V25" s="184">
        <f>_xll.qlYieldTSDiscount(Discounting,R25,,AllTriggers)</f>
        <v>1.0000840021736881</v>
      </c>
      <c r="W25" s="184">
        <f>_xll.qlYieldTSDiscount(Discounting,S25,,AllTriggers)</f>
        <v>1.0003950357156131</v>
      </c>
      <c r="X25" s="181">
        <f t="shared" si="4"/>
        <v>-1.1907219105413607E-3</v>
      </c>
      <c r="AC25" s="155"/>
      <c r="AD25" s="155"/>
    </row>
    <row r="26" spans="5:30" ht="11.25" customHeight="1" x14ac:dyDescent="0.2">
      <c r="E26" s="340"/>
      <c r="F26" s="340"/>
      <c r="G26" s="155"/>
      <c r="K26" s="155"/>
      <c r="L26" s="155"/>
      <c r="R26" s="183">
        <f>_xll.qlCalendarAdvance(Calendar,R25,"1D","f")</f>
        <v>42170</v>
      </c>
      <c r="S26" s="183">
        <f>_xll.qlCalendarAdvance(Calendar,R26,$F$1,"mf",,Trigger)</f>
        <v>42262</v>
      </c>
      <c r="T26" s="169">
        <f>_xll.qlDayCounterYearFraction(DayCounter,R26,S26,,,Trigger)</f>
        <v>0.25555555555555554</v>
      </c>
      <c r="U26" s="181">
        <f>_xll.qlInterpolationInterpolate(B3Minterpolation,R26,TRUE)</f>
        <v>1.1200546480165674E-3</v>
      </c>
      <c r="V26" s="184">
        <f>_xll.qlYieldTSDiscount(Discounting,R26,,AllTriggers)</f>
        <v>1.0000926469800662</v>
      </c>
      <c r="W26" s="184">
        <f>_xll.qlYieldTSDiscount(Discounting,S26,,AllTriggers)</f>
        <v>1.0003985155109503</v>
      </c>
      <c r="X26" s="181">
        <f t="shared" si="4"/>
        <v>-1.1964000759937582E-3</v>
      </c>
      <c r="Z26" s="341"/>
      <c r="AA26" s="341"/>
      <c r="AC26" s="155"/>
      <c r="AD26" s="155"/>
    </row>
    <row r="27" spans="5:30" ht="11.25" customHeight="1" x14ac:dyDescent="0.2">
      <c r="E27" s="340"/>
      <c r="F27" s="340"/>
      <c r="G27" s="155"/>
      <c r="K27" s="155"/>
      <c r="L27" s="155"/>
      <c r="R27" s="183">
        <f>_xll.qlCalendarAdvance(Calendar,R26,"1D","f")</f>
        <v>42171</v>
      </c>
      <c r="S27" s="183">
        <f>_xll.qlCalendarAdvance(Calendar,R27,$F$1,"mf",,Trigger)</f>
        <v>42263</v>
      </c>
      <c r="T27" s="169">
        <f>_xll.qlDayCounterYearFraction(DayCounter,R27,S27,,,Trigger)</f>
        <v>0.25555555555555554</v>
      </c>
      <c r="U27" s="181">
        <f>_xll.qlInterpolationInterpolate(B3Minterpolation,R27,TRUE)</f>
        <v>1.1230519807337506E-3</v>
      </c>
      <c r="V27" s="184">
        <f>_xll.qlYieldTSDiscount(Discounting,R27,,AllTriggers)</f>
        <v>1.0000955626770924</v>
      </c>
      <c r="W27" s="184">
        <f>_xll.qlYieldTSDiscount(Discounting,S27,,AllTriggers)</f>
        <v>1.0004019964746511</v>
      </c>
      <c r="X27" s="181">
        <f t="shared" si="4"/>
        <v>-1.1986069372922445E-3</v>
      </c>
      <c r="AC27" s="155"/>
      <c r="AD27" s="155"/>
    </row>
    <row r="28" spans="5:30" ht="11.25" customHeight="1" x14ac:dyDescent="0.2">
      <c r="E28" s="340"/>
      <c r="F28" s="340"/>
      <c r="G28" s="155"/>
      <c r="K28" s="155"/>
      <c r="L28" s="155"/>
      <c r="R28" s="183">
        <f>_xll.qlCalendarAdvance(Calendar,R27,"1D","f")</f>
        <v>42172</v>
      </c>
      <c r="S28" s="183">
        <f>_xll.qlCalendarAdvance(Calendar,R28,$F$1,"mf",,Trigger)</f>
        <v>42264</v>
      </c>
      <c r="T28" s="169">
        <f>_xll.qlDayCounterYearFraction(DayCounter,R28,S28,,,Trigger)</f>
        <v>0.25555555555555554</v>
      </c>
      <c r="U28" s="181">
        <f>_xll.qlInterpolationInterpolate(B3Minterpolation,R28,TRUE)</f>
        <v>1.1257486558444911E-3</v>
      </c>
      <c r="V28" s="184">
        <f>_xll.qlYieldTSDiscount(Discounting,R28,,AllTriggers)</f>
        <v>1.0000984962930937</v>
      </c>
      <c r="W28" s="184">
        <f>_xll.qlYieldTSDiscount(Discounting,S28,,AllTriggers)</f>
        <v>1.0004054787073016</v>
      </c>
      <c r="X28" s="181">
        <f t="shared" si="4"/>
        <v>-1.2007486558443163E-3</v>
      </c>
      <c r="AC28" s="155"/>
      <c r="AD28" s="155"/>
    </row>
    <row r="29" spans="5:30" ht="11.25" customHeight="1" x14ac:dyDescent="0.2">
      <c r="E29" s="340"/>
      <c r="F29" s="340"/>
      <c r="G29" s="155"/>
      <c r="K29" s="155"/>
      <c r="L29" s="155"/>
      <c r="R29" s="183">
        <f>_xll.qlCalendarAdvance(Calendar,R28,"1D","f")</f>
        <v>42173</v>
      </c>
      <c r="S29" s="183">
        <f>_xll.qlCalendarAdvance(Calendar,R29,$F$1,"mf",,Trigger)</f>
        <v>42265</v>
      </c>
      <c r="T29" s="169">
        <f>_xll.qlDayCounterYearFraction(DayCounter,R29,S29,,,Trigger)</f>
        <v>0.25555555555555554</v>
      </c>
      <c r="U29" s="181">
        <f>_xll.qlInterpolationInterpolate(B3Minterpolation,R29,TRUE)</f>
        <v>1.1282604033663406E-3</v>
      </c>
      <c r="V29" s="184">
        <f>_xll.qlYieldTSDiscount(Discounting,R29,,AllTriggers)</f>
        <v>1.0001014475396022</v>
      </c>
      <c r="W29" s="184">
        <f>_xll.qlYieldTSDiscount(Discounting,S29,,AllTriggers)</f>
        <v>1.0004089623094894</v>
      </c>
      <c r="X29" s="181">
        <f t="shared" si="4"/>
        <v>-1.2028267539687665E-3</v>
      </c>
      <c r="AC29" s="155"/>
      <c r="AD29" s="155"/>
    </row>
    <row r="30" spans="5:30" ht="11.25" customHeight="1" x14ac:dyDescent="0.2">
      <c r="E30" s="340"/>
      <c r="F30" s="340"/>
      <c r="G30" s="155"/>
      <c r="K30" s="155"/>
      <c r="L30" s="155"/>
      <c r="R30" s="183">
        <f>_xll.qlCalendarAdvance(Calendar,R29,"1D","f")</f>
        <v>42174</v>
      </c>
      <c r="S30" s="183">
        <f>_xll.qlCalendarAdvance(Calendar,R30,$F$1,"mf",,Trigger)</f>
        <v>42268</v>
      </c>
      <c r="T30" s="169">
        <f>_xll.qlDayCounterYearFraction(DayCounter,R30,S30,,,Trigger)</f>
        <v>0.26111111111111113</v>
      </c>
      <c r="U30" s="181">
        <f>_xll.qlInterpolationInterpolate(B3Minterpolation,R30,TRUE)</f>
        <v>1.1307132836218369E-3</v>
      </c>
      <c r="V30" s="184">
        <f>_xll.qlYieldTSDiscount(Discounting,R30,,AllTriggers)</f>
        <v>1.0001044161281463</v>
      </c>
      <c r="W30" s="184">
        <f>_xll.qlYieldTSDiscount(Discounting,S30,,AllTriggers)</f>
        <v>1.0004194223391687</v>
      </c>
      <c r="X30" s="181">
        <f t="shared" si="4"/>
        <v>-1.205900983806484E-3</v>
      </c>
      <c r="AC30" s="155"/>
      <c r="AD30" s="155"/>
    </row>
    <row r="31" spans="5:30" ht="11.25" customHeight="1" x14ac:dyDescent="0.2">
      <c r="E31" s="340"/>
      <c r="F31" s="340"/>
      <c r="G31" s="155"/>
      <c r="K31" s="155"/>
      <c r="L31" s="155"/>
      <c r="R31" s="183">
        <f>_xll.qlCalendarAdvance(Calendar,R30,"1D","f")</f>
        <v>42177</v>
      </c>
      <c r="S31" s="183">
        <f>_xll.qlCalendarAdvance(Calendar,R31,$F$1,"mf",,Trigger)</f>
        <v>42269</v>
      </c>
      <c r="T31" s="169">
        <f>_xll.qlDayCounterYearFraction(DayCounter,R31,S31,,,Trigger)</f>
        <v>0.25555555555555554</v>
      </c>
      <c r="U31" s="181">
        <f>_xll.qlInterpolationInterpolate(B3Minterpolation,R31,TRUE)</f>
        <v>1.1377260947361362E-3</v>
      </c>
      <c r="V31" s="184">
        <f>_xll.qlYieldTSDiscount(Discounting,R31,,AllTriggers)</f>
        <v>1.0001134230612461</v>
      </c>
      <c r="W31" s="184">
        <f>_xll.qlYieldTSDiscount(Discounting,S31,,AllTriggers)</f>
        <v>1.000422912425406</v>
      </c>
      <c r="X31" s="181">
        <f t="shared" si="4"/>
        <v>-1.2105333884058986E-3</v>
      </c>
      <c r="AC31" s="155"/>
      <c r="AD31" s="155"/>
    </row>
    <row r="32" spans="5:30" ht="11.25" customHeight="1" x14ac:dyDescent="0.2">
      <c r="E32" s="340"/>
      <c r="F32" s="340"/>
      <c r="G32" s="155"/>
      <c r="K32" s="155"/>
      <c r="L32" s="155"/>
      <c r="R32" s="183">
        <f>_xll.qlCalendarAdvance(Calendar,R31,"1D","f")</f>
        <v>42178</v>
      </c>
      <c r="S32" s="183">
        <f>_xll.qlCalendarAdvance(Calendar,R32,$F$1,"mf",,Trigger)</f>
        <v>42270</v>
      </c>
      <c r="T32" s="169">
        <f>_xll.qlDayCounterYearFraction(DayCounter,R32,S32,,,Trigger)</f>
        <v>0.25555555555555554</v>
      </c>
      <c r="U32" s="181">
        <f>_xll.qlInterpolationInterpolate(B3Minterpolation,R32,TRUE)</f>
        <v>1.1399508798721498E-3</v>
      </c>
      <c r="V32" s="184">
        <f>_xll.qlYieldTSDiscount(Discounting,R32,,AllTriggers)</f>
        <v>1.000116458133173</v>
      </c>
      <c r="W32" s="184">
        <f>_xll.qlYieldTSDiscount(Discounting,S32,,AllTriggers)</f>
        <v>1.0004264043841384</v>
      </c>
      <c r="X32" s="181">
        <f t="shared" si="4"/>
        <v>-1.2123162190012262E-3</v>
      </c>
      <c r="AC32" s="155"/>
      <c r="AD32" s="155"/>
    </row>
    <row r="33" spans="5:30" ht="11.25" customHeight="1" x14ac:dyDescent="0.2">
      <c r="E33" s="340"/>
      <c r="F33" s="340"/>
      <c r="G33" s="155"/>
      <c r="K33" s="155"/>
      <c r="L33" s="155"/>
      <c r="R33" s="183">
        <f>_xll.qlCalendarAdvance(Calendar,R32,"1D","f")</f>
        <v>42179</v>
      </c>
      <c r="S33" s="183">
        <f>_xll.qlCalendarAdvance(Calendar,R33,$F$1,"mf",,Trigger)</f>
        <v>42271</v>
      </c>
      <c r="T33" s="169">
        <f>_xll.qlDayCounterYearFraction(DayCounter,R33,S33,,,Trigger)</f>
        <v>0.25555555555555554</v>
      </c>
      <c r="U33" s="181">
        <f>_xll.qlInterpolationInterpolate(B3Minterpolation,R33,TRUE)</f>
        <v>1.1421204847147756E-3</v>
      </c>
      <c r="V33" s="184">
        <f>_xll.qlYieldTSDiscount(Discounting,R33,,AllTriggers)</f>
        <v>1.0001195091047421</v>
      </c>
      <c r="W33" s="184">
        <f>_xll.qlYieldTSDiscount(Discounting,S33,,AllTriggers)</f>
        <v>1.0004298983159614</v>
      </c>
      <c r="X33" s="181">
        <f t="shared" si="4"/>
        <v>-1.2140445629709078E-3</v>
      </c>
      <c r="AC33" s="155"/>
      <c r="AD33" s="155"/>
    </row>
    <row r="34" spans="5:30" ht="11.25" customHeight="1" x14ac:dyDescent="0.2">
      <c r="E34" s="340"/>
      <c r="F34" s="340"/>
      <c r="G34" s="155"/>
      <c r="K34" s="155"/>
      <c r="L34" s="155"/>
      <c r="R34" s="183">
        <f>_xll.qlCalendarAdvance(Calendar,R33,"1D","f")</f>
        <v>42180</v>
      </c>
      <c r="S34" s="183">
        <f>_xll.qlCalendarAdvance(Calendar,R34,$F$1,"mf",,Trigger)</f>
        <v>42272</v>
      </c>
      <c r="T34" s="169">
        <f>_xll.qlDayCounterYearFraction(DayCounter,R34,S34,,,Trigger)</f>
        <v>0.25555555555555554</v>
      </c>
      <c r="U34" s="181">
        <f>_xll.qlInterpolationInterpolate(B3Minterpolation,R34,TRUE)</f>
        <v>1.1442356466586068E-3</v>
      </c>
      <c r="V34" s="184">
        <f>_xll.qlYieldTSDiscount(Discounting,R34,,AllTriggers)</f>
        <v>1.0001225756874668</v>
      </c>
      <c r="W34" s="184">
        <f>_xll.qlYieldTSDiscount(Discounting,S34,,AllTriggers)</f>
        <v>1.0004333943214723</v>
      </c>
      <c r="X34" s="181">
        <f t="shared" si="4"/>
        <v>-1.215719942597678E-3</v>
      </c>
      <c r="AC34" s="155"/>
      <c r="AD34" s="155"/>
    </row>
    <row r="35" spans="5:30" ht="11.25" customHeight="1" x14ac:dyDescent="0.2">
      <c r="E35" s="340"/>
      <c r="F35" s="340"/>
      <c r="G35" s="155"/>
      <c r="K35" s="155"/>
      <c r="L35" s="155"/>
      <c r="R35" s="183">
        <f>_xll.qlCalendarAdvance(Calendar,R34,"1D","f")</f>
        <v>42181</v>
      </c>
      <c r="S35" s="183">
        <f>_xll.qlCalendarAdvance(Calendar,R35,$F$1,"mf",,Trigger)</f>
        <v>42275</v>
      </c>
      <c r="T35" s="169">
        <f>_xll.qlDayCounterYearFraction(DayCounter,R35,S35,,,Trigger)</f>
        <v>0.26111111111111113</v>
      </c>
      <c r="U35" s="181">
        <f>_xll.qlInterpolationInterpolate(B3Minterpolation,R35,TRUE)</f>
        <v>1.146297103098236E-3</v>
      </c>
      <c r="V35" s="184">
        <f>_xll.qlYieldTSDiscount(Discounting,R35,,AllTriggers)</f>
        <v>1.0001256575928572</v>
      </c>
      <c r="W35" s="184">
        <f>_xll.qlYieldTSDiscount(Discounting,S35,,AllTriggers)</f>
        <v>1.0004438957861259</v>
      </c>
      <c r="X35" s="181">
        <f t="shared" si="4"/>
        <v>-1.2182437966774019E-3</v>
      </c>
      <c r="AC35" s="155"/>
      <c r="AD35" s="155"/>
    </row>
    <row r="36" spans="5:30" ht="11.25" customHeight="1" x14ac:dyDescent="0.2">
      <c r="E36" s="340"/>
      <c r="F36" s="340"/>
      <c r="G36" s="155"/>
      <c r="K36" s="155"/>
      <c r="L36" s="155"/>
      <c r="R36" s="183">
        <f>_xll.qlCalendarAdvance(Calendar,R35,"1D","f")</f>
        <v>42184</v>
      </c>
      <c r="S36" s="183">
        <f>_xll.qlCalendarAdvance(Calendar,R36,$F$1,"mf",,Trigger)</f>
        <v>42276</v>
      </c>
      <c r="T36" s="169">
        <f>_xll.qlDayCounterYearFraction(DayCounter,R36,S36,,,Trigger)</f>
        <v>0.25555555555555554</v>
      </c>
      <c r="U36" s="181">
        <f>_xll.qlInterpolationInterpolate(B3Minterpolation,R36,TRUE)</f>
        <v>1.1521666133378454E-3</v>
      </c>
      <c r="V36" s="184">
        <f>_xll.qlYieldTSDiscount(Discounting,R36,,AllTriggers)</f>
        <v>1.0001349923600846</v>
      </c>
      <c r="W36" s="184">
        <f>_xll.qlYieldTSDiscount(Discounting,S36,,AllTriggers)</f>
        <v>1.0004474010923892</v>
      </c>
      <c r="X36" s="181">
        <f t="shared" si="4"/>
        <v>-1.2219222631404886E-3</v>
      </c>
      <c r="AC36" s="155"/>
      <c r="AD36" s="155"/>
    </row>
    <row r="37" spans="5:30" ht="11.25" customHeight="1" x14ac:dyDescent="0.2">
      <c r="E37" s="340"/>
      <c r="F37" s="340"/>
      <c r="G37" s="155"/>
      <c r="K37" s="155"/>
      <c r="L37" s="155"/>
      <c r="R37" s="183">
        <f>_xll.qlCalendarAdvance(Calendar,R36,"1D","f")</f>
        <v>42185</v>
      </c>
      <c r="S37" s="183">
        <f>_xll.qlCalendarAdvance(Calendar,R37,$F$1,"mf",,Trigger)</f>
        <v>42277</v>
      </c>
      <c r="T37" s="169">
        <f>_xll.qlDayCounterYearFraction(DayCounter,R37,S37,,,Trigger)</f>
        <v>0.25555555555555554</v>
      </c>
      <c r="U37" s="181">
        <f>_xll.qlInterpolationInterpolate(B3Minterpolation,R37,TRUE)</f>
        <v>1.1540206217065991E-3</v>
      </c>
      <c r="V37" s="184">
        <f>_xll.qlYieldTSDiscount(Discounting,R37,,AllTriggers)</f>
        <v>1.0001381326711849</v>
      </c>
      <c r="W37" s="184">
        <f>_xll.qlYieldTSDiscount(Discounting,S37,,AllTriggers)</f>
        <v>1.0004509089753477</v>
      </c>
      <c r="X37" s="181">
        <f t="shared" si="4"/>
        <v>-1.223355655113865E-3</v>
      </c>
      <c r="AC37" s="155"/>
      <c r="AD37" s="155"/>
    </row>
    <row r="38" spans="5:30" ht="11.25" customHeight="1" x14ac:dyDescent="0.2">
      <c r="E38" s="340"/>
      <c r="F38" s="340"/>
      <c r="G38" s="155"/>
      <c r="K38" s="155"/>
      <c r="L38" s="155"/>
      <c r="R38" s="183">
        <f>_xll.qlCalendarAdvance(Calendar,R37,"1D","f")</f>
        <v>42186</v>
      </c>
      <c r="S38" s="183">
        <f>_xll.qlCalendarAdvance(Calendar,R38,$F$1,"mf",,Trigger)</f>
        <v>42278</v>
      </c>
      <c r="T38" s="169">
        <f>_xll.qlDayCounterYearFraction(DayCounter,R38,S38,,,Trigger)</f>
        <v>0.25555555555555554</v>
      </c>
      <c r="U38" s="181">
        <f>_xll.qlInterpolationInterpolate(B3Minterpolation,R38,TRUE)</f>
        <v>1.1558246115441167E-3</v>
      </c>
      <c r="V38" s="184">
        <f>_xll.qlYieldTSDiscount(Discounting,R38,,AllTriggers)</f>
        <v>1.0001412868624593</v>
      </c>
      <c r="W38" s="184">
        <f>_xll.qlYieldTSDiscount(Discounting,S38,,AllTriggers)</f>
        <v>1.0004517183086745</v>
      </c>
      <c r="X38" s="181">
        <f t="shared" si="4"/>
        <v>-1.2141832772431503E-3</v>
      </c>
      <c r="AC38" s="155"/>
      <c r="AD38" s="155"/>
    </row>
    <row r="39" spans="5:30" ht="11.25" customHeight="1" x14ac:dyDescent="0.2">
      <c r="E39" s="340"/>
      <c r="F39" s="340"/>
      <c r="G39" s="155"/>
      <c r="K39" s="155"/>
      <c r="L39" s="155"/>
      <c r="R39" s="183">
        <f>_xll.qlCalendarAdvance(Calendar,R38,"1D","f")</f>
        <v>42187</v>
      </c>
      <c r="S39" s="183">
        <f>_xll.qlCalendarAdvance(Calendar,R39,$F$1,"mf",,Trigger)</f>
        <v>42279</v>
      </c>
      <c r="T39" s="169">
        <f>_xll.qlDayCounterYearFraction(DayCounter,R39,S39,,,Trigger)</f>
        <v>0.25555555555555554</v>
      </c>
      <c r="U39" s="181">
        <f>_xll.qlInterpolationInterpolate(B3Minterpolation,R39,TRUE)</f>
        <v>1.1575793202449915E-3</v>
      </c>
      <c r="V39" s="184">
        <f>_xll.qlYieldTSDiscount(Discounting,R39,,AllTriggers)</f>
        <v>1.0001444546454008</v>
      </c>
      <c r="W39" s="184">
        <f>_xll.qlYieldTSDiscount(Discounting,S39,,AllTriggers)</f>
        <v>1.0004552316373565</v>
      </c>
      <c r="X39" s="181">
        <f t="shared" si="4"/>
        <v>-1.2155305336104876E-3</v>
      </c>
      <c r="AC39" s="155"/>
      <c r="AD39" s="155"/>
    </row>
    <row r="40" spans="5:30" ht="11.25" customHeight="1" x14ac:dyDescent="0.2">
      <c r="E40" s="340"/>
      <c r="F40" s="340"/>
      <c r="G40" s="155"/>
      <c r="K40" s="155"/>
      <c r="L40" s="155"/>
      <c r="R40" s="183">
        <f>_xll.qlCalendarAdvance(Calendar,R39,"1D","f")</f>
        <v>42188</v>
      </c>
      <c r="S40" s="183">
        <f>_xll.qlCalendarAdvance(Calendar,R40,$F$1,"mf",,Trigger)</f>
        <v>42282</v>
      </c>
      <c r="T40" s="169">
        <f>_xll.qlDayCounterYearFraction(DayCounter,R40,S40,,,Trigger)</f>
        <v>0.26111111111111113</v>
      </c>
      <c r="U40" s="181">
        <f>_xll.qlInterpolationInterpolate(B3Minterpolation,R40,TRUE)</f>
        <v>1.1592854852038163E-3</v>
      </c>
      <c r="V40" s="184">
        <f>_xll.qlYieldTSDiscount(Discounting,R40,,AllTriggers)</f>
        <v>1.0001476357314991</v>
      </c>
      <c r="W40" s="184">
        <f>_xll.qlYieldTSDiscount(Discounting,S40,,AllTriggers)</f>
        <v>1.0004657892968982</v>
      </c>
      <c r="X40" s="181">
        <f t="shared" si="4"/>
        <v>-1.21789318162169E-3</v>
      </c>
      <c r="AC40" s="155"/>
      <c r="AD40" s="155"/>
    </row>
    <row r="41" spans="5:30" ht="11.25" customHeight="1" x14ac:dyDescent="0.2">
      <c r="E41" s="340"/>
      <c r="F41" s="340"/>
      <c r="G41" s="155"/>
      <c r="K41" s="155"/>
      <c r="L41" s="155"/>
      <c r="R41" s="183">
        <f>_xll.qlCalendarAdvance(Calendar,R40,"1D","f")</f>
        <v>42191</v>
      </c>
      <c r="S41" s="183">
        <f>_xll.qlCalendarAdvance(Calendar,R41,$F$1,"mf",,Trigger)</f>
        <v>42283</v>
      </c>
      <c r="T41" s="169">
        <f>_xll.qlDayCounterYearFraction(DayCounter,R41,S41,,,Trigger)</f>
        <v>0.25555555555555554</v>
      </c>
      <c r="U41" s="181">
        <f>_xll.qlInterpolationInterpolate(B3Minterpolation,R41,TRUE)</f>
        <v>1.1641200915739217E-3</v>
      </c>
      <c r="V41" s="184">
        <f>_xll.qlYieldTSDiscount(Discounting,R41,,AllTriggers)</f>
        <v>1.0001572559235816</v>
      </c>
      <c r="W41" s="184">
        <f>_xll.qlYieldTSDiscount(Discounting,S41,,AllTriggers)</f>
        <v>1.0004693147432813</v>
      </c>
      <c r="X41" s="181">
        <f t="shared" si="4"/>
        <v>-1.2205269179823757E-3</v>
      </c>
      <c r="AC41" s="155"/>
      <c r="AD41" s="155"/>
    </row>
    <row r="42" spans="5:30" ht="11.25" customHeight="1" x14ac:dyDescent="0.2">
      <c r="E42" s="340"/>
      <c r="F42" s="340"/>
      <c r="G42" s="155"/>
      <c r="K42" s="155"/>
      <c r="L42" s="155"/>
      <c r="R42" s="183">
        <f>_xll.qlCalendarAdvance(Calendar,R41,"1D","f")</f>
        <v>42192</v>
      </c>
      <c r="S42" s="183">
        <f>_xll.qlCalendarAdvance(Calendar,R42,$F$1,"mf",,Trigger)</f>
        <v>42284</v>
      </c>
      <c r="T42" s="169">
        <f>_xll.qlDayCounterYearFraction(DayCounter,R42,S42,,,Trigger)</f>
        <v>0.25555555555555554</v>
      </c>
      <c r="U42" s="181">
        <f>_xll.qlInterpolationInterpolate(B3Minterpolation,R42,TRUE)</f>
        <v>1.1656394555104779E-3</v>
      </c>
      <c r="V42" s="184">
        <f>_xll.qlYieldTSDiscount(Discounting,R42,,AllTriggers)</f>
        <v>1.000160487337139</v>
      </c>
      <c r="W42" s="184">
        <f>_xll.qlYieldTSDiscount(Discounting,S42,,AllTriggers)</f>
        <v>1.0004728434706216</v>
      </c>
      <c r="X42" s="181">
        <f t="shared" si="4"/>
        <v>-1.2216854650232869E-3</v>
      </c>
      <c r="AC42" s="155"/>
      <c r="AD42" s="155"/>
    </row>
    <row r="43" spans="5:30" ht="11.25" customHeight="1" x14ac:dyDescent="0.2">
      <c r="E43" s="340"/>
      <c r="F43" s="340"/>
      <c r="G43" s="155"/>
      <c r="K43" s="155"/>
      <c r="L43" s="155"/>
      <c r="R43" s="183">
        <f>_xll.qlCalendarAdvance(Calendar,R42,"1D","f")</f>
        <v>42193</v>
      </c>
      <c r="S43" s="183">
        <f>_xll.qlCalendarAdvance(Calendar,R43,$F$1,"mf",,Trigger)</f>
        <v>42285</v>
      </c>
      <c r="T43" s="169">
        <f>_xll.qlDayCounterYearFraction(DayCounter,R43,S43,,,Trigger)</f>
        <v>0.25555555555555554</v>
      </c>
      <c r="U43" s="181">
        <f>_xll.qlInterpolationInterpolate(B3Minterpolation,R43,TRUE)</f>
        <v>1.1671139626779493E-3</v>
      </c>
      <c r="V43" s="184">
        <f>_xll.qlYieldTSDiscount(Discounting,R43,,AllTriggers)</f>
        <v>1.000163730611253</v>
      </c>
      <c r="W43" s="184">
        <f>_xll.qlYieldTSDiscount(Discounting,S43,,AllTriggers)</f>
        <v>1.0004763755795345</v>
      </c>
      <c r="X43" s="181">
        <f t="shared" si="4"/>
        <v>-1.2228108369241718E-3</v>
      </c>
      <c r="AC43" s="155"/>
      <c r="AD43" s="155"/>
    </row>
    <row r="44" spans="5:30" ht="11.25" customHeight="1" x14ac:dyDescent="0.2">
      <c r="E44" s="340"/>
      <c r="F44" s="340"/>
      <c r="G44" s="155"/>
      <c r="K44" s="155"/>
      <c r="L44" s="155"/>
      <c r="R44" s="183">
        <f>_xll.qlCalendarAdvance(Calendar,R43,"1D","f")</f>
        <v>42194</v>
      </c>
      <c r="S44" s="183">
        <f>_xll.qlCalendarAdvance(Calendar,R44,$F$1,"mf",,Trigger)</f>
        <v>42286</v>
      </c>
      <c r="T44" s="169">
        <f>_xll.qlDayCounterYearFraction(DayCounter,R44,S44,,,Trigger)</f>
        <v>0.25555555555555554</v>
      </c>
      <c r="U44" s="181">
        <f>_xll.qlInterpolationInterpolate(B3Minterpolation,R44,TRUE)</f>
        <v>1.1685443504709297E-3</v>
      </c>
      <c r="V44" s="184">
        <f>_xll.qlYieldTSDiscount(Discounting,R44,,AllTriggers)</f>
        <v>1.000166985457394</v>
      </c>
      <c r="W44" s="184">
        <f>_xll.qlYieldTSDiscount(Discounting,S44,,AllTriggers)</f>
        <v>1.0004799111706371</v>
      </c>
      <c r="X44" s="181">
        <f t="shared" si="4"/>
        <v>-1.2239045559178049E-3</v>
      </c>
      <c r="AC44" s="155"/>
      <c r="AD44" s="155"/>
    </row>
    <row r="45" spans="5:30" ht="11.25" customHeight="1" x14ac:dyDescent="0.2">
      <c r="E45" s="340"/>
      <c r="F45" s="340"/>
      <c r="G45" s="155"/>
      <c r="K45" s="155"/>
      <c r="L45" s="155"/>
      <c r="R45" s="183">
        <f>_xll.qlCalendarAdvance(Calendar,R44,"1D","f")</f>
        <v>42195</v>
      </c>
      <c r="S45" s="183">
        <f>_xll.qlCalendarAdvance(Calendar,R45,$F$1,"mf",,Trigger)</f>
        <v>42289</v>
      </c>
      <c r="T45" s="169">
        <f>_xll.qlDayCounterYearFraction(DayCounter,R45,S45,,,Trigger)</f>
        <v>0.26111111111111113</v>
      </c>
      <c r="U45" s="181">
        <f>_xll.qlInterpolationInterpolate(B3Minterpolation,R45,TRUE)</f>
        <v>1.1699313562840118E-3</v>
      </c>
      <c r="V45" s="184">
        <f>_xll.qlYieldTSDiscount(Discounting,R45,,AllTriggers)</f>
        <v>1.0001702515870292</v>
      </c>
      <c r="W45" s="184">
        <f>_xll.qlYieldTSDiscount(Discounting,S45,,AllTriggers)</f>
        <v>1.0004905398432749</v>
      </c>
      <c r="X45" s="181">
        <f t="shared" si="4"/>
        <v>-1.226034456233173E-3</v>
      </c>
      <c r="AC45" s="155"/>
      <c r="AD45" s="155"/>
    </row>
    <row r="46" spans="5:30" ht="11.25" customHeight="1" x14ac:dyDescent="0.2">
      <c r="E46" s="340"/>
      <c r="F46" s="340"/>
      <c r="G46" s="155"/>
      <c r="K46" s="155"/>
      <c r="L46" s="155"/>
      <c r="R46" s="183">
        <f>_xll.qlCalendarAdvance(Calendar,R45,"1D","f")</f>
        <v>42198</v>
      </c>
      <c r="S46" s="183">
        <f>_xll.qlCalendarAdvance(Calendar,R46,$F$1,"mf",,Trigger)</f>
        <v>42290</v>
      </c>
      <c r="T46" s="169">
        <f>_xll.qlDayCounterYearFraction(DayCounter,R46,S46,,,Trigger)</f>
        <v>0.25555555555555554</v>
      </c>
      <c r="U46" s="181">
        <f>_xll.qlInterpolationInterpolate(B3Minterpolation,R46,TRUE)</f>
        <v>1.1738394557898001E-3</v>
      </c>
      <c r="V46" s="184">
        <f>_xll.qlYieldTSDiscount(Discounting,R46,,AllTriggers)</f>
        <v>1.0001801147915161</v>
      </c>
      <c r="W46" s="184">
        <f>_xll.qlYieldTSDiscount(Discounting,S46,,AllTriggers)</f>
        <v>1.0004940903693356</v>
      </c>
      <c r="X46" s="181">
        <f t="shared" si="4"/>
        <v>-1.227993347432737E-3</v>
      </c>
      <c r="AC46" s="155"/>
      <c r="AD46" s="155"/>
    </row>
    <row r="47" spans="5:30" ht="11.25" customHeight="1" x14ac:dyDescent="0.2">
      <c r="E47" s="340"/>
      <c r="F47" s="340"/>
      <c r="G47" s="155"/>
      <c r="K47" s="155"/>
      <c r="L47" s="155"/>
      <c r="R47" s="183">
        <f>_xll.qlCalendarAdvance(Calendar,R46,"1D","f")</f>
        <v>42199</v>
      </c>
      <c r="S47" s="183">
        <f>_xll.qlCalendarAdvance(Calendar,R47,$F$1,"mf",,Trigger)</f>
        <v>42291</v>
      </c>
      <c r="T47" s="169">
        <f>_xll.qlDayCounterYearFraction(DayCounter,R47,S47,,,Trigger)</f>
        <v>0.25555555555555554</v>
      </c>
      <c r="U47" s="181">
        <f>_xll.qlInterpolationInterpolate(B3Minterpolation,R47,TRUE)</f>
        <v>1.1750603076292204E-3</v>
      </c>
      <c r="V47" s="184">
        <f>_xll.qlYieldTSDiscount(Discounting,R47,,AllTriggers)</f>
        <v>1.0001834231020037</v>
      </c>
      <c r="W47" s="184">
        <f>_xll.qlYieldTSDiscount(Discounting,S47,,AllTriggers)</f>
        <v>1.000497644880693</v>
      </c>
      <c r="X47" s="181">
        <f t="shared" si="4"/>
        <v>-1.2289519002059797E-3</v>
      </c>
      <c r="AC47" s="155"/>
      <c r="AD47" s="155"/>
    </row>
    <row r="48" spans="5:30" ht="11.25" customHeight="1" x14ac:dyDescent="0.2">
      <c r="E48" s="340"/>
      <c r="F48" s="340"/>
      <c r="G48" s="155"/>
      <c r="K48" s="155"/>
      <c r="L48" s="155"/>
      <c r="R48" s="183">
        <f>_xll.qlCalendarAdvance(Calendar,R47,"1D","f")</f>
        <v>42200</v>
      </c>
      <c r="S48" s="183">
        <f>_xll.qlCalendarAdvance(Calendar,R48,$F$1,"mf",,Trigger)</f>
        <v>42292</v>
      </c>
      <c r="T48" s="169">
        <f>_xll.qlDayCounterYearFraction(DayCounter,R48,S48,,,Trigger)</f>
        <v>0.25555555555555554</v>
      </c>
      <c r="U48" s="181">
        <f>_xll.qlInterpolationInterpolate(B3Minterpolation,R48,TRUE)</f>
        <v>1.176241464461708E-3</v>
      </c>
      <c r="V48" s="184">
        <f>_xll.qlYieldTSDiscount(Discounting,R48,,AllTriggers)</f>
        <v>1.0001867408469223</v>
      </c>
      <c r="W48" s="184">
        <f>_xll.qlYieldTSDiscount(Discounting,S48,,AllTriggers)</f>
        <v>1.0005012034779732</v>
      </c>
      <c r="X48" s="181">
        <f t="shared" si="4"/>
        <v>-1.229889522684334E-3</v>
      </c>
      <c r="AC48" s="155"/>
      <c r="AD48" s="155"/>
    </row>
    <row r="49" spans="5:30" ht="11.25" customHeight="1" x14ac:dyDescent="0.2">
      <c r="E49" s="340"/>
      <c r="F49" s="340"/>
      <c r="G49" s="155"/>
      <c r="K49" s="155"/>
      <c r="L49" s="155"/>
      <c r="R49" s="183">
        <f>_xll.qlCalendarAdvance(Calendar,R48,"1D","f")</f>
        <v>42201</v>
      </c>
      <c r="S49" s="183">
        <f>_xll.qlCalendarAdvance(Calendar,R49,$F$1,"mf",,Trigger)</f>
        <v>42293</v>
      </c>
      <c r="T49" s="169">
        <f>_xll.qlDayCounterYearFraction(DayCounter,R49,S49,,,Trigger)</f>
        <v>0.25555555555555554</v>
      </c>
      <c r="U49" s="181">
        <f>_xll.qlInterpolationInterpolate(B3Minterpolation,R49,TRUE)</f>
        <v>1.1773836636818562E-3</v>
      </c>
      <c r="V49" s="184">
        <f>_xll.qlYieldTSDiscount(Discounting,R49,,AllTriggers)</f>
        <v>1.0001900673313673</v>
      </c>
      <c r="W49" s="184">
        <f>_xll.qlYieldTSDiscount(Discounting,S49,,AllTriggers)</f>
        <v>1.0005047662618032</v>
      </c>
      <c r="X49" s="181">
        <f t="shared" si="4"/>
        <v>-1.2308093263354051E-3</v>
      </c>
      <c r="AC49" s="155"/>
      <c r="AD49" s="155"/>
    </row>
    <row r="50" spans="5:30" ht="11.25" customHeight="1" x14ac:dyDescent="0.2">
      <c r="E50" s="340"/>
      <c r="F50" s="340"/>
      <c r="G50" s="155"/>
      <c r="K50" s="155"/>
      <c r="L50" s="155"/>
      <c r="R50" s="183">
        <f>_xll.qlCalendarAdvance(Calendar,R49,"1D","f")</f>
        <v>42202</v>
      </c>
      <c r="S50" s="183">
        <f>_xll.qlCalendarAdvance(Calendar,R50,$F$1,"mf",,Trigger)</f>
        <v>42296</v>
      </c>
      <c r="T50" s="169">
        <f>_xll.qlDayCounterYearFraction(DayCounter,R50,S50,,,Trigger)</f>
        <v>0.26111111111111113</v>
      </c>
      <c r="U50" s="181">
        <f>_xll.qlInterpolationInterpolate(B3Minterpolation,R50,TRUE)</f>
        <v>1.1784876426842578E-3</v>
      </c>
      <c r="V50" s="184">
        <f>_xll.qlYieldTSDiscount(Discounting,R50,,AllTriggers)</f>
        <v>1.0001934018604248</v>
      </c>
      <c r="W50" s="184">
        <f>_xll.qlYieldTSDiscount(Discounting,S50,,AllTriggers)</f>
        <v>1.0005154807388885</v>
      </c>
      <c r="X50" s="181">
        <f t="shared" si="4"/>
        <v>-1.2328580625097867E-3</v>
      </c>
      <c r="AC50" s="155"/>
      <c r="AD50" s="155"/>
    </row>
    <row r="51" spans="5:30" ht="11.25" customHeight="1" x14ac:dyDescent="0.2">
      <c r="E51" s="340"/>
      <c r="F51" s="340"/>
      <c r="G51" s="155"/>
      <c r="K51" s="155"/>
      <c r="L51" s="155"/>
      <c r="R51" s="183">
        <f>_xll.qlCalendarAdvance(Calendar,R50,"1D","f")</f>
        <v>42205</v>
      </c>
      <c r="S51" s="183">
        <f>_xll.qlCalendarAdvance(Calendar,R51,$F$1,"mf",,Trigger)</f>
        <v>42297</v>
      </c>
      <c r="T51" s="169">
        <f>_xll.qlDayCounterYearFraction(DayCounter,R51,S51,,,Trigger)</f>
        <v>0.25555555555555554</v>
      </c>
      <c r="U51" s="181">
        <f>_xll.qlInterpolationInterpolate(B3Minterpolation,R51,TRUE)</f>
        <v>1.1815776323309151E-3</v>
      </c>
      <c r="V51" s="184">
        <f>_xll.qlYieldTSDiscount(Discounting,R51,,AllTriggers)</f>
        <v>1.0002034467659979</v>
      </c>
      <c r="W51" s="184">
        <f>_xll.qlYieldTSDiscount(Discounting,S51,,AllTriggers)</f>
        <v>1.0005190612752213</v>
      </c>
      <c r="X51" s="181">
        <f t="shared" si="4"/>
        <v>-1.2343725819542318E-3</v>
      </c>
      <c r="AC51" s="155"/>
      <c r="AD51" s="155"/>
    </row>
    <row r="52" spans="5:30" ht="11.25" customHeight="1" x14ac:dyDescent="0.2">
      <c r="E52" s="340"/>
      <c r="F52" s="340"/>
      <c r="G52" s="155"/>
      <c r="K52" s="155"/>
      <c r="L52" s="155"/>
      <c r="R52" s="183">
        <f>_xll.qlCalendarAdvance(Calendar,R51,"1D","f")</f>
        <v>42206</v>
      </c>
      <c r="S52" s="183">
        <f>_xll.qlCalendarAdvance(Calendar,R52,$F$1,"mf",,Trigger)</f>
        <v>42298</v>
      </c>
      <c r="T52" s="169">
        <f>_xll.qlDayCounterYearFraction(DayCounter,R52,S52,,,Trigger)</f>
        <v>0.25555555555555554</v>
      </c>
      <c r="U52" s="181">
        <f>_xll.qlInterpolationInterpolate(B3Minterpolation,R52,TRUE)</f>
        <v>1.1825361044082619E-3</v>
      </c>
      <c r="V52" s="184">
        <f>_xll.qlYieldTSDiscount(Discounting,R52,,AllTriggers)</f>
        <v>1.0002068065241851</v>
      </c>
      <c r="W52" s="184">
        <f>_xll.qlYieldTSDiscount(Discounting,S52,,AllTriggers)</f>
        <v>1.0005226465012629</v>
      </c>
      <c r="X52" s="181">
        <f t="shared" si="4"/>
        <v>-1.2352499634065055E-3</v>
      </c>
      <c r="AC52" s="155"/>
      <c r="AD52" s="155"/>
    </row>
    <row r="53" spans="5:30" ht="11.25" customHeight="1" x14ac:dyDescent="0.2">
      <c r="E53" s="340"/>
      <c r="F53" s="340"/>
      <c r="G53" s="155"/>
      <c r="K53" s="155"/>
      <c r="L53" s="155"/>
      <c r="R53" s="183">
        <f>_xll.qlCalendarAdvance(Calendar,R52,"1D","f")</f>
        <v>42207</v>
      </c>
      <c r="S53" s="183">
        <f>_xll.qlCalendarAdvance(Calendar,R53,$F$1,"mf",,Trigger)</f>
        <v>42299</v>
      </c>
      <c r="T53" s="169">
        <f>_xll.qlDayCounterYearFraction(DayCounter,R53,S53,,,Trigger)</f>
        <v>0.25555555555555554</v>
      </c>
      <c r="U53" s="181">
        <f>_xll.qlInterpolationInterpolate(B3Minterpolation,R53,TRUE)</f>
        <v>1.1834600432408277E-3</v>
      </c>
      <c r="V53" s="184">
        <f>_xll.qlYieldTSDiscount(Discounting,R53,,AllTriggers)</f>
        <v>1.0002101708522793</v>
      </c>
      <c r="W53" s="184">
        <f>_xll.qlYieldTSDiscount(Discounting,S53,,AllTriggers)</f>
        <v>1.0005262365176497</v>
      </c>
      <c r="X53" s="181">
        <f t="shared" si="4"/>
        <v>-1.2361281947832578E-3</v>
      </c>
      <c r="AC53" s="155"/>
      <c r="AD53" s="155"/>
    </row>
    <row r="54" spans="5:30" ht="11.25" customHeight="1" x14ac:dyDescent="0.2">
      <c r="E54" s="340"/>
      <c r="F54" s="340"/>
      <c r="G54" s="155"/>
      <c r="K54" s="155"/>
      <c r="L54" s="155"/>
      <c r="R54" s="183">
        <f>_xll.qlCalendarAdvance(Calendar,R53,"1D","f")</f>
        <v>42208</v>
      </c>
      <c r="S54" s="183">
        <f>_xll.qlCalendarAdvance(Calendar,R54,$F$1,"mf",,Trigger)</f>
        <v>42300</v>
      </c>
      <c r="T54" s="169">
        <f>_xll.qlDayCounterYearFraction(DayCounter,R54,S54,,,Trigger)</f>
        <v>0.25555555555555554</v>
      </c>
      <c r="U54" s="181">
        <f>_xll.qlInterpolationInterpolate(B3Minterpolation,R54,TRUE)</f>
        <v>1.1843501862232057E-3</v>
      </c>
      <c r="V54" s="184">
        <f>_xll.qlYieldTSDiscount(Discounting,R54,,AllTriggers)</f>
        <v>1.000213539159885</v>
      </c>
      <c r="W54" s="184">
        <f>_xll.qlYieldTSDiscount(Discounting,S54,,AllTriggers)</f>
        <v>1.0005298314250195</v>
      </c>
      <c r="X54" s="181">
        <f t="shared" si="4"/>
        <v>-1.2370099785492625E-3</v>
      </c>
      <c r="AC54" s="155"/>
      <c r="AD54" s="155"/>
    </row>
    <row r="55" spans="5:30" ht="11.25" customHeight="1" x14ac:dyDescent="0.2">
      <c r="E55" s="340"/>
      <c r="F55" s="340"/>
      <c r="G55" s="155"/>
      <c r="K55" s="155"/>
      <c r="L55" s="155"/>
      <c r="R55" s="183">
        <f>_xll.qlCalendarAdvance(Calendar,R54,"1D","f")</f>
        <v>42209</v>
      </c>
      <c r="S55" s="183">
        <f>_xll.qlCalendarAdvance(Calendar,R55,$F$1,"mf",,Trigger)</f>
        <v>42303</v>
      </c>
      <c r="T55" s="169">
        <f>_xll.qlDayCounterYearFraction(DayCounter,R55,S55,,,Trigger)</f>
        <v>0.26111111111111113</v>
      </c>
      <c r="U55" s="181">
        <f>_xll.qlInterpolationInterpolate(B3Minterpolation,R55,TRUE)</f>
        <v>1.185207270749989E-3</v>
      </c>
      <c r="V55" s="184">
        <f>_xll.qlYieldTSDiscount(Discounting,R55,,AllTriggers)</f>
        <v>1.0002169112748986</v>
      </c>
      <c r="W55" s="184">
        <f>_xll.qlYieldTSDiscount(Discounting,S55,,AllTriggers)</f>
        <v>1.0005406464994275</v>
      </c>
      <c r="X55" s="181">
        <f t="shared" si="4"/>
        <v>-1.2391670787672937E-3</v>
      </c>
      <c r="AC55" s="155"/>
      <c r="AD55" s="155"/>
    </row>
    <row r="56" spans="5:30" ht="11.25" customHeight="1" x14ac:dyDescent="0.2">
      <c r="E56" s="340"/>
      <c r="F56" s="340"/>
      <c r="G56" s="155"/>
      <c r="K56" s="155"/>
      <c r="L56" s="155"/>
      <c r="R56" s="183">
        <f>_xll.qlCalendarAdvance(Calendar,R55,"1D","f")</f>
        <v>42212</v>
      </c>
      <c r="S56" s="183">
        <f>_xll.qlCalendarAdvance(Calendar,R56,$F$1,"mf",,Trigger)</f>
        <v>42304</v>
      </c>
      <c r="T56" s="169">
        <f>_xll.qlDayCounterYearFraction(DayCounter,R56,S56,,,Trigger)</f>
        <v>0.25555555555555554</v>
      </c>
      <c r="U56" s="181">
        <f>_xll.qlInterpolationInterpolate(B3Minterpolation,R56,TRUE)</f>
        <v>1.1875875475427016E-3</v>
      </c>
      <c r="V56" s="184">
        <f>_xll.qlYieldTSDiscount(Discounting,R56,,AllTriggers)</f>
        <v>1.0002270497890655</v>
      </c>
      <c r="W56" s="184">
        <f>_xll.qlYieldTSDiscount(Discounting,S56,,AllTriggers)</f>
        <v>1.0005442619771374</v>
      </c>
      <c r="X56" s="181">
        <f t="shared" si="4"/>
        <v>-1.2405898778597316E-3</v>
      </c>
      <c r="AC56" s="155"/>
      <c r="AD56" s="155"/>
    </row>
    <row r="57" spans="5:30" ht="11.25" customHeight="1" x14ac:dyDescent="0.2">
      <c r="E57" s="340"/>
      <c r="F57" s="340"/>
      <c r="G57" s="155"/>
      <c r="K57" s="155"/>
      <c r="L57" s="155"/>
      <c r="R57" s="183">
        <f>_xll.qlCalendarAdvance(Calendar,R56,"1D","f")</f>
        <v>42213</v>
      </c>
      <c r="S57" s="183">
        <f>_xll.qlCalendarAdvance(Calendar,R57,$F$1,"mf",,Trigger)</f>
        <v>42305</v>
      </c>
      <c r="T57" s="169">
        <f>_xll.qlDayCounterYearFraction(DayCounter,R57,S57,,,Trigger)</f>
        <v>0.25555555555555554</v>
      </c>
      <c r="U57" s="181">
        <f>_xll.qlInterpolationInterpolate(B3Minterpolation,R57,TRUE)</f>
        <v>1.1883197721930369E-3</v>
      </c>
      <c r="V57" s="184">
        <f>_xll.qlYieldTSDiscount(Discounting,R57,,AllTriggers)</f>
        <v>1.0002304364583856</v>
      </c>
      <c r="W57" s="184">
        <f>_xll.qlYieldTSDiscount(Discounting,S57,,AllTriggers)</f>
        <v>1.0005478828490424</v>
      </c>
      <c r="X57" s="181">
        <f t="shared" si="4"/>
        <v>-1.241501331370658E-3</v>
      </c>
      <c r="AC57" s="155"/>
      <c r="AD57" s="155"/>
    </row>
    <row r="58" spans="5:30" ht="11.25" customHeight="1" x14ac:dyDescent="0.2">
      <c r="E58" s="340"/>
      <c r="F58" s="340"/>
      <c r="G58" s="155"/>
      <c r="K58" s="155"/>
      <c r="L58" s="155"/>
      <c r="R58" s="183">
        <f>_xll.qlCalendarAdvance(Calendar,R57,"1D","f")</f>
        <v>42214</v>
      </c>
      <c r="S58" s="183">
        <f>_xll.qlCalendarAdvance(Calendar,R58,$F$1,"mf",,Trigger)</f>
        <v>42306</v>
      </c>
      <c r="T58" s="169">
        <f>_xll.qlDayCounterYearFraction(DayCounter,R58,S58,,,Trigger)</f>
        <v>0.25555555555555554</v>
      </c>
      <c r="U58" s="181">
        <f>_xll.qlInterpolationInterpolate(B3Minterpolation,R58,TRUE)</f>
        <v>1.1890226253607431E-3</v>
      </c>
      <c r="V58" s="184">
        <f>_xll.qlYieldTSDiscount(Discounting,R58,,AllTriggers)</f>
        <v>1.0002338265974469</v>
      </c>
      <c r="W58" s="184">
        <f>_xll.qlYieldTSDiscount(Discounting,S58,,AllTriggers)</f>
        <v>1.0005515092179895</v>
      </c>
      <c r="X58" s="181">
        <f t="shared" si="4"/>
        <v>-1.2424207000027517E-3</v>
      </c>
      <c r="AC58" s="155"/>
      <c r="AD58" s="155"/>
    </row>
    <row r="59" spans="5:30" ht="11.25" customHeight="1" x14ac:dyDescent="0.2">
      <c r="E59" s="340"/>
      <c r="F59" s="340"/>
      <c r="G59" s="155"/>
      <c r="K59" s="155"/>
      <c r="L59" s="155"/>
      <c r="R59" s="183">
        <f>_xll.qlCalendarAdvance(Calendar,R58,"1D","f")</f>
        <v>42215</v>
      </c>
      <c r="S59" s="183">
        <f>_xll.qlCalendarAdvance(Calendar,R59,$F$1,"mf",,Trigger)</f>
        <v>42307</v>
      </c>
      <c r="T59" s="169">
        <f>_xll.qlDayCounterYearFraction(DayCounter,R59,S59,,,Trigger)</f>
        <v>0.25555555555555554</v>
      </c>
      <c r="U59" s="181">
        <f>_xll.qlInterpolationInterpolate(B3Minterpolation,R59,TRUE)</f>
        <v>1.1896968444404131E-3</v>
      </c>
      <c r="V59" s="184">
        <f>_xll.qlYieldTSDiscount(Discounting,R59,,AllTriggers)</f>
        <v>1.0002372201387135</v>
      </c>
      <c r="W59" s="184">
        <f>_xll.qlYieldTSDiscount(Discounting,S59,,AllTriggers)</f>
        <v>1.0005551411956288</v>
      </c>
      <c r="X59" s="181">
        <f t="shared" si="4"/>
        <v>-1.2433486842891221E-3</v>
      </c>
      <c r="AC59" s="155"/>
      <c r="AD59" s="155"/>
    </row>
    <row r="60" spans="5:30" ht="11.25" customHeight="1" x14ac:dyDescent="0.2">
      <c r="E60" s="340"/>
      <c r="F60" s="340"/>
      <c r="G60" s="155"/>
      <c r="K60" s="155"/>
      <c r="L60" s="155"/>
      <c r="R60" s="183">
        <f>_xll.qlCalendarAdvance(Calendar,R59,"1D","f")</f>
        <v>42216</v>
      </c>
      <c r="S60" s="183">
        <f>_xll.qlCalendarAdvance(Calendar,R60,$F$1,"mf",,Trigger)</f>
        <v>42307</v>
      </c>
      <c r="T60" s="169">
        <f>_xll.qlDayCounterYearFraction(DayCounter,R60,S60,,,Trigger)</f>
        <v>0.25277777777777777</v>
      </c>
      <c r="U60" s="181">
        <f>_xll.qlInterpolationInterpolate(B3Minterpolation,R60,TRUE)</f>
        <v>1.1903431668266401E-3</v>
      </c>
      <c r="V60" s="184">
        <f>_xll.qlYieldTSDiscount(Discounting,R60,,AllTriggers)</f>
        <v>1.0002406170146487</v>
      </c>
      <c r="W60" s="184">
        <f>_xll.qlYieldTSDiscount(Discounting,S60,,AllTriggers)</f>
        <v>1.0005551411956288</v>
      </c>
      <c r="X60" s="181">
        <f t="shared" si="4"/>
        <v>-1.2435811220851561E-3</v>
      </c>
      <c r="AC60" s="155"/>
      <c r="AD60" s="155"/>
    </row>
    <row r="61" spans="5:30" ht="11.25" customHeight="1" x14ac:dyDescent="0.2">
      <c r="E61" s="340"/>
      <c r="F61" s="340"/>
      <c r="G61" s="155"/>
      <c r="K61" s="155"/>
      <c r="L61" s="155"/>
      <c r="R61" s="183">
        <f>_xll.qlCalendarAdvance(Calendar,R60,"1D","f")</f>
        <v>42219</v>
      </c>
      <c r="S61" s="183">
        <f>_xll.qlCalendarAdvance(Calendar,R61,$F$1,"mf",,Trigger)</f>
        <v>42311</v>
      </c>
      <c r="T61" s="169">
        <f>_xll.qlDayCounterYearFraction(DayCounter,R61,S61,,,Trigger)</f>
        <v>0.25555555555555554</v>
      </c>
      <c r="U61" s="181">
        <f>_xll.qlInterpolationInterpolate(B3Minterpolation,R61,TRUE)</f>
        <v>1.1921221277705943E-3</v>
      </c>
      <c r="V61" s="184">
        <f>_xll.qlYieldTSDiscount(Discounting,R61,,AllTriggers)</f>
        <v>1.0002500267744223</v>
      </c>
      <c r="W61" s="184">
        <f>_xll.qlYieldTSDiscount(Discounting,S61,,AllTriggers)</f>
        <v>1.0005667257609969</v>
      </c>
      <c r="X61" s="181">
        <f t="shared" si="4"/>
        <v>-1.2385549829723563E-3</v>
      </c>
      <c r="AC61" s="155"/>
      <c r="AD61" s="155"/>
    </row>
    <row r="62" spans="5:30" ht="11.25" customHeight="1" x14ac:dyDescent="0.2">
      <c r="E62" s="340"/>
      <c r="F62" s="340"/>
      <c r="G62" s="155"/>
      <c r="K62" s="155"/>
      <c r="L62" s="155"/>
      <c r="R62" s="183">
        <f>_xll.qlCalendarAdvance(Calendar,R61,"1D","f")</f>
        <v>42220</v>
      </c>
      <c r="S62" s="183">
        <f>_xll.qlCalendarAdvance(Calendar,R62,$F$1,"mf",,Trigger)</f>
        <v>42312</v>
      </c>
      <c r="T62" s="169">
        <f>_xll.qlDayCounterYearFraction(DayCounter,R62,S62,,,Trigger)</f>
        <v>0.25555555555555554</v>
      </c>
      <c r="U62" s="181">
        <f>_xll.qlInterpolationInterpolate(B3Minterpolation,R62,TRUE)</f>
        <v>1.1926642373289804E-3</v>
      </c>
      <c r="V62" s="184">
        <f>_xll.qlYieldTSDiscount(Discounting,R62,,AllTriggers)</f>
        <v>1.0002534363109179</v>
      </c>
      <c r="W62" s="184">
        <f>_xll.qlYieldTSDiscount(Discounting,S62,,AllTriggers)</f>
        <v>1.0005703874789305</v>
      </c>
      <c r="X62" s="181">
        <f t="shared" si="4"/>
        <v>-1.2395366847139933E-3</v>
      </c>
      <c r="AC62" s="155"/>
      <c r="AD62" s="155"/>
    </row>
    <row r="63" spans="5:30" ht="11.25" customHeight="1" x14ac:dyDescent="0.2">
      <c r="E63" s="340"/>
      <c r="F63" s="340"/>
      <c r="G63" s="155"/>
      <c r="K63" s="155"/>
      <c r="L63" s="155"/>
      <c r="R63" s="183">
        <f>_xll.qlCalendarAdvance(Calendar,R62,"1D","f")</f>
        <v>42221</v>
      </c>
      <c r="S63" s="183">
        <f>_xll.qlCalendarAdvance(Calendar,R63,$F$1,"mf",,Trigger)</f>
        <v>42313</v>
      </c>
      <c r="T63" s="169">
        <f>_xll.qlDayCounterYearFraction(DayCounter,R63,S63,,,Trigger)</f>
        <v>0.25555555555555554</v>
      </c>
      <c r="U63" s="181">
        <f>_xll.qlInterpolationInterpolate(B3Minterpolation,R63,TRUE)</f>
        <v>1.1931821371668888E-3</v>
      </c>
      <c r="V63" s="184">
        <f>_xll.qlYieldTSDiscount(Discounting,R63,,AllTriggers)</f>
        <v>1.0002568488443824</v>
      </c>
      <c r="W63" s="184">
        <f>_xll.qlYieldTSDiscount(Discounting,S63,,AllTriggers)</f>
        <v>1.0005740554886771</v>
      </c>
      <c r="X63" s="181">
        <f t="shared" si="4"/>
        <v>-1.2405312569416119E-3</v>
      </c>
      <c r="AC63" s="155"/>
      <c r="AD63" s="155"/>
    </row>
    <row r="64" spans="5:30" ht="11.25" customHeight="1" x14ac:dyDescent="0.2">
      <c r="E64" s="340"/>
      <c r="F64" s="340"/>
      <c r="G64" s="155"/>
      <c r="K64" s="155"/>
      <c r="L64" s="155"/>
      <c r="R64" s="183">
        <f>_xll.qlCalendarAdvance(Calendar,R63,"1D","f")</f>
        <v>42222</v>
      </c>
      <c r="S64" s="183">
        <f>_xll.qlCalendarAdvance(Calendar,R64,$F$1,"mf",,Trigger)</f>
        <v>42314</v>
      </c>
      <c r="T64" s="169">
        <f>_xll.qlDayCounterYearFraction(DayCounter,R64,S64,,,Trigger)</f>
        <v>0.25555555555555554</v>
      </c>
      <c r="U64" s="181">
        <f>_xll.qlInterpolationInterpolate(B3Minterpolation,R64,TRUE)</f>
        <v>1.1936765646789131E-3</v>
      </c>
      <c r="V64" s="184">
        <f>_xll.qlYieldTSDiscount(Discounting,R64,,AllTriggers)</f>
        <v>1.0002602643072738</v>
      </c>
      <c r="W64" s="184">
        <f>_xll.qlYieldTSDiscount(Discounting,S64,,AllTriggers)</f>
        <v>1.0005777299040994</v>
      </c>
      <c r="X64" s="181">
        <f t="shared" si="4"/>
        <v>-1.2415394087870954E-3</v>
      </c>
      <c r="AC64" s="155"/>
      <c r="AD64" s="155"/>
    </row>
    <row r="65" spans="5:30" ht="11.25" customHeight="1" x14ac:dyDescent="0.2">
      <c r="E65" s="340"/>
      <c r="F65" s="340"/>
      <c r="G65" s="155"/>
      <c r="K65" s="155"/>
      <c r="L65" s="155"/>
      <c r="R65" s="183">
        <f>_xll.qlCalendarAdvance(Calendar,R64,"1D","f")</f>
        <v>42223</v>
      </c>
      <c r="S65" s="183">
        <f>_xll.qlCalendarAdvance(Calendar,R65,$F$1,"mf",,Trigger)</f>
        <v>42317</v>
      </c>
      <c r="T65" s="169">
        <f>_xll.qlDayCounterYearFraction(DayCounter,R65,S65,,,Trigger)</f>
        <v>0.26111111111111113</v>
      </c>
      <c r="U65" s="181">
        <f>_xll.qlInterpolationInterpolate(B3Minterpolation,R65,TRUE)</f>
        <v>1.194148257259646E-3</v>
      </c>
      <c r="V65" s="184">
        <f>_xll.qlYieldTSDiscount(Discounting,R65,,AllTriggers)</f>
        <v>1.0002636826320486</v>
      </c>
      <c r="W65" s="184">
        <f>_xll.qlYieldTSDiscount(Discounting,S65,,AllTriggers)</f>
        <v>1.0005887927230701</v>
      </c>
      <c r="X65" s="181">
        <f t="shared" si="4"/>
        <v>-1.2443698003693421E-3</v>
      </c>
      <c r="AC65" s="155"/>
      <c r="AD65" s="155"/>
    </row>
    <row r="66" spans="5:30" ht="11.25" customHeight="1" x14ac:dyDescent="0.2">
      <c r="E66" s="340"/>
      <c r="F66" s="340"/>
      <c r="G66" s="155"/>
      <c r="K66" s="155"/>
      <c r="L66" s="155"/>
      <c r="R66" s="183">
        <f>_xll.qlCalendarAdvance(Calendar,R65,"1D","f")</f>
        <v>42226</v>
      </c>
      <c r="S66" s="183">
        <f>_xll.qlCalendarAdvance(Calendar,R66,$F$1,"mf",,Trigger)</f>
        <v>42318</v>
      </c>
      <c r="T66" s="169">
        <f>_xll.qlDayCounterYearFraction(DayCounter,R66,S66,,,Trigger)</f>
        <v>0.25555555555555554</v>
      </c>
      <c r="U66" s="181">
        <f>_xll.qlInterpolationInterpolate(B3Minterpolation,R66,TRUE)</f>
        <v>1.1954342993600281E-3</v>
      </c>
      <c r="V66" s="184">
        <f>_xll.qlYieldTSDiscount(Discounting,R66,,AllTriggers)</f>
        <v>1.0002739541022323</v>
      </c>
      <c r="W66" s="184">
        <f>_xll.qlYieldTSDiscount(Discounting,S66,,AllTriggers)</f>
        <v>1.0005924938998549</v>
      </c>
      <c r="X66" s="181">
        <f t="shared" si="4"/>
        <v>-1.2457219949710155E-3</v>
      </c>
      <c r="AC66" s="155"/>
      <c r="AD66" s="155"/>
    </row>
    <row r="67" spans="5:30" ht="11.25" customHeight="1" x14ac:dyDescent="0.2">
      <c r="E67" s="340"/>
      <c r="F67" s="340"/>
      <c r="G67" s="155"/>
      <c r="K67" s="155"/>
      <c r="L67" s="155"/>
      <c r="R67" s="183">
        <f>_xll.qlCalendarAdvance(Calendar,R66,"1D","f")</f>
        <v>42227</v>
      </c>
      <c r="S67" s="183">
        <f>_xll.qlCalendarAdvance(Calendar,R67,$F$1,"mf",,Trigger)</f>
        <v>42319</v>
      </c>
      <c r="T67" s="169">
        <f>_xll.qlDayCounterYearFraction(DayCounter,R67,S67,,,Trigger)</f>
        <v>0.25555555555555554</v>
      </c>
      <c r="U67" s="181">
        <f>_xll.qlInterpolationInterpolate(B3Minterpolation,R67,TRUE)</f>
        <v>1.1958224261615269E-3</v>
      </c>
      <c r="V67" s="184">
        <f>_xll.qlYieldTSDiscount(Discounting,R67,,AllTriggers)</f>
        <v>1.0002773831990941</v>
      </c>
      <c r="W67" s="184">
        <f>_xll.qlYieldTSDiscount(Discounting,S67,,AllTriggers)</f>
        <v>1.0005962020516546</v>
      </c>
      <c r="X67" s="181">
        <f t="shared" si="4"/>
        <v>-1.2468086818640946E-3</v>
      </c>
      <c r="AC67" s="155"/>
      <c r="AD67" s="155"/>
    </row>
    <row r="68" spans="5:30" ht="11.25" customHeight="1" x14ac:dyDescent="0.2">
      <c r="E68" s="340"/>
      <c r="F68" s="340"/>
      <c r="G68" s="155"/>
      <c r="K68" s="155"/>
      <c r="L68" s="155"/>
      <c r="R68" s="183">
        <f>_xll.qlCalendarAdvance(Calendar,R67,"1D","f")</f>
        <v>42228</v>
      </c>
      <c r="S68" s="183">
        <f>_xll.qlCalendarAdvance(Calendar,R68,$F$1,"mf",,Trigger)</f>
        <v>42320</v>
      </c>
      <c r="T68" s="169">
        <f>_xll.qlDayCounterYearFraction(DayCounter,R68,S68,,,Trigger)</f>
        <v>0.25555555555555554</v>
      </c>
      <c r="U68" s="181">
        <f>_xll.qlInterpolationInterpolate(B3Minterpolation,R68,TRUE)</f>
        <v>1.1961915050047E-3</v>
      </c>
      <c r="V68" s="184">
        <f>_xll.qlYieldTSDiscount(Discounting,R68,,AllTriggers)</f>
        <v>1.0002808148201112</v>
      </c>
      <c r="W68" s="184">
        <f>_xll.qlYieldTSDiscount(Discounting,S68,,AllTriggers)</f>
        <v>1.0005999172923425</v>
      </c>
      <c r="X68" s="181">
        <f t="shared" ref="X68:X131" si="8">(V68/W68-1)/T68</f>
        <v>-1.2479132031520039E-3</v>
      </c>
      <c r="AC68" s="155"/>
      <c r="AD68" s="155"/>
    </row>
    <row r="69" spans="5:30" ht="11.25" customHeight="1" x14ac:dyDescent="0.2">
      <c r="E69" s="340"/>
      <c r="F69" s="340"/>
      <c r="G69" s="155"/>
      <c r="K69" s="155"/>
      <c r="L69" s="155"/>
      <c r="R69" s="183">
        <f>_xll.qlCalendarAdvance(Calendar,R68,"1D","f")</f>
        <v>42229</v>
      </c>
      <c r="S69" s="183">
        <f>_xll.qlCalendarAdvance(Calendar,R69,$F$1,"mf",,Trigger)</f>
        <v>42321</v>
      </c>
      <c r="T69" s="169">
        <f>_xll.qlDayCounterYearFraction(DayCounter,R69,S69,,,Trigger)</f>
        <v>0.25555555555555554</v>
      </c>
      <c r="U69" s="181">
        <f>_xll.qlInterpolationInterpolate(B3Minterpolation,R69,TRUE)</f>
        <v>1.1965422732841404E-3</v>
      </c>
      <c r="V69" s="184">
        <f>_xll.qlYieldTSDiscount(Discounting,R69,,AllTriggers)</f>
        <v>1.0002842488977353</v>
      </c>
      <c r="W69" s="184">
        <f>_xll.qlYieldTSDiscount(Discounting,S69,,AllTriggers)</f>
        <v>1.0006036397357938</v>
      </c>
      <c r="X69" s="181">
        <f t="shared" si="8"/>
        <v>-1.2490362679583734E-3</v>
      </c>
      <c r="AC69" s="155"/>
      <c r="AD69" s="155"/>
    </row>
    <row r="70" spans="5:30" ht="11.25" customHeight="1" x14ac:dyDescent="0.2">
      <c r="E70" s="340"/>
      <c r="F70" s="340"/>
      <c r="G70" s="155"/>
      <c r="K70" s="155"/>
      <c r="L70" s="155"/>
      <c r="R70" s="183">
        <f>_xll.qlCalendarAdvance(Calendar,R69,"1D","f")</f>
        <v>42230</v>
      </c>
      <c r="S70" s="183">
        <f>_xll.qlCalendarAdvance(Calendar,R70,$F$1,"mf",,Trigger)</f>
        <v>42324</v>
      </c>
      <c r="T70" s="169">
        <f>_xll.qlDayCounterYearFraction(DayCounter,R70,S70,,,Trigger)</f>
        <v>0.26111111111111113</v>
      </c>
      <c r="U70" s="181">
        <f>_xll.qlInterpolationInterpolate(B3Minterpolation,R70,TRUE)</f>
        <v>1.1968754683944413E-3</v>
      </c>
      <c r="V70" s="184">
        <f>_xll.qlYieldTSDiscount(Discounting,R70,,AllTriggers)</f>
        <v>1.0002876853644167</v>
      </c>
      <c r="W70" s="184">
        <f>_xll.qlYieldTSDiscount(Discounting,S70,,AllTriggers)</f>
        <v>1.0006148514215074</v>
      </c>
      <c r="X70" s="181">
        <f t="shared" si="8"/>
        <v>-1.2522064679310288E-3</v>
      </c>
      <c r="AC70" s="155"/>
      <c r="AD70" s="155"/>
    </row>
    <row r="71" spans="5:30" ht="11.25" customHeight="1" x14ac:dyDescent="0.2">
      <c r="E71" s="340"/>
      <c r="F71" s="340"/>
      <c r="G71" s="155"/>
      <c r="K71" s="155"/>
      <c r="L71" s="155"/>
      <c r="R71" s="183">
        <f>_xll.qlCalendarAdvance(Calendar,R70,"1D","f")</f>
        <v>42233</v>
      </c>
      <c r="S71" s="183">
        <f>_xll.qlCalendarAdvance(Calendar,R71,$F$1,"mf",,Trigger)</f>
        <v>42325</v>
      </c>
      <c r="T71" s="169">
        <f>_xll.qlDayCounterYearFraction(DayCounter,R71,S71,,,Trigger)</f>
        <v>0.25555555555555554</v>
      </c>
      <c r="U71" s="181">
        <f>_xll.qlInterpolationInterpolate(B3Minterpolation,R71,TRUE)</f>
        <v>1.1977769886564378E-3</v>
      </c>
      <c r="V71" s="184">
        <f>_xll.qlYieldTSDiscount(Discounting,R71,,AllTriggers)</f>
        <v>1.0002980084232997</v>
      </c>
      <c r="W71" s="184">
        <f>_xll.qlYieldTSDiscount(Discounting,S71,,AllTriggers)</f>
        <v>1.0006186038148013</v>
      </c>
      <c r="X71" s="181">
        <f t="shared" si="8"/>
        <v>-1.253728144862325E-3</v>
      </c>
      <c r="AC71" s="155"/>
      <c r="AD71" s="155"/>
    </row>
    <row r="72" spans="5:30" ht="11.25" customHeight="1" x14ac:dyDescent="0.2">
      <c r="E72" s="340"/>
      <c r="F72" s="340"/>
      <c r="G72" s="155"/>
      <c r="K72" s="155"/>
      <c r="L72" s="155"/>
      <c r="R72" s="183">
        <f>_xll.qlCalendarAdvance(Calendar,R71,"1D","f")</f>
        <v>42234</v>
      </c>
      <c r="S72" s="183">
        <f>_xll.qlCalendarAdvance(Calendar,R72,$F$1,"mf",,Trigger)</f>
        <v>42326</v>
      </c>
      <c r="T72" s="169">
        <f>_xll.qlDayCounterYearFraction(DayCounter,R72,S72,,,Trigger)</f>
        <v>0.25555555555555554</v>
      </c>
      <c r="U72" s="181">
        <f>_xll.qlInterpolationInterpolate(B3Minterpolation,R72,TRUE)</f>
        <v>1.1980472650361116E-3</v>
      </c>
      <c r="V72" s="184">
        <f>_xll.qlYieldTSDiscount(Discounting,R72,,AllTriggers)</f>
        <v>1.0003014537707</v>
      </c>
      <c r="W72" s="184">
        <f>_xll.qlYieldTSDiscount(Discounting,S72,,AllTriggers)</f>
        <v>1.0006223639802621</v>
      </c>
      <c r="X72" s="181">
        <f t="shared" si="8"/>
        <v>-1.2549545641163033E-3</v>
      </c>
      <c r="AC72" s="155"/>
      <c r="AD72" s="155"/>
    </row>
    <row r="73" spans="5:30" ht="11.25" customHeight="1" x14ac:dyDescent="0.2">
      <c r="E73" s="340"/>
      <c r="F73" s="340"/>
      <c r="G73" s="155"/>
      <c r="K73" s="155"/>
      <c r="L73" s="155"/>
      <c r="R73" s="183">
        <f>_xll.qlCalendarAdvance(Calendar,R72,"1D","f")</f>
        <v>42235</v>
      </c>
      <c r="S73" s="183">
        <f>_xll.qlCalendarAdvance(Calendar,R73,$F$1,"mf",,Trigger)</f>
        <v>42327</v>
      </c>
      <c r="T73" s="169">
        <f>_xll.qlDayCounterYearFraction(DayCounter,R73,S73,,,Trigger)</f>
        <v>0.25555555555555554</v>
      </c>
      <c r="U73" s="181">
        <f>_xll.qlInterpolationInterpolate(B3Minterpolation,R73,TRUE)</f>
        <v>1.1983036552196112E-3</v>
      </c>
      <c r="V73" s="184">
        <f>_xll.qlYieldTSDiscount(Discounting,R73,,AllTriggers)</f>
        <v>1.0003049011693979</v>
      </c>
      <c r="W73" s="184">
        <f>_xll.qlYieldTSDiscount(Discounting,S73,,AllTriggers)</f>
        <v>1.0006261320317766</v>
      </c>
      <c r="X73" s="181">
        <f t="shared" si="8"/>
        <v>-1.256203781621395E-3</v>
      </c>
      <c r="AC73" s="155"/>
      <c r="AD73" s="155"/>
    </row>
    <row r="74" spans="5:30" ht="11.25" customHeight="1" x14ac:dyDescent="0.2">
      <c r="E74" s="340"/>
      <c r="F74" s="340"/>
      <c r="G74" s="155"/>
      <c r="K74" s="155"/>
      <c r="L74" s="155"/>
      <c r="R74" s="183">
        <f>_xll.qlCalendarAdvance(Calendar,R73,"1D","f")</f>
        <v>42236</v>
      </c>
      <c r="S74" s="183">
        <f>_xll.qlCalendarAdvance(Calendar,R74,$F$1,"mf",,Trigger)</f>
        <v>42328</v>
      </c>
      <c r="T74" s="169">
        <f>_xll.qlDayCounterYearFraction(DayCounter,R74,S74,,,Trigger)</f>
        <v>0.25555555555555554</v>
      </c>
      <c r="U74" s="181">
        <f>_xll.qlInterpolationInterpolate(B3Minterpolation,R74,TRUE)</f>
        <v>1.19854689660153E-3</v>
      </c>
      <c r="V74" s="184">
        <f>_xll.qlYieldTSDiscount(Discounting,R74,,AllTriggers)</f>
        <v>1.0003083505518378</v>
      </c>
      <c r="W74" s="184">
        <f>_xll.qlYieldTSDiscount(Discounting,S74,,AllTriggers)</f>
        <v>1.0006299080832328</v>
      </c>
      <c r="X74" s="181">
        <f t="shared" si="8"/>
        <v>-1.2574765064951468E-3</v>
      </c>
      <c r="AC74" s="155"/>
      <c r="AD74" s="155"/>
    </row>
    <row r="75" spans="5:30" ht="11.25" customHeight="1" x14ac:dyDescent="0.2">
      <c r="E75" s="340"/>
      <c r="F75" s="340"/>
      <c r="G75" s="155"/>
      <c r="K75" s="155"/>
      <c r="L75" s="155"/>
      <c r="R75" s="183">
        <f>_xll.qlCalendarAdvance(Calendar,R74,"1D","f")</f>
        <v>42237</v>
      </c>
      <c r="S75" s="183">
        <f>_xll.qlCalendarAdvance(Calendar,R75,$F$1,"mf",,Trigger)</f>
        <v>42331</v>
      </c>
      <c r="T75" s="169">
        <f>_xll.qlDayCounterYearFraction(DayCounter,R75,S75,,,Trigger)</f>
        <v>0.26111111111111113</v>
      </c>
      <c r="U75" s="181">
        <f>_xll.qlInterpolationInterpolate(B3Minterpolation,R75,TRUE)</f>
        <v>1.1987777265764609E-3</v>
      </c>
      <c r="V75" s="184">
        <f>_xll.qlYieldTSDiscount(Discounting,R75,,AllTriggers)</f>
        <v>1.0003118018504646</v>
      </c>
      <c r="W75" s="184">
        <f>_xll.qlYieldTSDiscount(Discounting,S75,,AllTriggers)</f>
        <v>1.0006412853761648</v>
      </c>
      <c r="X75" s="181">
        <f t="shared" si="8"/>
        <v>-1.2610431120474678E-3</v>
      </c>
      <c r="AC75" s="155"/>
      <c r="AD75" s="155"/>
    </row>
    <row r="76" spans="5:30" ht="11.25" customHeight="1" x14ac:dyDescent="0.2">
      <c r="E76" s="340"/>
      <c r="F76" s="340"/>
      <c r="G76" s="155"/>
      <c r="K76" s="155"/>
      <c r="L76" s="155"/>
      <c r="R76" s="183">
        <f>_xll.qlCalendarAdvance(Calendar,R75,"1D","f")</f>
        <v>42240</v>
      </c>
      <c r="S76" s="183">
        <f>_xll.qlCalendarAdvance(Calendar,R76,$F$1,"mf",,Trigger)</f>
        <v>42332</v>
      </c>
      <c r="T76" s="169">
        <f>_xll.qlDayCounterYearFraction(DayCounter,R76,S76,,,Trigger)</f>
        <v>0.25555555555555554</v>
      </c>
      <c r="U76" s="181">
        <f>_xll.qlInterpolationInterpolate(B3Minterpolation,R76,TRUE)</f>
        <v>1.199403122005258E-3</v>
      </c>
      <c r="V76" s="184">
        <f>_xll.qlYieldTSDiscount(Discounting,R76,,AllTriggers)</f>
        <v>1.0003221665678945</v>
      </c>
      <c r="W76" s="184">
        <f>_xll.qlYieldTSDiscount(Discounting,S76,,AllTriggers)</f>
        <v>1.0006450945663097</v>
      </c>
      <c r="X76" s="181">
        <f t="shared" si="8"/>
        <v>-1.2628166619794809E-3</v>
      </c>
      <c r="AC76" s="155"/>
      <c r="AD76" s="155"/>
    </row>
    <row r="77" spans="5:30" ht="11.25" customHeight="1" x14ac:dyDescent="0.2">
      <c r="E77" s="340"/>
      <c r="F77" s="340"/>
      <c r="G77" s="155"/>
      <c r="K77" s="155"/>
      <c r="L77" s="155"/>
      <c r="R77" s="183">
        <f>_xll.qlCalendarAdvance(Calendar,R76,"1D","f")</f>
        <v>42241</v>
      </c>
      <c r="S77" s="183">
        <f>_xll.qlCalendarAdvance(Calendar,R77,$F$1,"mf",,Trigger)</f>
        <v>42333</v>
      </c>
      <c r="T77" s="169">
        <f>_xll.qlDayCounterYearFraction(DayCounter,R77,S77,,,Trigger)</f>
        <v>0.25555555555555554</v>
      </c>
      <c r="U77" s="181">
        <f>_xll.qlInterpolationInterpolate(B3Minterpolation,R77,TRUE)</f>
        <v>1.1995916802981688E-3</v>
      </c>
      <c r="V77" s="184">
        <f>_xll.qlYieldTSDiscount(Discounting,R77,,AllTriggers)</f>
        <v>1.0003256248556927</v>
      </c>
      <c r="W77" s="184">
        <f>_xll.qlYieldTSDiscount(Discounting,S77,,AllTriggers)</f>
        <v>1.0006489123258671</v>
      </c>
      <c r="X77" s="181">
        <f t="shared" si="8"/>
        <v>-1.264217560411956E-3</v>
      </c>
      <c r="AC77" s="155"/>
      <c r="AD77" s="155"/>
    </row>
    <row r="78" spans="5:30" ht="11.25" customHeight="1" x14ac:dyDescent="0.2">
      <c r="E78" s="340"/>
      <c r="F78" s="340"/>
      <c r="G78" s="155"/>
      <c r="K78" s="155"/>
      <c r="L78" s="155"/>
      <c r="R78" s="183">
        <f>_xll.qlCalendarAdvance(Calendar,R77,"1D","f")</f>
        <v>42242</v>
      </c>
      <c r="S78" s="183">
        <f>_xll.qlCalendarAdvance(Calendar,R78,$F$1,"mf",,Trigger)</f>
        <v>42334</v>
      </c>
      <c r="T78" s="169">
        <f>_xll.qlDayCounterYearFraction(DayCounter,R78,S78,,,Trigger)</f>
        <v>0.25555555555555554</v>
      </c>
      <c r="U78" s="181">
        <f>_xll.qlInterpolationInterpolate(B3Minterpolation,R78,TRUE)</f>
        <v>1.1997715141570571E-3</v>
      </c>
      <c r="V78" s="184">
        <f>_xll.qlYieldTSDiscount(Discounting,R78,,AllTriggers)</f>
        <v>1.0003290847218851</v>
      </c>
      <c r="W78" s="184">
        <f>_xll.qlYieldTSDiscount(Discounting,S78,,AllTriggers)</f>
        <v>1.0006527387687358</v>
      </c>
      <c r="X78" s="181">
        <f t="shared" si="8"/>
        <v>-1.2656462208862267E-3</v>
      </c>
      <c r="AC78" s="155"/>
      <c r="AD78" s="155"/>
    </row>
    <row r="79" spans="5:30" ht="11.25" customHeight="1" x14ac:dyDescent="0.2">
      <c r="E79" s="340"/>
      <c r="F79" s="340"/>
      <c r="G79" s="155"/>
      <c r="K79" s="155"/>
      <c r="L79" s="155"/>
      <c r="R79" s="183">
        <f>_xll.qlCalendarAdvance(Calendar,R78,"1D","f")</f>
        <v>42243</v>
      </c>
      <c r="S79" s="183">
        <f>_xll.qlCalendarAdvance(Calendar,R79,$F$1,"mf",,Trigger)</f>
        <v>42335</v>
      </c>
      <c r="T79" s="169">
        <f>_xll.qlDayCounterYearFraction(DayCounter,R79,S79,,,Trigger)</f>
        <v>0.25555555555555554</v>
      </c>
      <c r="U79" s="181">
        <f>_xll.qlInterpolationInterpolate(B3Minterpolation,R79,TRUE)</f>
        <v>1.1999433609765164E-3</v>
      </c>
      <c r="V79" s="184">
        <f>_xll.qlYieldTSDiscount(Discounting,R79,,AllTriggers)</f>
        <v>1.0003325460989105</v>
      </c>
      <c r="W79" s="184">
        <f>_xll.qlYieldTSDiscount(Discounting,S79,,AllTriggers)</f>
        <v>1.0006565740088189</v>
      </c>
      <c r="X79" s="181">
        <f t="shared" si="8"/>
        <v>-1.2671033525137587E-3</v>
      </c>
      <c r="AC79" s="155"/>
      <c r="AD79" s="155"/>
    </row>
    <row r="80" spans="5:30" ht="11.25" customHeight="1" x14ac:dyDescent="0.2">
      <c r="E80" s="340"/>
      <c r="F80" s="340"/>
      <c r="G80" s="155"/>
      <c r="K80" s="155"/>
      <c r="L80" s="155"/>
      <c r="R80" s="183">
        <f>_xll.qlCalendarAdvance(Calendar,R79,"1D","f")</f>
        <v>42244</v>
      </c>
      <c r="S80" s="183">
        <f>_xll.qlCalendarAdvance(Calendar,R80,$F$1,"mf",,Trigger)</f>
        <v>42338</v>
      </c>
      <c r="T80" s="169">
        <f>_xll.qlDayCounterYearFraction(DayCounter,R80,S80,,,Trigger)</f>
        <v>0.26111111111111113</v>
      </c>
      <c r="U80" s="181">
        <f>_xll.qlInterpolationInterpolate(B3Minterpolation,R80,TRUE)</f>
        <v>1.2001079581511395E-3</v>
      </c>
      <c r="V80" s="184">
        <f>_xll.qlYieldTSDiscount(Discounting,R80,,AllTriggers)</f>
        <v>1.0003360089192068</v>
      </c>
      <c r="W80" s="184">
        <f>_xll.qlYieldTSDiscount(Discounting,S80,,AllTriggers)</f>
        <v>1.0006681336513989</v>
      </c>
      <c r="X80" s="181">
        <f t="shared" si="8"/>
        <v>-1.2711177828935503E-3</v>
      </c>
      <c r="AC80" s="155"/>
      <c r="AD80" s="155"/>
    </row>
    <row r="81" spans="5:30" ht="11.25" customHeight="1" x14ac:dyDescent="0.2">
      <c r="E81" s="340"/>
      <c r="F81" s="340"/>
      <c r="G81" s="155"/>
      <c r="K81" s="155"/>
      <c r="L81" s="155"/>
      <c r="R81" s="183">
        <f>_xll.qlCalendarAdvance(Calendar,R80,"1D","f")</f>
        <v>42247</v>
      </c>
      <c r="S81" s="183">
        <f>_xll.qlCalendarAdvance(Calendar,R81,$F$1,"mf",,Trigger)</f>
        <v>42338</v>
      </c>
      <c r="T81" s="169">
        <f>_xll.qlDayCounterYearFraction(DayCounter,R81,S81,,,Trigger)</f>
        <v>0.25277777777777777</v>
      </c>
      <c r="U81" s="181">
        <f>_xll.qlInterpolationInterpolate(B3Minterpolation,R81,TRUE)</f>
        <v>1.2005656257519236E-3</v>
      </c>
      <c r="V81" s="184">
        <f>_xll.qlYieldTSDiscount(Discounting,R81,,AllTriggers)</f>
        <v>1.0003464053640847</v>
      </c>
      <c r="W81" s="184">
        <f>_xll.qlYieldTSDiscount(Discounting,S81,,AllTriggers)</f>
        <v>1.0006681336513989</v>
      </c>
      <c r="X81" s="181">
        <f t="shared" si="8"/>
        <v>-1.2719214330064793E-3</v>
      </c>
      <c r="AC81" s="155"/>
      <c r="AD81" s="155"/>
    </row>
    <row r="82" spans="5:30" ht="11.25" customHeight="1" x14ac:dyDescent="0.2">
      <c r="E82" s="340"/>
      <c r="F82" s="340"/>
      <c r="G82" s="155"/>
      <c r="K82" s="155"/>
      <c r="L82" s="155"/>
      <c r="R82" s="183">
        <f>_xll.qlCalendarAdvance(Calendar,R81,"1D","f")</f>
        <v>42248</v>
      </c>
      <c r="S82" s="183">
        <f>_xll.qlCalendarAdvance(Calendar,R82,$F$1,"mf",,Trigger)</f>
        <v>42339</v>
      </c>
      <c r="T82" s="169">
        <f>_xll.qlDayCounterYearFraction(DayCounter,R82,S82,,,Trigger)</f>
        <v>0.25277777777777777</v>
      </c>
      <c r="U82" s="181">
        <f>_xll.qlInterpolationInterpolate(B3Minterpolation,R82,TRUE)</f>
        <v>1.2007085982931333E-3</v>
      </c>
      <c r="V82" s="184">
        <f>_xll.qlYieldTSDiscount(Discounting,R82,,AllTriggers)</f>
        <v>1.0003498732818237</v>
      </c>
      <c r="W82" s="184">
        <f>_xll.qlYieldTSDiscount(Discounting,S82,,AllTriggers)</f>
        <v>1.000666001187364</v>
      </c>
      <c r="X82" s="181">
        <f t="shared" si="8"/>
        <v>-1.2497835327330952E-3</v>
      </c>
      <c r="AC82" s="155"/>
      <c r="AD82" s="155"/>
    </row>
    <row r="83" spans="5:30" ht="11.25" customHeight="1" x14ac:dyDescent="0.2">
      <c r="E83" s="340"/>
      <c r="F83" s="340"/>
      <c r="G83" s="155"/>
      <c r="K83" s="155"/>
      <c r="L83" s="155"/>
      <c r="R83" s="183">
        <f>_xll.qlCalendarAdvance(Calendar,R82,"1D","f")</f>
        <v>42249</v>
      </c>
      <c r="S83" s="183">
        <f>_xll.qlCalendarAdvance(Calendar,R83,$F$1,"mf",,Trigger)</f>
        <v>42340</v>
      </c>
      <c r="T83" s="169">
        <f>_xll.qlDayCounterYearFraction(DayCounter,R83,S83,,,Trigger)</f>
        <v>0.25277777777777777</v>
      </c>
      <c r="U83" s="181">
        <f>_xll.qlInterpolationInterpolate(B3Minterpolation,R83,TRUE)</f>
        <v>1.2008480081624727E-3</v>
      </c>
      <c r="V83" s="184">
        <f>_xll.qlYieldTSDiscount(Discounting,R83,,AllTriggers)</f>
        <v>1.0003533423050084</v>
      </c>
      <c r="W83" s="184">
        <f>_xll.qlYieldTSDiscount(Discounting,S83,,AllTriggers)</f>
        <v>1.0006698820988276</v>
      </c>
      <c r="X83" s="181">
        <f t="shared" si="8"/>
        <v>-1.2514070430092016E-3</v>
      </c>
      <c r="AC83" s="155"/>
      <c r="AD83" s="155"/>
    </row>
    <row r="84" spans="5:30" ht="11.25" customHeight="1" x14ac:dyDescent="0.2">
      <c r="E84" s="340"/>
      <c r="F84" s="340"/>
      <c r="G84" s="155"/>
      <c r="K84" s="155"/>
      <c r="L84" s="155"/>
      <c r="R84" s="183">
        <f>_xll.qlCalendarAdvance(Calendar,R83,"1D","f")</f>
        <v>42250</v>
      </c>
      <c r="S84" s="183">
        <f>_xll.qlCalendarAdvance(Calendar,R84,$F$1,"mf",,Trigger)</f>
        <v>42341</v>
      </c>
      <c r="T84" s="169">
        <f>_xll.qlDayCounterYearFraction(DayCounter,R84,S84,,,Trigger)</f>
        <v>0.25277777777777777</v>
      </c>
      <c r="U84" s="181">
        <f>_xll.qlInterpolationInterpolate(B3Minterpolation,R84,TRUE)</f>
        <v>1.2009845927545345E-3</v>
      </c>
      <c r="V84" s="184">
        <f>_xll.qlYieldTSDiscount(Discounting,R84,,AllTriggers)</f>
        <v>1.0003568123660713</v>
      </c>
      <c r="W84" s="184">
        <f>_xll.qlYieldTSDiscount(Discounting,S84,,AllTriggers)</f>
        <v>1.0006737724909009</v>
      </c>
      <c r="X84" s="181">
        <f t="shared" si="8"/>
        <v>-1.2530639061499541E-3</v>
      </c>
      <c r="AC84" s="155"/>
      <c r="AD84" s="155"/>
    </row>
    <row r="85" spans="5:30" ht="11.25" customHeight="1" x14ac:dyDescent="0.2">
      <c r="E85" s="340"/>
      <c r="F85" s="340"/>
      <c r="G85" s="155"/>
      <c r="K85" s="155"/>
      <c r="L85" s="155"/>
      <c r="R85" s="183">
        <f>_xll.qlCalendarAdvance(Calendar,R84,"1D","f")</f>
        <v>42251</v>
      </c>
      <c r="S85" s="183">
        <f>_xll.qlCalendarAdvance(Calendar,R85,$F$1,"mf",,Trigger)</f>
        <v>42342</v>
      </c>
      <c r="T85" s="169">
        <f>_xll.qlDayCounterYearFraction(DayCounter,R85,S85,,,Trigger)</f>
        <v>0.25277777777777777</v>
      </c>
      <c r="U85" s="181">
        <f>_xll.qlInterpolationInterpolate(B3Minterpolation,R85,TRUE)</f>
        <v>1.201119089463912E-3</v>
      </c>
      <c r="V85" s="184">
        <f>_xll.qlYieldTSDiscount(Discounting,R85,,AllTriggers)</f>
        <v>1.0003602833974437</v>
      </c>
      <c r="W85" s="184">
        <f>_xll.qlYieldTSDiscount(Discounting,S85,,AllTriggers)</f>
        <v>1.0006776724774993</v>
      </c>
      <c r="X85" s="181">
        <f t="shared" si="8"/>
        <v>-1.2547548390478321E-3</v>
      </c>
      <c r="AC85" s="155"/>
      <c r="AD85" s="155"/>
    </row>
    <row r="86" spans="5:30" ht="11.25" customHeight="1" x14ac:dyDescent="0.2">
      <c r="E86" s="340"/>
      <c r="F86" s="340"/>
      <c r="G86" s="155"/>
      <c r="K86" s="155"/>
      <c r="L86" s="155"/>
      <c r="R86" s="183">
        <f>_xll.qlCalendarAdvance(Calendar,R85,"1D","f")</f>
        <v>42254</v>
      </c>
      <c r="S86" s="183">
        <f>_xll.qlCalendarAdvance(Calendar,R86,$F$1,"mf",,Trigger)</f>
        <v>42345</v>
      </c>
      <c r="T86" s="169">
        <f>_xll.qlDayCounterYearFraction(DayCounter,R86,S86,,,Trigger)</f>
        <v>0.25277777777777777</v>
      </c>
      <c r="U86" s="181">
        <f>_xll.qlInterpolationInterpolate(B3Minterpolation,R86,TRUE)</f>
        <v>1.2015174262418693E-3</v>
      </c>
      <c r="V86" s="184">
        <f>_xll.qlYieldTSDiscount(Discounting,R86,,AllTriggers)</f>
        <v>1.0003707016377152</v>
      </c>
      <c r="W86" s="184">
        <f>_xll.qlYieldTSDiscount(Discounting,S86,,AllTriggers)</f>
        <v>1.0006894311436276</v>
      </c>
      <c r="X86" s="181">
        <f t="shared" si="8"/>
        <v>-1.2600392251936401E-3</v>
      </c>
      <c r="AC86" s="155"/>
      <c r="AD86" s="155"/>
    </row>
    <row r="87" spans="5:30" ht="11.25" customHeight="1" x14ac:dyDescent="0.2">
      <c r="E87" s="340"/>
      <c r="F87" s="340"/>
      <c r="G87" s="155"/>
      <c r="K87" s="155"/>
      <c r="L87" s="155"/>
      <c r="R87" s="183">
        <f>_xll.qlCalendarAdvance(Calendar,R86,"1D","f")</f>
        <v>42255</v>
      </c>
      <c r="S87" s="183">
        <f>_xll.qlCalendarAdvance(Calendar,R87,$F$1,"mf",,Trigger)</f>
        <v>42346</v>
      </c>
      <c r="T87" s="169">
        <f>_xll.qlDayCounterYearFraction(DayCounter,R87,S87,,,Trigger)</f>
        <v>0.25277777777777777</v>
      </c>
      <c r="U87" s="181">
        <f>_xll.qlInterpolationInterpolate(B3Minterpolation,R87,TRUE)</f>
        <v>1.2016509453664404E-3</v>
      </c>
      <c r="V87" s="184">
        <f>_xll.qlYieldTSDiscount(Discounting,R87,,AllTriggers)</f>
        <v>1.000374175874619</v>
      </c>
      <c r="W87" s="184">
        <f>_xll.qlYieldTSDiscount(Discounting,S87,,AllTriggers)</f>
        <v>1.0006933706475194</v>
      </c>
      <c r="X87" s="181">
        <f t="shared" si="8"/>
        <v>-1.2618736060145085E-3</v>
      </c>
      <c r="AC87" s="155"/>
      <c r="AD87" s="155"/>
    </row>
    <row r="88" spans="5:30" ht="11.25" customHeight="1" x14ac:dyDescent="0.2">
      <c r="E88" s="340"/>
      <c r="F88" s="340"/>
      <c r="G88" s="155"/>
      <c r="K88" s="155"/>
      <c r="L88" s="155"/>
      <c r="R88" s="183">
        <f>_xll.qlCalendarAdvance(Calendar,R87,"1D","f")</f>
        <v>42256</v>
      </c>
      <c r="S88" s="183">
        <f>_xll.qlCalendarAdvance(Calendar,R88,$F$1,"mf",,Trigger)</f>
        <v>42347</v>
      </c>
      <c r="T88" s="169">
        <f>_xll.qlDayCounterYearFraction(DayCounter,R88,S88,,,Trigger)</f>
        <v>0.25277777777777777</v>
      </c>
      <c r="U88" s="181">
        <f>_xll.qlInterpolationInterpolate(B3Minterpolation,R88,TRUE)</f>
        <v>1.2017860635812926E-3</v>
      </c>
      <c r="V88" s="184">
        <f>_xll.qlYieldTSDiscount(Discounting,R88,,AllTriggers)</f>
        <v>1.0003776507439746</v>
      </c>
      <c r="W88" s="184">
        <f>_xll.qlYieldTSDiscount(Discounting,S88,,AllTriggers)</f>
        <v>1.0006973203155429</v>
      </c>
      <c r="X88" s="181">
        <f t="shared" si="8"/>
        <v>-1.2637456410250333E-3</v>
      </c>
      <c r="AC88" s="155"/>
      <c r="AD88" s="155"/>
    </row>
    <row r="89" spans="5:30" ht="11.25" customHeight="1" x14ac:dyDescent="0.2">
      <c r="E89" s="340"/>
      <c r="F89" s="340"/>
      <c r="G89" s="155"/>
      <c r="K89" s="155"/>
      <c r="L89" s="155"/>
      <c r="R89" s="183">
        <f>_xll.qlCalendarAdvance(Calendar,R88,"1D","f")</f>
        <v>42257</v>
      </c>
      <c r="S89" s="183">
        <f>_xll.qlCalendarAdvance(Calendar,R89,$F$1,"mf",,Trigger)</f>
        <v>42348</v>
      </c>
      <c r="T89" s="169">
        <f>_xll.qlDayCounterYearFraction(DayCounter,R89,S89,,,Trigger)</f>
        <v>0.25277777777777777</v>
      </c>
      <c r="U89" s="181">
        <f>_xll.qlInterpolationInterpolate(B3Minterpolation,R89,TRUE)</f>
        <v>1.2019235182810192E-3</v>
      </c>
      <c r="V89" s="184">
        <f>_xll.qlYieldTSDiscount(Discounting,R89,,AllTriggers)</f>
        <v>1.000381126206233</v>
      </c>
      <c r="W89" s="184">
        <f>_xll.qlYieldTSDiscount(Discounting,S89,,AllTriggers)</f>
        <v>1.0007012801968453</v>
      </c>
      <c r="X89" s="181">
        <f t="shared" si="8"/>
        <v>-1.2656556803007876E-3</v>
      </c>
      <c r="AC89" s="155"/>
      <c r="AD89" s="155"/>
    </row>
    <row r="90" spans="5:30" ht="11.25" customHeight="1" x14ac:dyDescent="0.2">
      <c r="E90" s="340"/>
      <c r="F90" s="340"/>
      <c r="G90" s="155"/>
      <c r="K90" s="155"/>
      <c r="L90" s="155"/>
      <c r="R90" s="183">
        <f>_xll.qlCalendarAdvance(Calendar,R89,"1D","f")</f>
        <v>42258</v>
      </c>
      <c r="S90" s="183">
        <f>_xll.qlCalendarAdvance(Calendar,R90,$F$1,"mf",,Trigger)</f>
        <v>42349</v>
      </c>
      <c r="T90" s="169">
        <f>_xll.qlDayCounterYearFraction(DayCounter,R90,S90,,,Trigger)</f>
        <v>0.25277777777777777</v>
      </c>
      <c r="U90" s="181">
        <f>_xll.qlInterpolationInterpolate(B3Minterpolation,R90,TRUE)</f>
        <v>1.2020640468602131E-3</v>
      </c>
      <c r="V90" s="184">
        <f>_xll.qlYieldTSDiscount(Discounting,R90,,AllTriggers)</f>
        <v>1.0003846023339462</v>
      </c>
      <c r="W90" s="184">
        <f>_xll.qlYieldTSDiscount(Discounting,S90,,AllTriggers)</f>
        <v>1.0007052500814493</v>
      </c>
      <c r="X90" s="181">
        <f t="shared" si="8"/>
        <v>-1.2676026066870507E-3</v>
      </c>
      <c r="AC90" s="155"/>
      <c r="AD90" s="155"/>
    </row>
    <row r="91" spans="5:30" ht="11.25" customHeight="1" x14ac:dyDescent="0.2">
      <c r="E91" s="340"/>
      <c r="F91" s="340"/>
      <c r="G91" s="155"/>
      <c r="K91" s="155"/>
      <c r="L91" s="155"/>
      <c r="R91" s="183">
        <f>_xll.qlCalendarAdvance(Calendar,R90,"1D","f")</f>
        <v>42261</v>
      </c>
      <c r="S91" s="183">
        <f>_xll.qlCalendarAdvance(Calendar,R91,$F$1,"mf",,Trigger)</f>
        <v>42352</v>
      </c>
      <c r="T91" s="169">
        <f>_xll.qlDayCounterYearFraction(DayCounter,R91,S91,,,Trigger)</f>
        <v>0.25277777777777777</v>
      </c>
      <c r="U91" s="181">
        <f>_xll.qlInterpolationInterpolate(B3Minterpolation,R91,TRUE)</f>
        <v>1.2025114498205301E-3</v>
      </c>
      <c r="V91" s="184">
        <f>_xll.qlYieldTSDiscount(Discounting,R91,,AllTriggers)</f>
        <v>1.0003950357156131</v>
      </c>
      <c r="W91" s="184">
        <f>_xll.qlYieldTSDiscount(Discounting,S91,,AllTriggers)</f>
        <v>1.0007172170074365</v>
      </c>
      <c r="X91" s="181">
        <f t="shared" si="8"/>
        <v>-1.2736498689213129E-3</v>
      </c>
      <c r="AC91" s="155"/>
      <c r="AD91" s="155"/>
    </row>
    <row r="92" spans="5:30" ht="11.25" customHeight="1" x14ac:dyDescent="0.2">
      <c r="E92" s="340"/>
      <c r="F92" s="340"/>
      <c r="G92" s="155"/>
      <c r="K92" s="155"/>
      <c r="L92" s="155"/>
      <c r="R92" s="183">
        <f>_xll.qlCalendarAdvance(Calendar,R91,"1D","f")</f>
        <v>42262</v>
      </c>
      <c r="S92" s="183">
        <f>_xll.qlCalendarAdvance(Calendar,R92,$F$1,"mf",,Trigger)</f>
        <v>42353</v>
      </c>
      <c r="T92" s="169">
        <f>_xll.qlDayCounterYearFraction(DayCounter,R92,S92,,,Trigger)</f>
        <v>0.25277777777777777</v>
      </c>
      <c r="U92" s="181">
        <f>_xll.qlInterpolationInterpolate(B3Minterpolation,R92,TRUE)</f>
        <v>1.2026716478635245E-3</v>
      </c>
      <c r="V92" s="184">
        <f>_xll.qlYieldTSDiscount(Discounting,R92,,AllTriggers)</f>
        <v>1.0003985155109503</v>
      </c>
      <c r="W92" s="184">
        <f>_xll.qlYieldTSDiscount(Discounting,S92,,AllTriggers)</f>
        <v>1.0007212241575918</v>
      </c>
      <c r="X92" s="181">
        <f t="shared" si="8"/>
        <v>-1.2757295041725721E-3</v>
      </c>
      <c r="AC92" s="155"/>
      <c r="AD92" s="155"/>
    </row>
    <row r="93" spans="5:30" ht="11.25" customHeight="1" x14ac:dyDescent="0.2">
      <c r="E93" s="340"/>
      <c r="F93" s="340"/>
      <c r="G93" s="155"/>
      <c r="K93" s="155"/>
      <c r="L93" s="155"/>
      <c r="R93" s="183">
        <f>_xll.qlCalendarAdvance(Calendar,R92,"1D","f")</f>
        <v>42263</v>
      </c>
      <c r="S93" s="183">
        <f>_xll.qlCalendarAdvance(Calendar,R93,$F$1,"mf",,Trigger)</f>
        <v>42354</v>
      </c>
      <c r="T93" s="169">
        <f>_xll.qlDayCounterYearFraction(DayCounter,R93,S93,,,Trigger)</f>
        <v>0.25277777777777777</v>
      </c>
      <c r="U93" s="181">
        <f>_xll.qlInterpolationInterpolate(B3Minterpolation,R93,TRUE)</f>
        <v>1.2028386067589518E-3</v>
      </c>
      <c r="V93" s="184">
        <f>_xll.qlYieldTSDiscount(Discounting,R93,,AllTriggers)</f>
        <v>1.0004019964746511</v>
      </c>
      <c r="W93" s="184">
        <f>_xll.qlYieldTSDiscount(Discounting,S93,,AllTriggers)</f>
        <v>1.0007252399372006</v>
      </c>
      <c r="X93" s="181">
        <f t="shared" si="8"/>
        <v>-1.277838606758777E-3</v>
      </c>
      <c r="AC93" s="155"/>
      <c r="AD93" s="155"/>
    </row>
    <row r="94" spans="5:30" ht="11.25" customHeight="1" x14ac:dyDescent="0.2">
      <c r="E94" s="340"/>
      <c r="F94" s="340"/>
      <c r="G94" s="155"/>
      <c r="K94" s="155"/>
      <c r="L94" s="155"/>
      <c r="R94" s="183">
        <f>_xll.qlCalendarAdvance(Calendar,R93,"1D","f")</f>
        <v>42264</v>
      </c>
      <c r="S94" s="183">
        <f>_xll.qlCalendarAdvance(Calendar,R94,$F$1,"mf",,Trigger)</f>
        <v>42355</v>
      </c>
      <c r="T94" s="169">
        <f>_xll.qlDayCounterYearFraction(DayCounter,R94,S94,,,Trigger)</f>
        <v>0.25277777777777777</v>
      </c>
      <c r="U94" s="181">
        <f>_xll.qlInterpolationInterpolate(B3Minterpolation,R94,TRUE)</f>
        <v>1.2030326648817225E-3</v>
      </c>
      <c r="V94" s="184">
        <f>_xll.qlYieldTSDiscount(Discounting,R94,,AllTriggers)</f>
        <v>1.0004054787073016</v>
      </c>
      <c r="W94" s="184">
        <f>_xll.qlYieldTSDiscount(Discounting,S94,,AllTriggers)</f>
        <v>1.0007292640714809</v>
      </c>
      <c r="X94" s="181">
        <f t="shared" si="8"/>
        <v>-1.2799756927320181E-3</v>
      </c>
      <c r="AC94" s="155"/>
      <c r="AD94" s="155"/>
    </row>
    <row r="95" spans="5:30" ht="11.25" customHeight="1" x14ac:dyDescent="0.2">
      <c r="E95" s="340"/>
      <c r="F95" s="340"/>
      <c r="G95" s="155"/>
      <c r="K95" s="155"/>
      <c r="L95" s="155"/>
      <c r="R95" s="183">
        <f>_xll.qlCalendarAdvance(Calendar,R94,"1D","f")</f>
        <v>42265</v>
      </c>
      <c r="S95" s="183">
        <f>_xll.qlCalendarAdvance(Calendar,R95,$F$1,"mf",,Trigger)</f>
        <v>42356</v>
      </c>
      <c r="T95" s="169">
        <f>_xll.qlDayCounterYearFraction(DayCounter,R95,S95,,,Trigger)</f>
        <v>0.25277777777777777</v>
      </c>
      <c r="U95" s="181">
        <f>_xll.qlInterpolationInterpolate(B3Minterpolation,R95,TRUE)</f>
        <v>1.2032729915505637E-3</v>
      </c>
      <c r="V95" s="184">
        <f>_xll.qlYieldTSDiscount(Discounting,R95,,AllTriggers)</f>
        <v>1.0004089623094894</v>
      </c>
      <c r="W95" s="184">
        <f>_xll.qlYieldTSDiscount(Discounting,S95,,AllTriggers)</f>
        <v>1.0007332962856457</v>
      </c>
      <c r="X95" s="181">
        <f t="shared" si="8"/>
        <v>-1.2821392781421897E-3</v>
      </c>
      <c r="AC95" s="155"/>
      <c r="AD95" s="155"/>
    </row>
    <row r="96" spans="5:30" ht="11.25" customHeight="1" x14ac:dyDescent="0.2">
      <c r="E96" s="340"/>
      <c r="F96" s="340"/>
      <c r="G96" s="155"/>
      <c r="K96" s="155"/>
      <c r="L96" s="155"/>
      <c r="R96" s="183">
        <f>_xll.qlCalendarAdvance(Calendar,R95,"1D","f")</f>
        <v>42268</v>
      </c>
      <c r="S96" s="183">
        <f>_xll.qlCalendarAdvance(Calendar,R96,$F$1,"mf",,Trigger)</f>
        <v>42359</v>
      </c>
      <c r="T96" s="169">
        <f>_xll.qlDayCounterYearFraction(DayCounter,R96,S96,,,Trigger)</f>
        <v>0.25277777777777777</v>
      </c>
      <c r="U96" s="181">
        <f>_xll.qlInterpolationInterpolate(B3Minterpolation,R96,TRUE)</f>
        <v>1.2042614209366838E-3</v>
      </c>
      <c r="V96" s="184">
        <f>_xll.qlYieldTSDiscount(Discounting,R96,,AllTriggers)</f>
        <v>1.0004194223391687</v>
      </c>
      <c r="W96" s="184">
        <f>_xll.qlYieldTSDiscount(Discounting,S96,,AllTriggers)</f>
        <v>1.0007454386595234</v>
      </c>
      <c r="X96" s="181">
        <f t="shared" si="8"/>
        <v>-1.2887741916047899E-3</v>
      </c>
      <c r="AC96" s="155"/>
      <c r="AD96" s="155"/>
    </row>
    <row r="97" spans="5:30" ht="11.25" customHeight="1" x14ac:dyDescent="0.2">
      <c r="E97" s="340"/>
      <c r="F97" s="340"/>
      <c r="G97" s="155"/>
      <c r="K97" s="155"/>
      <c r="L97" s="155"/>
      <c r="R97" s="183">
        <f>_xll.qlCalendarAdvance(Calendar,R96,"1D","f")</f>
        <v>42269</v>
      </c>
      <c r="S97" s="183">
        <f>_xll.qlCalendarAdvance(Calendar,R97,$F$1,"mf",,Trigger)</f>
        <v>42360</v>
      </c>
      <c r="T97" s="169">
        <f>_xll.qlDayCounterYearFraction(DayCounter,R97,S97,,,Trigger)</f>
        <v>0.25277777777777777</v>
      </c>
      <c r="U97" s="181">
        <f>_xll.qlInterpolationInterpolate(B3Minterpolation,R97,TRUE)</f>
        <v>1.2046766598929812E-3</v>
      </c>
      <c r="V97" s="184">
        <f>_xll.qlYieldTSDiscount(Discounting,R97,,AllTriggers)</f>
        <v>1.000422912425406</v>
      </c>
      <c r="W97" s="184">
        <f>_xll.qlYieldTSDiscount(Discounting,S97,,AllTriggers)</f>
        <v>1.0007495004452798</v>
      </c>
      <c r="X97" s="181">
        <f t="shared" si="8"/>
        <v>-1.2910289353758213E-3</v>
      </c>
      <c r="AC97" s="155"/>
      <c r="AD97" s="155"/>
    </row>
    <row r="98" spans="5:30" ht="11.25" customHeight="1" x14ac:dyDescent="0.2">
      <c r="E98" s="340"/>
      <c r="F98" s="340"/>
      <c r="G98" s="155"/>
      <c r="K98" s="155"/>
      <c r="L98" s="155"/>
      <c r="R98" s="183">
        <f>_xll.qlCalendarAdvance(Calendar,R97,"1D","f")</f>
        <v>42270</v>
      </c>
      <c r="S98" s="183">
        <f>_xll.qlCalendarAdvance(Calendar,R98,$F$1,"mf",,Trigger)</f>
        <v>42361</v>
      </c>
      <c r="T98" s="169">
        <f>_xll.qlDayCounterYearFraction(DayCounter,R98,S98,,,Trigger)</f>
        <v>0.25277777777777777</v>
      </c>
      <c r="U98" s="181">
        <f>_xll.qlInterpolationInterpolate(B3Minterpolation,R98,TRUE)</f>
        <v>1.2051330864469361E-3</v>
      </c>
      <c r="V98" s="184">
        <f>_xll.qlYieldTSDiscount(Discounting,R98,,AllTriggers)</f>
        <v>1.0004264043841384</v>
      </c>
      <c r="W98" s="184">
        <f>_xll.qlYieldTSDiscount(Discounting,S98,,AllTriggers)</f>
        <v>1.0007535689369256</v>
      </c>
      <c r="X98" s="181">
        <f t="shared" si="8"/>
        <v>-1.2933027589004541E-3</v>
      </c>
      <c r="AC98" s="155"/>
      <c r="AD98" s="155"/>
    </row>
    <row r="99" spans="5:30" ht="11.25" customHeight="1" x14ac:dyDescent="0.2">
      <c r="E99" s="340"/>
      <c r="F99" s="340"/>
      <c r="G99" s="155"/>
      <c r="K99" s="155"/>
      <c r="L99" s="155"/>
      <c r="R99" s="183">
        <f>_xll.qlCalendarAdvance(Calendar,R98,"1D","f")</f>
        <v>42271</v>
      </c>
      <c r="S99" s="183">
        <f>_xll.qlCalendarAdvance(Calendar,R99,$F$1,"mf",,Trigger)</f>
        <v>42362</v>
      </c>
      <c r="T99" s="169">
        <f>_xll.qlDayCounterYearFraction(DayCounter,R99,S99,,,Trigger)</f>
        <v>0.25277777777777777</v>
      </c>
      <c r="U99" s="181">
        <f>_xll.qlInterpolationInterpolate(B3Minterpolation,R99,TRUE)</f>
        <v>1.2056296844088665E-3</v>
      </c>
      <c r="V99" s="184">
        <f>_xll.qlYieldTSDiscount(Discounting,R99,,AllTriggers)</f>
        <v>1.0004298983159614</v>
      </c>
      <c r="W99" s="184">
        <f>_xll.qlYieldTSDiscount(Discounting,S99,,AllTriggers)</f>
        <v>1.000757643859649</v>
      </c>
      <c r="X99" s="181">
        <f t="shared" si="8"/>
        <v>-1.2955941782522994E-3</v>
      </c>
      <c r="AC99" s="155"/>
      <c r="AD99" s="155"/>
    </row>
    <row r="100" spans="5:30" ht="11.25" customHeight="1" x14ac:dyDescent="0.2">
      <c r="E100" s="340"/>
      <c r="F100" s="340"/>
      <c r="G100" s="155"/>
      <c r="K100" s="155"/>
      <c r="L100" s="155"/>
      <c r="R100" s="183">
        <f>_xll.qlCalendarAdvance(Calendar,R99,"1D","f")</f>
        <v>42272</v>
      </c>
      <c r="S100" s="183">
        <f>_xll.qlCalendarAdvance(Calendar,R100,$F$1,"mf",,Trigger)</f>
        <v>42366</v>
      </c>
      <c r="T100" s="169">
        <f>_xll.qlDayCounterYearFraction(DayCounter,R100,S100,,,Trigger)</f>
        <v>0.26111111111111113</v>
      </c>
      <c r="U100" s="181">
        <f>_xll.qlInterpolationInterpolate(B3Minterpolation,R100,TRUE)</f>
        <v>1.2061654375890895E-3</v>
      </c>
      <c r="V100" s="184">
        <f>_xll.qlYieldTSDiscount(Discounting,R100,,AllTriggers)</f>
        <v>1.0004333943214723</v>
      </c>
      <c r="W100" s="184">
        <f>_xll.qlYieldTSDiscount(Discounting,S100,,AllTriggers)</f>
        <v>1.0007740023649234</v>
      </c>
      <c r="X100" s="181">
        <f t="shared" si="8"/>
        <v>-1.3034474652009842E-3</v>
      </c>
      <c r="AC100" s="155"/>
      <c r="AD100" s="155"/>
    </row>
    <row r="101" spans="5:30" ht="11.25" customHeight="1" x14ac:dyDescent="0.2">
      <c r="E101" s="340"/>
      <c r="F101" s="340"/>
      <c r="G101" s="155"/>
      <c r="K101" s="155"/>
      <c r="L101" s="155"/>
      <c r="R101" s="183">
        <f>_xll.qlCalendarAdvance(Calendar,R100,"1D","f")</f>
        <v>42275</v>
      </c>
      <c r="S101" s="183">
        <f>_xll.qlCalendarAdvance(Calendar,R101,$F$1,"mf",,Trigger)</f>
        <v>42366</v>
      </c>
      <c r="T101" s="169">
        <f>_xll.qlDayCounterYearFraction(DayCounter,R101,S101,,,Trigger)</f>
        <v>0.25277777777777777</v>
      </c>
      <c r="U101" s="181">
        <f>_xll.qlInterpolationInterpolate(B3Minterpolation,R101,TRUE)</f>
        <v>1.20799746654269E-3</v>
      </c>
      <c r="V101" s="184">
        <f>_xll.qlYieldTSDiscount(Discounting,R101,,AllTriggers)</f>
        <v>1.0004438957861259</v>
      </c>
      <c r="W101" s="184">
        <f>_xll.qlYieldTSDiscount(Discounting,S101,,AllTriggers)</f>
        <v>1.0007740023649234</v>
      </c>
      <c r="X101" s="181">
        <f t="shared" si="8"/>
        <v>-1.3049061354672889E-3</v>
      </c>
      <c r="AC101" s="155"/>
      <c r="AD101" s="155"/>
    </row>
    <row r="102" spans="5:30" ht="11.25" customHeight="1" x14ac:dyDescent="0.2">
      <c r="E102" s="340"/>
      <c r="F102" s="340"/>
      <c r="G102" s="155"/>
      <c r="K102" s="155"/>
      <c r="L102" s="155"/>
      <c r="R102" s="183">
        <f>_xll.qlCalendarAdvance(Calendar,R101,"1D","f")</f>
        <v>42276</v>
      </c>
      <c r="S102" s="183">
        <f>_xll.qlCalendarAdvance(Calendar,R102,$F$1,"mf",,Trigger)</f>
        <v>42367</v>
      </c>
      <c r="T102" s="169">
        <f>_xll.qlDayCounterYearFraction(DayCounter,R102,S102,,,Trigger)</f>
        <v>0.25277777777777777</v>
      </c>
      <c r="U102" s="181">
        <f>_xll.qlInterpolationInterpolate(B3Minterpolation,R102,TRUE)</f>
        <v>1.2086796786992592E-3</v>
      </c>
      <c r="V102" s="184">
        <f>_xll.qlYieldTSDiscount(Discounting,R102,,AllTriggers)</f>
        <v>1.0004474010923892</v>
      </c>
      <c r="W102" s="184">
        <f>_xll.qlYieldTSDiscount(Discounting,S102,,AllTriggers)</f>
        <v>1.0007781053207008</v>
      </c>
      <c r="X102" s="181">
        <f t="shared" si="8"/>
        <v>-1.3072632751401877E-3</v>
      </c>
      <c r="AC102" s="155"/>
      <c r="AD102" s="155"/>
    </row>
    <row r="103" spans="5:30" ht="11.25" customHeight="1" x14ac:dyDescent="0.2">
      <c r="E103" s="340"/>
      <c r="F103" s="340"/>
      <c r="G103" s="155"/>
      <c r="K103" s="155"/>
      <c r="L103" s="155"/>
      <c r="R103" s="183">
        <f>_xll.qlCalendarAdvance(Calendar,R102,"1D","f")</f>
        <v>42277</v>
      </c>
      <c r="S103" s="183">
        <f>_xll.qlCalendarAdvance(Calendar,R103,$F$1,"mf",,Trigger)</f>
        <v>42368</v>
      </c>
      <c r="T103" s="169">
        <f>_xll.qlDayCounterYearFraction(DayCounter,R103,S103,,,Trigger)</f>
        <v>0.25277777777777777</v>
      </c>
      <c r="U103" s="181">
        <f>_xll.qlInterpolationInterpolate(B3Minterpolation,R103,TRUE)</f>
        <v>1.2093959651257083E-3</v>
      </c>
      <c r="V103" s="184">
        <f>_xll.qlYieldTSDiscount(Discounting,R103,,AllTriggers)</f>
        <v>1.0004509089753477</v>
      </c>
      <c r="W103" s="184">
        <f>_xll.qlYieldTSDiscount(Discounting,S103,,AllTriggers)</f>
        <v>1.0007822130585915</v>
      </c>
      <c r="X103" s="181">
        <f t="shared" si="8"/>
        <v>-1.3096291071395057E-3</v>
      </c>
      <c r="AC103" s="155"/>
      <c r="AD103" s="155"/>
    </row>
    <row r="104" spans="5:30" ht="11.25" customHeight="1" x14ac:dyDescent="0.2">
      <c r="E104" s="340"/>
      <c r="F104" s="340"/>
      <c r="G104" s="155"/>
      <c r="K104" s="155"/>
      <c r="L104" s="155"/>
      <c r="R104" s="183">
        <f>_xll.qlCalendarAdvance(Calendar,R103,"1D","f")</f>
        <v>42278</v>
      </c>
      <c r="S104" s="183">
        <f>_xll.qlCalendarAdvance(Calendar,R104,$F$1,"mf",,Trigger)</f>
        <v>42373</v>
      </c>
      <c r="T104" s="169">
        <f>_xll.qlDayCounterYearFraction(DayCounter,R104,S104,,,Trigger)</f>
        <v>0.2638888888888889</v>
      </c>
      <c r="U104" s="181">
        <f>_xll.qlInterpolationInterpolate(B3Minterpolation,R104,TRUE)</f>
        <v>1.2101453096323551E-3</v>
      </c>
      <c r="V104" s="184">
        <f>_xll.qlYieldTSDiscount(Discounting,R104,,AllTriggers)</f>
        <v>1.0004517183086745</v>
      </c>
      <c r="W104" s="184">
        <f>_xll.qlYieldTSDiscount(Discounting,S104,,AllTriggers)</f>
        <v>1.0007796953150905</v>
      </c>
      <c r="X104" s="181">
        <f t="shared" si="8"/>
        <v>-1.2418919375137311E-3</v>
      </c>
      <c r="AC104" s="155"/>
      <c r="AD104" s="155"/>
    </row>
    <row r="105" spans="5:30" ht="11.25" customHeight="1" x14ac:dyDescent="0.2">
      <c r="E105" s="340"/>
      <c r="F105" s="340"/>
      <c r="G105" s="155"/>
      <c r="K105" s="155"/>
      <c r="L105" s="155"/>
      <c r="R105" s="183">
        <f>_xll.qlCalendarAdvance(Calendar,R104,"1D","f")</f>
        <v>42279</v>
      </c>
      <c r="S105" s="183">
        <f>_xll.qlCalendarAdvance(Calendar,R105,$F$1,"mf",,Trigger)</f>
        <v>42373</v>
      </c>
      <c r="T105" s="169">
        <f>_xll.qlDayCounterYearFraction(DayCounter,R105,S105,,,Trigger)</f>
        <v>0.26111111111111113</v>
      </c>
      <c r="U105" s="181">
        <f>_xll.qlInterpolationInterpolate(B3Minterpolation,R105,TRUE)</f>
        <v>1.2109266960295172E-3</v>
      </c>
      <c r="V105" s="184">
        <f>_xll.qlYieldTSDiscount(Discounting,R105,,AllTriggers)</f>
        <v>1.0004552316373565</v>
      </c>
      <c r="W105" s="184">
        <f>_xll.qlYieldTSDiscount(Discounting,S105,,AllTriggers)</f>
        <v>1.0007796953150905</v>
      </c>
      <c r="X105" s="181">
        <f t="shared" si="8"/>
        <v>-1.2416587353972514E-3</v>
      </c>
      <c r="AC105" s="155"/>
      <c r="AD105" s="155"/>
    </row>
    <row r="106" spans="5:30" ht="11.25" customHeight="1" x14ac:dyDescent="0.2">
      <c r="E106" s="340"/>
      <c r="F106" s="340"/>
      <c r="G106" s="155"/>
      <c r="K106" s="155"/>
      <c r="L106" s="155"/>
      <c r="R106" s="183">
        <f>_xll.qlCalendarAdvance(Calendar,R105,"1D","f")</f>
        <v>42282</v>
      </c>
      <c r="S106" s="183">
        <f>_xll.qlCalendarAdvance(Calendar,R106,$F$1,"mf",,Trigger)</f>
        <v>42374</v>
      </c>
      <c r="T106" s="169">
        <f>_xll.qlDayCounterYearFraction(DayCounter,R106,S106,,,Trigger)</f>
        <v>0.25555555555555554</v>
      </c>
      <c r="U106" s="181">
        <f>_xll.qlInterpolationInterpolate(B3Minterpolation,R106,TRUE)</f>
        <v>1.2134529446672694E-3</v>
      </c>
      <c r="V106" s="184">
        <f>_xll.qlYieldTSDiscount(Discounting,R106,,AllTriggers)</f>
        <v>1.0004657892968982</v>
      </c>
      <c r="W106" s="184">
        <f>_xll.qlYieldTSDiscount(Discounting,S106,,AllTriggers)</f>
        <v>1.0007838258783879</v>
      </c>
      <c r="X106" s="181">
        <f t="shared" si="8"/>
        <v>-1.2435162708133453E-3</v>
      </c>
      <c r="AC106" s="155"/>
      <c r="AD106" s="155"/>
    </row>
    <row r="107" spans="5:30" ht="11.25" customHeight="1" x14ac:dyDescent="0.2">
      <c r="E107" s="340"/>
      <c r="F107" s="340"/>
      <c r="G107" s="155"/>
      <c r="K107" s="155"/>
      <c r="L107" s="155"/>
      <c r="R107" s="183">
        <f>_xll.qlCalendarAdvance(Calendar,R106,"1D","f")</f>
        <v>42283</v>
      </c>
      <c r="S107" s="183">
        <f>_xll.qlCalendarAdvance(Calendar,R107,$F$1,"mf",,Trigger)</f>
        <v>42375</v>
      </c>
      <c r="T107" s="169">
        <f>_xll.qlDayCounterYearFraction(DayCounter,R107,S107,,,Trigger)</f>
        <v>0.25555555555555554</v>
      </c>
      <c r="U107" s="181">
        <f>_xll.qlInterpolationInterpolate(B3Minterpolation,R107,TRUE)</f>
        <v>1.2143523367296671E-3</v>
      </c>
      <c r="V107" s="184">
        <f>_xll.qlYieldTSDiscount(Discounting,R107,,AllTriggers)</f>
        <v>1.0004693147432813</v>
      </c>
      <c r="W107" s="184">
        <f>_xll.qlYieldTSDiscount(Discounting,S107,,AllTriggers)</f>
        <v>1.0007879592997391</v>
      </c>
      <c r="X107" s="181">
        <f t="shared" si="8"/>
        <v>-1.2458882942627441E-3</v>
      </c>
      <c r="AC107" s="155"/>
      <c r="AD107" s="155"/>
    </row>
    <row r="108" spans="5:30" ht="11.25" customHeight="1" x14ac:dyDescent="0.2">
      <c r="E108" s="340"/>
      <c r="F108" s="340"/>
      <c r="G108" s="155"/>
      <c r="K108" s="155"/>
      <c r="L108" s="155"/>
      <c r="R108" s="183">
        <f>_xll.qlCalendarAdvance(Calendar,R107,"1D","f")</f>
        <v>42284</v>
      </c>
      <c r="S108" s="183">
        <f>_xll.qlCalendarAdvance(Calendar,R108,$F$1,"mf",,Trigger)</f>
        <v>42376</v>
      </c>
      <c r="T108" s="169">
        <f>_xll.qlDayCounterYearFraction(DayCounter,R108,S108,,,Trigger)</f>
        <v>0.25555555555555554</v>
      </c>
      <c r="U108" s="181">
        <f>_xll.qlInterpolationInterpolate(B3Minterpolation,R108,TRUE)</f>
        <v>1.2152786897341673E-3</v>
      </c>
      <c r="V108" s="184">
        <f>_xll.qlYieldTSDiscount(Discounting,R108,,AllTriggers)</f>
        <v>1.0004728434706216</v>
      </c>
      <c r="W108" s="184">
        <f>_xll.qlYieldTSDiscount(Discounting,S108,,AllTriggers)</f>
        <v>1.0007920953042759</v>
      </c>
      <c r="X108" s="181">
        <f t="shared" si="8"/>
        <v>-1.2482575666466803E-3</v>
      </c>
      <c r="AC108" s="155"/>
      <c r="AD108" s="155"/>
    </row>
    <row r="109" spans="5:30" ht="11.25" customHeight="1" x14ac:dyDescent="0.2">
      <c r="E109" s="340"/>
      <c r="F109" s="340"/>
      <c r="G109" s="155"/>
      <c r="K109" s="155"/>
      <c r="L109" s="155"/>
      <c r="R109" s="183">
        <f>_xll.qlCalendarAdvance(Calendar,R108,"1D","f")</f>
        <v>42285</v>
      </c>
      <c r="S109" s="183">
        <f>_xll.qlCalendarAdvance(Calendar,R109,$F$1,"mf",,Trigger)</f>
        <v>42377</v>
      </c>
      <c r="T109" s="169">
        <f>_xll.qlDayCounterYearFraction(DayCounter,R109,S109,,,Trigger)</f>
        <v>0.25555555555555554</v>
      </c>
      <c r="U109" s="181">
        <f>_xll.qlInterpolationInterpolate(B3Minterpolation,R109,TRUE)</f>
        <v>1.2162309874910878E-3</v>
      </c>
      <c r="V109" s="184">
        <f>_xll.qlYieldTSDiscount(Discounting,R109,,AllTriggers)</f>
        <v>1.0004763755795345</v>
      </c>
      <c r="W109" s="184">
        <f>_xll.qlYieldTSDiscount(Discounting,S109,,AllTriggers)</f>
        <v>1.0007962336171268</v>
      </c>
      <c r="X109" s="181">
        <f t="shared" si="8"/>
        <v>-1.2506226201970732E-3</v>
      </c>
      <c r="AC109" s="155"/>
      <c r="AD109" s="155"/>
    </row>
    <row r="110" spans="5:30" ht="11.25" customHeight="1" x14ac:dyDescent="0.2">
      <c r="E110" s="340"/>
      <c r="F110" s="340"/>
      <c r="G110" s="155"/>
      <c r="K110" s="155"/>
      <c r="L110" s="155"/>
      <c r="R110" s="183">
        <f>_xll.qlCalendarAdvance(Calendar,R109,"1D","f")</f>
        <v>42286</v>
      </c>
      <c r="S110" s="183">
        <f>_xll.qlCalendarAdvance(Calendar,R110,$F$1,"mf",,Trigger)</f>
        <v>42380</v>
      </c>
      <c r="T110" s="169">
        <f>_xll.qlDayCounterYearFraction(DayCounter,R110,S110,,,Trigger)</f>
        <v>0.26111111111111113</v>
      </c>
      <c r="U110" s="181">
        <f>_xll.qlInterpolationInterpolate(B3Minterpolation,R110,TRUE)</f>
        <v>1.2172082138107458E-3</v>
      </c>
      <c r="V110" s="184">
        <f>_xll.qlYieldTSDiscount(Discounting,R110,,AllTriggers)</f>
        <v>1.0004799111706371</v>
      </c>
      <c r="W110" s="184">
        <f>_xll.qlYieldTSDiscount(Discounting,S110,,AllTriggers)</f>
        <v>1.0008086596567678</v>
      </c>
      <c r="X110" s="181">
        <f t="shared" si="8"/>
        <v>-1.2580194458211332E-3</v>
      </c>
      <c r="AC110" s="155"/>
      <c r="AD110" s="155"/>
    </row>
    <row r="111" spans="5:30" ht="11.25" customHeight="1" x14ac:dyDescent="0.2">
      <c r="E111" s="340"/>
      <c r="F111" s="340"/>
      <c r="G111" s="155"/>
      <c r="K111" s="155"/>
      <c r="L111" s="155"/>
      <c r="R111" s="183">
        <f>_xll.qlCalendarAdvance(Calendar,R110,"1D","f")</f>
        <v>42289</v>
      </c>
      <c r="S111" s="183">
        <f>_xll.qlCalendarAdvance(Calendar,R111,$F$1,"mf",,Trigger)</f>
        <v>42381</v>
      </c>
      <c r="T111" s="169">
        <f>_xll.qlDayCounterYearFraction(DayCounter,R111,S111,,,Trigger)</f>
        <v>0.25555555555555554</v>
      </c>
      <c r="U111" s="181">
        <f>_xll.qlInterpolationInterpolate(B3Minterpolation,R111,TRUE)</f>
        <v>1.2202793022493207E-3</v>
      </c>
      <c r="V111" s="184">
        <f>_xll.qlYieldTSDiscount(Discounting,R111,,AllTriggers)</f>
        <v>1.0004905398432749</v>
      </c>
      <c r="W111" s="184">
        <f>_xll.qlYieldTSDiscount(Discounting,S111,,AllTriggers)</f>
        <v>1.0008128044540578</v>
      </c>
      <c r="X111" s="181">
        <f t="shared" si="8"/>
        <v>-1.2600112907094113E-3</v>
      </c>
      <c r="AC111" s="155"/>
      <c r="AD111" s="155"/>
    </row>
    <row r="112" spans="5:30" ht="11.25" customHeight="1" x14ac:dyDescent="0.2">
      <c r="E112" s="340"/>
      <c r="F112" s="340"/>
      <c r="G112" s="155"/>
      <c r="K112" s="155"/>
      <c r="L112" s="155"/>
      <c r="R112" s="183">
        <f>_xll.qlCalendarAdvance(Calendar,R111,"1D","f")</f>
        <v>42290</v>
      </c>
      <c r="S112" s="183">
        <f>_xll.qlCalendarAdvance(Calendar,R112,$F$1,"mf",,Trigger)</f>
        <v>42382</v>
      </c>
      <c r="T112" s="169">
        <f>_xll.qlDayCounterYearFraction(DayCounter,R112,S112,,,Trigger)</f>
        <v>0.25555555555555554</v>
      </c>
      <c r="U112" s="181">
        <f>_xll.qlInterpolationInterpolate(B3Minterpolation,R112,TRUE)</f>
        <v>1.2213460809231043E-3</v>
      </c>
      <c r="V112" s="184">
        <f>_xll.qlYieldTSDiscount(Discounting,R112,,AllTriggers)</f>
        <v>1.0004940903693356</v>
      </c>
      <c r="W112" s="184">
        <f>_xll.qlYieldTSDiscount(Discounting,S112,,AllTriggers)</f>
        <v>1.0008169501852315</v>
      </c>
      <c r="X112" s="181">
        <f t="shared" si="8"/>
        <v>-1.2623332336151847E-3</v>
      </c>
      <c r="AC112" s="155"/>
      <c r="AD112" s="155"/>
    </row>
    <row r="113" spans="5:30" ht="11.25" customHeight="1" x14ac:dyDescent="0.2">
      <c r="E113" s="340"/>
      <c r="F113" s="340"/>
      <c r="G113" s="155"/>
      <c r="K113" s="155"/>
      <c r="L113" s="155"/>
      <c r="R113" s="183">
        <f>_xll.qlCalendarAdvance(Calendar,R112,"1D","f")</f>
        <v>42291</v>
      </c>
      <c r="S113" s="183">
        <f>_xll.qlCalendarAdvance(Calendar,R113,$F$1,"mf",,Trigger)</f>
        <v>42383</v>
      </c>
      <c r="T113" s="169">
        <f>_xll.qlDayCounterYearFraction(DayCounter,R113,S113,,,Trigger)</f>
        <v>0.25555555555555554</v>
      </c>
      <c r="U113" s="181">
        <f>_xll.qlInterpolationInterpolate(B3Minterpolation,R113,TRUE)</f>
        <v>1.2224327072112126E-3</v>
      </c>
      <c r="V113" s="184">
        <f>_xll.qlYieldTSDiscount(Discounting,R113,,AllTriggers)</f>
        <v>1.000497644880693</v>
      </c>
      <c r="W113" s="184">
        <f>_xll.qlYieldTSDiscount(Discounting,S113,,AllTriggers)</f>
        <v>1.000821096575389</v>
      </c>
      <c r="X113" s="181">
        <f t="shared" si="8"/>
        <v>-1.264642151122807E-3</v>
      </c>
      <c r="AC113" s="155"/>
      <c r="AD113" s="155"/>
    </row>
    <row r="114" spans="5:30" ht="11.25" customHeight="1" x14ac:dyDescent="0.2">
      <c r="E114" s="340"/>
      <c r="F114" s="340"/>
      <c r="G114" s="155"/>
      <c r="K114" s="155"/>
      <c r="L114" s="155"/>
      <c r="R114" s="183">
        <f>_xll.qlCalendarAdvance(Calendar,R113,"1D","f")</f>
        <v>42292</v>
      </c>
      <c r="S114" s="183">
        <f>_xll.qlCalendarAdvance(Calendar,R114,$F$1,"mf",,Trigger)</f>
        <v>42384</v>
      </c>
      <c r="T114" s="169">
        <f>_xll.qlDayCounterYearFraction(DayCounter,R114,S114,,,Trigger)</f>
        <v>0.25555555555555554</v>
      </c>
      <c r="U114" s="181">
        <f>_xll.qlInterpolationInterpolate(B3Minterpolation,R114,TRUE)</f>
        <v>1.2235381649239637E-3</v>
      </c>
      <c r="V114" s="184">
        <f>_xll.qlYieldTSDiscount(Discounting,R114,,AllTriggers)</f>
        <v>1.0005012034779732</v>
      </c>
      <c r="W114" s="184">
        <f>_xll.qlYieldTSDiscount(Discounting,S114,,AllTriggers)</f>
        <v>1.0008252433496265</v>
      </c>
      <c r="X114" s="181">
        <f t="shared" si="8"/>
        <v>-1.2669365754859187E-3</v>
      </c>
      <c r="AC114" s="155"/>
      <c r="AD114" s="155"/>
    </row>
    <row r="115" spans="5:30" ht="11.25" customHeight="1" x14ac:dyDescent="0.2">
      <c r="E115" s="340"/>
      <c r="F115" s="340"/>
      <c r="G115" s="155"/>
      <c r="K115" s="155"/>
      <c r="L115" s="155"/>
      <c r="R115" s="183">
        <f>_xll.qlCalendarAdvance(Calendar,R114,"1D","f")</f>
        <v>42293</v>
      </c>
      <c r="S115" s="183">
        <f>_xll.qlCalendarAdvance(Calendar,R115,$F$1,"mf",,Trigger)</f>
        <v>42387</v>
      </c>
      <c r="T115" s="169">
        <f>_xll.qlDayCounterYearFraction(DayCounter,R115,S115,,,Trigger)</f>
        <v>0.26111111111111113</v>
      </c>
      <c r="U115" s="181">
        <f>_xll.qlInterpolationInterpolate(B3Minterpolation,R115,TRUE)</f>
        <v>1.2246614378716748E-3</v>
      </c>
      <c r="V115" s="184">
        <f>_xll.qlYieldTSDiscount(Discounting,R115,,AllTriggers)</f>
        <v>1.0005047662618032</v>
      </c>
      <c r="W115" s="184">
        <f>_xll.qlYieldTSDiscount(Discounting,S115,,AllTriggers)</f>
        <v>1.0008376832277059</v>
      </c>
      <c r="X115" s="181">
        <f t="shared" si="8"/>
        <v>-1.2739339928715344E-3</v>
      </c>
      <c r="AC115" s="155"/>
      <c r="AD115" s="155"/>
    </row>
    <row r="116" spans="5:30" ht="11.25" customHeight="1" x14ac:dyDescent="0.2">
      <c r="E116" s="340"/>
      <c r="F116" s="340"/>
      <c r="G116" s="155"/>
      <c r="K116" s="155"/>
      <c r="L116" s="155"/>
      <c r="R116" s="183">
        <f>_xll.qlCalendarAdvance(Calendar,R115,"1D","f")</f>
        <v>42296</v>
      </c>
      <c r="S116" s="183">
        <f>_xll.qlCalendarAdvance(Calendar,R116,$F$1,"mf",,Trigger)</f>
        <v>42388</v>
      </c>
      <c r="T116" s="169">
        <f>_xll.qlDayCounterYearFraction(DayCounter,R116,S116,,,Trigger)</f>
        <v>0.25555555555555554</v>
      </c>
      <c r="U116" s="181">
        <f>_xll.qlInterpolationInterpolate(B3Minterpolation,R116,TRUE)</f>
        <v>1.2281279862277434E-3</v>
      </c>
      <c r="V116" s="184">
        <f>_xll.qlYieldTSDiscount(Discounting,R116,,AllTriggers)</f>
        <v>1.0005154807388885</v>
      </c>
      <c r="W116" s="184">
        <f>_xll.qlYieldTSDiscount(Discounting,S116,,AllTriggers)</f>
        <v>1.000841828789129</v>
      </c>
      <c r="X116" s="181">
        <f t="shared" si="8"/>
        <v>-1.2759399866225508E-3</v>
      </c>
      <c r="AC116" s="155"/>
      <c r="AD116" s="155"/>
    </row>
    <row r="117" spans="5:30" ht="11.25" customHeight="1" x14ac:dyDescent="0.2">
      <c r="E117" s="340"/>
      <c r="F117" s="340"/>
      <c r="G117" s="155"/>
      <c r="K117" s="155"/>
      <c r="L117" s="155"/>
      <c r="R117" s="183">
        <f>_xll.qlCalendarAdvance(Calendar,R116,"1D","f")</f>
        <v>42297</v>
      </c>
      <c r="S117" s="183">
        <f>_xll.qlCalendarAdvance(Calendar,R117,$F$1,"mf",,Trigger)</f>
        <v>42389</v>
      </c>
      <c r="T117" s="169">
        <f>_xll.qlDayCounterYearFraction(DayCounter,R117,S117,,,Trigger)</f>
        <v>0.25555555555555554</v>
      </c>
      <c r="U117" s="181">
        <f>_xll.qlInterpolationInterpolate(B3Minterpolation,R117,TRUE)</f>
        <v>1.2293123582184698E-3</v>
      </c>
      <c r="V117" s="184">
        <f>_xll.qlYieldTSDiscount(Discounting,R117,,AllTriggers)</f>
        <v>1.0005190612752213</v>
      </c>
      <c r="W117" s="184">
        <f>_xll.qlYieldTSDiscount(Discounting,S117,,AllTriggers)</f>
        <v>1.0008459733600426</v>
      </c>
      <c r="X117" s="181">
        <f t="shared" si="8"/>
        <v>-1.2781399291441813E-3</v>
      </c>
      <c r="AC117" s="155"/>
      <c r="AD117" s="155"/>
    </row>
    <row r="118" spans="5:30" ht="11.25" customHeight="1" x14ac:dyDescent="0.2">
      <c r="E118" s="340"/>
      <c r="F118" s="340"/>
      <c r="G118" s="155"/>
      <c r="K118" s="155"/>
      <c r="L118" s="155"/>
      <c r="R118" s="183">
        <f>_xll.qlCalendarAdvance(Calendar,R117,"1D","f")</f>
        <v>42298</v>
      </c>
      <c r="S118" s="183">
        <f>_xll.qlCalendarAdvance(Calendar,R118,$F$1,"mf",,Trigger)</f>
        <v>42390</v>
      </c>
      <c r="T118" s="169">
        <f>_xll.qlDayCounterYearFraction(DayCounter,R118,S118,,,Trigger)</f>
        <v>0.25555555555555554</v>
      </c>
      <c r="U118" s="181">
        <f>_xll.qlInterpolationInterpolate(B3Minterpolation,R118,TRUE)</f>
        <v>1.2305094644957436E-3</v>
      </c>
      <c r="V118" s="184">
        <f>_xll.qlYieldTSDiscount(Discounting,R118,,AllTriggers)</f>
        <v>1.0005226465012629</v>
      </c>
      <c r="W118" s="184">
        <f>_xll.qlYieldTSDiscount(Discounting,S118,,AllTriggers)</f>
        <v>1.0008501166655148</v>
      </c>
      <c r="X118" s="181">
        <f t="shared" si="8"/>
        <v>-1.280316572096147E-3</v>
      </c>
      <c r="AC118" s="155"/>
      <c r="AD118" s="155"/>
    </row>
    <row r="119" spans="5:30" ht="11.25" customHeight="1" x14ac:dyDescent="0.2">
      <c r="E119" s="340"/>
      <c r="F119" s="340"/>
      <c r="G119" s="155"/>
      <c r="K119" s="155"/>
      <c r="L119" s="155"/>
      <c r="R119" s="183">
        <f>_xll.qlCalendarAdvance(Calendar,R118,"1D","f")</f>
        <v>42299</v>
      </c>
      <c r="S119" s="183">
        <f>_xll.qlCalendarAdvance(Calendar,R119,$F$1,"mf",,Trigger)</f>
        <v>42391</v>
      </c>
      <c r="T119" s="169">
        <f>_xll.qlDayCounterYearFraction(DayCounter,R119,S119,,,Trigger)</f>
        <v>0.25555555555555554</v>
      </c>
      <c r="U119" s="181">
        <f>_xll.qlInterpolationInterpolate(B3Minterpolation,R119,TRUE)</f>
        <v>1.2317182888698821E-3</v>
      </c>
      <c r="V119" s="184">
        <f>_xll.qlYieldTSDiscount(Discounting,R119,,AllTriggers)</f>
        <v>1.0005262365176497</v>
      </c>
      <c r="W119" s="184">
        <f>_xll.qlYieldTSDiscount(Discounting,S119,,AllTriggers)</f>
        <v>1.0008542584306099</v>
      </c>
      <c r="X119" s="181">
        <f t="shared" si="8"/>
        <v>-1.2824684477520725E-3</v>
      </c>
      <c r="AC119" s="155"/>
      <c r="AD119" s="155"/>
    </row>
    <row r="120" spans="5:30" ht="11.25" customHeight="1" x14ac:dyDescent="0.2">
      <c r="E120" s="340"/>
      <c r="F120" s="340"/>
      <c r="G120" s="155"/>
      <c r="K120" s="155"/>
      <c r="L120" s="155"/>
      <c r="R120" s="183">
        <f>_xll.qlCalendarAdvance(Calendar,R119,"1D","f")</f>
        <v>42300</v>
      </c>
      <c r="S120" s="183">
        <f>_xll.qlCalendarAdvance(Calendar,R120,$F$1,"mf",,Trigger)</f>
        <v>42394</v>
      </c>
      <c r="T120" s="169">
        <f>_xll.qlDayCounterYearFraction(DayCounter,R120,S120,,,Trigger)</f>
        <v>0.26111111111111113</v>
      </c>
      <c r="U120" s="181">
        <f>_xll.qlInterpolationInterpolate(B3Minterpolation,R120,TRUE)</f>
        <v>1.2329378151512034E-3</v>
      </c>
      <c r="V120" s="184">
        <f>_xll.qlYieldTSDiscount(Discounting,R120,,AllTriggers)</f>
        <v>1.0005298314250195</v>
      </c>
      <c r="W120" s="184">
        <f>_xll.qlYieldTSDiscount(Discounting,S120,,AllTriggers)</f>
        <v>1.0008666717342034</v>
      </c>
      <c r="X120" s="181">
        <f t="shared" si="8"/>
        <v>-1.2889096544580929E-3</v>
      </c>
      <c r="AC120" s="155"/>
      <c r="AD120" s="155"/>
    </row>
    <row r="121" spans="5:30" ht="11.25" customHeight="1" x14ac:dyDescent="0.2">
      <c r="E121" s="340"/>
      <c r="F121" s="340"/>
      <c r="G121" s="155"/>
      <c r="K121" s="155"/>
      <c r="L121" s="155"/>
      <c r="R121" s="183">
        <f>_xll.qlCalendarAdvance(Calendar,R120,"1D","f")</f>
        <v>42303</v>
      </c>
      <c r="S121" s="183">
        <f>_xll.qlCalendarAdvance(Calendar,R121,$F$1,"mf",,Trigger)</f>
        <v>42395</v>
      </c>
      <c r="T121" s="169">
        <f>_xll.qlDayCounterYearFraction(DayCounter,R121,S121,,,Trigger)</f>
        <v>0.25555555555555554</v>
      </c>
      <c r="U121" s="181">
        <f>_xll.qlInterpolationInterpolate(B3Minterpolation,R121,TRUE)</f>
        <v>1.236650443541437E-3</v>
      </c>
      <c r="V121" s="184">
        <f>_xll.qlYieldTSDiscount(Discounting,R121,,AllTriggers)</f>
        <v>1.0005406464994275</v>
      </c>
      <c r="W121" s="184">
        <f>_xll.qlYieldTSDiscount(Discounting,S121,,AllTriggers)</f>
        <v>1.0008708045883383</v>
      </c>
      <c r="X121" s="181">
        <f t="shared" si="8"/>
        <v>-1.2907989229825757E-3</v>
      </c>
      <c r="AC121" s="155"/>
      <c r="AD121" s="155"/>
    </row>
    <row r="122" spans="5:30" ht="11.25" customHeight="1" x14ac:dyDescent="0.2">
      <c r="E122" s="340"/>
      <c r="F122" s="340"/>
      <c r="G122" s="155"/>
      <c r="K122" s="155"/>
      <c r="L122" s="155"/>
      <c r="R122" s="183">
        <f>_xll.qlCalendarAdvance(Calendar,R121,"1D","f")</f>
        <v>42304</v>
      </c>
      <c r="S122" s="183">
        <f>_xll.qlCalendarAdvance(Calendar,R122,$F$1,"mf",,Trigger)</f>
        <v>42396</v>
      </c>
      <c r="T122" s="169">
        <f>_xll.qlDayCounterYearFraction(DayCounter,R122,S122,,,Trigger)</f>
        <v>0.25555555555555554</v>
      </c>
      <c r="U122" s="181">
        <f>_xll.qlInterpolationInterpolate(B3Minterpolation,R122,TRUE)</f>
        <v>1.2379026155546632E-3</v>
      </c>
      <c r="V122" s="184">
        <f>_xll.qlYieldTSDiscount(Discounting,R122,,AllTriggers)</f>
        <v>1.0005442619771374</v>
      </c>
      <c r="W122" s="184">
        <f>_xll.qlYieldTSDiscount(Discounting,S122,,AllTriggers)</f>
        <v>1.0008749345451289</v>
      </c>
      <c r="X122" s="181">
        <f t="shared" si="8"/>
        <v>-1.292805015850486E-3</v>
      </c>
      <c r="AC122" s="155"/>
      <c r="AD122" s="155"/>
    </row>
    <row r="123" spans="5:30" ht="11.25" customHeight="1" x14ac:dyDescent="0.2">
      <c r="E123" s="340"/>
      <c r="F123" s="340"/>
      <c r="G123" s="155"/>
      <c r="K123" s="155"/>
      <c r="L123" s="155"/>
      <c r="R123" s="183">
        <f>_xll.qlCalendarAdvance(Calendar,R122,"1D","f")</f>
        <v>42305</v>
      </c>
      <c r="S123" s="183">
        <f>_xll.qlCalendarAdvance(Calendar,R123,$F$1,"mf",,Trigger)</f>
        <v>42397</v>
      </c>
      <c r="T123" s="169">
        <f>_xll.qlDayCounterYearFraction(DayCounter,R123,S123,,,Trigger)</f>
        <v>0.25555555555555554</v>
      </c>
      <c r="U123" s="181">
        <f>_xll.qlInterpolationInterpolate(B3Minterpolation,R123,TRUE)</f>
        <v>1.2391604085266591E-3</v>
      </c>
      <c r="V123" s="184">
        <f>_xll.qlYieldTSDiscount(Discounting,R123,,AllTriggers)</f>
        <v>1.0005478828490424</v>
      </c>
      <c r="W123" s="184">
        <f>_xll.qlYieldTSDiscount(Discounting,S123,,AllTriggers)</f>
        <v>1.0008790614185201</v>
      </c>
      <c r="X123" s="181">
        <f t="shared" si="8"/>
        <v>-1.2947779520913871E-3</v>
      </c>
      <c r="AC123" s="155"/>
      <c r="AD123" s="155"/>
    </row>
    <row r="124" spans="5:30" ht="11.25" customHeight="1" x14ac:dyDescent="0.2">
      <c r="E124" s="340"/>
      <c r="F124" s="340"/>
      <c r="G124" s="155"/>
      <c r="K124" s="155"/>
      <c r="L124" s="155"/>
      <c r="R124" s="183">
        <f>_xll.qlCalendarAdvance(Calendar,R123,"1D","f")</f>
        <v>42306</v>
      </c>
      <c r="S124" s="183">
        <f>_xll.qlCalendarAdvance(Calendar,R124,$F$1,"mf",,Trigger)</f>
        <v>42398</v>
      </c>
      <c r="T124" s="169">
        <f>_xll.qlDayCounterYearFraction(DayCounter,R124,S124,,,Trigger)</f>
        <v>0.25555555555555554</v>
      </c>
      <c r="U124" s="181">
        <f>_xll.qlInterpolationInterpolate(B3Minterpolation,R124,TRUE)</f>
        <v>1.2404228062677426E-3</v>
      </c>
      <c r="V124" s="184">
        <f>_xll.qlYieldTSDiscount(Discounting,R124,,AllTriggers)</f>
        <v>1.0005515092179895</v>
      </c>
      <c r="W124" s="184">
        <f>_xll.qlYieldTSDiscount(Discounting,S124,,AllTriggers)</f>
        <v>1.0008831850402349</v>
      </c>
      <c r="X124" s="181">
        <f t="shared" si="8"/>
        <v>-1.2967166723674441E-3</v>
      </c>
      <c r="AC124" s="155"/>
      <c r="AD124" s="155"/>
    </row>
    <row r="125" spans="5:30" ht="11.25" customHeight="1" x14ac:dyDescent="0.2">
      <c r="E125" s="340"/>
      <c r="F125" s="340"/>
      <c r="G125" s="155"/>
      <c r="K125" s="155"/>
      <c r="L125" s="155"/>
      <c r="R125" s="183">
        <f>_xll.qlCalendarAdvance(Calendar,R124,"1D","f")</f>
        <v>42307</v>
      </c>
      <c r="S125" s="183">
        <f>_xll.qlCalendarAdvance(Calendar,R125,$F$1,"mf",,Trigger)</f>
        <v>42398</v>
      </c>
      <c r="T125" s="169">
        <f>_xll.qlDayCounterYearFraction(DayCounter,R125,S125,,,Trigger)</f>
        <v>0.25277777777777777</v>
      </c>
      <c r="U125" s="181">
        <f>_xll.qlInterpolationInterpolate(B3Minterpolation,R125,TRUE)</f>
        <v>1.2416887925882308E-3</v>
      </c>
      <c r="V125" s="184">
        <f>_xll.qlYieldTSDiscount(Discounting,R125,,AllTriggers)</f>
        <v>1.0005551411956288</v>
      </c>
      <c r="W125" s="184">
        <f>_xll.qlYieldTSDiscount(Discounting,S125,,AllTriggers)</f>
        <v>1.0008831850402349</v>
      </c>
      <c r="X125" s="181">
        <f t="shared" si="8"/>
        <v>-1.2966107215787379E-3</v>
      </c>
      <c r="AC125" s="155"/>
      <c r="AD125" s="155"/>
    </row>
    <row r="126" spans="5:30" ht="11.25" customHeight="1" x14ac:dyDescent="0.2">
      <c r="E126" s="340"/>
      <c r="F126" s="340"/>
      <c r="G126" s="155"/>
      <c r="K126" s="155"/>
      <c r="L126" s="155"/>
      <c r="R126" s="183">
        <f>_xll.qlCalendarAdvance(Calendar,R125,"1D","f")</f>
        <v>42310</v>
      </c>
      <c r="S126" s="183">
        <f>_xll.qlCalendarAdvance(Calendar,R126,$F$1,"mf",,Trigger)</f>
        <v>42402</v>
      </c>
      <c r="T126" s="169">
        <f>_xll.qlDayCounterYearFraction(DayCounter,R126,S126,,,Trigger)</f>
        <v>0.25555555555555554</v>
      </c>
      <c r="U126" s="181">
        <f>_xll.qlInterpolationInterpolate(B3Minterpolation,R126,TRUE)</f>
        <v>1.2454981211293004E-3</v>
      </c>
      <c r="V126" s="184">
        <f>_xll.qlYieldTSDiscount(Discounting,R126,,AllTriggers)</f>
        <v>1.0005630702210155</v>
      </c>
      <c r="W126" s="184">
        <f>_xll.qlYieldTSDiscount(Discounting,S126,,AllTriggers)</f>
        <v>1.0008952396862634</v>
      </c>
      <c r="X126" s="181">
        <f t="shared" si="8"/>
        <v>-1.2986309736801281E-3</v>
      </c>
      <c r="AC126" s="155"/>
      <c r="AD126" s="155"/>
    </row>
    <row r="127" spans="5:30" ht="11.25" customHeight="1" x14ac:dyDescent="0.2">
      <c r="E127" s="340"/>
      <c r="F127" s="340"/>
      <c r="G127" s="155"/>
      <c r="K127" s="155"/>
      <c r="L127" s="155"/>
      <c r="R127" s="183">
        <f>_xll.qlCalendarAdvance(Calendar,R126,"1D","f")</f>
        <v>42311</v>
      </c>
      <c r="S127" s="183">
        <f>_xll.qlCalendarAdvance(Calendar,R127,$F$1,"mf",,Trigger)</f>
        <v>42403</v>
      </c>
      <c r="T127" s="169">
        <f>_xll.qlDayCounterYearFraction(DayCounter,R127,S127,,,Trigger)</f>
        <v>0.25555555555555554</v>
      </c>
      <c r="U127" s="181">
        <f>_xll.qlInterpolationInterpolate(B3Minterpolation,R127,TRUE)</f>
        <v>1.2467682998705833E-3</v>
      </c>
      <c r="V127" s="184">
        <f>_xll.qlYieldTSDiscount(Discounting,R127,,AllTriggers)</f>
        <v>1.0005667257609969</v>
      </c>
      <c r="W127" s="184">
        <f>_xll.qlYieldTSDiscount(Discounting,S127,,AllTriggers)</f>
        <v>1.0008993445072856</v>
      </c>
      <c r="X127" s="181">
        <f t="shared" si="8"/>
        <v>-1.3003821243910878E-3</v>
      </c>
      <c r="AC127" s="155"/>
      <c r="AD127" s="155"/>
    </row>
    <row r="128" spans="5:30" ht="11.25" customHeight="1" x14ac:dyDescent="0.2">
      <c r="E128" s="340"/>
      <c r="F128" s="340"/>
      <c r="G128" s="155"/>
      <c r="K128" s="155"/>
      <c r="L128" s="155"/>
      <c r="R128" s="183">
        <f>_xll.qlCalendarAdvance(Calendar,R127,"1D","f")</f>
        <v>42312</v>
      </c>
      <c r="S128" s="183">
        <f>_xll.qlCalendarAdvance(Calendar,R128,$F$1,"mf",,Trigger)</f>
        <v>42404</v>
      </c>
      <c r="T128" s="169">
        <f>_xll.qlDayCounterYearFraction(DayCounter,R128,S128,,,Trigger)</f>
        <v>0.25555555555555554</v>
      </c>
      <c r="U128" s="181">
        <f>_xll.qlInterpolationInterpolate(B3Minterpolation,R128,TRUE)</f>
        <v>1.2480369862428588E-3</v>
      </c>
      <c r="V128" s="184">
        <f>_xll.qlYieldTSDiscount(Discounting,R128,,AllTriggers)</f>
        <v>1.0005703874789305</v>
      </c>
      <c r="W128" s="184">
        <f>_xll.qlYieldTSDiscount(Discounting,S128,,AllTriggers)</f>
        <v>1.0009034450669314</v>
      </c>
      <c r="X128" s="181">
        <f t="shared" si="8"/>
        <v>-1.3020924536084708E-3</v>
      </c>
      <c r="AC128" s="155"/>
      <c r="AD128" s="155"/>
    </row>
    <row r="129" spans="5:30" ht="11.25" customHeight="1" x14ac:dyDescent="0.2">
      <c r="E129" s="340"/>
      <c r="F129" s="340"/>
      <c r="G129" s="155"/>
      <c r="K129" s="155"/>
      <c r="L129" s="155"/>
      <c r="R129" s="183">
        <f>_xll.qlCalendarAdvance(Calendar,R128,"1D","f")</f>
        <v>42313</v>
      </c>
      <c r="S129" s="183">
        <f>_xll.qlCalendarAdvance(Calendar,R129,$F$1,"mf",,Trigger)</f>
        <v>42405</v>
      </c>
      <c r="T129" s="169">
        <f>_xll.qlDayCounterYearFraction(DayCounter,R129,S129,,,Trigger)</f>
        <v>0.25555555555555554</v>
      </c>
      <c r="U129" s="181">
        <f>_xll.qlInterpolationInterpolate(B3Minterpolation,R129,TRUE)</f>
        <v>1.2493031640564438E-3</v>
      </c>
      <c r="V129" s="184">
        <f>_xll.qlYieldTSDiscount(Discounting,R129,,AllTriggers)</f>
        <v>1.0005740554886771</v>
      </c>
      <c r="W129" s="184">
        <f>_xll.qlYieldTSDiscount(Discounting,S129,,AllTriggers)</f>
        <v>1.0009075411969055</v>
      </c>
      <c r="X129" s="181">
        <f t="shared" si="8"/>
        <v>-1.3037608589862365E-3</v>
      </c>
      <c r="AC129" s="155"/>
      <c r="AD129" s="155"/>
    </row>
    <row r="130" spans="5:30" ht="11.25" customHeight="1" x14ac:dyDescent="0.2">
      <c r="E130" s="340"/>
      <c r="F130" s="340"/>
      <c r="G130" s="155"/>
      <c r="K130" s="155"/>
      <c r="L130" s="155"/>
      <c r="R130" s="183">
        <f>_xll.qlCalendarAdvance(Calendar,R129,"1D","f")</f>
        <v>42314</v>
      </c>
      <c r="S130" s="183">
        <f>_xll.qlCalendarAdvance(Calendar,R130,$F$1,"mf",,Trigger)</f>
        <v>42408</v>
      </c>
      <c r="T130" s="169">
        <f>_xll.qlDayCounterYearFraction(DayCounter,R130,S130,,,Trigger)</f>
        <v>0.26111111111111113</v>
      </c>
      <c r="U130" s="181">
        <f>_xll.qlInterpolationInterpolate(B3Minterpolation,R130,TRUE)</f>
        <v>1.2505658171216563E-3</v>
      </c>
      <c r="V130" s="184">
        <f>_xll.qlYieldTSDiscount(Discounting,R130,,AllTriggers)</f>
        <v>1.0005777299040994</v>
      </c>
      <c r="W130" s="184">
        <f>_xll.qlYieldTSDiscount(Discounting,S130,,AllTriggers)</f>
        <v>1.0009198013258063</v>
      </c>
      <c r="X130" s="181">
        <f t="shared" si="8"/>
        <v>-1.3088568756941413E-3</v>
      </c>
      <c r="AC130" s="155"/>
      <c r="AD130" s="155"/>
    </row>
    <row r="131" spans="5:30" ht="11.25" customHeight="1" x14ac:dyDescent="0.2">
      <c r="E131" s="340"/>
      <c r="F131" s="340"/>
      <c r="G131" s="155"/>
      <c r="K131" s="155"/>
      <c r="L131" s="155"/>
      <c r="R131" s="183">
        <f>_xll.qlCalendarAdvance(Calendar,R130,"1D","f")</f>
        <v>42317</v>
      </c>
      <c r="S131" s="183">
        <f>_xll.qlCalendarAdvance(Calendar,R131,$F$1,"mf",,Trigger)</f>
        <v>42409</v>
      </c>
      <c r="T131" s="169">
        <f>_xll.qlDayCounterYearFraction(DayCounter,R131,S131,,,Trigger)</f>
        <v>0.25555555555555554</v>
      </c>
      <c r="U131" s="181">
        <f>_xll.qlInterpolationInterpolate(B3Minterpolation,R131,TRUE)</f>
        <v>1.254322465930233E-3</v>
      </c>
      <c r="V131" s="184">
        <f>_xll.qlYieldTSDiscount(Discounting,R131,,AllTriggers)</f>
        <v>1.0005887927230701</v>
      </c>
      <c r="W131" s="184">
        <f>_xll.qlYieldTSDiscount(Discounting,S131,,AllTriggers)</f>
        <v>1.0009238780540886</v>
      </c>
      <c r="X131" s="181">
        <f t="shared" si="8"/>
        <v>-1.3099931952385304E-3</v>
      </c>
      <c r="AC131" s="155"/>
      <c r="AD131" s="155"/>
    </row>
    <row r="132" spans="5:30" ht="11.25" customHeight="1" x14ac:dyDescent="0.2">
      <c r="E132" s="340"/>
      <c r="F132" s="340"/>
      <c r="G132" s="155"/>
      <c r="K132" s="155"/>
      <c r="L132" s="155"/>
      <c r="R132" s="183">
        <f>_xll.qlCalendarAdvance(Calendar,R131,"1D","f")</f>
        <v>42318</v>
      </c>
      <c r="S132" s="183">
        <f>_xll.qlCalendarAdvance(Calendar,R132,$F$1,"mf",,Trigger)</f>
        <v>42410</v>
      </c>
      <c r="T132" s="169">
        <f>_xll.qlDayCounterYearFraction(DayCounter,R132,S132,,,Trigger)</f>
        <v>0.25555555555555554</v>
      </c>
      <c r="U132" s="181">
        <f>_xll.qlInterpolationInterpolate(B3Minterpolation,R132,TRUE)</f>
        <v>1.2555608581051299E-3</v>
      </c>
      <c r="V132" s="184">
        <f>_xll.qlYieldTSDiscount(Discounting,R132,,AllTriggers)</f>
        <v>1.0005924938998549</v>
      </c>
      <c r="W132" s="184">
        <f>_xll.qlYieldTSDiscount(Discounting,S132,,AllTriggers)</f>
        <v>1.0009279495111827</v>
      </c>
      <c r="X132" s="181">
        <f t="shared" ref="X132:X195" si="9">(V132/W132-1)/T132</f>
        <v>-1.3114354462706109E-3</v>
      </c>
      <c r="AC132" s="155"/>
      <c r="AD132" s="155"/>
    </row>
    <row r="133" spans="5:30" ht="11.25" customHeight="1" x14ac:dyDescent="0.2">
      <c r="E133" s="340"/>
      <c r="F133" s="340"/>
      <c r="G133" s="155"/>
      <c r="K133" s="155"/>
      <c r="L133" s="155"/>
      <c r="R133" s="183">
        <f>_xll.qlCalendarAdvance(Calendar,R132,"1D","f")</f>
        <v>42319</v>
      </c>
      <c r="S133" s="183">
        <f>_xll.qlCalendarAdvance(Calendar,R133,$F$1,"mf",,Trigger)</f>
        <v>42411</v>
      </c>
      <c r="T133" s="169">
        <f>_xll.qlDayCounterYearFraction(DayCounter,R133,S133,,,Trigger)</f>
        <v>0.25555555555555554</v>
      </c>
      <c r="U133" s="181">
        <f>_xll.qlInterpolationInterpolate(B3Minterpolation,R133,TRUE)</f>
        <v>1.2567906445832416E-3</v>
      </c>
      <c r="V133" s="184">
        <f>_xll.qlYieldTSDiscount(Discounting,R133,,AllTriggers)</f>
        <v>1.0005962020516546</v>
      </c>
      <c r="W133" s="184">
        <f>_xll.qlYieldTSDiscount(Discounting,S133,,AllTriggers)</f>
        <v>1.0009320155287775</v>
      </c>
      <c r="X133" s="181">
        <f t="shared" si="9"/>
        <v>-1.312829159405077E-3</v>
      </c>
      <c r="AC133" s="155"/>
      <c r="AD133" s="155"/>
    </row>
    <row r="134" spans="5:30" ht="11.25" customHeight="1" x14ac:dyDescent="0.2">
      <c r="E134" s="340"/>
      <c r="F134" s="340"/>
      <c r="G134" s="155"/>
      <c r="K134" s="155"/>
      <c r="L134" s="155"/>
      <c r="R134" s="183">
        <f>_xll.qlCalendarAdvance(Calendar,R133,"1D","f")</f>
        <v>42320</v>
      </c>
      <c r="S134" s="183">
        <f>_xll.qlCalendarAdvance(Calendar,R134,$F$1,"mf",,Trigger)</f>
        <v>42412</v>
      </c>
      <c r="T134" s="169">
        <f>_xll.qlDayCounterYearFraction(DayCounter,R134,S134,,,Trigger)</f>
        <v>0.25555555555555554</v>
      </c>
      <c r="U134" s="181">
        <f>_xll.qlInterpolationInterpolate(B3Minterpolation,R134,TRUE)</f>
        <v>1.2580108091748855E-3</v>
      </c>
      <c r="V134" s="184">
        <f>_xll.qlYieldTSDiscount(Discounting,R134,,AllTriggers)</f>
        <v>1.0005999172923425</v>
      </c>
      <c r="W134" s="184">
        <f>_xll.qlYieldTSDiscount(Discounting,S134,,AllTriggers)</f>
        <v>1.0009360759385595</v>
      </c>
      <c r="X134" s="181">
        <f t="shared" si="9"/>
        <v>-1.3141732322984952E-3</v>
      </c>
      <c r="AC134" s="155"/>
      <c r="AD134" s="155"/>
    </row>
    <row r="135" spans="5:30" ht="11.25" customHeight="1" x14ac:dyDescent="0.2">
      <c r="E135" s="340"/>
      <c r="F135" s="340"/>
      <c r="G135" s="155"/>
      <c r="K135" s="155"/>
      <c r="L135" s="155"/>
      <c r="R135" s="183">
        <f>_xll.qlCalendarAdvance(Calendar,R134,"1D","f")</f>
        <v>42321</v>
      </c>
      <c r="S135" s="183">
        <f>_xll.qlCalendarAdvance(Calendar,R135,$F$1,"mf",,Trigger)</f>
        <v>42415</v>
      </c>
      <c r="T135" s="169">
        <f>_xll.qlDayCounterYearFraction(DayCounter,R135,S135,,,Trigger)</f>
        <v>0.26111111111111113</v>
      </c>
      <c r="U135" s="181">
        <f>_xll.qlInterpolationInterpolate(B3Minterpolation,R135,TRUE)</f>
        <v>1.2592203356903793E-3</v>
      </c>
      <c r="V135" s="184">
        <f>_xll.qlYieldTSDiscount(Discounting,R135,,AllTriggers)</f>
        <v>1.0006036397357938</v>
      </c>
      <c r="W135" s="184">
        <f>_xll.qlYieldTSDiscount(Discounting,S135,,AllTriggers)</f>
        <v>1.0009482218378487</v>
      </c>
      <c r="X135" s="181">
        <f t="shared" si="9"/>
        <v>-1.3184259752281749E-3</v>
      </c>
      <c r="AC135" s="155"/>
      <c r="AD135" s="155"/>
    </row>
    <row r="136" spans="5:30" ht="11.25" customHeight="1" x14ac:dyDescent="0.2">
      <c r="E136" s="340"/>
      <c r="F136" s="340"/>
      <c r="G136" s="155"/>
      <c r="K136" s="155"/>
      <c r="L136" s="155"/>
      <c r="R136" s="183">
        <f>_xll.qlCalendarAdvance(Calendar,R135,"1D","f")</f>
        <v>42324</v>
      </c>
      <c r="S136" s="183">
        <f>_xll.qlCalendarAdvance(Calendar,R136,$F$1,"mf",,Trigger)</f>
        <v>42416</v>
      </c>
      <c r="T136" s="169">
        <f>_xll.qlDayCounterYearFraction(DayCounter,R136,S136,,,Trigger)</f>
        <v>0.25555555555555554</v>
      </c>
      <c r="U136" s="181">
        <f>_xll.qlInterpolationInterpolate(B3Minterpolation,R136,TRUE)</f>
        <v>1.2627749248831342E-3</v>
      </c>
      <c r="V136" s="184">
        <f>_xll.qlYieldTSDiscount(Discounting,R136,,AllTriggers)</f>
        <v>1.0006148514215074</v>
      </c>
      <c r="W136" s="184">
        <f>_xll.qlYieldTSDiscount(Discounting,S136,,AllTriggers)</f>
        <v>1.0009522581331867</v>
      </c>
      <c r="X136" s="181">
        <f t="shared" si="9"/>
        <v>-1.3190310745890977E-3</v>
      </c>
      <c r="AC136" s="155"/>
      <c r="AD136" s="155"/>
    </row>
    <row r="137" spans="5:30" ht="11.25" customHeight="1" x14ac:dyDescent="0.2">
      <c r="E137" s="340"/>
      <c r="F137" s="340"/>
      <c r="G137" s="155"/>
      <c r="K137" s="155"/>
      <c r="L137" s="155"/>
      <c r="R137" s="183">
        <f>_xll.qlCalendarAdvance(Calendar,R136,"1D","f")</f>
        <v>42325</v>
      </c>
      <c r="S137" s="183">
        <f>_xll.qlCalendarAdvance(Calendar,R137,$F$1,"mf",,Trigger)</f>
        <v>42417</v>
      </c>
      <c r="T137" s="169">
        <f>_xll.qlDayCounterYearFraction(DayCounter,R137,S137,,,Trigger)</f>
        <v>0.25555555555555554</v>
      </c>
      <c r="U137" s="181">
        <f>_xll.qlInterpolationInterpolate(B3Minterpolation,R137,TRUE)</f>
        <v>1.263931737197202E-3</v>
      </c>
      <c r="V137" s="184">
        <f>_xll.qlYieldTSDiscount(Discounting,R137,,AllTriggers)</f>
        <v>1.0006186038148013</v>
      </c>
      <c r="W137" s="184">
        <f>_xll.qlYieldTSDiscount(Discounting,S137,,AllTriggers)</f>
        <v>1.0009562879791025</v>
      </c>
      <c r="X137" s="181">
        <f t="shared" si="9"/>
        <v>-1.3201104111136021E-3</v>
      </c>
      <c r="AC137" s="155"/>
      <c r="AD137" s="155"/>
    </row>
    <row r="138" spans="5:30" ht="11.25" customHeight="1" x14ac:dyDescent="0.2">
      <c r="E138" s="340"/>
      <c r="F138" s="340"/>
      <c r="G138" s="155"/>
      <c r="K138" s="155"/>
      <c r="L138" s="155"/>
      <c r="R138" s="183">
        <f>_xll.qlCalendarAdvance(Calendar,R137,"1D","f")</f>
        <v>42326</v>
      </c>
      <c r="S138" s="183">
        <f>_xll.qlCalendarAdvance(Calendar,R138,$F$1,"mf",,Trigger)</f>
        <v>42418</v>
      </c>
      <c r="T138" s="169">
        <f>_xll.qlDayCounterYearFraction(DayCounter,R138,S138,,,Trigger)</f>
        <v>0.25555555555555554</v>
      </c>
      <c r="U138" s="181">
        <f>_xll.qlInterpolationInterpolate(B3Minterpolation,R138,TRUE)</f>
        <v>1.2650728304867069E-3</v>
      </c>
      <c r="V138" s="184">
        <f>_xll.qlYieldTSDiscount(Discounting,R138,,AllTriggers)</f>
        <v>1.0006223639802621</v>
      </c>
      <c r="W138" s="184">
        <f>_xll.qlYieldTSDiscount(Discounting,S138,,AllTriggers)</f>
        <v>1.0009603112072671</v>
      </c>
      <c r="X138" s="181">
        <f t="shared" si="9"/>
        <v>-1.321133493328635E-3</v>
      </c>
      <c r="AC138" s="155"/>
      <c r="AD138" s="155"/>
    </row>
    <row r="139" spans="5:30" ht="11.25" customHeight="1" x14ac:dyDescent="0.2">
      <c r="E139" s="340"/>
      <c r="F139" s="340"/>
      <c r="G139" s="155"/>
      <c r="K139" s="155"/>
      <c r="L139" s="155"/>
      <c r="R139" s="183">
        <f>_xll.qlCalendarAdvance(Calendar,R138,"1D","f")</f>
        <v>42327</v>
      </c>
      <c r="S139" s="183">
        <f>_xll.qlCalendarAdvance(Calendar,R139,$F$1,"mf",,Trigger)</f>
        <v>42419</v>
      </c>
      <c r="T139" s="169">
        <f>_xll.qlDayCounterYearFraction(DayCounter,R139,S139,,,Trigger)</f>
        <v>0.25555555555555554</v>
      </c>
      <c r="U139" s="181">
        <f>_xll.qlInterpolationInterpolate(B3Minterpolation,R139,TRUE)</f>
        <v>1.2661971885619668E-3</v>
      </c>
      <c r="V139" s="184">
        <f>_xll.qlYieldTSDiscount(Discounting,R139,,AllTriggers)</f>
        <v>1.0006261320317766</v>
      </c>
      <c r="W139" s="184">
        <f>_xll.qlYieldTSDiscount(Discounting,S139,,AllTriggers)</f>
        <v>1.0009643276493478</v>
      </c>
      <c r="X139" s="181">
        <f t="shared" si="9"/>
        <v>-1.3220992188816393E-3</v>
      </c>
      <c r="AC139" s="155"/>
      <c r="AD139" s="155"/>
    </row>
    <row r="140" spans="5:30" ht="11.25" customHeight="1" x14ac:dyDescent="0.2">
      <c r="E140" s="340"/>
      <c r="F140" s="340"/>
      <c r="G140" s="155"/>
      <c r="K140" s="155"/>
      <c r="L140" s="155"/>
      <c r="R140" s="183">
        <f>_xll.qlCalendarAdvance(Calendar,R139,"1D","f")</f>
        <v>42328</v>
      </c>
      <c r="S140" s="183">
        <f>_xll.qlCalendarAdvance(Calendar,R140,$F$1,"mf",,Trigger)</f>
        <v>42422</v>
      </c>
      <c r="T140" s="169">
        <f>_xll.qlDayCounterYearFraction(DayCounter,R140,S140,,,Trigger)</f>
        <v>0.26111111111111113</v>
      </c>
      <c r="U140" s="181">
        <f>_xll.qlInterpolationInterpolate(B3Minterpolation,R140,TRUE)</f>
        <v>1.2673037952332987E-3</v>
      </c>
      <c r="V140" s="184">
        <f>_xll.qlYieldTSDiscount(Discounting,R140,,AllTriggers)</f>
        <v>1.0006299080832328</v>
      </c>
      <c r="W140" s="184">
        <f>_xll.qlYieldTSDiscount(Discounting,S140,,AllTriggers)</f>
        <v>1.0009763345757272</v>
      </c>
      <c r="X140" s="181">
        <f t="shared" si="9"/>
        <v>-1.3254456800434725E-3</v>
      </c>
      <c r="AC140" s="155"/>
      <c r="AD140" s="155"/>
    </row>
    <row r="141" spans="5:30" ht="11.25" customHeight="1" x14ac:dyDescent="0.2">
      <c r="E141" s="340"/>
      <c r="F141" s="340"/>
      <c r="G141" s="155"/>
      <c r="K141" s="155"/>
      <c r="L141" s="155"/>
      <c r="R141" s="183">
        <f>_xll.qlCalendarAdvance(Calendar,R140,"1D","f")</f>
        <v>42331</v>
      </c>
      <c r="S141" s="183">
        <f>_xll.qlCalendarAdvance(Calendar,R141,$F$1,"mf",,Trigger)</f>
        <v>42423</v>
      </c>
      <c r="T141" s="169">
        <f>_xll.qlDayCounterYearFraction(DayCounter,R141,S141,,,Trigger)</f>
        <v>0.25555555555555554</v>
      </c>
      <c r="U141" s="181">
        <f>_xll.qlInterpolationInterpolate(B3Minterpolation,R141,TRUE)</f>
        <v>1.2705069449269028E-3</v>
      </c>
      <c r="V141" s="184">
        <f>_xll.qlYieldTSDiscount(Discounting,R141,,AllTriggers)</f>
        <v>1.0006412853761648</v>
      </c>
      <c r="W141" s="184">
        <f>_xll.qlYieldTSDiscount(Discounting,S141,,AllTriggers)</f>
        <v>1.0009803221901004</v>
      </c>
      <c r="X141" s="181">
        <f t="shared" si="9"/>
        <v>-1.3253665074635006E-3</v>
      </c>
      <c r="AC141" s="155"/>
      <c r="AD141" s="155"/>
    </row>
    <row r="142" spans="5:30" ht="11.25" customHeight="1" x14ac:dyDescent="0.2">
      <c r="E142" s="340"/>
      <c r="F142" s="340"/>
      <c r="G142" s="155"/>
      <c r="K142" s="155"/>
      <c r="L142" s="155"/>
      <c r="R142" s="183">
        <f>_xll.qlCalendarAdvance(Calendar,R141,"1D","f")</f>
        <v>42332</v>
      </c>
      <c r="S142" s="183">
        <f>_xll.qlCalendarAdvance(Calendar,R142,$F$1,"mf",,Trigger)</f>
        <v>42424</v>
      </c>
      <c r="T142" s="169">
        <f>_xll.qlDayCounterYearFraction(DayCounter,R142,S142,,,Trigger)</f>
        <v>0.25555555555555554</v>
      </c>
      <c r="U142" s="181">
        <f>_xll.qlInterpolationInterpolate(B3Minterpolation,R142,TRUE)</f>
        <v>1.2715323840856987E-3</v>
      </c>
      <c r="V142" s="184">
        <f>_xll.qlYieldTSDiscount(Discounting,R142,,AllTriggers)</f>
        <v>1.0006450945663097</v>
      </c>
      <c r="W142" s="184">
        <f>_xll.qlYieldTSDiscount(Discounting,S142,,AllTriggers)</f>
        <v>1.0009843021766904</v>
      </c>
      <c r="X142" s="181">
        <f t="shared" si="9"/>
        <v>-1.3260289144301702E-3</v>
      </c>
      <c r="AC142" s="155"/>
      <c r="AD142" s="155"/>
    </row>
    <row r="143" spans="5:30" ht="11.25" customHeight="1" x14ac:dyDescent="0.2">
      <c r="E143" s="340"/>
      <c r="F143" s="340"/>
      <c r="G143" s="155"/>
      <c r="K143" s="155"/>
      <c r="L143" s="155"/>
      <c r="R143" s="183">
        <f>_xll.qlCalendarAdvance(Calendar,R142,"1D","f")</f>
        <v>42333</v>
      </c>
      <c r="S143" s="183">
        <f>_xll.qlCalendarAdvance(Calendar,R143,$F$1,"mf",,Trigger)</f>
        <v>42425</v>
      </c>
      <c r="T143" s="169">
        <f>_xll.qlDayCounterYearFraction(DayCounter,R143,S143,,,Trigger)</f>
        <v>0.25555555555555554</v>
      </c>
      <c r="U143" s="181">
        <f>_xll.qlInterpolationInterpolate(B3Minterpolation,R143,TRUE)</f>
        <v>1.2725349908921542E-3</v>
      </c>
      <c r="V143" s="184">
        <f>_xll.qlYieldTSDiscount(Discounting,R143,,AllTriggers)</f>
        <v>1.0006489123258671</v>
      </c>
      <c r="W143" s="184">
        <f>_xll.qlYieldTSDiscount(Discounting,S143,,AllTriggers)</f>
        <v>1.0009882743671503</v>
      </c>
      <c r="X143" s="181">
        <f t="shared" si="9"/>
        <v>-1.3266273506073046E-3</v>
      </c>
      <c r="AC143" s="155"/>
      <c r="AD143" s="155"/>
    </row>
    <row r="144" spans="5:30" ht="11.25" customHeight="1" x14ac:dyDescent="0.2">
      <c r="E144" s="340"/>
      <c r="F144" s="340"/>
      <c r="G144" s="155"/>
      <c r="K144" s="155"/>
      <c r="L144" s="155"/>
      <c r="R144" s="183">
        <f>_xll.qlCalendarAdvance(Calendar,R143,"1D","f")</f>
        <v>42334</v>
      </c>
      <c r="S144" s="183">
        <f>_xll.qlCalendarAdvance(Calendar,R144,$F$1,"mf",,Trigger)</f>
        <v>42426</v>
      </c>
      <c r="T144" s="169">
        <f>_xll.qlDayCounterYearFraction(DayCounter,R144,S144,,,Trigger)</f>
        <v>0.25555555555555554</v>
      </c>
      <c r="U144" s="181">
        <f>_xll.qlInterpolationInterpolate(B3Minterpolation,R144,TRUE)</f>
        <v>1.2735137491565868E-3</v>
      </c>
      <c r="V144" s="184">
        <f>_xll.qlYieldTSDiscount(Discounting,R144,,AllTriggers)</f>
        <v>1.0006527387687358</v>
      </c>
      <c r="W144" s="184">
        <f>_xll.qlYieldTSDiscount(Discounting,S144,,AllTriggers)</f>
        <v>1.00099223859313</v>
      </c>
      <c r="X144" s="181">
        <f t="shared" si="9"/>
        <v>-1.3271607136371337E-3</v>
      </c>
      <c r="AC144" s="155"/>
      <c r="AD144" s="155"/>
    </row>
    <row r="145" spans="5:30" ht="11.25" customHeight="1" x14ac:dyDescent="0.2">
      <c r="E145" s="340"/>
      <c r="F145" s="340"/>
      <c r="G145" s="155"/>
      <c r="K145" s="155"/>
      <c r="L145" s="155"/>
      <c r="R145" s="183">
        <f>_xll.qlCalendarAdvance(Calendar,R144,"1D","f")</f>
        <v>42335</v>
      </c>
      <c r="S145" s="183">
        <f>_xll.qlCalendarAdvance(Calendar,R145,$F$1,"mf",,Trigger)</f>
        <v>42429</v>
      </c>
      <c r="T145" s="169">
        <f>_xll.qlDayCounterYearFraction(DayCounter,R145,S145,,,Trigger)</f>
        <v>0.26111111111111113</v>
      </c>
      <c r="U145" s="181">
        <f>_xll.qlInterpolationInterpolate(B3Minterpolation,R145,TRUE)</f>
        <v>1.2744676426893141E-3</v>
      </c>
      <c r="V145" s="184">
        <f>_xll.qlYieldTSDiscount(Discounting,R145,,AllTriggers)</f>
        <v>1.0006565740088189</v>
      </c>
      <c r="W145" s="184">
        <f>_xll.qlYieldTSDiscount(Discounting,S145,,AllTriggers)</f>
        <v>1.0010040818006538</v>
      </c>
      <c r="X145" s="181">
        <f t="shared" si="9"/>
        <v>-1.3295459320260951E-3</v>
      </c>
      <c r="AC145" s="155"/>
      <c r="AD145" s="155"/>
    </row>
    <row r="146" spans="5:30" ht="11.25" customHeight="1" x14ac:dyDescent="0.2">
      <c r="E146" s="340"/>
      <c r="F146" s="340"/>
      <c r="G146" s="155"/>
      <c r="K146" s="155"/>
      <c r="L146" s="155"/>
      <c r="R146" s="183">
        <f>_xll.qlCalendarAdvance(Calendar,R145,"1D","f")</f>
        <v>42338</v>
      </c>
      <c r="S146" s="183">
        <f>_xll.qlCalendarAdvance(Calendar,R146,$F$1,"mf",,Trigger)</f>
        <v>42429</v>
      </c>
      <c r="T146" s="169">
        <f>_xll.qlDayCounterYearFraction(DayCounter,R146,S146,,,Trigger)</f>
        <v>0.25277777777777777</v>
      </c>
      <c r="U146" s="181">
        <f>_xll.qlInterpolationInterpolate(B3Minterpolation,R146,TRUE)</f>
        <v>1.2771699730004388E-3</v>
      </c>
      <c r="V146" s="184">
        <f>_xll.qlYieldTSDiscount(Discounting,R146,,AllTriggers)</f>
        <v>1.0006681336513989</v>
      </c>
      <c r="W146" s="184">
        <f>_xll.qlYieldTSDiscount(Discounting,S146,,AllTriggers)</f>
        <v>1.0010040818006538</v>
      </c>
      <c r="X146" s="181">
        <f t="shared" si="9"/>
        <v>-1.3276925334941921E-3</v>
      </c>
      <c r="AC146" s="155"/>
      <c r="AD146" s="155"/>
    </row>
    <row r="147" spans="5:30" ht="11.25" customHeight="1" x14ac:dyDescent="0.2">
      <c r="E147" s="340"/>
      <c r="F147" s="340"/>
      <c r="G147" s="155"/>
      <c r="K147" s="155"/>
      <c r="L147" s="155"/>
      <c r="R147" s="183">
        <f>_xll.qlCalendarAdvance(Calendar,R146,"1D","f")</f>
        <v>42339</v>
      </c>
      <c r="S147" s="183">
        <f>_xll.qlCalendarAdvance(Calendar,R147,$F$1,"mf",,Trigger)</f>
        <v>42430</v>
      </c>
      <c r="T147" s="169">
        <f>_xll.qlDayCounterYearFraction(DayCounter,R147,S147,,,Trigger)</f>
        <v>0.25277777777777777</v>
      </c>
      <c r="U147" s="181">
        <f>_xll.qlInterpolationInterpolate(B3Minterpolation,R147,TRUE)</f>
        <v>1.2780142457095194E-3</v>
      </c>
      <c r="V147" s="184">
        <f>_xll.qlYieldTSDiscount(Discounting,R147,,AllTriggers)</f>
        <v>1.000666001187364</v>
      </c>
      <c r="W147" s="184">
        <f>_xll.qlYieldTSDiscount(Discounting,S147,,AllTriggers)</f>
        <v>1.0009993037154568</v>
      </c>
      <c r="X147" s="181">
        <f t="shared" si="9"/>
        <v>-1.317243125845581E-3</v>
      </c>
      <c r="AC147" s="155"/>
      <c r="AD147" s="155"/>
    </row>
    <row r="148" spans="5:30" ht="11.25" customHeight="1" x14ac:dyDescent="0.2">
      <c r="E148" s="340"/>
      <c r="F148" s="340"/>
      <c r="G148" s="155"/>
      <c r="K148" s="155"/>
      <c r="L148" s="155"/>
      <c r="R148" s="183">
        <f>_xll.qlCalendarAdvance(Calendar,R147,"1D","f")</f>
        <v>42340</v>
      </c>
      <c r="S148" s="183">
        <f>_xll.qlCalendarAdvance(Calendar,R148,$F$1,"mf",,Trigger)</f>
        <v>42431</v>
      </c>
      <c r="T148" s="169">
        <f>_xll.qlDayCounterYearFraction(DayCounter,R148,S148,,,Trigger)</f>
        <v>0.25277777777777777</v>
      </c>
      <c r="U148" s="181">
        <f>_xll.qlInterpolationInterpolate(B3Minterpolation,R148,TRUE)</f>
        <v>1.2788285727384824E-3</v>
      </c>
      <c r="V148" s="184">
        <f>_xll.qlYieldTSDiscount(Discounting,R148,,AllTriggers)</f>
        <v>1.0006698820988276</v>
      </c>
      <c r="W148" s="184">
        <f>_xll.qlYieldTSDiscount(Discounting,S148,,AllTriggers)</f>
        <v>1.001003225559582</v>
      </c>
      <c r="X148" s="181">
        <f t="shared" si="9"/>
        <v>-1.3173997341187438E-3</v>
      </c>
      <c r="AC148" s="155"/>
      <c r="AD148" s="155"/>
    </row>
    <row r="149" spans="5:30" ht="11.25" customHeight="1" x14ac:dyDescent="0.2">
      <c r="E149" s="340"/>
      <c r="F149" s="340"/>
      <c r="G149" s="155"/>
      <c r="K149" s="155"/>
      <c r="L149" s="155"/>
      <c r="R149" s="183">
        <f>_xll.qlCalendarAdvance(Calendar,R148,"1D","f")</f>
        <v>42341</v>
      </c>
      <c r="S149" s="183">
        <f>_xll.qlCalendarAdvance(Calendar,R149,$F$1,"mf",,Trigger)</f>
        <v>42432</v>
      </c>
      <c r="T149" s="169">
        <f>_xll.qlDayCounterYearFraction(DayCounter,R149,S149,,,Trigger)</f>
        <v>0.25277777777777777</v>
      </c>
      <c r="U149" s="181">
        <f>_xll.qlInterpolationInterpolate(B3Minterpolation,R149,TRUE)</f>
        <v>1.2796119378976449E-3</v>
      </c>
      <c r="V149" s="184">
        <f>_xll.qlYieldTSDiscount(Discounting,R149,,AllTriggers)</f>
        <v>1.0006737724909009</v>
      </c>
      <c r="W149" s="184">
        <f>_xll.qlYieldTSDiscount(Discounting,S149,,AllTriggers)</f>
        <v>1.0010071384291543</v>
      </c>
      <c r="X149" s="181">
        <f t="shared" si="9"/>
        <v>-1.3174834169991491E-3</v>
      </c>
      <c r="AC149" s="155"/>
      <c r="AD149" s="155"/>
    </row>
    <row r="150" spans="5:30" ht="11.25" customHeight="1" x14ac:dyDescent="0.2">
      <c r="E150" s="340"/>
      <c r="F150" s="340"/>
      <c r="G150" s="155"/>
      <c r="K150" s="155"/>
      <c r="L150" s="155"/>
      <c r="R150" s="183">
        <f>_xll.qlCalendarAdvance(Calendar,R149,"1D","f")</f>
        <v>42342</v>
      </c>
      <c r="S150" s="183">
        <f>_xll.qlCalendarAdvance(Calendar,R150,$F$1,"mf",,Trigger)</f>
        <v>42433</v>
      </c>
      <c r="T150" s="169">
        <f>_xll.qlDayCounterYearFraction(DayCounter,R150,S150,,,Trigger)</f>
        <v>0.25277777777777777</v>
      </c>
      <c r="U150" s="181">
        <f>_xll.qlInterpolationInterpolate(B3Minterpolation,R150,TRUE)</f>
        <v>1.2803633249973245E-3</v>
      </c>
      <c r="V150" s="184">
        <f>_xll.qlYieldTSDiscount(Discounting,R150,,AllTriggers)</f>
        <v>1.0006776724774993</v>
      </c>
      <c r="W150" s="184">
        <f>_xll.qlYieldTSDiscount(Discounting,S150,,AllTriggers)</f>
        <v>1.0010110421558085</v>
      </c>
      <c r="X150" s="181">
        <f t="shared" si="9"/>
        <v>-1.3174930599800685E-3</v>
      </c>
      <c r="AC150" s="155"/>
      <c r="AD150" s="155"/>
    </row>
    <row r="151" spans="5:30" ht="11.25" customHeight="1" x14ac:dyDescent="0.2">
      <c r="E151" s="340"/>
      <c r="F151" s="340"/>
      <c r="G151" s="155"/>
      <c r="K151" s="155"/>
      <c r="L151" s="155"/>
      <c r="R151" s="183">
        <f>_xll.qlCalendarAdvance(Calendar,R150,"1D","f")</f>
        <v>42345</v>
      </c>
      <c r="S151" s="183">
        <f>_xll.qlCalendarAdvance(Calendar,R151,$F$1,"mf",,Trigger)</f>
        <v>42436</v>
      </c>
      <c r="T151" s="169">
        <f>_xll.qlDayCounterYearFraction(DayCounter,R151,S151,,,Trigger)</f>
        <v>0.25277777777777777</v>
      </c>
      <c r="U151" s="181">
        <f>_xll.qlInterpolationInterpolate(B3Minterpolation,R151,TRUE)</f>
        <v>1.2824154560426408E-3</v>
      </c>
      <c r="V151" s="184">
        <f>_xll.qlYieldTSDiscount(Discounting,R151,,AllTriggers)</f>
        <v>1.0006894311436276</v>
      </c>
      <c r="W151" s="184">
        <f>_xll.qlYieldTSDiscount(Discounting,S151,,AllTriggers)</f>
        <v>1.0010226967945721</v>
      </c>
      <c r="X151" s="181">
        <f t="shared" si="9"/>
        <v>-1.3170666043813221E-3</v>
      </c>
      <c r="AC151" s="155"/>
      <c r="AD151" s="155"/>
    </row>
    <row r="152" spans="5:30" ht="11.25" customHeight="1" x14ac:dyDescent="0.2">
      <c r="E152" s="340"/>
      <c r="F152" s="340"/>
      <c r="G152" s="155"/>
      <c r="K152" s="155"/>
      <c r="L152" s="155"/>
      <c r="R152" s="183">
        <f>_xll.qlCalendarAdvance(Calendar,R151,"1D","f")</f>
        <v>42346</v>
      </c>
      <c r="S152" s="183">
        <f>_xll.qlCalendarAdvance(Calendar,R152,$F$1,"mf",,Trigger)</f>
        <v>42437</v>
      </c>
      <c r="T152" s="169">
        <f>_xll.qlDayCounterYearFraction(DayCounter,R152,S152,,,Trigger)</f>
        <v>0.25277777777777777</v>
      </c>
      <c r="U152" s="181">
        <f>_xll.qlInterpolationInterpolate(B3Minterpolation,R152,TRUE)</f>
        <v>1.2830287690075637E-3</v>
      </c>
      <c r="V152" s="184">
        <f>_xll.qlYieldTSDiscount(Discounting,R152,,AllTriggers)</f>
        <v>1.0006933706475194</v>
      </c>
      <c r="W152" s="184">
        <f>_xll.qlYieldTSDiscount(Discounting,S152,,AllTriggers)</f>
        <v>1.0010265622658516</v>
      </c>
      <c r="X152" s="181">
        <f t="shared" si="9"/>
        <v>-1.3167689425981881E-3</v>
      </c>
      <c r="AC152" s="155"/>
      <c r="AD152" s="155"/>
    </row>
    <row r="153" spans="5:30" ht="11.25" customHeight="1" x14ac:dyDescent="0.2">
      <c r="E153" s="340"/>
      <c r="F153" s="340"/>
      <c r="G153" s="155"/>
      <c r="K153" s="155"/>
      <c r="L153" s="155"/>
      <c r="R153" s="183">
        <f>_xll.qlCalendarAdvance(Calendar,R152,"1D","f")</f>
        <v>42347</v>
      </c>
      <c r="S153" s="183">
        <f>_xll.qlCalendarAdvance(Calendar,R153,$F$1,"mf",,Trigger)</f>
        <v>42438</v>
      </c>
      <c r="T153" s="169">
        <f>_xll.qlDayCounterYearFraction(DayCounter,R153,S153,,,Trigger)</f>
        <v>0.25277777777777777</v>
      </c>
      <c r="U153" s="181">
        <f>_xll.qlInterpolationInterpolate(B3Minterpolation,R153,TRUE)</f>
        <v>1.2836050229645909E-3</v>
      </c>
      <c r="V153" s="184">
        <f>_xll.qlYieldTSDiscount(Discounting,R153,,AllTriggers)</f>
        <v>1.0006973203155429</v>
      </c>
      <c r="W153" s="184">
        <f>_xll.qlYieldTSDiscount(Discounting,S153,,AllTriggers)</f>
        <v>1.0010304177523508</v>
      </c>
      <c r="X153" s="181">
        <f t="shared" si="9"/>
        <v>-1.3163916683134082E-3</v>
      </c>
      <c r="AC153" s="155"/>
      <c r="AD153" s="155"/>
    </row>
    <row r="154" spans="5:30" ht="11.25" customHeight="1" x14ac:dyDescent="0.2">
      <c r="E154" s="340"/>
      <c r="F154" s="340"/>
      <c r="G154" s="155"/>
      <c r="K154" s="155"/>
      <c r="L154" s="155"/>
      <c r="R154" s="183">
        <f>_xll.qlCalendarAdvance(Calendar,R153,"1D","f")</f>
        <v>42348</v>
      </c>
      <c r="S154" s="183">
        <f>_xll.qlCalendarAdvance(Calendar,R154,$F$1,"mf",,Trigger)</f>
        <v>42439</v>
      </c>
      <c r="T154" s="169">
        <f>_xll.qlDayCounterYearFraction(DayCounter,R154,S154,,,Trigger)</f>
        <v>0.25277777777777777</v>
      </c>
      <c r="U154" s="181">
        <f>_xll.qlInterpolationInterpolate(B3Minterpolation,R154,TRUE)</f>
        <v>1.2841432017240404E-3</v>
      </c>
      <c r="V154" s="184">
        <f>_xll.qlYieldTSDiscount(Discounting,R154,,AllTriggers)</f>
        <v>1.0007012801968453</v>
      </c>
      <c r="W154" s="184">
        <f>_xll.qlYieldTSDiscount(Discounting,S154,,AllTriggers)</f>
        <v>1.0010342630856892</v>
      </c>
      <c r="X154" s="181">
        <f t="shared" si="9"/>
        <v>-1.3159339229970317E-3</v>
      </c>
      <c r="AC154" s="155"/>
      <c r="AD154" s="155"/>
    </row>
    <row r="155" spans="5:30" ht="11.25" customHeight="1" x14ac:dyDescent="0.2">
      <c r="E155" s="340"/>
      <c r="F155" s="340"/>
      <c r="G155" s="155"/>
      <c r="K155" s="155"/>
      <c r="L155" s="155"/>
      <c r="R155" s="183">
        <f>_xll.qlCalendarAdvance(Calendar,R154,"1D","f")</f>
        <v>42349</v>
      </c>
      <c r="S155" s="183">
        <f>_xll.qlCalendarAdvance(Calendar,R155,$F$1,"mf",,Trigger)</f>
        <v>42440</v>
      </c>
      <c r="T155" s="169">
        <f>_xll.qlDayCounterYearFraction(DayCounter,R155,S155,,,Trigger)</f>
        <v>0.25277777777777777</v>
      </c>
      <c r="U155" s="181">
        <f>_xll.qlInterpolationInterpolate(B3Minterpolation,R155,TRUE)</f>
        <v>1.2846422890962293E-3</v>
      </c>
      <c r="V155" s="184">
        <f>_xll.qlYieldTSDiscount(Discounting,R155,,AllTriggers)</f>
        <v>1.0007052500814493</v>
      </c>
      <c r="W155" s="184">
        <f>_xll.qlYieldTSDiscount(Discounting,S155,,AllTriggers)</f>
        <v>1.0010380980974858</v>
      </c>
      <c r="X155" s="181">
        <f t="shared" si="9"/>
        <v>-1.3153958721702818E-3</v>
      </c>
      <c r="AC155" s="155"/>
      <c r="AD155" s="155"/>
    </row>
    <row r="156" spans="5:30" ht="11.25" customHeight="1" x14ac:dyDescent="0.2">
      <c r="E156" s="340"/>
      <c r="F156" s="340"/>
      <c r="G156" s="155"/>
      <c r="K156" s="155"/>
      <c r="L156" s="155"/>
      <c r="R156" s="183">
        <f>_xll.qlCalendarAdvance(Calendar,R155,"1D","f")</f>
        <v>42352</v>
      </c>
      <c r="S156" s="183">
        <f>_xll.qlCalendarAdvance(Calendar,R156,$F$1,"mf",,Trigger)</f>
        <v>42443</v>
      </c>
      <c r="T156" s="169">
        <f>_xll.qlDayCounterYearFraction(DayCounter,R156,S156,,,Trigger)</f>
        <v>0.25277777777777777</v>
      </c>
      <c r="U156" s="181">
        <f>_xll.qlInterpolationInterpolate(B3Minterpolation,R156,TRUE)</f>
        <v>1.2858948409924082E-3</v>
      </c>
      <c r="V156" s="184">
        <f>_xll.qlYieldTSDiscount(Discounting,R156,,AllTriggers)</f>
        <v>1.0007172170074365</v>
      </c>
      <c r="W156" s="184">
        <f>_xll.qlYieldTSDiscount(Discounting,S156,,AllTriggers)</f>
        <v>1.0010495395197725</v>
      </c>
      <c r="X156" s="181">
        <f t="shared" si="9"/>
        <v>-1.3133041018274097E-3</v>
      </c>
      <c r="AC156" s="155"/>
      <c r="AD156" s="155"/>
    </row>
    <row r="157" spans="5:30" ht="11.25" customHeight="1" x14ac:dyDescent="0.2">
      <c r="E157" s="340"/>
      <c r="F157" s="340"/>
      <c r="G157" s="155"/>
      <c r="K157" s="155"/>
      <c r="L157" s="155"/>
      <c r="R157" s="183">
        <f>_xll.qlCalendarAdvance(Calendar,R156,"1D","f")</f>
        <v>42353</v>
      </c>
      <c r="S157" s="183">
        <f>_xll.qlCalendarAdvance(Calendar,R157,$F$1,"mf",,Trigger)</f>
        <v>42444</v>
      </c>
      <c r="T157" s="169">
        <f>_xll.qlDayCounterYearFraction(DayCounter,R157,S157,,,Trigger)</f>
        <v>0.25277777777777777</v>
      </c>
      <c r="U157" s="181">
        <f>_xll.qlInterpolationInterpolate(B3Minterpolation,R157,TRUE)</f>
        <v>1.2862274009187303E-3</v>
      </c>
      <c r="V157" s="184">
        <f>_xll.qlYieldTSDiscount(Discounting,R157,,AllTriggers)</f>
        <v>1.0007212241575918</v>
      </c>
      <c r="W157" s="184">
        <f>_xll.qlYieldTSDiscount(Discounting,S157,,AllTriggers)</f>
        <v>1.0010533315615384</v>
      </c>
      <c r="X157" s="181">
        <f t="shared" si="9"/>
        <v>-1.3124490441394591E-3</v>
      </c>
      <c r="AC157" s="155"/>
      <c r="AD157" s="155"/>
    </row>
    <row r="158" spans="5:30" ht="11.25" customHeight="1" x14ac:dyDescent="0.2">
      <c r="E158" s="340"/>
      <c r="F158" s="340"/>
      <c r="G158" s="155"/>
      <c r="K158" s="155"/>
      <c r="L158" s="155"/>
      <c r="R158" s="183">
        <f>_xll.qlCalendarAdvance(Calendar,R157,"1D","f")</f>
        <v>42354</v>
      </c>
      <c r="S158" s="183">
        <f>_xll.qlCalendarAdvance(Calendar,R158,$F$1,"mf",,Trigger)</f>
        <v>42445</v>
      </c>
      <c r="T158" s="169">
        <f>_xll.qlDayCounterYearFraction(DayCounter,R158,S158,,,Trigger)</f>
        <v>0.25277777777777777</v>
      </c>
      <c r="U158" s="181">
        <f>_xll.qlInterpolationInterpolate(B3Minterpolation,R158,TRUE)</f>
        <v>1.2865157885093791E-3</v>
      </c>
      <c r="V158" s="184">
        <f>_xll.qlYieldTSDiscount(Discounting,R158,,AllTriggers)</f>
        <v>1.0007252399372006</v>
      </c>
      <c r="W158" s="184">
        <f>_xll.qlYieldTSDiscount(Discounting,S158,,AllTriggers)</f>
        <v>1.00105711243982</v>
      </c>
      <c r="X158" s="181">
        <f t="shared" si="9"/>
        <v>-1.3115157885093208E-3</v>
      </c>
      <c r="AC158" s="155"/>
      <c r="AD158" s="155"/>
    </row>
    <row r="159" spans="5:30" ht="11.25" customHeight="1" x14ac:dyDescent="0.2">
      <c r="E159" s="340"/>
      <c r="F159" s="340"/>
      <c r="G159" s="155"/>
      <c r="K159" s="155"/>
      <c r="L159" s="155"/>
      <c r="R159" s="183">
        <f>_xll.qlCalendarAdvance(Calendar,R158,"1D","f")</f>
        <v>42355</v>
      </c>
      <c r="S159" s="183">
        <f>_xll.qlCalendarAdvance(Calendar,R159,$F$1,"mf",,Trigger)</f>
        <v>42446</v>
      </c>
      <c r="T159" s="169">
        <f>_xll.qlDayCounterYearFraction(DayCounter,R159,S159,,,Trigger)</f>
        <v>0.25277777777777777</v>
      </c>
      <c r="U159" s="181">
        <f>_xll.qlInterpolationInterpolate(B3Minterpolation,R159,TRUE)</f>
        <v>1.2867785529780123E-3</v>
      </c>
      <c r="V159" s="184">
        <f>_xll.qlYieldTSDiscount(Discounting,R159,,AllTriggers)</f>
        <v>1.0007292640714809</v>
      </c>
      <c r="W159" s="184">
        <f>_xll.qlYieldTSDiscount(Discounting,S159,,AllTriggers)</f>
        <v>1.0010608820752711</v>
      </c>
      <c r="X159" s="181">
        <f t="shared" si="9"/>
        <v>-1.3105051082309513E-3</v>
      </c>
      <c r="AC159" s="155"/>
      <c r="AD159" s="155"/>
    </row>
    <row r="160" spans="5:30" ht="11.25" customHeight="1" x14ac:dyDescent="0.2">
      <c r="E160" s="340"/>
      <c r="F160" s="340"/>
      <c r="G160" s="155"/>
      <c r="K160" s="155"/>
      <c r="L160" s="155"/>
      <c r="R160" s="183">
        <f>_xll.qlCalendarAdvance(Calendar,R159,"1D","f")</f>
        <v>42356</v>
      </c>
      <c r="S160" s="183">
        <f>_xll.qlCalendarAdvance(Calendar,R160,$F$1,"mf",,Trigger)</f>
        <v>42447</v>
      </c>
      <c r="T160" s="169">
        <f>_xll.qlDayCounterYearFraction(DayCounter,R160,S160,,,Trigger)</f>
        <v>0.25277777777777777</v>
      </c>
      <c r="U160" s="181">
        <f>_xll.qlInterpolationInterpolate(B3Minterpolation,R160,TRUE)</f>
        <v>1.2870349765438376E-3</v>
      </c>
      <c r="V160" s="184">
        <f>_xll.qlYieldTSDiscount(Discounting,R160,,AllTriggers)</f>
        <v>1.0007332962856457</v>
      </c>
      <c r="W160" s="184">
        <f>_xll.qlYieldTSDiscount(Discounting,S160,,AllTriggers)</f>
        <v>1.0010646407447401</v>
      </c>
      <c r="X160" s="181">
        <f t="shared" si="9"/>
        <v>-1.309419183754457E-3</v>
      </c>
      <c r="AC160" s="155"/>
      <c r="AD160" s="155"/>
    </row>
    <row r="161" spans="5:30" ht="11.25" customHeight="1" x14ac:dyDescent="0.2">
      <c r="E161" s="340"/>
      <c r="F161" s="340"/>
      <c r="G161" s="155"/>
      <c r="K161" s="155"/>
      <c r="L161" s="155"/>
      <c r="R161" s="183">
        <f>_xll.qlCalendarAdvance(Calendar,R160,"1D","f")</f>
        <v>42359</v>
      </c>
      <c r="S161" s="183">
        <f>_xll.qlCalendarAdvance(Calendar,R161,$F$1,"mf",,Trigger)</f>
        <v>42450</v>
      </c>
      <c r="T161" s="169">
        <f>_xll.qlDayCounterYearFraction(DayCounter,R161,S161,,,Trigger)</f>
        <v>0.25277777777777777</v>
      </c>
      <c r="U161" s="181">
        <f>_xll.qlInterpolationInterpolate(B3Minterpolation,R161,TRUE)</f>
        <v>1.2877670350108987E-3</v>
      </c>
      <c r="V161" s="184">
        <f>_xll.qlYieldTSDiscount(Discounting,R161,,AllTriggers)</f>
        <v>1.0007454386595234</v>
      </c>
      <c r="W161" s="184">
        <f>_xll.qlYieldTSDiscount(Discounting,S161,,AllTriggers)</f>
        <v>1.0010758546163154</v>
      </c>
      <c r="X161" s="181">
        <f t="shared" si="9"/>
        <v>-1.3057352675322725E-3</v>
      </c>
      <c r="AC161" s="155"/>
      <c r="AD161" s="155"/>
    </row>
    <row r="162" spans="5:30" ht="11.25" customHeight="1" x14ac:dyDescent="0.2">
      <c r="E162" s="340"/>
      <c r="F162" s="340"/>
      <c r="G162" s="155"/>
      <c r="K162" s="155"/>
      <c r="L162" s="155"/>
      <c r="R162" s="183">
        <f>_xll.qlCalendarAdvance(Calendar,R161,"1D","f")</f>
        <v>42360</v>
      </c>
      <c r="S162" s="183">
        <f>_xll.qlCalendarAdvance(Calendar,R162,$F$1,"mf",,Trigger)</f>
        <v>42451</v>
      </c>
      <c r="T162" s="169">
        <f>_xll.qlDayCounterYearFraction(DayCounter,R162,S162,,,Trigger)</f>
        <v>0.25277777777777777</v>
      </c>
      <c r="U162" s="181">
        <f>_xll.qlInterpolationInterpolate(B3Minterpolation,R162,TRUE)</f>
        <v>1.2879989281519247E-3</v>
      </c>
      <c r="V162" s="184">
        <f>_xll.qlYieldTSDiscount(Discounting,R162,,AllTriggers)</f>
        <v>1.0007495004452798</v>
      </c>
      <c r="W162" s="184">
        <f>_xll.qlYieldTSDiscount(Discounting,S162,,AllTriggers)</f>
        <v>1.0010795730809445</v>
      </c>
      <c r="X162" s="181">
        <f t="shared" si="9"/>
        <v>-1.3043736886553736E-3</v>
      </c>
      <c r="AC162" s="155"/>
      <c r="AD162" s="155"/>
    </row>
    <row r="163" spans="5:30" ht="11.25" customHeight="1" x14ac:dyDescent="0.2">
      <c r="E163" s="340"/>
      <c r="F163" s="340"/>
      <c r="G163" s="155"/>
      <c r="K163" s="155"/>
      <c r="L163" s="155"/>
      <c r="R163" s="183">
        <f>_xll.qlCalendarAdvance(Calendar,R162,"1D","f")</f>
        <v>42361</v>
      </c>
      <c r="S163" s="183">
        <f>_xll.qlCalendarAdvance(Calendar,R163,$F$1,"mf",,Trigger)</f>
        <v>42452</v>
      </c>
      <c r="T163" s="169">
        <f>_xll.qlDayCounterYearFraction(DayCounter,R163,S163,,,Trigger)</f>
        <v>0.25277777777777777</v>
      </c>
      <c r="U163" s="181">
        <f>_xll.qlInterpolationInterpolate(B3Minterpolation,R163,TRUE)</f>
        <v>1.288224896983359E-3</v>
      </c>
      <c r="V163" s="184">
        <f>_xll.qlYieldTSDiscount(Discounting,R163,,AllTriggers)</f>
        <v>1.0007535689369256</v>
      </c>
      <c r="W163" s="184">
        <f>_xll.qlYieldTSDiscount(Discounting,S163,,AllTriggers)</f>
        <v>1.0010832824091647</v>
      </c>
      <c r="X163" s="181">
        <f t="shared" si="9"/>
        <v>-1.3029495267755189E-3</v>
      </c>
      <c r="AC163" s="155"/>
      <c r="AD163" s="155"/>
    </row>
    <row r="164" spans="5:30" ht="11.25" customHeight="1" x14ac:dyDescent="0.2">
      <c r="E164" s="340"/>
      <c r="F164" s="340"/>
      <c r="G164" s="155"/>
      <c r="K164" s="155"/>
      <c r="L164" s="155"/>
      <c r="R164" s="183">
        <f>_xll.qlCalendarAdvance(Calendar,R163,"1D","f")</f>
        <v>42362</v>
      </c>
      <c r="S164" s="183">
        <f>_xll.qlCalendarAdvance(Calendar,R164,$F$1,"mf",,Trigger)</f>
        <v>42453</v>
      </c>
      <c r="T164" s="169">
        <f>_xll.qlDayCounterYearFraction(DayCounter,R164,S164,,,Trigger)</f>
        <v>0.25277777777777777</v>
      </c>
      <c r="U164" s="181">
        <f>_xll.qlInterpolationInterpolate(B3Minterpolation,R164,TRUE)</f>
        <v>1.2884450248238446E-3</v>
      </c>
      <c r="V164" s="184">
        <f>_xll.qlYieldTSDiscount(Discounting,R164,,AllTriggers)</f>
        <v>1.000757643859649</v>
      </c>
      <c r="W164" s="184">
        <f>_xll.qlYieldTSDiscount(Discounting,S164,,AllTriggers)</f>
        <v>1.0010869829669069</v>
      </c>
      <c r="X164" s="181">
        <f t="shared" si="9"/>
        <v>-1.3014653141277897E-3</v>
      </c>
      <c r="AC164" s="155"/>
      <c r="AD164" s="155"/>
    </row>
    <row r="165" spans="5:30" ht="11.25" customHeight="1" x14ac:dyDescent="0.2">
      <c r="E165" s="340"/>
      <c r="F165" s="340"/>
      <c r="G165" s="155"/>
      <c r="K165" s="155"/>
      <c r="L165" s="155"/>
      <c r="R165" s="183">
        <f>_xll.qlCalendarAdvance(Calendar,R164,"1D","f")</f>
        <v>42366</v>
      </c>
      <c r="S165" s="183">
        <f>_xll.qlCalendarAdvance(Calendar,R165,$F$1,"mf",,Trigger)</f>
        <v>42458</v>
      </c>
      <c r="T165" s="169">
        <f>_xll.qlDayCounterYearFraction(DayCounter,R165,S165,,,Trigger)</f>
        <v>0.25555555555555554</v>
      </c>
      <c r="U165" s="181">
        <f>_xll.qlInterpolationInterpolate(B3Minterpolation,R165,TRUE)</f>
        <v>1.2892687926491658E-3</v>
      </c>
      <c r="V165" s="184">
        <f>_xll.qlYieldTSDiscount(Discounting,R165,,AllTriggers)</f>
        <v>1.0007740023649234</v>
      </c>
      <c r="W165" s="184">
        <f>_xll.qlYieldTSDiscount(Discounting,S165,,AllTriggers)</f>
        <v>1.0011053670064547</v>
      </c>
      <c r="X165" s="181">
        <f t="shared" si="9"/>
        <v>-1.2952125642354867E-3</v>
      </c>
      <c r="AC165" s="155"/>
      <c r="AD165" s="155"/>
    </row>
    <row r="166" spans="5:30" ht="11.25" customHeight="1" x14ac:dyDescent="0.2">
      <c r="E166" s="340"/>
      <c r="F166" s="340"/>
      <c r="G166" s="155"/>
      <c r="K166" s="155"/>
      <c r="L166" s="155"/>
      <c r="R166" s="183">
        <f>_xll.qlCalendarAdvance(Calendar,R165,"1D","f")</f>
        <v>42367</v>
      </c>
      <c r="S166" s="183">
        <f>_xll.qlCalendarAdvance(Calendar,R166,$F$1,"mf",,Trigger)</f>
        <v>42458</v>
      </c>
      <c r="T166" s="169">
        <f>_xll.qlDayCounterYearFraction(DayCounter,R166,S166,,,Trigger)</f>
        <v>0.25277777777777777</v>
      </c>
      <c r="U166" s="181">
        <f>_xll.qlInterpolationInterpolate(B3Minterpolation,R166,TRUE)</f>
        <v>1.2894609653145569E-3</v>
      </c>
      <c r="V166" s="184">
        <f>_xll.qlYieldTSDiscount(Discounting,R166,,AllTriggers)</f>
        <v>1.0007781053207008</v>
      </c>
      <c r="W166" s="184">
        <f>_xll.qlYieldTSDiscount(Discounting,S166,,AllTriggers)</f>
        <v>1.0011053670064547</v>
      </c>
      <c r="X166" s="181">
        <f t="shared" si="9"/>
        <v>-1.2932321178566702E-3</v>
      </c>
      <c r="AC166" s="155"/>
      <c r="AD166" s="155"/>
    </row>
    <row r="167" spans="5:30" ht="11.25" customHeight="1" x14ac:dyDescent="0.2">
      <c r="E167" s="340"/>
      <c r="F167" s="340"/>
      <c r="G167" s="155"/>
      <c r="K167" s="155"/>
      <c r="L167" s="155"/>
      <c r="R167" s="183">
        <f>_xll.qlCalendarAdvance(Calendar,R166,"1D","f")</f>
        <v>42368</v>
      </c>
      <c r="S167" s="183">
        <f>_xll.qlCalendarAdvance(Calendar,R167,$F$1,"mf",,Trigger)</f>
        <v>42459</v>
      </c>
      <c r="T167" s="169">
        <f>_xll.qlDayCounterYearFraction(DayCounter,R167,S167,,,Trigger)</f>
        <v>0.25277777777777777</v>
      </c>
      <c r="U167" s="181">
        <f>_xll.qlInterpolationInterpolate(B3Minterpolation,R167,TRUE)</f>
        <v>1.2896477969008586E-3</v>
      </c>
      <c r="V167" s="184">
        <f>_xll.qlYieldTSDiscount(Discounting,R167,,AllTriggers)</f>
        <v>1.0007822130585915</v>
      </c>
      <c r="W167" s="184">
        <f>_xll.qlYieldTSDiscount(Discounting,S167,,AllTriggers)</f>
        <v>1.00110902262621</v>
      </c>
      <c r="X167" s="181">
        <f t="shared" si="9"/>
        <v>-1.29144077771188E-3</v>
      </c>
      <c r="AC167" s="155"/>
      <c r="AD167" s="155"/>
    </row>
    <row r="168" spans="5:30" ht="11.25" customHeight="1" x14ac:dyDescent="0.2">
      <c r="E168" s="340"/>
      <c r="F168" s="340"/>
      <c r="G168" s="155"/>
      <c r="K168" s="155"/>
      <c r="L168" s="155"/>
      <c r="R168" s="183">
        <f>_xll.qlCalendarAdvance(Calendar,R167,"1D","f")</f>
        <v>42369</v>
      </c>
      <c r="S168" s="183">
        <f>_xll.qlCalendarAdvance(Calendar,R168,$F$1,"mf",,Trigger)</f>
        <v>42460</v>
      </c>
      <c r="T168" s="169">
        <f>_xll.qlDayCounterYearFraction(DayCounter,R168,S168,,,Trigger)</f>
        <v>0.25277777777777777</v>
      </c>
      <c r="U168" s="181">
        <f>_xll.qlInterpolationInterpolate(B3Minterpolation,R168,TRUE)</f>
        <v>1.2898293707267142E-3</v>
      </c>
      <c r="V168" s="184">
        <f>_xll.qlYieldTSDiscount(Discounting,R168,,AllTriggers)</f>
        <v>1.0007863253037526</v>
      </c>
      <c r="W168" s="184">
        <f>_xll.qlYieldTSDiscount(Discounting,S168,,AllTriggers)</f>
        <v>1.0011126720371657</v>
      </c>
      <c r="X168" s="181">
        <f t="shared" si="9"/>
        <v>-1.2896071125207647E-3</v>
      </c>
      <c r="AC168" s="155"/>
      <c r="AD168" s="155"/>
    </row>
    <row r="169" spans="5:30" ht="11.25" customHeight="1" x14ac:dyDescent="0.2">
      <c r="E169" s="340"/>
      <c r="F169" s="340"/>
      <c r="G169" s="155"/>
      <c r="K169" s="155"/>
      <c r="L169" s="155"/>
      <c r="R169" s="183">
        <f>_xll.qlCalendarAdvance(Calendar,R168,"1D","f")</f>
        <v>42373</v>
      </c>
      <c r="S169" s="183">
        <f>_xll.qlCalendarAdvance(Calendar,R169,$F$1,"mf",,Trigger)</f>
        <v>42464</v>
      </c>
      <c r="T169" s="169">
        <f>_xll.qlDayCounterYearFraction(DayCounter,R169,S169,,,Trigger)</f>
        <v>0.25277777777777777</v>
      </c>
      <c r="U169" s="181">
        <f>_xll.qlInterpolationInterpolate(B3Minterpolation,R169,TRUE)</f>
        <v>1.2905047547985408E-3</v>
      </c>
      <c r="V169" s="184">
        <f>_xll.qlYieldTSDiscount(Discounting,R169,,AllTriggers)</f>
        <v>1.0007796953150905</v>
      </c>
      <c r="W169" s="184">
        <f>_xll.qlYieldTSDiscount(Discounting,S169,,AllTriggers)</f>
        <v>1.0011213082620281</v>
      </c>
      <c r="X169" s="181">
        <f t="shared" si="9"/>
        <v>-1.349922155172992E-3</v>
      </c>
      <c r="AC169" s="155"/>
      <c r="AD169" s="155"/>
    </row>
    <row r="170" spans="5:30" ht="11.25" customHeight="1" x14ac:dyDescent="0.2">
      <c r="E170" s="340"/>
      <c r="F170" s="340"/>
      <c r="G170" s="155"/>
      <c r="K170" s="155"/>
      <c r="L170" s="155"/>
      <c r="R170" s="183">
        <f>_xll.qlCalendarAdvance(Calendar,R169,"1D","f")</f>
        <v>42374</v>
      </c>
      <c r="S170" s="183">
        <f>_xll.qlCalendarAdvance(Calendar,R170,$F$1,"mf",,Trigger)</f>
        <v>42465</v>
      </c>
      <c r="T170" s="169">
        <f>_xll.qlDayCounterYearFraction(DayCounter,R170,S170,,,Trigger)</f>
        <v>0.25277777777777777</v>
      </c>
      <c r="U170" s="181">
        <f>_xll.qlInterpolationInterpolate(B3Minterpolation,R170,TRUE)</f>
        <v>1.2906612896018143E-3</v>
      </c>
      <c r="V170" s="184">
        <f>_xll.qlYieldTSDiscount(Discounting,R170,,AllTriggers)</f>
        <v>1.0007838258783879</v>
      </c>
      <c r="W170" s="184">
        <f>_xll.qlYieldTSDiscount(Discounting,S170,,AllTriggers)</f>
        <v>1.0011249320973548</v>
      </c>
      <c r="X170" s="181">
        <f t="shared" si="9"/>
        <v>-1.3479148831962264E-3</v>
      </c>
      <c r="AC170" s="155"/>
      <c r="AD170" s="155"/>
    </row>
    <row r="171" spans="5:30" ht="11.25" customHeight="1" x14ac:dyDescent="0.2">
      <c r="E171" s="340"/>
      <c r="F171" s="340"/>
      <c r="G171" s="155"/>
      <c r="K171" s="155"/>
      <c r="L171" s="155"/>
      <c r="R171" s="183">
        <f>_xll.qlCalendarAdvance(Calendar,R170,"1D","f")</f>
        <v>42375</v>
      </c>
      <c r="S171" s="183">
        <f>_xll.qlCalendarAdvance(Calendar,R171,$F$1,"mf",,Trigger)</f>
        <v>42466</v>
      </c>
      <c r="T171" s="169">
        <f>_xll.qlDayCounterYearFraction(DayCounter,R171,S171,,,Trigger)</f>
        <v>0.25277777777777777</v>
      </c>
      <c r="U171" s="181">
        <f>_xll.qlInterpolationInterpolate(B3Minterpolation,R171,TRUE)</f>
        <v>1.2908130665565012E-3</v>
      </c>
      <c r="V171" s="184">
        <f>_xll.qlYieldTSDiscount(Discounting,R171,,AllTriggers)</f>
        <v>1.0007879592997391</v>
      </c>
      <c r="W171" s="184">
        <f>_xll.qlYieldTSDiscount(Discounting,S171,,AllTriggers)</f>
        <v>1.001128551919843</v>
      </c>
      <c r="X171" s="181">
        <f t="shared" si="9"/>
        <v>-1.3458804802354079E-3</v>
      </c>
      <c r="AC171" s="155"/>
      <c r="AD171" s="155"/>
    </row>
    <row r="172" spans="5:30" ht="11.25" customHeight="1" x14ac:dyDescent="0.2">
      <c r="E172" s="340"/>
      <c r="F172" s="340"/>
      <c r="G172" s="155"/>
      <c r="K172" s="155"/>
      <c r="L172" s="155"/>
      <c r="R172" s="183">
        <f>_xll.qlCalendarAdvance(Calendar,R171,"1D","f")</f>
        <v>42376</v>
      </c>
      <c r="S172" s="183">
        <f>_xll.qlCalendarAdvance(Calendar,R172,$F$1,"mf",,Trigger)</f>
        <v>42467</v>
      </c>
      <c r="T172" s="169">
        <f>_xll.qlDayCounterYearFraction(DayCounter,R172,S172,,,Trigger)</f>
        <v>0.25277777777777777</v>
      </c>
      <c r="U172" s="181">
        <f>_xll.qlInterpolationInterpolate(B3Minterpolation,R172,TRUE)</f>
        <v>1.2909601689812446E-3</v>
      </c>
      <c r="V172" s="184">
        <f>_xll.qlYieldTSDiscount(Discounting,R172,,AllTriggers)</f>
        <v>1.0007920953042759</v>
      </c>
      <c r="W172" s="184">
        <f>_xll.qlYieldTSDiscount(Discounting,S172,,AllTriggers)</f>
        <v>1.001132168095499</v>
      </c>
      <c r="X172" s="181">
        <f t="shared" si="9"/>
        <v>-1.3438214785291311E-3</v>
      </c>
      <c r="AC172" s="155"/>
      <c r="AD172" s="155"/>
    </row>
    <row r="173" spans="5:30" ht="11.25" customHeight="1" x14ac:dyDescent="0.2">
      <c r="E173" s="340"/>
      <c r="F173" s="340"/>
      <c r="G173" s="155"/>
      <c r="K173" s="155"/>
      <c r="L173" s="155"/>
      <c r="R173" s="183">
        <f>_xll.qlCalendarAdvance(Calendar,R172,"1D","f")</f>
        <v>42377</v>
      </c>
      <c r="S173" s="183">
        <f>_xll.qlCalendarAdvance(Calendar,R173,$F$1,"mf",,Trigger)</f>
        <v>42468</v>
      </c>
      <c r="T173" s="169">
        <f>_xll.qlDayCounterYearFraction(DayCounter,R173,S173,,,Trigger)</f>
        <v>0.25277777777777777</v>
      </c>
      <c r="U173" s="181">
        <f>_xll.qlInterpolationInterpolate(B3Minterpolation,R173,TRUE)</f>
        <v>1.2911026801946876E-3</v>
      </c>
      <c r="V173" s="184">
        <f>_xll.qlYieldTSDiscount(Discounting,R173,,AllTriggers)</f>
        <v>1.0007962336171268</v>
      </c>
      <c r="W173" s="184">
        <f>_xll.qlYieldTSDiscount(Discounting,S173,,AllTriggers)</f>
        <v>1.0011357809903345</v>
      </c>
      <c r="X173" s="181">
        <f t="shared" si="9"/>
        <v>-1.3417404103168694E-3</v>
      </c>
      <c r="AC173" s="155"/>
      <c r="AD173" s="155"/>
    </row>
    <row r="174" spans="5:30" ht="11.25" customHeight="1" x14ac:dyDescent="0.2">
      <c r="E174" s="340"/>
      <c r="F174" s="340"/>
      <c r="G174" s="155"/>
      <c r="K174" s="155"/>
      <c r="L174" s="155"/>
      <c r="R174" s="183">
        <f>_xll.qlCalendarAdvance(Calendar,R173,"1D","f")</f>
        <v>42380</v>
      </c>
      <c r="S174" s="183">
        <f>_xll.qlCalendarAdvance(Calendar,R174,$F$1,"mf",,Trigger)</f>
        <v>42471</v>
      </c>
      <c r="T174" s="169">
        <f>_xll.qlDayCounterYearFraction(DayCounter,R174,S174,,,Trigger)</f>
        <v>0.25277777777777777</v>
      </c>
      <c r="U174" s="181">
        <f>_xll.qlInterpolationInterpolate(B3Minterpolation,R174,TRUE)</f>
        <v>1.2915034997536467E-3</v>
      </c>
      <c r="V174" s="184">
        <f>_xll.qlYieldTSDiscount(Discounting,R174,,AllTriggers)</f>
        <v>1.0008086596567678</v>
      </c>
      <c r="W174" s="184">
        <f>_xll.qlYieldTSDiscount(Discounting,S174,,AllTriggers)</f>
        <v>1.0011466036501127</v>
      </c>
      <c r="X174" s="181">
        <f t="shared" si="9"/>
        <v>-1.3353901291570513E-3</v>
      </c>
      <c r="AC174" s="155"/>
      <c r="AD174" s="155"/>
    </row>
    <row r="175" spans="5:30" ht="11.25" customHeight="1" x14ac:dyDescent="0.2">
      <c r="E175" s="340"/>
      <c r="F175" s="340"/>
      <c r="G175" s="155"/>
      <c r="K175" s="155"/>
      <c r="L175" s="155"/>
      <c r="R175" s="183">
        <f>_xll.qlCalendarAdvance(Calendar,R174,"1D","f")</f>
        <v>42381</v>
      </c>
      <c r="S175" s="183">
        <f>_xll.qlCalendarAdvance(Calendar,R175,$F$1,"mf",,Trigger)</f>
        <v>42472</v>
      </c>
      <c r="T175" s="169">
        <f>_xll.qlDayCounterYearFraction(DayCounter,R175,S175,,,Trigger)</f>
        <v>0.25277777777777777</v>
      </c>
      <c r="U175" s="181">
        <f>_xll.qlInterpolationInterpolate(B3Minterpolation,R175,TRUE)</f>
        <v>1.2916284793083204E-3</v>
      </c>
      <c r="V175" s="184">
        <f>_xll.qlYieldTSDiscount(Discounting,R175,,AllTriggers)</f>
        <v>1.0008128044540578</v>
      </c>
      <c r="W175" s="184">
        <f>_xll.qlYieldTSDiscount(Discounting,S175,,AllTriggers)</f>
        <v>1.0011502070818872</v>
      </c>
      <c r="X175" s="181">
        <f t="shared" si="9"/>
        <v>-1.3332461174512952E-3</v>
      </c>
      <c r="AC175" s="155"/>
      <c r="AD175" s="155"/>
    </row>
    <row r="176" spans="5:30" ht="11.25" customHeight="1" x14ac:dyDescent="0.2">
      <c r="E176" s="340"/>
      <c r="F176" s="340"/>
      <c r="G176" s="155"/>
      <c r="K176" s="155"/>
      <c r="L176" s="155"/>
      <c r="R176" s="183">
        <f>_xll.qlCalendarAdvance(Calendar,R175,"1D","f")</f>
        <v>42382</v>
      </c>
      <c r="S176" s="183">
        <f>_xll.qlCalendarAdvance(Calendar,R176,$F$1,"mf",,Trigger)</f>
        <v>42473</v>
      </c>
      <c r="T176" s="169">
        <f>_xll.qlDayCounterYearFraction(DayCounter,R176,S176,,,Trigger)</f>
        <v>0.25277777777777777</v>
      </c>
      <c r="U176" s="181">
        <f>_xll.qlInterpolationInterpolate(B3Minterpolation,R176,TRUE)</f>
        <v>1.29174928424491E-3</v>
      </c>
      <c r="V176" s="184">
        <f>_xll.qlYieldTSDiscount(Discounting,R176,,AllTriggers)</f>
        <v>1.0008169501852315</v>
      </c>
      <c r="W176" s="184">
        <f>_xll.qlYieldTSDiscount(Discounting,S176,,AllTriggers)</f>
        <v>1.001153809062979</v>
      </c>
      <c r="X176" s="181">
        <f t="shared" si="9"/>
        <v>-1.3310927005313492E-3</v>
      </c>
      <c r="AC176" s="155"/>
      <c r="AD176" s="155"/>
    </row>
    <row r="177" spans="5:30" ht="11.25" customHeight="1" x14ac:dyDescent="0.2">
      <c r="E177" s="340"/>
      <c r="F177" s="340"/>
      <c r="G177" s="155"/>
      <c r="K177" s="155"/>
      <c r="L177" s="155"/>
      <c r="R177" s="183">
        <f>_xll.qlCalendarAdvance(Calendar,R176,"1D","f")</f>
        <v>42383</v>
      </c>
      <c r="S177" s="183">
        <f>_xll.qlCalendarAdvance(Calendar,R177,$F$1,"mf",,Trigger)</f>
        <v>42474</v>
      </c>
      <c r="T177" s="169">
        <f>_xll.qlDayCounterYearFraction(DayCounter,R177,S177,,,Trigger)</f>
        <v>0.25277777777777777</v>
      </c>
      <c r="U177" s="181">
        <f>_xll.qlInterpolationInterpolate(B3Minterpolation,R177,TRUE)</f>
        <v>1.2918659978820586E-3</v>
      </c>
      <c r="V177" s="184">
        <f>_xll.qlYieldTSDiscount(Discounting,R177,,AllTriggers)</f>
        <v>1.000821096575389</v>
      </c>
      <c r="W177" s="184">
        <f>_xll.qlYieldTSDiscount(Discounting,S177,,AllTriggers)</f>
        <v>1.0011574099594307</v>
      </c>
      <c r="X177" s="181">
        <f t="shared" si="9"/>
        <v>-1.3289324106674312E-3</v>
      </c>
      <c r="AC177" s="155"/>
      <c r="AD177" s="155"/>
    </row>
    <row r="178" spans="5:30" ht="11.25" customHeight="1" x14ac:dyDescent="0.2">
      <c r="E178" s="340"/>
      <c r="F178" s="340"/>
      <c r="G178" s="155"/>
      <c r="K178" s="155"/>
      <c r="L178" s="155"/>
      <c r="R178" s="183">
        <f>_xll.qlCalendarAdvance(Calendar,R177,"1D","f")</f>
        <v>42384</v>
      </c>
      <c r="S178" s="183">
        <f>_xll.qlCalendarAdvance(Calendar,R178,$F$1,"mf",,Trigger)</f>
        <v>42475</v>
      </c>
      <c r="T178" s="169">
        <f>_xll.qlDayCounterYearFraction(DayCounter,R178,S178,,,Trigger)</f>
        <v>0.25277777777777777</v>
      </c>
      <c r="U178" s="181">
        <f>_xll.qlInterpolationInterpolate(B3Minterpolation,R178,TRUE)</f>
        <v>1.2919787035384094E-3</v>
      </c>
      <c r="V178" s="184">
        <f>_xll.qlYieldTSDiscount(Discounting,R178,,AllTriggers)</f>
        <v>1.0008252433496265</v>
      </c>
      <c r="W178" s="184">
        <f>_xll.qlYieldTSDiscount(Discounting,S178,,AllTriggers)</f>
        <v>1.001161010137291</v>
      </c>
      <c r="X178" s="181">
        <f t="shared" si="9"/>
        <v>-1.3267677801376643E-3</v>
      </c>
      <c r="AC178" s="155"/>
      <c r="AD178" s="155"/>
    </row>
    <row r="179" spans="5:30" ht="11.25" customHeight="1" x14ac:dyDescent="0.2">
      <c r="E179" s="340"/>
      <c r="F179" s="340"/>
      <c r="G179" s="155"/>
      <c r="K179" s="155"/>
      <c r="L179" s="155"/>
      <c r="R179" s="183">
        <f>_xll.qlCalendarAdvance(Calendar,R178,"1D","f")</f>
        <v>42387</v>
      </c>
      <c r="S179" s="183">
        <f>_xll.qlCalendarAdvance(Calendar,R179,$F$1,"mf",,Trigger)</f>
        <v>42478</v>
      </c>
      <c r="T179" s="169">
        <f>_xll.qlDayCounterYearFraction(DayCounter,R179,S179,,,Trigger)</f>
        <v>0.25277777777777777</v>
      </c>
      <c r="U179" s="181">
        <f>_xll.qlInterpolationInterpolate(B3Minterpolation,R179,TRUE)</f>
        <v>1.2922936058091068E-3</v>
      </c>
      <c r="V179" s="184">
        <f>_xll.qlYieldTSDiscount(Discounting,R179,,AllTriggers)</f>
        <v>1.0008376832277059</v>
      </c>
      <c r="W179" s="184">
        <f>_xll.qlYieldTSDiscount(Discounting,S179,,AllTriggers)</f>
        <v>1.001171810019889</v>
      </c>
      <c r="X179" s="181">
        <f t="shared" si="9"/>
        <v>-1.3202731674412337E-3</v>
      </c>
      <c r="AC179" s="155"/>
      <c r="AD179" s="155"/>
    </row>
    <row r="180" spans="5:30" ht="11.25" customHeight="1" x14ac:dyDescent="0.2">
      <c r="E180" s="340"/>
      <c r="F180" s="340"/>
      <c r="G180" s="155"/>
      <c r="K180" s="155"/>
      <c r="L180" s="155"/>
      <c r="R180" s="183">
        <f>_xll.qlCalendarAdvance(Calendar,R179,"1D","f")</f>
        <v>42388</v>
      </c>
      <c r="S180" s="183">
        <f>_xll.qlCalendarAdvance(Calendar,R180,$F$1,"mf",,Trigger)</f>
        <v>42479</v>
      </c>
      <c r="T180" s="169">
        <f>_xll.qlDayCounterYearFraction(DayCounter,R180,S180,,,Trigger)</f>
        <v>0.25277777777777777</v>
      </c>
      <c r="U180" s="181">
        <f>_xll.qlInterpolationInterpolate(B3Minterpolation,R180,TRUE)</f>
        <v>1.2923911127286985E-3</v>
      </c>
      <c r="V180" s="184">
        <f>_xll.qlYieldTSDiscount(Discounting,R180,,AllTriggers)</f>
        <v>1.000841828789129</v>
      </c>
      <c r="W180" s="184">
        <f>_xll.qlYieldTSDiscount(Discounting,S180,,AllTriggers)</f>
        <v>1.0011754109839754</v>
      </c>
      <c r="X180" s="181">
        <f t="shared" si="9"/>
        <v>-1.3181164971575556E-3</v>
      </c>
      <c r="AC180" s="155"/>
      <c r="AD180" s="155"/>
    </row>
    <row r="181" spans="5:30" ht="11.25" customHeight="1" x14ac:dyDescent="0.2">
      <c r="E181" s="340"/>
      <c r="F181" s="340"/>
      <c r="G181" s="155"/>
      <c r="K181" s="155"/>
      <c r="L181" s="155"/>
      <c r="R181" s="183">
        <f>_xll.qlCalendarAdvance(Calendar,R180,"1D","f")</f>
        <v>42389</v>
      </c>
      <c r="S181" s="183">
        <f>_xll.qlCalendarAdvance(Calendar,R181,$F$1,"mf",,Trigger)</f>
        <v>42480</v>
      </c>
      <c r="T181" s="169">
        <f>_xll.qlDayCounterYearFraction(DayCounter,R181,S181,,,Trigger)</f>
        <v>0.25277777777777777</v>
      </c>
      <c r="U181" s="181">
        <f>_xll.qlInterpolationInterpolate(B3Minterpolation,R181,TRUE)</f>
        <v>1.2924850282607083E-3</v>
      </c>
      <c r="V181" s="184">
        <f>_xll.qlYieldTSDiscount(Discounting,R181,,AllTriggers)</f>
        <v>1.0008459733600426</v>
      </c>
      <c r="W181" s="184">
        <f>_xll.qlYieldTSDiscount(Discounting,S181,,AllTriggers)</f>
        <v>1.0011790130597924</v>
      </c>
      <c r="X181" s="181">
        <f t="shared" si="9"/>
        <v>-1.3159681476856092E-3</v>
      </c>
      <c r="AC181" s="155"/>
      <c r="AD181" s="155"/>
    </row>
    <row r="182" spans="5:30" ht="11.25" customHeight="1" x14ac:dyDescent="0.2">
      <c r="E182" s="340"/>
      <c r="F182" s="340"/>
      <c r="G182" s="155"/>
      <c r="K182" s="155"/>
      <c r="L182" s="155"/>
      <c r="R182" s="183">
        <f>_xll.qlCalendarAdvance(Calendar,R181,"1D","f")</f>
        <v>42390</v>
      </c>
      <c r="S182" s="183">
        <f>_xll.qlCalendarAdvance(Calendar,R182,$F$1,"mf",,Trigger)</f>
        <v>42481</v>
      </c>
      <c r="T182" s="169">
        <f>_xll.qlDayCounterYearFraction(DayCounter,R182,S182,,,Trigger)</f>
        <v>0.25277777777777777</v>
      </c>
      <c r="U182" s="181">
        <f>_xll.qlInterpolationInterpolate(B3Minterpolation,R182,TRUE)</f>
        <v>1.2925754357237798E-3</v>
      </c>
      <c r="V182" s="184">
        <f>_xll.qlYieldTSDiscount(Discounting,R182,,AllTriggers)</f>
        <v>1.0008501166655148</v>
      </c>
      <c r="W182" s="184">
        <f>_xll.qlYieldTSDiscount(Discounting,S182,,AllTriggers)</f>
        <v>1.0011826166134203</v>
      </c>
      <c r="X182" s="181">
        <f t="shared" si="9"/>
        <v>-1.3138306513408513E-3</v>
      </c>
      <c r="AC182" s="155"/>
      <c r="AD182" s="155"/>
    </row>
    <row r="183" spans="5:30" ht="11.25" customHeight="1" x14ac:dyDescent="0.2">
      <c r="E183" s="340"/>
      <c r="F183" s="340"/>
      <c r="G183" s="155"/>
      <c r="K183" s="155"/>
      <c r="L183" s="155"/>
      <c r="R183" s="183">
        <f>_xll.qlCalendarAdvance(Calendar,R182,"1D","f")</f>
        <v>42391</v>
      </c>
      <c r="S183" s="183">
        <f>_xll.qlCalendarAdvance(Calendar,R183,$F$1,"mf",,Trigger)</f>
        <v>42482</v>
      </c>
      <c r="T183" s="169">
        <f>_xll.qlDayCounterYearFraction(DayCounter,R183,S183,,,Trigger)</f>
        <v>0.25277777777777777</v>
      </c>
      <c r="U183" s="181">
        <f>_xll.qlInterpolationInterpolate(B3Minterpolation,R183,TRUE)</f>
        <v>1.2926624184365558E-3</v>
      </c>
      <c r="V183" s="184">
        <f>_xll.qlYieldTSDiscount(Discounting,R183,,AllTriggers)</f>
        <v>1.0008542584306099</v>
      </c>
      <c r="W183" s="184">
        <f>_xll.qlYieldTSDiscount(Discounting,S183,,AllTriggers)</f>
        <v>1.0011862220109444</v>
      </c>
      <c r="X183" s="181">
        <f t="shared" si="9"/>
        <v>-1.3117065404387375E-3</v>
      </c>
      <c r="AC183" s="155"/>
      <c r="AD183" s="155"/>
    </row>
    <row r="184" spans="5:30" ht="11.25" customHeight="1" x14ac:dyDescent="0.2">
      <c r="E184" s="340"/>
      <c r="F184" s="340"/>
      <c r="G184" s="155"/>
      <c r="K184" s="155"/>
      <c r="L184" s="155"/>
      <c r="R184" s="183">
        <f>_xll.qlCalendarAdvance(Calendar,R183,"1D","f")</f>
        <v>42394</v>
      </c>
      <c r="S184" s="183">
        <f>_xll.qlCalendarAdvance(Calendar,R184,$F$1,"mf",,Trigger)</f>
        <v>42485</v>
      </c>
      <c r="T184" s="169">
        <f>_xll.qlDayCounterYearFraction(DayCounter,R184,S184,,,Trigger)</f>
        <v>0.25277777777777777</v>
      </c>
      <c r="U184" s="181">
        <f>_xll.qlInterpolationInterpolate(B3Minterpolation,R184,TRUE)</f>
        <v>1.2929036512595443E-3</v>
      </c>
      <c r="V184" s="184">
        <f>_xll.qlYieldTSDiscount(Discounting,R184,,AllTriggers)</f>
        <v>1.0008666717342034</v>
      </c>
      <c r="W184" s="184">
        <f>_xll.qlYieldTSDiscount(Discounting,S184,,AllTriggers)</f>
        <v>1.0011970529278289</v>
      </c>
      <c r="X184" s="181">
        <f t="shared" si="9"/>
        <v>-1.3054398436456E-3</v>
      </c>
      <c r="AC184" s="155"/>
      <c r="AD184" s="155"/>
    </row>
    <row r="185" spans="5:30" ht="11.25" customHeight="1" x14ac:dyDescent="0.2">
      <c r="E185" s="340"/>
      <c r="F185" s="340"/>
      <c r="G185" s="155"/>
      <c r="K185" s="155"/>
      <c r="L185" s="155"/>
      <c r="R185" s="183">
        <f>_xll.qlCalendarAdvance(Calendar,R184,"1D","f")</f>
        <v>42395</v>
      </c>
      <c r="S185" s="183">
        <f>_xll.qlCalendarAdvance(Calendar,R185,$F$1,"mf",,Trigger)</f>
        <v>42486</v>
      </c>
      <c r="T185" s="169">
        <f>_xll.qlDayCounterYearFraction(DayCounter,R185,S185,,,Trigger)</f>
        <v>0.25277777777777777</v>
      </c>
      <c r="U185" s="181">
        <f>_xll.qlInterpolationInterpolate(B3Minterpolation,R185,TRUE)</f>
        <v>1.2929777681575715E-3</v>
      </c>
      <c r="V185" s="184">
        <f>_xll.qlYieldTSDiscount(Discounting,R185,,AllTriggers)</f>
        <v>1.0008708045883383</v>
      </c>
      <c r="W185" s="184">
        <f>_xll.qlYieldTSDiscount(Discounting,S185,,AllTriggers)</f>
        <v>1.0012006693618991</v>
      </c>
      <c r="X185" s="181">
        <f t="shared" si="9"/>
        <v>-1.3033945977968754E-3</v>
      </c>
      <c r="AC185" s="155"/>
      <c r="AD185" s="155"/>
    </row>
    <row r="186" spans="5:30" ht="11.25" customHeight="1" x14ac:dyDescent="0.2">
      <c r="E186" s="340"/>
      <c r="F186" s="340"/>
      <c r="G186" s="155"/>
      <c r="K186" s="155"/>
      <c r="L186" s="155"/>
      <c r="R186" s="183">
        <f>_xll.qlCalendarAdvance(Calendar,R185,"1D","f")</f>
        <v>42396</v>
      </c>
      <c r="S186" s="183">
        <f>_xll.qlCalendarAdvance(Calendar,R186,$F$1,"mf",,Trigger)</f>
        <v>42487</v>
      </c>
      <c r="T186" s="169">
        <f>_xll.qlDayCounterYearFraction(DayCounter,R186,S186,,,Trigger)</f>
        <v>0.25277777777777777</v>
      </c>
      <c r="U186" s="181">
        <f>_xll.qlInterpolationInterpolate(B3Minterpolation,R186,TRUE)</f>
        <v>1.2930488768985193E-3</v>
      </c>
      <c r="V186" s="184">
        <f>_xll.qlYieldTSDiscount(Discounting,R186,,AllTriggers)</f>
        <v>1.0008749345451289</v>
      </c>
      <c r="W186" s="184">
        <f>_xll.qlYieldTSDiscount(Discounting,S186,,AllTriggers)</f>
        <v>1.0012042894703721</v>
      </c>
      <c r="X186" s="181">
        <f t="shared" si="9"/>
        <v>-1.3013753287960761E-3</v>
      </c>
      <c r="AC186" s="155"/>
      <c r="AD186" s="155"/>
    </row>
    <row r="187" spans="5:30" ht="11.25" customHeight="1" x14ac:dyDescent="0.2">
      <c r="E187" s="340"/>
      <c r="F187" s="340"/>
      <c r="G187" s="155"/>
      <c r="K187" s="155"/>
      <c r="L187" s="155"/>
      <c r="R187" s="183">
        <f>_xll.qlCalendarAdvance(Calendar,R186,"1D","f")</f>
        <v>42397</v>
      </c>
      <c r="S187" s="183">
        <f>_xll.qlCalendarAdvance(Calendar,R187,$F$1,"mf",,Trigger)</f>
        <v>42488</v>
      </c>
      <c r="T187" s="169">
        <f>_xll.qlDayCounterYearFraction(DayCounter,R187,S187,,,Trigger)</f>
        <v>0.25277777777777777</v>
      </c>
      <c r="U187" s="181">
        <f>_xll.qlInterpolationInterpolate(B3Minterpolation,R187,TRUE)</f>
        <v>1.293117060801031E-3</v>
      </c>
      <c r="V187" s="184">
        <f>_xll.qlYieldTSDiscount(Discounting,R187,,AllTriggers)</f>
        <v>1.0008790614185201</v>
      </c>
      <c r="W187" s="184">
        <f>_xll.qlYieldTSDiscount(Discounting,S187,,AllTriggers)</f>
        <v>1.0012079135131182</v>
      </c>
      <c r="X187" s="181">
        <f t="shared" si="9"/>
        <v>-1.2993837980188629E-3</v>
      </c>
      <c r="AC187" s="155"/>
      <c r="AD187" s="155"/>
    </row>
    <row r="188" spans="5:30" ht="11.25" customHeight="1" x14ac:dyDescent="0.2">
      <c r="E188" s="340"/>
      <c r="F188" s="340"/>
      <c r="G188" s="155"/>
      <c r="K188" s="155"/>
      <c r="L188" s="155"/>
      <c r="R188" s="183">
        <f>_xll.qlCalendarAdvance(Calendar,R187,"1D","f")</f>
        <v>42398</v>
      </c>
      <c r="S188" s="183">
        <f>_xll.qlCalendarAdvance(Calendar,R188,$F$1,"mf",,Trigger)</f>
        <v>42489</v>
      </c>
      <c r="T188" s="169">
        <f>_xll.qlDayCounterYearFraction(DayCounter,R188,S188,,,Trigger)</f>
        <v>0.25277777777777777</v>
      </c>
      <c r="U188" s="181">
        <f>_xll.qlInterpolationInterpolate(B3Minterpolation,R188,TRUE)</f>
        <v>1.29318240318375E-3</v>
      </c>
      <c r="V188" s="184">
        <f>_xll.qlYieldTSDiscount(Discounting,R188,,AllTriggers)</f>
        <v>1.0008831850402349</v>
      </c>
      <c r="W188" s="184">
        <f>_xll.qlYieldTSDiscount(Discounting,S188,,AllTriggers)</f>
        <v>1.0012115413250211</v>
      </c>
      <c r="X188" s="181">
        <f t="shared" si="9"/>
        <v>-1.2974200178900224E-3</v>
      </c>
      <c r="AC188" s="155"/>
      <c r="AD188" s="155"/>
    </row>
    <row r="189" spans="5:30" ht="11.25" customHeight="1" x14ac:dyDescent="0.2">
      <c r="E189" s="340"/>
      <c r="F189" s="340"/>
      <c r="G189" s="155"/>
      <c r="K189" s="155"/>
      <c r="L189" s="155"/>
      <c r="R189" s="183">
        <f>_xll.qlCalendarAdvance(Calendar,R188,"1D","f")</f>
        <v>42401</v>
      </c>
      <c r="S189" s="183">
        <f>_xll.qlCalendarAdvance(Calendar,R189,$F$1,"mf",,Trigger)</f>
        <v>42492</v>
      </c>
      <c r="T189" s="169">
        <f>_xll.qlDayCounterYearFraction(DayCounter,R189,S189,,,Trigger)</f>
        <v>0.25277777777777777</v>
      </c>
      <c r="U189" s="181">
        <f>_xll.qlInterpolationInterpolate(B3Minterpolation,R189,TRUE)</f>
        <v>1.2933622143995827E-3</v>
      </c>
      <c r="V189" s="184">
        <f>_xll.qlYieldTSDiscount(Discounting,R189,,AllTriggers)</f>
        <v>1.0008911307721575</v>
      </c>
      <c r="W189" s="184">
        <f>_xll.qlYieldTSDiscount(Discounting,S189,,AllTriggers)</f>
        <v>1.0012196412391301</v>
      </c>
      <c r="X189" s="181">
        <f t="shared" si="9"/>
        <v>-1.2980187301917365E-3</v>
      </c>
      <c r="AC189" s="155"/>
      <c r="AD189" s="155"/>
    </row>
    <row r="190" spans="5:30" ht="11.25" customHeight="1" x14ac:dyDescent="0.2">
      <c r="E190" s="340"/>
      <c r="F190" s="340"/>
      <c r="G190" s="155"/>
      <c r="K190" s="155"/>
      <c r="L190" s="155"/>
      <c r="R190" s="183">
        <f>_xll.qlCalendarAdvance(Calendar,R189,"1D","f")</f>
        <v>42402</v>
      </c>
      <c r="S190" s="183">
        <f>_xll.qlCalendarAdvance(Calendar,R190,$F$1,"mf",,Trigger)</f>
        <v>42492</v>
      </c>
      <c r="T190" s="169">
        <f>_xll.qlDayCounterYearFraction(DayCounter,R190,S190,,,Trigger)</f>
        <v>0.25</v>
      </c>
      <c r="U190" s="181">
        <f>_xll.qlInterpolationInterpolate(B3Minterpolation,R190,TRUE)</f>
        <v>1.2934170238895627E-3</v>
      </c>
      <c r="V190" s="184">
        <f>_xll.qlYieldTSDiscount(Discounting,R190,,AllTriggers)</f>
        <v>1.0008952396862634</v>
      </c>
      <c r="W190" s="184">
        <f>_xll.qlYieldTSDiscount(Discounting,S190,,AllTriggers)</f>
        <v>1.0012196412391301</v>
      </c>
      <c r="X190" s="181">
        <f t="shared" si="9"/>
        <v>-1.2960255252894015E-3</v>
      </c>
      <c r="AC190" s="155"/>
      <c r="AD190" s="155"/>
    </row>
    <row r="191" spans="5:30" ht="11.25" customHeight="1" x14ac:dyDescent="0.2">
      <c r="E191" s="340"/>
      <c r="F191" s="340"/>
      <c r="G191" s="155"/>
      <c r="K191" s="155"/>
      <c r="L191" s="155"/>
      <c r="R191" s="183">
        <f>_xll.qlCalendarAdvance(Calendar,R190,"1D","f")</f>
        <v>42403</v>
      </c>
      <c r="S191" s="183">
        <f>_xll.qlCalendarAdvance(Calendar,R191,$F$1,"mf",,Trigger)</f>
        <v>42493</v>
      </c>
      <c r="T191" s="169">
        <f>_xll.qlDayCounterYearFraction(DayCounter,R191,S191,,,Trigger)</f>
        <v>0.25</v>
      </c>
      <c r="U191" s="181">
        <f>_xll.qlInterpolationInterpolate(B3Minterpolation,R191,TRUE)</f>
        <v>1.2934694084529659E-3</v>
      </c>
      <c r="V191" s="184">
        <f>_xll.qlYieldTSDiscount(Discounting,R191,,AllTriggers)</f>
        <v>1.0008993445072856</v>
      </c>
      <c r="W191" s="184">
        <f>_xll.qlYieldTSDiscount(Discounting,S191,,AllTriggers)</f>
        <v>1.0012232814037545</v>
      </c>
      <c r="X191" s="181">
        <f t="shared" si="9"/>
        <v>-1.2941644585602319E-3</v>
      </c>
      <c r="AC191" s="155"/>
      <c r="AD191" s="155"/>
    </row>
    <row r="192" spans="5:30" ht="11.25" customHeight="1" x14ac:dyDescent="0.2">
      <c r="E192" s="340"/>
      <c r="F192" s="340"/>
      <c r="G192" s="155"/>
      <c r="K192" s="155"/>
      <c r="L192" s="155"/>
      <c r="R192" s="183">
        <f>_xll.qlCalendarAdvance(Calendar,R191,"1D","f")</f>
        <v>42404</v>
      </c>
      <c r="S192" s="183">
        <f>_xll.qlCalendarAdvance(Calendar,R192,$F$1,"mf",,Trigger)</f>
        <v>42494</v>
      </c>
      <c r="T192" s="169">
        <f>_xll.qlDayCounterYearFraction(DayCounter,R192,S192,,,Trigger)</f>
        <v>0.25</v>
      </c>
      <c r="U192" s="181">
        <f>_xll.qlInterpolationInterpolate(B3Minterpolation,R192,TRUE)</f>
        <v>1.2935194514084359E-3</v>
      </c>
      <c r="V192" s="184">
        <f>_xll.qlYieldTSDiscount(Discounting,R192,,AllTriggers)</f>
        <v>1.0009034450669314</v>
      </c>
      <c r="W192" s="184">
        <f>_xll.qlYieldTSDiscount(Discounting,S192,,AllTriggers)</f>
        <v>1.001226923980653</v>
      </c>
      <c r="X192" s="181">
        <f t="shared" si="9"/>
        <v>-1.2923300641398683E-3</v>
      </c>
      <c r="AC192" s="155"/>
      <c r="AD192" s="155"/>
    </row>
    <row r="193" spans="5:30" ht="11.25" customHeight="1" x14ac:dyDescent="0.2">
      <c r="E193" s="340"/>
      <c r="F193" s="340"/>
      <c r="G193" s="155"/>
      <c r="K193" s="155"/>
      <c r="L193" s="155"/>
      <c r="R193" s="183">
        <f>_xll.qlCalendarAdvance(Calendar,R192,"1D","f")</f>
        <v>42405</v>
      </c>
      <c r="S193" s="183">
        <f>_xll.qlCalendarAdvance(Calendar,R193,$F$1,"mf",,Trigger)</f>
        <v>42495</v>
      </c>
      <c r="T193" s="169">
        <f>_xll.qlDayCounterYearFraction(DayCounter,R193,S193,,,Trigger)</f>
        <v>0.25</v>
      </c>
      <c r="U193" s="181">
        <f>_xll.qlInterpolationInterpolate(B3Minterpolation,R193,TRUE)</f>
        <v>1.2935672360746154E-3</v>
      </c>
      <c r="V193" s="184">
        <f>_xll.qlYieldTSDiscount(Discounting,R193,,AllTriggers)</f>
        <v>1.0009075411969055</v>
      </c>
      <c r="W193" s="184">
        <f>_xll.qlYieldTSDiscount(Discounting,S193,,AllTriggers)</f>
        <v>1.0012305686984404</v>
      </c>
      <c r="X193" s="181">
        <f t="shared" si="9"/>
        <v>-1.2905219302474791E-3</v>
      </c>
      <c r="AC193" s="155"/>
      <c r="AD193" s="155"/>
    </row>
    <row r="194" spans="5:30" ht="11.25" customHeight="1" x14ac:dyDescent="0.2">
      <c r="E194" s="340"/>
      <c r="F194" s="340"/>
      <c r="G194" s="155"/>
      <c r="K194" s="155"/>
      <c r="L194" s="155"/>
      <c r="R194" s="183">
        <f>_xll.qlCalendarAdvance(Calendar,R193,"1D","f")</f>
        <v>42408</v>
      </c>
      <c r="S194" s="183">
        <f>_xll.qlCalendarAdvance(Calendar,R194,$F$1,"mf",,Trigger)</f>
        <v>42499</v>
      </c>
      <c r="T194" s="169">
        <f>_xll.qlDayCounterYearFraction(DayCounter,R194,S194,,,Trigger)</f>
        <v>0.25277777777777777</v>
      </c>
      <c r="U194" s="181">
        <f>_xll.qlInterpolationInterpolate(B3Minterpolation,R194,TRUE)</f>
        <v>1.2936978735238447E-3</v>
      </c>
      <c r="V194" s="184">
        <f>_xll.qlYieldTSDiscount(Discounting,R194,,AllTriggers)</f>
        <v>1.0009198013258063</v>
      </c>
      <c r="W194" s="184">
        <f>_xll.qlYieldTSDiscount(Discounting,S194,,AllTriggers)</f>
        <v>1.001245163550615</v>
      </c>
      <c r="X194" s="181">
        <f t="shared" si="9"/>
        <v>-1.2855465472762792E-3</v>
      </c>
      <c r="AC194" s="155"/>
      <c r="AD194" s="155"/>
    </row>
    <row r="195" spans="5:30" ht="11.25" customHeight="1" x14ac:dyDescent="0.2">
      <c r="E195" s="340"/>
      <c r="F195" s="340"/>
      <c r="G195" s="155"/>
      <c r="K195" s="155"/>
      <c r="L195" s="155"/>
      <c r="R195" s="183">
        <f>_xll.qlCalendarAdvance(Calendar,R194,"1D","f")</f>
        <v>42409</v>
      </c>
      <c r="S195" s="183">
        <f>_xll.qlCalendarAdvance(Calendar,R195,$F$1,"mf",,Trigger)</f>
        <v>42499</v>
      </c>
      <c r="T195" s="169">
        <f>_xll.qlDayCounterYearFraction(DayCounter,R195,S195,,,Trigger)</f>
        <v>0.25</v>
      </c>
      <c r="U195" s="181">
        <f>_xll.qlInterpolationInterpolate(B3Minterpolation,R195,TRUE)</f>
        <v>1.2937374582192953E-3</v>
      </c>
      <c r="V195" s="184">
        <f>_xll.qlYieldTSDiscount(Discounting,R195,,AllTriggers)</f>
        <v>1.0009238780540886</v>
      </c>
      <c r="W195" s="184">
        <f>_xll.qlYieldTSDiscount(Discounting,S195,,AllTriggers)</f>
        <v>1.001245163550615</v>
      </c>
      <c r="X195" s="181">
        <f t="shared" si="9"/>
        <v>-1.2835437641949277E-3</v>
      </c>
      <c r="AC195" s="155"/>
      <c r="AD195" s="155"/>
    </row>
    <row r="196" spans="5:30" ht="11.25" customHeight="1" x14ac:dyDescent="0.2">
      <c r="E196" s="340"/>
      <c r="F196" s="340"/>
      <c r="G196" s="155"/>
      <c r="K196" s="155"/>
      <c r="L196" s="155"/>
      <c r="R196" s="183">
        <f>_xll.qlCalendarAdvance(Calendar,R195,"1D","f")</f>
        <v>42410</v>
      </c>
      <c r="S196" s="183">
        <f>_xll.qlCalendarAdvance(Calendar,R196,$F$1,"mf",,Trigger)</f>
        <v>42500</v>
      </c>
      <c r="T196" s="169">
        <f>_xll.qlDayCounterYearFraction(DayCounter,R196,S196,,,Trigger)</f>
        <v>0.25</v>
      </c>
      <c r="U196" s="181">
        <f>_xll.qlInterpolationInterpolate(B3Minterpolation,R196,TRUE)</f>
        <v>1.2937752012186718E-3</v>
      </c>
      <c r="V196" s="184">
        <f>_xll.qlYieldTSDiscount(Discounting,R196,,AllTriggers)</f>
        <v>1.0009279495111827</v>
      </c>
      <c r="W196" s="184">
        <f>_xll.qlYieldTSDiscount(Discounting,S196,,AllTriggers)</f>
        <v>1.0012488149019159</v>
      </c>
      <c r="X196" s="181">
        <f t="shared" ref="X196:X259" si="10">(V196/W196-1)/T196</f>
        <v>-1.2818607561184692E-3</v>
      </c>
      <c r="AC196" s="155"/>
      <c r="AD196" s="155"/>
    </row>
    <row r="197" spans="5:30" ht="11.25" customHeight="1" x14ac:dyDescent="0.2">
      <c r="E197" s="340"/>
      <c r="F197" s="340"/>
      <c r="G197" s="155"/>
      <c r="K197" s="155"/>
      <c r="L197" s="155"/>
      <c r="R197" s="183">
        <f>_xll.qlCalendarAdvance(Calendar,R196,"1D","f")</f>
        <v>42411</v>
      </c>
      <c r="S197" s="183">
        <f>_xll.qlCalendarAdvance(Calendar,R197,$F$1,"mf",,Trigger)</f>
        <v>42501</v>
      </c>
      <c r="T197" s="169">
        <f>_xll.qlDayCounterYearFraction(DayCounter,R197,S197,,,Trigger)</f>
        <v>0.25</v>
      </c>
      <c r="U197" s="181">
        <f>_xll.qlInterpolationInterpolate(B3Minterpolation,R197,TRUE)</f>
        <v>1.2938111858406174E-3</v>
      </c>
      <c r="V197" s="184">
        <f>_xll.qlYieldTSDiscount(Discounting,R197,,AllTriggers)</f>
        <v>1.0009320155287775</v>
      </c>
      <c r="W197" s="184">
        <f>_xll.qlYieldTSDiscount(Discounting,S197,,AllTriggers)</f>
        <v>1.0012524667657061</v>
      </c>
      <c r="X197" s="181">
        <f t="shared" si="10"/>
        <v>-1.2802015378348131E-3</v>
      </c>
      <c r="AC197" s="155"/>
      <c r="AD197" s="155"/>
    </row>
    <row r="198" spans="5:30" ht="11.25" customHeight="1" x14ac:dyDescent="0.2">
      <c r="E198" s="340"/>
      <c r="F198" s="340"/>
      <c r="G198" s="155"/>
      <c r="K198" s="155"/>
      <c r="L198" s="155"/>
      <c r="R198" s="183">
        <f>_xll.qlCalendarAdvance(Calendar,R197,"1D","f")</f>
        <v>42412</v>
      </c>
      <c r="S198" s="183">
        <f>_xll.qlCalendarAdvance(Calendar,R198,$F$1,"mf",,Trigger)</f>
        <v>42502</v>
      </c>
      <c r="T198" s="169">
        <f>_xll.qlDayCounterYearFraction(DayCounter,R198,S198,,,Trigger)</f>
        <v>0.25</v>
      </c>
      <c r="U198" s="181">
        <f>_xll.qlInterpolationInterpolate(B3Minterpolation,R198,TRUE)</f>
        <v>1.2938454954037749E-3</v>
      </c>
      <c r="V198" s="184">
        <f>_xll.qlYieldTSDiscount(Discounting,R198,,AllTriggers)</f>
        <v>1.0009360759385595</v>
      </c>
      <c r="W198" s="184">
        <f>_xll.qlYieldTSDiscount(Discounting,S198,,AllTriggers)</f>
        <v>1.001256118870572</v>
      </c>
      <c r="X198" s="181">
        <f t="shared" si="10"/>
        <v>-1.278565697549805E-3</v>
      </c>
      <c r="AC198" s="155"/>
      <c r="AD198" s="155"/>
    </row>
    <row r="199" spans="5:30" ht="11.25" customHeight="1" x14ac:dyDescent="0.2">
      <c r="E199" s="340"/>
      <c r="F199" s="340"/>
      <c r="G199" s="155"/>
      <c r="K199" s="155"/>
      <c r="L199" s="155"/>
      <c r="R199" s="183">
        <f>_xll.qlCalendarAdvance(Calendar,R198,"1D","f")</f>
        <v>42415</v>
      </c>
      <c r="S199" s="183">
        <f>_xll.qlCalendarAdvance(Calendar,R199,$F$1,"mf",,Trigger)</f>
        <v>42506</v>
      </c>
      <c r="T199" s="169">
        <f>_xll.qlDayCounterYearFraction(DayCounter,R199,S199,,,Trigger)</f>
        <v>0.25277777777777777</v>
      </c>
      <c r="U199" s="181">
        <f>_xll.qlInterpolationInterpolate(B3Minterpolation,R199,TRUE)</f>
        <v>1.2939392069269539E-3</v>
      </c>
      <c r="V199" s="184">
        <f>_xll.qlYieldTSDiscount(Discounting,R199,,AllTriggers)</f>
        <v>1.0009482218378487</v>
      </c>
      <c r="W199" s="184">
        <f>_xll.qlYieldTSDiscount(Discounting,S199,,AllTriggers)</f>
        <v>1.0012707242723817</v>
      </c>
      <c r="X199" s="181">
        <f t="shared" si="10"/>
        <v>-1.2742146314833041E-3</v>
      </c>
      <c r="AC199" s="155"/>
      <c r="AD199" s="155"/>
    </row>
    <row r="200" spans="5:30" ht="11.25" customHeight="1" x14ac:dyDescent="0.2">
      <c r="E200" s="340"/>
      <c r="F200" s="340"/>
      <c r="G200" s="155"/>
      <c r="K200" s="155"/>
      <c r="L200" s="155"/>
      <c r="R200" s="183">
        <f>_xll.qlCalendarAdvance(Calendar,R199,"1D","f")</f>
        <v>42416</v>
      </c>
      <c r="S200" s="183">
        <f>_xll.qlCalendarAdvance(Calendar,R200,$F$1,"mf",,Trigger)</f>
        <v>42506</v>
      </c>
      <c r="T200" s="169">
        <f>_xll.qlDayCounterYearFraction(DayCounter,R200,S200,,,Trigger)</f>
        <v>0.25</v>
      </c>
      <c r="U200" s="181">
        <f>_xll.qlInterpolationInterpolate(B3Minterpolation,R200,TRUE)</f>
        <v>1.2939676494413926E-3</v>
      </c>
      <c r="V200" s="184">
        <f>_xll.qlYieldTSDiscount(Discounting,R200,,AllTriggers)</f>
        <v>1.0009522581331867</v>
      </c>
      <c r="W200" s="184">
        <f>_xll.qlYieldTSDiscount(Discounting,S200,,AllTriggers)</f>
        <v>1.0012707242723817</v>
      </c>
      <c r="X200" s="181">
        <f t="shared" si="10"/>
        <v>-1.2722478805180515E-3</v>
      </c>
      <c r="AC200" s="155"/>
      <c r="AD200" s="155"/>
    </row>
    <row r="201" spans="5:30" ht="11.25" customHeight="1" x14ac:dyDescent="0.2">
      <c r="E201" s="340"/>
      <c r="F201" s="340"/>
      <c r="G201" s="155"/>
      <c r="K201" s="155"/>
      <c r="L201" s="155"/>
      <c r="R201" s="183">
        <f>_xll.qlCalendarAdvance(Calendar,R200,"1D","f")</f>
        <v>42417</v>
      </c>
      <c r="S201" s="183">
        <f>_xll.qlCalendarAdvance(Calendar,R201,$F$1,"mf",,Trigger)</f>
        <v>42507</v>
      </c>
      <c r="T201" s="169">
        <f>_xll.qlDayCounterYearFraction(DayCounter,R201,S201,,,Trigger)</f>
        <v>0.25</v>
      </c>
      <c r="U201" s="181">
        <f>_xll.qlInterpolationInterpolate(B3Minterpolation,R201,TRUE)</f>
        <v>1.2939948334902598E-3</v>
      </c>
      <c r="V201" s="184">
        <f>_xll.qlYieldTSDiscount(Discounting,R201,,AllTriggers)</f>
        <v>1.0009562879791025</v>
      </c>
      <c r="W201" s="184">
        <f>_xll.qlYieldTSDiscount(Discounting,S201,,AllTriggers)</f>
        <v>1.0012743735112828</v>
      </c>
      <c r="X201" s="181">
        <f t="shared" si="10"/>
        <v>-1.2707227533041987E-3</v>
      </c>
      <c r="AC201" s="155"/>
      <c r="AD201" s="155"/>
    </row>
    <row r="202" spans="5:30" ht="11.25" customHeight="1" x14ac:dyDescent="0.2">
      <c r="E202" s="340"/>
      <c r="F202" s="340"/>
      <c r="G202" s="155"/>
      <c r="K202" s="155"/>
      <c r="L202" s="155"/>
      <c r="R202" s="183">
        <f>_xll.qlCalendarAdvance(Calendar,R201,"1D","f")</f>
        <v>42418</v>
      </c>
      <c r="S202" s="183">
        <f>_xll.qlCalendarAdvance(Calendar,R202,$F$1,"mf",,Trigger)</f>
        <v>42508</v>
      </c>
      <c r="T202" s="169">
        <f>_xll.qlDayCounterYearFraction(DayCounter,R202,S202,,,Trigger)</f>
        <v>0.25</v>
      </c>
      <c r="U202" s="181">
        <f>_xll.qlInterpolationInterpolate(B3Minterpolation,R202,TRUE)</f>
        <v>1.2940208423921986E-3</v>
      </c>
      <c r="V202" s="184">
        <f>_xll.qlYieldTSDiscount(Discounting,R202,,AllTriggers)</f>
        <v>1.0009603112072671</v>
      </c>
      <c r="W202" s="184">
        <f>_xll.qlYieldTSDiscount(Discounting,S202,,AllTriggers)</f>
        <v>1.0012780213626946</v>
      </c>
      <c r="X202" s="181">
        <f t="shared" si="10"/>
        <v>-1.2692185333103012E-3</v>
      </c>
      <c r="AC202" s="155"/>
      <c r="AD202" s="155"/>
    </row>
    <row r="203" spans="5:30" ht="11.25" customHeight="1" x14ac:dyDescent="0.2">
      <c r="E203" s="340"/>
      <c r="F203" s="340"/>
      <c r="G203" s="155"/>
      <c r="K203" s="155"/>
      <c r="L203" s="155"/>
      <c r="R203" s="183">
        <f>_xll.qlCalendarAdvance(Calendar,R202,"1D","f")</f>
        <v>42419</v>
      </c>
      <c r="S203" s="183">
        <f>_xll.qlCalendarAdvance(Calendar,R203,$F$1,"mf",,Trigger)</f>
        <v>42509</v>
      </c>
      <c r="T203" s="169">
        <f>_xll.qlDayCounterYearFraction(DayCounter,R203,S203,,,Trigger)</f>
        <v>0.25</v>
      </c>
      <c r="U203" s="181">
        <f>_xll.qlInterpolationInterpolate(B3Minterpolation,R203,TRUE)</f>
        <v>1.2940457594658521E-3</v>
      </c>
      <c r="V203" s="184">
        <f>_xll.qlYieldTSDiscount(Discounting,R203,,AllTriggers)</f>
        <v>1.0009643276493478</v>
      </c>
      <c r="W203" s="184">
        <f>_xll.qlYieldTSDiscount(Discounting,S203,,AllTriggers)</f>
        <v>1.0012816675551754</v>
      </c>
      <c r="X203" s="181">
        <f t="shared" si="10"/>
        <v>-1.2677348087373197E-3</v>
      </c>
      <c r="AC203" s="155"/>
      <c r="AD203" s="155"/>
    </row>
    <row r="204" spans="5:30" ht="11.25" customHeight="1" x14ac:dyDescent="0.2">
      <c r="E204" s="340"/>
      <c r="F204" s="340"/>
      <c r="G204" s="155"/>
      <c r="K204" s="155"/>
      <c r="L204" s="155"/>
      <c r="R204" s="183">
        <f>_xll.qlCalendarAdvance(Calendar,R203,"1D","f")</f>
        <v>42422</v>
      </c>
      <c r="S204" s="183">
        <f>_xll.qlCalendarAdvance(Calendar,R204,$F$1,"mf",,Trigger)</f>
        <v>42513</v>
      </c>
      <c r="T204" s="169">
        <f>_xll.qlDayCounterYearFraction(DayCounter,R204,S204,,,Trigger)</f>
        <v>0.25277777777777777</v>
      </c>
      <c r="U204" s="181">
        <f>_xll.qlInterpolationInterpolate(B3Minterpolation,R204,TRUE)</f>
        <v>1.2941147929035333E-3</v>
      </c>
      <c r="V204" s="184">
        <f>_xll.qlYieldTSDiscount(Discounting,R204,,AllTriggers)</f>
        <v>1.0009763345757272</v>
      </c>
      <c r="W204" s="184">
        <f>_xll.qlYieldTSDiscount(Discounting,S204,,AllTriggers)</f>
        <v>1.0012962303068251</v>
      </c>
      <c r="X204" s="181">
        <f t="shared" si="10"/>
        <v>-1.2638832897495398E-3</v>
      </c>
      <c r="AC204" s="155"/>
      <c r="AD204" s="155"/>
    </row>
    <row r="205" spans="5:30" ht="11.25" customHeight="1" x14ac:dyDescent="0.2">
      <c r="E205" s="340"/>
      <c r="F205" s="340"/>
      <c r="G205" s="155"/>
      <c r="K205" s="155"/>
      <c r="L205" s="155"/>
      <c r="R205" s="183">
        <f>_xll.qlCalendarAdvance(Calendar,R204,"1D","f")</f>
        <v>42423</v>
      </c>
      <c r="S205" s="183">
        <f>_xll.qlCalendarAdvance(Calendar,R205,$F$1,"mf",,Trigger)</f>
        <v>42513</v>
      </c>
      <c r="T205" s="169">
        <f>_xll.qlDayCounterYearFraction(DayCounter,R205,S205,,,Trigger)</f>
        <v>0.25</v>
      </c>
      <c r="U205" s="181">
        <f>_xll.qlInterpolationInterpolate(B3Minterpolation,R205,TRUE)</f>
        <v>1.2941361758504778E-3</v>
      </c>
      <c r="V205" s="184">
        <f>_xll.qlYieldTSDiscount(Discounting,R205,,AllTriggers)</f>
        <v>1.0009803221901004</v>
      </c>
      <c r="W205" s="184">
        <f>_xll.qlYieldTSDiscount(Discounting,S205,,AllTriggers)</f>
        <v>1.0012962303068251</v>
      </c>
      <c r="X205" s="181">
        <f t="shared" si="10"/>
        <v>-1.2619966286218087E-3</v>
      </c>
      <c r="AC205" s="155"/>
      <c r="AD205" s="155"/>
    </row>
    <row r="206" spans="5:30" ht="11.25" customHeight="1" x14ac:dyDescent="0.2">
      <c r="E206" s="340"/>
      <c r="F206" s="340"/>
      <c r="G206" s="155"/>
      <c r="K206" s="155"/>
      <c r="L206" s="155"/>
      <c r="R206" s="183">
        <f>_xll.qlCalendarAdvance(Calendar,R205,"1D","f")</f>
        <v>42424</v>
      </c>
      <c r="S206" s="183">
        <f>_xll.qlCalendarAdvance(Calendar,R206,$F$1,"mf",,Trigger)</f>
        <v>42514</v>
      </c>
      <c r="T206" s="169">
        <f>_xll.qlDayCounterYearFraction(DayCounter,R206,S206,,,Trigger)</f>
        <v>0.25</v>
      </c>
      <c r="U206" s="181">
        <f>_xll.qlInterpolationInterpolate(B3Minterpolation,R206,TRUE)</f>
        <v>1.2941568835623534E-3</v>
      </c>
      <c r="V206" s="184">
        <f>_xll.qlYieldTSDiscount(Discounting,R206,,AllTriggers)</f>
        <v>1.0009843021766904</v>
      </c>
      <c r="W206" s="184">
        <f>_xll.qlYieldTSDiscount(Discounting,S206,,AllTriggers)</f>
        <v>1.0012998641328932</v>
      </c>
      <c r="X206" s="181">
        <f t="shared" si="10"/>
        <v>-1.260609204120744E-3</v>
      </c>
      <c r="AC206" s="155"/>
      <c r="AD206" s="155"/>
    </row>
    <row r="207" spans="5:30" ht="11.25" customHeight="1" x14ac:dyDescent="0.2">
      <c r="E207" s="340"/>
      <c r="F207" s="340"/>
      <c r="G207" s="155"/>
      <c r="K207" s="155"/>
      <c r="L207" s="155"/>
      <c r="R207" s="183">
        <f>_xll.qlCalendarAdvance(Calendar,R206,"1D","f")</f>
        <v>42425</v>
      </c>
      <c r="S207" s="183">
        <f>_xll.qlCalendarAdvance(Calendar,R207,$F$1,"mf",,Trigger)</f>
        <v>42515</v>
      </c>
      <c r="T207" s="169">
        <f>_xll.qlDayCounterYearFraction(DayCounter,R207,S207,,,Trigger)</f>
        <v>0.25</v>
      </c>
      <c r="U207" s="181">
        <f>_xll.qlInterpolationInterpolate(B3Minterpolation,R207,TRUE)</f>
        <v>1.2941769993578031E-3</v>
      </c>
      <c r="V207" s="184">
        <f>_xll.qlYieldTSDiscount(Discounting,R207,,AllTriggers)</f>
        <v>1.0009882743671503</v>
      </c>
      <c r="W207" s="184">
        <f>_xll.qlYieldTSDiscount(Discounting,S207,,AllTriggers)</f>
        <v>1.0013034946713</v>
      </c>
      <c r="X207" s="181">
        <f t="shared" si="10"/>
        <v>-1.2592398042237107E-3</v>
      </c>
      <c r="AC207" s="155"/>
      <c r="AD207" s="155"/>
    </row>
    <row r="208" spans="5:30" ht="11.25" customHeight="1" x14ac:dyDescent="0.2">
      <c r="E208" s="340"/>
      <c r="F208" s="340"/>
      <c r="G208" s="155"/>
      <c r="K208" s="155"/>
      <c r="L208" s="155"/>
      <c r="R208" s="183">
        <f>_xll.qlCalendarAdvance(Calendar,R207,"1D","f")</f>
        <v>42426</v>
      </c>
      <c r="S208" s="183">
        <f>_xll.qlCalendarAdvance(Calendar,R208,$F$1,"mf",,Trigger)</f>
        <v>42516</v>
      </c>
      <c r="T208" s="169">
        <f>_xll.qlDayCounterYearFraction(DayCounter,R208,S208,,,Trigger)</f>
        <v>0.25</v>
      </c>
      <c r="U208" s="181">
        <f>_xll.qlInterpolationInterpolate(B3Minterpolation,R208,TRUE)</f>
        <v>1.2941966065554698E-3</v>
      </c>
      <c r="V208" s="184">
        <f>_xll.qlYieldTSDiscount(Discounting,R208,,AllTriggers)</f>
        <v>1.00099223859313</v>
      </c>
      <c r="W208" s="184">
        <f>_xll.qlYieldTSDiscount(Discounting,S208,,AllTriggers)</f>
        <v>1.0013071216505758</v>
      </c>
      <c r="X208" s="181">
        <f t="shared" si="10"/>
        <v>-1.2578880171218998E-3</v>
      </c>
      <c r="AC208" s="155"/>
      <c r="AD208" s="155"/>
    </row>
    <row r="209" spans="5:30" ht="11.25" customHeight="1" x14ac:dyDescent="0.2">
      <c r="E209" s="340"/>
      <c r="F209" s="340"/>
      <c r="G209" s="155"/>
      <c r="K209" s="155"/>
      <c r="L209" s="155"/>
      <c r="R209" s="183">
        <f>_xll.qlCalendarAdvance(Calendar,R208,"1D","f")</f>
        <v>42429</v>
      </c>
      <c r="S209" s="183">
        <f>_xll.qlCalendarAdvance(Calendar,R209,$F$1,"mf",,Trigger)</f>
        <v>42520</v>
      </c>
      <c r="T209" s="169">
        <f>_xll.qlDayCounterYearFraction(DayCounter,R209,S209,,,Trigger)</f>
        <v>0.25277777777777777</v>
      </c>
      <c r="U209" s="181">
        <f>_xll.qlInterpolationInterpolate(B3Minterpolation,R209,TRUE)</f>
        <v>1.2942532097482062E-3</v>
      </c>
      <c r="V209" s="184">
        <f>_xll.qlYieldTSDiscount(Discounting,R209,,AllTriggers)</f>
        <v>1.0010040818006538</v>
      </c>
      <c r="W209" s="184">
        <f>_xll.qlYieldTSDiscount(Discounting,S209,,AllTriggers)</f>
        <v>1.00132158854686</v>
      </c>
      <c r="X209" s="181">
        <f t="shared" si="10"/>
        <v>-1.2544128267076252E-3</v>
      </c>
      <c r="AC209" s="155"/>
      <c r="AD209" s="155"/>
    </row>
    <row r="210" spans="5:30" ht="11.25" customHeight="1" x14ac:dyDescent="0.2">
      <c r="E210" s="340"/>
      <c r="F210" s="340"/>
      <c r="G210" s="155"/>
      <c r="K210" s="155"/>
      <c r="L210" s="155"/>
      <c r="R210" s="183">
        <f>_xll.qlCalendarAdvance(Calendar,R209,"1D","f")</f>
        <v>42430</v>
      </c>
      <c r="S210" s="183">
        <f>_xll.qlCalendarAdvance(Calendar,R210,$F$1,"mf",,Trigger)</f>
        <v>42522</v>
      </c>
      <c r="T210" s="169">
        <f>_xll.qlDayCounterYearFraction(DayCounter,R210,S210,,,Trigger)</f>
        <v>0.25555555555555554</v>
      </c>
      <c r="U210" s="181">
        <f>_xll.qlInterpolationInterpolate(B3Minterpolation,R210,TRUE)</f>
        <v>1.2942716157411742E-3</v>
      </c>
      <c r="V210" s="184">
        <f>_xll.qlYieldTSDiscount(Discounting,R210,,AllTriggers)</f>
        <v>1.0009993037154568</v>
      </c>
      <c r="W210" s="184">
        <f>_xll.qlYieldTSDiscount(Discounting,S210,,AllTriggers)</f>
        <v>1.0013287935817428</v>
      </c>
      <c r="X210" s="181">
        <f t="shared" si="10"/>
        <v>-1.2875972214995098E-3</v>
      </c>
      <c r="AC210" s="155"/>
      <c r="AD210" s="155"/>
    </row>
    <row r="211" spans="5:30" ht="11.25" customHeight="1" x14ac:dyDescent="0.2">
      <c r="E211" s="340"/>
      <c r="F211" s="340"/>
      <c r="G211" s="155"/>
      <c r="K211" s="155"/>
      <c r="L211" s="155"/>
      <c r="R211" s="183">
        <f>_xll.qlCalendarAdvance(Calendar,R210,"1D","f")</f>
        <v>42431</v>
      </c>
      <c r="S211" s="183">
        <f>_xll.qlCalendarAdvance(Calendar,R211,$F$1,"mf",,Trigger)</f>
        <v>42523</v>
      </c>
      <c r="T211" s="169">
        <f>_xll.qlDayCounterYearFraction(DayCounter,R211,S211,,,Trigger)</f>
        <v>0.25555555555555554</v>
      </c>
      <c r="U211" s="181">
        <f>_xll.qlInterpolationInterpolate(B3Minterpolation,R211,TRUE)</f>
        <v>1.2942899297295758E-3</v>
      </c>
      <c r="V211" s="184">
        <f>_xll.qlYieldTSDiscount(Discounting,R211,,AllTriggers)</f>
        <v>1.001003225559582</v>
      </c>
      <c r="W211" s="184">
        <f>_xll.qlYieldTSDiscount(Discounting,S211,,AllTriggers)</f>
        <v>1.0013323880456502</v>
      </c>
      <c r="X211" s="181">
        <f t="shared" si="10"/>
        <v>-1.2863132509987197E-3</v>
      </c>
      <c r="AC211" s="155"/>
      <c r="AD211" s="155"/>
    </row>
    <row r="212" spans="5:30" ht="11.25" customHeight="1" x14ac:dyDescent="0.2">
      <c r="E212" s="340"/>
      <c r="F212" s="340"/>
      <c r="G212" s="155"/>
      <c r="K212" s="155"/>
      <c r="L212" s="155"/>
      <c r="R212" s="183">
        <f>_xll.qlCalendarAdvance(Calendar,R211,"1D","f")</f>
        <v>42432</v>
      </c>
      <c r="S212" s="183">
        <f>_xll.qlCalendarAdvance(Calendar,R212,$F$1,"mf",,Trigger)</f>
        <v>42524</v>
      </c>
      <c r="T212" s="169">
        <f>_xll.qlDayCounterYearFraction(DayCounter,R212,S212,,,Trigger)</f>
        <v>0.25555555555555554</v>
      </c>
      <c r="U212" s="181">
        <f>_xll.qlInterpolationInterpolate(B3Minterpolation,R212,TRUE)</f>
        <v>1.2943082350320536E-3</v>
      </c>
      <c r="V212" s="184">
        <f>_xll.qlYieldTSDiscount(Discounting,R212,,AllTriggers)</f>
        <v>1.0010071384291543</v>
      </c>
      <c r="W212" s="184">
        <f>_xll.qlYieldTSDiscount(Discounting,S212,,AllTriggers)</f>
        <v>1.0013359767785368</v>
      </c>
      <c r="X212" s="181">
        <f t="shared" si="10"/>
        <v>-1.2850419722186476E-3</v>
      </c>
      <c r="AC212" s="155"/>
      <c r="AD212" s="155"/>
    </row>
    <row r="213" spans="5:30" ht="11.25" customHeight="1" x14ac:dyDescent="0.2">
      <c r="E213" s="340"/>
      <c r="F213" s="340"/>
      <c r="G213" s="155"/>
      <c r="K213" s="155"/>
      <c r="L213" s="155"/>
      <c r="R213" s="183">
        <f>_xll.qlCalendarAdvance(Calendar,R212,"1D","f")</f>
        <v>42433</v>
      </c>
      <c r="S213" s="183">
        <f>_xll.qlCalendarAdvance(Calendar,R213,$F$1,"mf",,Trigger)</f>
        <v>42527</v>
      </c>
      <c r="T213" s="169">
        <f>_xll.qlDayCounterYearFraction(DayCounter,R213,S213,,,Trigger)</f>
        <v>0.26111111111111113</v>
      </c>
      <c r="U213" s="181">
        <f>_xll.qlInterpolationInterpolate(B3Minterpolation,R213,TRUE)</f>
        <v>1.2943266149672515E-3</v>
      </c>
      <c r="V213" s="184">
        <f>_xll.qlYieldTSDiscount(Discounting,R213,,AllTriggers)</f>
        <v>1.0010110421558085</v>
      </c>
      <c r="W213" s="184">
        <f>_xll.qlYieldTSDiscount(Discounting,S213,,AllTriggers)</f>
        <v>1.0013467058760175</v>
      </c>
      <c r="X213" s="181">
        <f t="shared" si="10"/>
        <v>-1.283791740706999E-3</v>
      </c>
      <c r="AC213" s="155"/>
      <c r="AD213" s="155"/>
    </row>
    <row r="214" spans="5:30" ht="11.25" customHeight="1" x14ac:dyDescent="0.2">
      <c r="E214" s="340"/>
      <c r="F214" s="340"/>
      <c r="G214" s="155"/>
      <c r="K214" s="155"/>
      <c r="L214" s="155"/>
      <c r="R214" s="183">
        <f>_xll.qlCalendarAdvance(Calendar,R213,"1D","f")</f>
        <v>42436</v>
      </c>
      <c r="S214" s="183">
        <f>_xll.qlCalendarAdvance(Calendar,R214,$F$1,"mf",,Trigger)</f>
        <v>42528</v>
      </c>
      <c r="T214" s="169">
        <f>_xll.qlDayCounterYearFraction(DayCounter,R214,S214,,,Trigger)</f>
        <v>0.25555555555555554</v>
      </c>
      <c r="U214" s="181">
        <f>_xll.qlInterpolationInterpolate(B3Minterpolation,R214,TRUE)</f>
        <v>1.2943830357555958E-3</v>
      </c>
      <c r="V214" s="184">
        <f>_xll.qlYieldTSDiscount(Discounting,R214,,AllTriggers)</f>
        <v>1.0010226967945721</v>
      </c>
      <c r="W214" s="184">
        <f>_xll.qlYieldTSDiscount(Discounting,S214,,AllTriggers)</f>
        <v>1.0013502689697475</v>
      </c>
      <c r="X214" s="181">
        <f t="shared" si="10"/>
        <v>-1.2800757172101115E-3</v>
      </c>
      <c r="AC214" s="155"/>
      <c r="AD214" s="155"/>
    </row>
    <row r="215" spans="5:30" ht="11.25" customHeight="1" x14ac:dyDescent="0.2">
      <c r="E215" s="340"/>
      <c r="F215" s="340"/>
      <c r="G215" s="155"/>
      <c r="K215" s="155"/>
      <c r="L215" s="155"/>
      <c r="R215" s="183">
        <f>_xll.qlCalendarAdvance(Calendar,R214,"1D","f")</f>
        <v>42437</v>
      </c>
      <c r="S215" s="183">
        <f>_xll.qlCalendarAdvance(Calendar,R215,$F$1,"mf",,Trigger)</f>
        <v>42529</v>
      </c>
      <c r="T215" s="169">
        <f>_xll.qlDayCounterYearFraction(DayCounter,R215,S215,,,Trigger)</f>
        <v>0.25555555555555554</v>
      </c>
      <c r="U215" s="181">
        <f>_xll.qlInterpolationInterpolate(B3Minterpolation,R215,TRUE)</f>
        <v>1.2944025474081048E-3</v>
      </c>
      <c r="V215" s="184">
        <f>_xll.qlYieldTSDiscount(Discounting,R215,,AllTriggers)</f>
        <v>1.0010265622658516</v>
      </c>
      <c r="W215" s="184">
        <f>_xll.qlYieldTSDiscount(Discounting,S215,,AllTriggers)</f>
        <v>1.0013538249749017</v>
      </c>
      <c r="X215" s="181">
        <f t="shared" si="10"/>
        <v>-1.2788618542086926E-3</v>
      </c>
      <c r="AC215" s="155"/>
      <c r="AD215" s="155"/>
    </row>
    <row r="216" spans="5:30" ht="11.25" customHeight="1" x14ac:dyDescent="0.2">
      <c r="E216" s="340"/>
      <c r="F216" s="340"/>
      <c r="G216" s="155"/>
      <c r="K216" s="155"/>
      <c r="L216" s="155"/>
      <c r="R216" s="183">
        <f>_xll.qlCalendarAdvance(Calendar,R215,"1D","f")</f>
        <v>42438</v>
      </c>
      <c r="S216" s="183">
        <f>_xll.qlCalendarAdvance(Calendar,R216,$F$1,"mf",,Trigger)</f>
        <v>42530</v>
      </c>
      <c r="T216" s="169">
        <f>_xll.qlDayCounterYearFraction(DayCounter,R216,S216,,,Trigger)</f>
        <v>0.25555555555555554</v>
      </c>
      <c r="U216" s="181">
        <f>_xll.qlInterpolationInterpolate(B3Minterpolation,R216,TRUE)</f>
        <v>1.2944225502865498E-3</v>
      </c>
      <c r="V216" s="184">
        <f>_xll.qlYieldTSDiscount(Discounting,R216,,AllTriggers)</f>
        <v>1.0010304177523508</v>
      </c>
      <c r="W216" s="184">
        <f>_xll.qlYieldTSDiscount(Discounting,S216,,AllTriggers)</f>
        <v>1.0013573736681189</v>
      </c>
      <c r="X216" s="181">
        <f t="shared" si="10"/>
        <v>-1.2776584539331765E-3</v>
      </c>
      <c r="AC216" s="155"/>
      <c r="AD216" s="155"/>
    </row>
    <row r="217" spans="5:30" ht="11.25" customHeight="1" x14ac:dyDescent="0.2">
      <c r="E217" s="340"/>
      <c r="F217" s="340"/>
      <c r="G217" s="155"/>
      <c r="K217" s="155"/>
      <c r="L217" s="155"/>
      <c r="R217" s="183">
        <f>_xll.qlCalendarAdvance(Calendar,R216,"1D","f")</f>
        <v>42439</v>
      </c>
      <c r="S217" s="183">
        <f>_xll.qlCalendarAdvance(Calendar,R217,$F$1,"mf",,Trigger)</f>
        <v>42531</v>
      </c>
      <c r="T217" s="169">
        <f>_xll.qlDayCounterYearFraction(DayCounter,R217,S217,,,Trigger)</f>
        <v>0.25555555555555554</v>
      </c>
      <c r="U217" s="181">
        <f>_xll.qlInterpolationInterpolate(B3Minterpolation,R217,TRUE)</f>
        <v>1.294443127709574E-3</v>
      </c>
      <c r="V217" s="184">
        <f>_xll.qlYieldTSDiscount(Discounting,R217,,AllTriggers)</f>
        <v>1.0010342630856892</v>
      </c>
      <c r="W217" s="184">
        <f>_xll.qlYieldTSDiscount(Discounting,S217,,AllTriggers)</f>
        <v>1.0013609150186817</v>
      </c>
      <c r="X217" s="181">
        <f t="shared" si="10"/>
        <v>-1.2764660542337629E-3</v>
      </c>
      <c r="AC217" s="155"/>
      <c r="AD217" s="155"/>
    </row>
    <row r="218" spans="5:30" ht="11.25" customHeight="1" x14ac:dyDescent="0.2">
      <c r="E218" s="340"/>
      <c r="F218" s="340"/>
      <c r="G218" s="155"/>
      <c r="K218" s="155"/>
      <c r="L218" s="155"/>
      <c r="R218" s="183">
        <f>_xll.qlCalendarAdvance(Calendar,R217,"1D","f")</f>
        <v>42440</v>
      </c>
      <c r="S218" s="183">
        <f>_xll.qlCalendarAdvance(Calendar,R218,$F$1,"mf",,Trigger)</f>
        <v>42534</v>
      </c>
      <c r="T218" s="169">
        <f>_xll.qlDayCounterYearFraction(DayCounter,R218,S218,,,Trigger)</f>
        <v>0.26111111111111113</v>
      </c>
      <c r="U218" s="181">
        <f>_xll.qlInterpolationInterpolate(B3Minterpolation,R218,TRUE)</f>
        <v>1.2944643629958202E-3</v>
      </c>
      <c r="V218" s="184">
        <f>_xll.qlYieldTSDiscount(Discounting,R218,,AllTriggers)</f>
        <v>1.0010380980974858</v>
      </c>
      <c r="W218" s="184">
        <f>_xll.qlYieldTSDiscount(Discounting,S218,,AllTriggers)</f>
        <v>1.0013714951888881</v>
      </c>
      <c r="X218" s="181">
        <f t="shared" si="10"/>
        <v>-1.2750911431513856E-3</v>
      </c>
      <c r="AC218" s="155"/>
      <c r="AD218" s="155"/>
    </row>
    <row r="219" spans="5:30" ht="11.25" customHeight="1" x14ac:dyDescent="0.2">
      <c r="E219" s="340"/>
      <c r="F219" s="340"/>
      <c r="G219" s="155"/>
      <c r="K219" s="155"/>
      <c r="L219" s="155"/>
      <c r="R219" s="183">
        <f>_xll.qlCalendarAdvance(Calendar,R218,"1D","f")</f>
        <v>42443</v>
      </c>
      <c r="S219" s="183">
        <f>_xll.qlCalendarAdvance(Calendar,R219,$F$1,"mf",,Trigger)</f>
        <v>42535</v>
      </c>
      <c r="T219" s="169">
        <f>_xll.qlDayCounterYearFraction(DayCounter,R219,S219,,,Trigger)</f>
        <v>0.25555555555555554</v>
      </c>
      <c r="U219" s="181">
        <f>_xll.qlInterpolationInterpolate(B3Minterpolation,R219,TRUE)</f>
        <v>1.2945328492203253E-3</v>
      </c>
      <c r="V219" s="184">
        <f>_xll.qlYieldTSDiscount(Discounting,R219,,AllTriggers)</f>
        <v>1.0010495395197725</v>
      </c>
      <c r="W219" s="184">
        <f>_xll.qlYieldTSDiscount(Discounting,S219,,AllTriggers)</f>
        <v>1.0013750073432792</v>
      </c>
      <c r="X219" s="181">
        <f t="shared" si="10"/>
        <v>-1.271820980968602E-3</v>
      </c>
      <c r="AC219" s="155"/>
      <c r="AD219" s="155"/>
    </row>
    <row r="220" spans="5:30" ht="11.25" customHeight="1" x14ac:dyDescent="0.2">
      <c r="E220" s="340"/>
      <c r="F220" s="340"/>
      <c r="G220" s="155"/>
      <c r="K220" s="155"/>
      <c r="L220" s="155"/>
      <c r="R220" s="183">
        <f>_xll.qlCalendarAdvance(Calendar,R219,"1D","f")</f>
        <v>42444</v>
      </c>
      <c r="S220" s="183">
        <f>_xll.qlCalendarAdvance(Calendar,R220,$F$1,"mf",,Trigger)</f>
        <v>42536</v>
      </c>
      <c r="T220" s="169">
        <f>_xll.qlDayCounterYearFraction(DayCounter,R220,S220,,,Trigger)</f>
        <v>0.25555555555555554</v>
      </c>
      <c r="U220" s="181">
        <f>_xll.qlInterpolationInterpolate(B3Minterpolation,R220,TRUE)</f>
        <v>1.294557549145893E-3</v>
      </c>
      <c r="V220" s="184">
        <f>_xll.qlYieldTSDiscount(Discounting,R220,,AllTriggers)</f>
        <v>1.0010533315615384</v>
      </c>
      <c r="W220" s="184">
        <f>_xll.qlYieldTSDiscount(Discounting,S220,,AllTriggers)</f>
        <v>1.0013785122422403</v>
      </c>
      <c r="X220" s="181">
        <f t="shared" si="10"/>
        <v>-1.2706944739882954E-3</v>
      </c>
      <c r="AC220" s="155"/>
      <c r="AD220" s="155"/>
    </row>
    <row r="221" spans="5:30" ht="11.25" customHeight="1" x14ac:dyDescent="0.2">
      <c r="E221" s="340"/>
      <c r="F221" s="340"/>
      <c r="G221" s="155"/>
      <c r="K221" s="155"/>
      <c r="L221" s="155"/>
      <c r="R221" s="183">
        <f>_xll.qlCalendarAdvance(Calendar,R220,"1D","f")</f>
        <v>42445</v>
      </c>
      <c r="S221" s="183">
        <f>_xll.qlCalendarAdvance(Calendar,R221,$F$1,"mf",,Trigger)</f>
        <v>42537</v>
      </c>
      <c r="T221" s="169">
        <f>_xll.qlDayCounterYearFraction(DayCounter,R221,S221,,,Trigger)</f>
        <v>0.25555555555555554</v>
      </c>
      <c r="U221" s="181">
        <f>_xll.qlInterpolationInterpolate(B3Minterpolation,R221,TRUE)</f>
        <v>1.2945833235278991E-3</v>
      </c>
      <c r="V221" s="184">
        <f>_xll.qlYieldTSDiscount(Discounting,R221,,AllTriggers)</f>
        <v>1.00105711243982</v>
      </c>
      <c r="W221" s="184">
        <f>_xll.qlYieldTSDiscount(Discounting,S221,,AllTriggers)</f>
        <v>1.0013820099032182</v>
      </c>
      <c r="X221" s="181">
        <f t="shared" si="10"/>
        <v>-1.2695833235279574E-3</v>
      </c>
      <c r="AC221" s="155"/>
      <c r="AD221" s="155"/>
    </row>
    <row r="222" spans="5:30" ht="11.25" customHeight="1" x14ac:dyDescent="0.2">
      <c r="E222" s="340"/>
      <c r="F222" s="340"/>
      <c r="G222" s="155"/>
      <c r="K222" s="155"/>
      <c r="L222" s="155"/>
      <c r="R222" s="183">
        <f>_xll.qlCalendarAdvance(Calendar,R221,"1D","f")</f>
        <v>42446</v>
      </c>
      <c r="S222" s="183">
        <f>_xll.qlCalendarAdvance(Calendar,R222,$F$1,"mf",,Trigger)</f>
        <v>42538</v>
      </c>
      <c r="T222" s="169">
        <f>_xll.qlDayCounterYearFraction(DayCounter,R222,S222,,,Trigger)</f>
        <v>0.25555555555555554</v>
      </c>
      <c r="U222" s="181">
        <f>_xll.qlInterpolationInterpolate(B3Minterpolation,R222,TRUE)</f>
        <v>1.2946151295446452E-3</v>
      </c>
      <c r="V222" s="184">
        <f>_xll.qlYieldTSDiscount(Discounting,R222,,AllTriggers)</f>
        <v>1.0010608820752711</v>
      </c>
      <c r="W222" s="184">
        <f>_xll.qlYieldTSDiscount(Discounting,S222,,AllTriggers)</f>
        <v>1.0013855003436591</v>
      </c>
      <c r="X222" s="181">
        <f t="shared" si="10"/>
        <v>-1.2684879076082464E-3</v>
      </c>
      <c r="AC222" s="155"/>
      <c r="AD222" s="155"/>
    </row>
    <row r="223" spans="5:30" ht="11.25" customHeight="1" x14ac:dyDescent="0.2">
      <c r="E223" s="340"/>
      <c r="F223" s="340"/>
      <c r="G223" s="155"/>
      <c r="K223" s="155"/>
      <c r="L223" s="155"/>
      <c r="R223" s="183">
        <f>_xll.qlCalendarAdvance(Calendar,R222,"1D","f")</f>
        <v>42447</v>
      </c>
      <c r="S223" s="183">
        <f>_xll.qlCalendarAdvance(Calendar,R223,$F$1,"mf",,Trigger)</f>
        <v>42541</v>
      </c>
      <c r="T223" s="169">
        <f>_xll.qlDayCounterYearFraction(DayCounter,R223,S223,,,Trigger)</f>
        <v>0.26111111111111113</v>
      </c>
      <c r="U223" s="181">
        <f>_xll.qlInterpolationInterpolate(B3Minterpolation,R223,TRUE)</f>
        <v>1.294658037661114E-3</v>
      </c>
      <c r="V223" s="184">
        <f>_xll.qlYieldTSDiscount(Discounting,R223,,AllTriggers)</f>
        <v>1.0010646407447401</v>
      </c>
      <c r="W223" s="184">
        <f>_xll.qlYieldTSDiscount(Discounting,S223,,AllTriggers)</f>
        <v>1.0013959285162313</v>
      </c>
      <c r="X223" s="181">
        <f t="shared" si="10"/>
        <v>-1.2669930463280559E-3</v>
      </c>
      <c r="AC223" s="155"/>
      <c r="AD223" s="155"/>
    </row>
    <row r="224" spans="5:30" ht="11.25" customHeight="1" x14ac:dyDescent="0.2">
      <c r="E224" s="340"/>
      <c r="F224" s="340"/>
      <c r="G224" s="155"/>
      <c r="K224" s="155"/>
      <c r="L224" s="155"/>
      <c r="R224" s="183">
        <f>_xll.qlCalendarAdvance(Calendar,R223,"1D","f")</f>
        <v>42450</v>
      </c>
      <c r="S224" s="183">
        <f>_xll.qlCalendarAdvance(Calendar,R224,$F$1,"mf",,Trigger)</f>
        <v>42542</v>
      </c>
      <c r="T224" s="169">
        <f>_xll.qlDayCounterYearFraction(DayCounter,R224,S224,,,Trigger)</f>
        <v>0.25555555555555554</v>
      </c>
      <c r="U224" s="181">
        <f>_xll.qlInterpolationInterpolate(B3Minterpolation,R224,TRUE)</f>
        <v>1.2948559070955082E-3</v>
      </c>
      <c r="V224" s="184">
        <f>_xll.qlYieldTSDiscount(Discounting,R224,,AllTriggers)</f>
        <v>1.0010758546163154</v>
      </c>
      <c r="W224" s="184">
        <f>_xll.qlYieldTSDiscount(Discounting,S224,,AllTriggers)</f>
        <v>1.0013993902489975</v>
      </c>
      <c r="X224" s="181">
        <f t="shared" si="10"/>
        <v>-1.2642398325573882E-3</v>
      </c>
      <c r="AC224" s="155"/>
      <c r="AD224" s="155"/>
    </row>
    <row r="225" spans="5:30" ht="11.25" customHeight="1" x14ac:dyDescent="0.2">
      <c r="E225" s="340"/>
      <c r="F225" s="340"/>
      <c r="G225" s="155"/>
      <c r="K225" s="155"/>
      <c r="L225" s="155"/>
      <c r="R225" s="183">
        <f>_xll.qlCalendarAdvance(Calendar,R224,"1D","f")</f>
        <v>42451</v>
      </c>
      <c r="S225" s="183">
        <f>_xll.qlCalendarAdvance(Calendar,R225,$F$1,"mf",,Trigger)</f>
        <v>42543</v>
      </c>
      <c r="T225" s="169">
        <f>_xll.qlDayCounterYearFraction(DayCounter,R225,S225,,,Trigger)</f>
        <v>0.25555555555555554</v>
      </c>
      <c r="U225" s="181">
        <f>_xll.qlInterpolationInterpolate(B3Minterpolation,R225,TRUE)</f>
        <v>1.2949457560975188E-3</v>
      </c>
      <c r="V225" s="184">
        <f>_xll.qlYieldTSDiscount(Discounting,R225,,AllTriggers)</f>
        <v>1.0010795730809445</v>
      </c>
      <c r="W225" s="184">
        <f>_xll.qlYieldTSDiscount(Discounting,S225,,AllTriggers)</f>
        <v>1.0014028448484658</v>
      </c>
      <c r="X225" s="181">
        <f t="shared" si="10"/>
        <v>-1.2632044018171095E-3</v>
      </c>
      <c r="AC225" s="155"/>
      <c r="AD225" s="155"/>
    </row>
    <row r="226" spans="5:30" ht="11.25" customHeight="1" x14ac:dyDescent="0.2">
      <c r="E226" s="340"/>
      <c r="F226" s="340"/>
      <c r="G226" s="155"/>
      <c r="K226" s="155"/>
      <c r="L226" s="155"/>
      <c r="R226" s="183">
        <f>_xll.qlCalendarAdvance(Calendar,R225,"1D","f")</f>
        <v>42452</v>
      </c>
      <c r="S226" s="183">
        <f>_xll.qlCalendarAdvance(Calendar,R226,$F$1,"mf",,Trigger)</f>
        <v>42544</v>
      </c>
      <c r="T226" s="169">
        <f>_xll.qlDayCounterYearFraction(DayCounter,R226,S226,,,Trigger)</f>
        <v>0.25555555555555554</v>
      </c>
      <c r="U226" s="181">
        <f>_xll.qlInterpolationInterpolate(B3Minterpolation,R226,TRUE)</f>
        <v>1.295047973442578E-3</v>
      </c>
      <c r="V226" s="184">
        <f>_xll.qlYieldTSDiscount(Discounting,R226,,AllTriggers)</f>
        <v>1.0010832824091647</v>
      </c>
      <c r="W226" s="184">
        <f>_xll.qlYieldTSDiscount(Discounting,S226,,AllTriggers)</f>
        <v>1.0014062923320843</v>
      </c>
      <c r="X226" s="181">
        <f t="shared" si="10"/>
        <v>-1.2621768826225972E-3</v>
      </c>
      <c r="AC226" s="155"/>
      <c r="AD226" s="155"/>
    </row>
    <row r="227" spans="5:30" ht="11.25" customHeight="1" x14ac:dyDescent="0.2">
      <c r="E227" s="340"/>
      <c r="F227" s="340"/>
      <c r="G227" s="155"/>
      <c r="K227" s="155"/>
      <c r="L227" s="155"/>
      <c r="R227" s="183">
        <f>_xll.qlCalendarAdvance(Calendar,R226,"1D","f")</f>
        <v>42453</v>
      </c>
      <c r="S227" s="183">
        <f>_xll.qlCalendarAdvance(Calendar,R227,$F$1,"mf",,Trigger)</f>
        <v>42545</v>
      </c>
      <c r="T227" s="169">
        <f>_xll.qlDayCounterYearFraction(DayCounter,R227,S227,,,Trigger)</f>
        <v>0.25555555555555554</v>
      </c>
      <c r="U227" s="181">
        <f>_xll.qlInterpolationInterpolate(B3Minterpolation,R227,TRUE)</f>
        <v>1.2951628123793501E-3</v>
      </c>
      <c r="V227" s="184">
        <f>_xll.qlYieldTSDiscount(Discounting,R227,,AllTriggers)</f>
        <v>1.0010869829669069</v>
      </c>
      <c r="W227" s="184">
        <f>_xll.qlYieldTSDiscount(Discounting,S227,,AllTriggers)</f>
        <v>1.001409732717303</v>
      </c>
      <c r="X227" s="181">
        <f t="shared" si="10"/>
        <v>-1.2611559131453752E-3</v>
      </c>
      <c r="AC227" s="155"/>
      <c r="AD227" s="155"/>
    </row>
    <row r="228" spans="5:30" ht="11.25" customHeight="1" x14ac:dyDescent="0.2">
      <c r="E228" s="340"/>
      <c r="F228" s="340"/>
      <c r="G228" s="155"/>
      <c r="K228" s="155"/>
      <c r="L228" s="155"/>
      <c r="R228" s="183">
        <f>_xll.qlCalendarAdvance(Calendar,R227,"1D","f")</f>
        <v>42458</v>
      </c>
      <c r="S228" s="183">
        <f>_xll.qlCalendarAdvance(Calendar,R228,$F$1,"mf",,Trigger)</f>
        <v>42550</v>
      </c>
      <c r="T228" s="169">
        <f>_xll.qlDayCounterYearFraction(DayCounter,R228,S228,,,Trigger)</f>
        <v>0.25555555555555554</v>
      </c>
      <c r="U228" s="181">
        <f>_xll.qlInterpolationInterpolate(B3Minterpolation,R228,TRUE)</f>
        <v>1.295935194642188E-3</v>
      </c>
      <c r="V228" s="184">
        <f>_xll.qlYieldTSDiscount(Discounting,R228,,AllTriggers)</f>
        <v>1.0011053670064547</v>
      </c>
      <c r="W228" s="184">
        <f>_xll.qlYieldTSDiscount(Discounting,S228,,AllTriggers)</f>
        <v>1.0014268287781503</v>
      </c>
      <c r="X228" s="181">
        <f t="shared" si="10"/>
        <v>-1.2561016472647706E-3</v>
      </c>
      <c r="AC228" s="155"/>
      <c r="AD228" s="155"/>
    </row>
    <row r="229" spans="5:30" ht="11.25" customHeight="1" x14ac:dyDescent="0.2">
      <c r="E229" s="340"/>
      <c r="F229" s="340"/>
      <c r="G229" s="155"/>
      <c r="K229" s="155"/>
      <c r="L229" s="155"/>
      <c r="R229" s="183">
        <f>_xll.qlCalendarAdvance(Calendar,R228,"1D","f")</f>
        <v>42459</v>
      </c>
      <c r="S229" s="183">
        <f>_xll.qlCalendarAdvance(Calendar,R229,$F$1,"mf",,Trigger)</f>
        <v>42551</v>
      </c>
      <c r="T229" s="169">
        <f>_xll.qlDayCounterYearFraction(DayCounter,R229,S229,,,Trigger)</f>
        <v>0.25555555555555554</v>
      </c>
      <c r="U229" s="181">
        <f>_xll.qlInterpolationInterpolate(B3Minterpolation,R229,TRUE)</f>
        <v>1.2961310813512064E-3</v>
      </c>
      <c r="V229" s="184">
        <f>_xll.qlYieldTSDiscount(Discounting,R229,,AllTriggers)</f>
        <v>1.00110902262621</v>
      </c>
      <c r="W229" s="184">
        <f>_xll.qlYieldTSDiscount(Discounting,S229,,AllTriggers)</f>
        <v>1.0014302269394266</v>
      </c>
      <c r="X229" s="181">
        <f t="shared" si="10"/>
        <v>-1.2550913775216908E-3</v>
      </c>
      <c r="AC229" s="155"/>
      <c r="AD229" s="155"/>
    </row>
    <row r="230" spans="5:30" ht="11.25" customHeight="1" x14ac:dyDescent="0.2">
      <c r="E230" s="340"/>
      <c r="F230" s="340"/>
      <c r="G230" s="155"/>
      <c r="K230" s="155"/>
      <c r="L230" s="155"/>
      <c r="R230" s="183">
        <f>_xll.qlCalendarAdvance(Calendar,R229,"1D","f")</f>
        <v>42460</v>
      </c>
      <c r="S230" s="183">
        <f>_xll.qlCalendarAdvance(Calendar,R230,$F$1,"mf",,Trigger)</f>
        <v>42551</v>
      </c>
      <c r="T230" s="169">
        <f>_xll.qlDayCounterYearFraction(DayCounter,R230,S230,,,Trigger)</f>
        <v>0.25277777777777777</v>
      </c>
      <c r="U230" s="181">
        <f>_xll.qlInterpolationInterpolate(B3Minterpolation,R230,TRUE)</f>
        <v>1.2963413623925937E-3</v>
      </c>
      <c r="V230" s="184">
        <f>_xll.qlYieldTSDiscount(Discounting,R230,,AllTriggers)</f>
        <v>1.0011126720371657</v>
      </c>
      <c r="W230" s="184">
        <f>_xll.qlYieldTSDiscount(Discounting,S230,,AllTriggers)</f>
        <v>1.0014302269394266</v>
      </c>
      <c r="X230" s="181">
        <f t="shared" si="10"/>
        <v>-1.2544669793328662E-3</v>
      </c>
      <c r="AC230" s="155"/>
      <c r="AD230" s="155"/>
    </row>
    <row r="231" spans="5:30" ht="11.25" customHeight="1" x14ac:dyDescent="0.2">
      <c r="E231" s="340"/>
      <c r="F231" s="340"/>
      <c r="G231" s="155"/>
      <c r="K231" s="155"/>
      <c r="L231" s="155"/>
      <c r="R231" s="183">
        <f>_xll.qlCalendarAdvance(Calendar,R230,"1D","f")</f>
        <v>42461</v>
      </c>
      <c r="S231" s="183">
        <f>_xll.qlCalendarAdvance(Calendar,R231,$F$1,"mf",,Trigger)</f>
        <v>42552</v>
      </c>
      <c r="T231" s="169">
        <f>_xll.qlDayCounterYearFraction(DayCounter,R231,S231,,,Trigger)</f>
        <v>0.25277777777777777</v>
      </c>
      <c r="U231" s="181">
        <f>_xll.qlInterpolationInterpolate(B3Minterpolation,R231,TRUE)</f>
        <v>1.2965662910150147E-3</v>
      </c>
      <c r="V231" s="184">
        <f>_xll.qlYieldTSDiscount(Discounting,R231,,AllTriggers)</f>
        <v>1.0011104090190359</v>
      </c>
      <c r="W231" s="184">
        <f>_xll.qlYieldTSDiscount(Discounting,S231,,AllTriggers)</f>
        <v>1.001433618124459</v>
      </c>
      <c r="X231" s="181">
        <f t="shared" si="10"/>
        <v>-1.2767989858797225E-3</v>
      </c>
      <c r="AC231" s="155"/>
      <c r="AD231" s="155"/>
    </row>
    <row r="232" spans="5:30" ht="11.25" customHeight="1" x14ac:dyDescent="0.2">
      <c r="E232" s="340"/>
      <c r="F232" s="340"/>
      <c r="G232" s="155"/>
      <c r="K232" s="155"/>
      <c r="L232" s="155"/>
      <c r="R232" s="183">
        <f>_xll.qlCalendarAdvance(Calendar,R231,"1D","f")</f>
        <v>42464</v>
      </c>
      <c r="S232" s="183">
        <f>_xll.qlCalendarAdvance(Calendar,R232,$F$1,"mf",,Trigger)</f>
        <v>42555</v>
      </c>
      <c r="T232" s="169">
        <f>_xll.qlDayCounterYearFraction(DayCounter,R232,S232,,,Trigger)</f>
        <v>0.25277777777777777</v>
      </c>
      <c r="U232" s="181">
        <f>_xll.qlInterpolationInterpolate(B3Minterpolation,R232,TRUE)</f>
        <v>1.2973314948551322E-3</v>
      </c>
      <c r="V232" s="184">
        <f>_xll.qlYieldTSDiscount(Discounting,R232,,AllTriggers)</f>
        <v>1.0011213082620281</v>
      </c>
      <c r="W232" s="184">
        <f>_xll.qlYieldTSDiscount(Discounting,S232,,AllTriggers)</f>
        <v>1.0014437499966193</v>
      </c>
      <c r="X232" s="181">
        <f t="shared" si="10"/>
        <v>-1.2737546919739683E-3</v>
      </c>
      <c r="AC232" s="155"/>
      <c r="AD232" s="155"/>
    </row>
    <row r="233" spans="5:30" ht="11.25" customHeight="1" x14ac:dyDescent="0.2">
      <c r="E233" s="340"/>
      <c r="F233" s="340"/>
      <c r="G233" s="155"/>
      <c r="K233" s="155"/>
      <c r="L233" s="155"/>
      <c r="R233" s="183">
        <f>_xll.qlCalendarAdvance(Calendar,R232,"1D","f")</f>
        <v>42465</v>
      </c>
      <c r="S233" s="183">
        <f>_xll.qlCalendarAdvance(Calendar,R233,$F$1,"mf",,Trigger)</f>
        <v>42556</v>
      </c>
      <c r="T233" s="169">
        <f>_xll.qlDayCounterYearFraction(DayCounter,R233,S233,,,Trigger)</f>
        <v>0.25277777777777777</v>
      </c>
      <c r="U233" s="181">
        <f>_xll.qlInterpolationInterpolate(B3Minterpolation,R233,TRUE)</f>
        <v>1.2976175462883397E-3</v>
      </c>
      <c r="V233" s="184">
        <f>_xll.qlYieldTSDiscount(Discounting,R233,,AllTriggers)</f>
        <v>1.0011249320973548</v>
      </c>
      <c r="W233" s="184">
        <f>_xll.qlYieldTSDiscount(Discounting,S233,,AllTriggers)</f>
        <v>1.0014471134512046</v>
      </c>
      <c r="X233" s="181">
        <f t="shared" si="10"/>
        <v>-1.2727218247756055E-3</v>
      </c>
      <c r="AC233" s="155"/>
      <c r="AD233" s="155"/>
    </row>
    <row r="234" spans="5:30" ht="11.25" customHeight="1" x14ac:dyDescent="0.2">
      <c r="E234" s="340"/>
      <c r="F234" s="340"/>
      <c r="G234" s="155"/>
      <c r="K234" s="155"/>
      <c r="L234" s="155"/>
      <c r="R234" s="183">
        <f>_xll.qlCalendarAdvance(Calendar,R233,"1D","f")</f>
        <v>42466</v>
      </c>
      <c r="S234" s="183">
        <f>_xll.qlCalendarAdvance(Calendar,R234,$F$1,"mf",,Trigger)</f>
        <v>42557</v>
      </c>
      <c r="T234" s="169">
        <f>_xll.qlDayCounterYearFraction(DayCounter,R234,S234,,,Trigger)</f>
        <v>0.25277777777777777</v>
      </c>
      <c r="U234" s="181">
        <f>_xll.qlInterpolationInterpolate(B3Minterpolation,R234,TRUE)</f>
        <v>1.2979195115459066E-3</v>
      </c>
      <c r="V234" s="184">
        <f>_xll.qlYieldTSDiscount(Discounting,R234,,AllTriggers)</f>
        <v>1.001128551919843</v>
      </c>
      <c r="W234" s="184">
        <f>_xll.qlYieldTSDiscount(Discounting,S234,,AllTriggers)</f>
        <v>1.0014504700168116</v>
      </c>
      <c r="X234" s="181">
        <f t="shared" si="10"/>
        <v>-1.2716776116073647E-3</v>
      </c>
      <c r="AC234" s="155"/>
      <c r="AD234" s="155"/>
    </row>
    <row r="235" spans="5:30" ht="11.25" customHeight="1" x14ac:dyDescent="0.2">
      <c r="E235" s="340"/>
      <c r="F235" s="340"/>
      <c r="G235" s="155"/>
      <c r="K235" s="155"/>
      <c r="L235" s="155"/>
      <c r="R235" s="183">
        <f>_xll.qlCalendarAdvance(Calendar,R234,"1D","f")</f>
        <v>42467</v>
      </c>
      <c r="S235" s="183">
        <f>_xll.qlCalendarAdvance(Calendar,R235,$F$1,"mf",,Trigger)</f>
        <v>42558</v>
      </c>
      <c r="T235" s="169">
        <f>_xll.qlDayCounterYearFraction(DayCounter,R235,S235,,,Trigger)</f>
        <v>0.25277777777777777</v>
      </c>
      <c r="U235" s="181">
        <f>_xll.qlInterpolationInterpolate(B3Minterpolation,R235,TRUE)</f>
        <v>1.2982376438764977E-3</v>
      </c>
      <c r="V235" s="184">
        <f>_xll.qlYieldTSDiscount(Discounting,R235,,AllTriggers)</f>
        <v>1.001132168095499</v>
      </c>
      <c r="W235" s="184">
        <f>_xll.qlYieldTSDiscount(Discounting,S235,,AllTriggers)</f>
        <v>1.0014538197108951</v>
      </c>
      <c r="X235" s="181">
        <f t="shared" si="10"/>
        <v>-1.2706206756562966E-3</v>
      </c>
      <c r="AC235" s="155"/>
      <c r="AD235" s="155"/>
    </row>
    <row r="236" spans="5:30" ht="11.25" customHeight="1" x14ac:dyDescent="0.2">
      <c r="E236" s="340"/>
      <c r="F236" s="340"/>
      <c r="G236" s="155"/>
      <c r="K236" s="155"/>
      <c r="L236" s="155"/>
      <c r="R236" s="183">
        <f>_xll.qlCalendarAdvance(Calendar,R235,"1D","f")</f>
        <v>42468</v>
      </c>
      <c r="S236" s="183">
        <f>_xll.qlCalendarAdvance(Calendar,R236,$F$1,"mf",,Trigger)</f>
        <v>42559</v>
      </c>
      <c r="T236" s="169">
        <f>_xll.qlDayCounterYearFraction(DayCounter,R236,S236,,,Trigger)</f>
        <v>0.25277777777777777</v>
      </c>
      <c r="U236" s="181">
        <f>_xll.qlInterpolationInterpolate(B3Minterpolation,R236,TRUE)</f>
        <v>1.2985721965287783E-3</v>
      </c>
      <c r="V236" s="184">
        <f>_xll.qlYieldTSDiscount(Discounting,R236,,AllTriggers)</f>
        <v>1.0011357809903345</v>
      </c>
      <c r="W236" s="184">
        <f>_xll.qlYieldTSDiscount(Discounting,S236,,AllTriggers)</f>
        <v>1.0014571625509099</v>
      </c>
      <c r="X236" s="181">
        <f t="shared" si="10"/>
        <v>-1.2695496401059383E-3</v>
      </c>
      <c r="AC236" s="155"/>
      <c r="AD236" s="155"/>
    </row>
    <row r="237" spans="5:30" ht="11.25" customHeight="1" x14ac:dyDescent="0.2">
      <c r="E237" s="340"/>
      <c r="F237" s="340"/>
      <c r="G237" s="155"/>
      <c r="K237" s="155"/>
      <c r="L237" s="155"/>
      <c r="R237" s="183">
        <f>_xll.qlCalendarAdvance(Calendar,R236,"1D","f")</f>
        <v>42471</v>
      </c>
      <c r="S237" s="183">
        <f>_xll.qlCalendarAdvance(Calendar,R237,$F$1,"mf",,Trigger)</f>
        <v>42562</v>
      </c>
      <c r="T237" s="169">
        <f>_xll.qlDayCounterYearFraction(DayCounter,R237,S237,,,Trigger)</f>
        <v>0.25277777777777777</v>
      </c>
      <c r="U237" s="181">
        <f>_xll.qlInterpolationInterpolate(B3Minterpolation,R237,TRUE)</f>
        <v>1.2996769089024074E-3</v>
      </c>
      <c r="V237" s="184">
        <f>_xll.qlYieldTSDiscount(Discounting,R237,,AllTriggers)</f>
        <v>1.0011466036501127</v>
      </c>
      <c r="W237" s="184">
        <f>_xll.qlYieldTSDiscount(Discounting,S237,,AllTriggers)</f>
        <v>1.0014671501210932</v>
      </c>
      <c r="X237" s="181">
        <f t="shared" si="10"/>
        <v>-1.2662381676729697E-3</v>
      </c>
      <c r="AC237" s="155"/>
      <c r="AD237" s="155"/>
    </row>
    <row r="238" spans="5:30" ht="11.25" customHeight="1" x14ac:dyDescent="0.2">
      <c r="E238" s="340"/>
      <c r="F238" s="340"/>
      <c r="G238" s="155"/>
      <c r="K238" s="155"/>
      <c r="L238" s="155"/>
      <c r="R238" s="183">
        <f>_xll.qlCalendarAdvance(Calendar,R237,"1D","f")</f>
        <v>42472</v>
      </c>
      <c r="S238" s="183">
        <f>_xll.qlCalendarAdvance(Calendar,R238,$F$1,"mf",,Trigger)</f>
        <v>42563</v>
      </c>
      <c r="T238" s="169">
        <f>_xll.qlDayCounterYearFraction(DayCounter,R238,S238,,,Trigger)</f>
        <v>0.25277777777777777</v>
      </c>
      <c r="U238" s="181">
        <f>_xll.qlInterpolationInterpolate(B3Minterpolation,R238,TRUE)</f>
        <v>1.3000796753280964E-3</v>
      </c>
      <c r="V238" s="184">
        <f>_xll.qlYieldTSDiscount(Discounting,R238,,AllTriggers)</f>
        <v>1.0011502070818872</v>
      </c>
      <c r="W238" s="184">
        <f>_xll.qlYieldTSDiscount(Discounting,S238,,AllTriggers)</f>
        <v>1.0014704657193867</v>
      </c>
      <c r="X238" s="181">
        <f t="shared" si="10"/>
        <v>-1.2650969655313927E-3</v>
      </c>
      <c r="AC238" s="155"/>
      <c r="AD238" s="155"/>
    </row>
    <row r="239" spans="5:30" ht="11.25" customHeight="1" x14ac:dyDescent="0.2">
      <c r="E239" s="340"/>
      <c r="F239" s="340"/>
      <c r="G239" s="155"/>
      <c r="K239" s="155"/>
      <c r="L239" s="155"/>
      <c r="R239" s="183">
        <f>_xll.qlCalendarAdvance(Calendar,R238,"1D","f")</f>
        <v>42473</v>
      </c>
      <c r="S239" s="183">
        <f>_xll.qlCalendarAdvance(Calendar,R239,$F$1,"mf",,Trigger)</f>
        <v>42564</v>
      </c>
      <c r="T239" s="169">
        <f>_xll.qlDayCounterYearFraction(DayCounter,R239,S239,,,Trigger)</f>
        <v>0.25277777777777777</v>
      </c>
      <c r="U239" s="181">
        <f>_xll.qlInterpolationInterpolate(B3Minterpolation,R239,TRUE)</f>
        <v>1.3005001283188003E-3</v>
      </c>
      <c r="V239" s="184">
        <f>_xll.qlYieldTSDiscount(Discounting,R239,,AllTriggers)</f>
        <v>1.001153809062979</v>
      </c>
      <c r="W239" s="184">
        <f>_xll.qlYieldTSDiscount(Discounting,S239,,AllTriggers)</f>
        <v>1.0014737745508906</v>
      </c>
      <c r="X239" s="181">
        <f t="shared" si="10"/>
        <v>-1.2639347796831754E-3</v>
      </c>
      <c r="AC239" s="155"/>
      <c r="AD239" s="155"/>
    </row>
    <row r="240" spans="5:30" ht="11.25" customHeight="1" x14ac:dyDescent="0.2">
      <c r="E240" s="340"/>
      <c r="F240" s="340"/>
      <c r="G240" s="155"/>
      <c r="K240" s="155"/>
      <c r="L240" s="155"/>
      <c r="R240" s="183">
        <f>_xll.qlCalendarAdvance(Calendar,R239,"1D","f")</f>
        <v>42474</v>
      </c>
      <c r="S240" s="183">
        <f>_xll.qlCalendarAdvance(Calendar,R240,$F$1,"mf",,Trigger)</f>
        <v>42565</v>
      </c>
      <c r="T240" s="169">
        <f>_xll.qlDayCounterYearFraction(DayCounter,R240,S240,,,Trigger)</f>
        <v>0.25277777777777777</v>
      </c>
      <c r="U240" s="181">
        <f>_xll.qlInterpolationInterpolate(B3Minterpolation,R240,TRUE)</f>
        <v>1.3009385211231843E-3</v>
      </c>
      <c r="V240" s="184">
        <f>_xll.qlYieldTSDiscount(Discounting,R240,,AllTriggers)</f>
        <v>1.0011574099594307</v>
      </c>
      <c r="W240" s="184">
        <f>_xll.qlYieldTSDiscount(Discounting,S240,,AllTriggers)</f>
        <v>1.0014770766330614</v>
      </c>
      <c r="X240" s="181">
        <f t="shared" si="10"/>
        <v>-1.2627502333026311E-3</v>
      </c>
      <c r="AC240" s="155"/>
      <c r="AD240" s="155"/>
    </row>
    <row r="241" spans="5:30" ht="11.25" customHeight="1" x14ac:dyDescent="0.2">
      <c r="E241" s="340"/>
      <c r="F241" s="340"/>
      <c r="G241" s="155"/>
      <c r="K241" s="155"/>
      <c r="L241" s="155"/>
      <c r="R241" s="183">
        <f>_xll.qlCalendarAdvance(Calendar,R240,"1D","f")</f>
        <v>42475</v>
      </c>
      <c r="S241" s="183">
        <f>_xll.qlCalendarAdvance(Calendar,R241,$F$1,"mf",,Trigger)</f>
        <v>42566</v>
      </c>
      <c r="T241" s="169">
        <f>_xll.qlDayCounterYearFraction(DayCounter,R241,S241,,,Trigger)</f>
        <v>0.25277777777777777</v>
      </c>
      <c r="U241" s="181">
        <f>_xll.qlInterpolationInterpolate(B3Minterpolation,R241,TRUE)</f>
        <v>1.3013951069899129E-3</v>
      </c>
      <c r="V241" s="184">
        <f>_xll.qlYieldTSDiscount(Discounting,R241,,AllTriggers)</f>
        <v>1.001161010137291</v>
      </c>
      <c r="W241" s="184">
        <f>_xll.qlYieldTSDiscount(Discounting,S241,,AllTriggers)</f>
        <v>1.0014803719833567</v>
      </c>
      <c r="X241" s="181">
        <f t="shared" si="10"/>
        <v>-1.2615419495614385E-3</v>
      </c>
      <c r="AC241" s="155"/>
      <c r="AD241" s="155"/>
    </row>
    <row r="242" spans="5:30" ht="11.25" customHeight="1" x14ac:dyDescent="0.2">
      <c r="E242" s="340"/>
      <c r="F242" s="340"/>
      <c r="G242" s="155"/>
      <c r="K242" s="155"/>
      <c r="L242" s="155"/>
      <c r="R242" s="183">
        <f>_xll.qlCalendarAdvance(Calendar,R241,"1D","f")</f>
        <v>42478</v>
      </c>
      <c r="S242" s="183">
        <f>_xll.qlCalendarAdvance(Calendar,R242,$F$1,"mf",,Trigger)</f>
        <v>42569</v>
      </c>
      <c r="T242" s="169">
        <f>_xll.qlDayCounterYearFraction(DayCounter,R242,S242,,,Trigger)</f>
        <v>0.25277777777777777</v>
      </c>
      <c r="U242" s="181">
        <f>_xll.qlInterpolationInterpolate(B3Minterpolation,R242,TRUE)</f>
        <v>1.3028765554508202E-3</v>
      </c>
      <c r="V242" s="184">
        <f>_xll.qlYieldTSDiscount(Discounting,R242,,AllTriggers)</f>
        <v>1.001171810019889</v>
      </c>
      <c r="W242" s="184">
        <f>_xll.qlYieldTSDiscount(Discounting,S242,,AllTriggers)</f>
        <v>1.0014902178175675</v>
      </c>
      <c r="X242" s="181">
        <f t="shared" si="10"/>
        <v>-1.2577609058512234E-3</v>
      </c>
      <c r="AC242" s="155"/>
      <c r="AD242" s="155"/>
    </row>
    <row r="243" spans="5:30" ht="11.25" customHeight="1" x14ac:dyDescent="0.2">
      <c r="E243" s="340"/>
      <c r="F243" s="340"/>
      <c r="G243" s="155"/>
      <c r="K243" s="155"/>
      <c r="L243" s="155"/>
      <c r="R243" s="183">
        <f>_xll.qlCalendarAdvance(Calendar,R242,"1D","f")</f>
        <v>42479</v>
      </c>
      <c r="S243" s="183">
        <f>_xll.qlCalendarAdvance(Calendar,R243,$F$1,"mf",,Trigger)</f>
        <v>42570</v>
      </c>
      <c r="T243" s="169">
        <f>_xll.qlDayCounterYearFraction(DayCounter,R243,S243,,,Trigger)</f>
        <v>0.25277777777777777</v>
      </c>
      <c r="U243" s="181">
        <f>_xll.qlInterpolationInterpolate(B3Minterpolation,R243,TRUE)</f>
        <v>1.3034084460535797E-3</v>
      </c>
      <c r="V243" s="184">
        <f>_xll.qlYieldTSDiscount(Discounting,R243,,AllTriggers)</f>
        <v>1.0011754109839754</v>
      </c>
      <c r="W243" s="184">
        <f>_xll.qlYieldTSDiscount(Discounting,S243,,AllTriggers)</f>
        <v>1.0014934864149407</v>
      </c>
      <c r="X243" s="181">
        <f t="shared" si="10"/>
        <v>-1.25644390433415E-3</v>
      </c>
      <c r="AC243" s="155"/>
      <c r="AD243" s="155"/>
    </row>
    <row r="244" spans="5:30" ht="11.25" customHeight="1" x14ac:dyDescent="0.2">
      <c r="E244" s="340"/>
      <c r="F244" s="340"/>
      <c r="G244" s="155"/>
      <c r="K244" s="155"/>
      <c r="L244" s="155"/>
      <c r="R244" s="183">
        <f>_xll.qlCalendarAdvance(Calendar,R243,"1D","f")</f>
        <v>42480</v>
      </c>
      <c r="S244" s="183">
        <f>_xll.qlCalendarAdvance(Calendar,R244,$F$1,"mf",,Trigger)</f>
        <v>42571</v>
      </c>
      <c r="T244" s="169">
        <f>_xll.qlDayCounterYearFraction(DayCounter,R244,S244,,,Trigger)</f>
        <v>0.25277777777777777</v>
      </c>
      <c r="U244" s="181">
        <f>_xll.qlInterpolationInterpolate(B3Minterpolation,R244,TRUE)</f>
        <v>1.3039597959620098E-3</v>
      </c>
      <c r="V244" s="184">
        <f>_xll.qlYieldTSDiscount(Discounting,R244,,AllTriggers)</f>
        <v>1.0011790130597924</v>
      </c>
      <c r="W244" s="184">
        <f>_xll.qlYieldTSDiscount(Discounting,S244,,AllTriggers)</f>
        <v>1.0014967483677304</v>
      </c>
      <c r="X244" s="181">
        <f t="shared" si="10"/>
        <v>-1.255096281279683E-3</v>
      </c>
      <c r="AC244" s="155"/>
      <c r="AD244" s="155"/>
    </row>
    <row r="245" spans="5:30" ht="11.25" customHeight="1" x14ac:dyDescent="0.2">
      <c r="E245" s="340"/>
      <c r="F245" s="340"/>
      <c r="G245" s="155"/>
      <c r="K245" s="155"/>
      <c r="L245" s="155"/>
      <c r="R245" s="183">
        <f>_xll.qlCalendarAdvance(Calendar,R244,"1D","f")</f>
        <v>42481</v>
      </c>
      <c r="S245" s="183">
        <f>_xll.qlCalendarAdvance(Calendar,R245,$F$1,"mf",,Trigger)</f>
        <v>42572</v>
      </c>
      <c r="T245" s="169">
        <f>_xll.qlDayCounterYearFraction(DayCounter,R245,S245,,,Trigger)</f>
        <v>0.25277777777777777</v>
      </c>
      <c r="U245" s="181">
        <f>_xll.qlInterpolationInterpolate(B3Minterpolation,R245,TRUE)</f>
        <v>1.3045308584247752E-3</v>
      </c>
      <c r="V245" s="184">
        <f>_xll.qlYieldTSDiscount(Discounting,R245,,AllTriggers)</f>
        <v>1.0011826166134203</v>
      </c>
      <c r="W245" s="184">
        <f>_xll.qlYieldTSDiscount(Discounting,S245,,AllTriggers)</f>
        <v>1.0015000036933963</v>
      </c>
      <c r="X245" s="181">
        <f t="shared" si="10"/>
        <v>-1.2537166598450065E-3</v>
      </c>
      <c r="AC245" s="155"/>
      <c r="AD245" s="155"/>
    </row>
    <row r="246" spans="5:30" ht="11.25" customHeight="1" x14ac:dyDescent="0.2">
      <c r="E246" s="340"/>
      <c r="F246" s="340"/>
      <c r="G246" s="155"/>
      <c r="K246" s="155"/>
      <c r="L246" s="155"/>
      <c r="R246" s="183">
        <f>_xll.qlCalendarAdvance(Calendar,R245,"1D","f")</f>
        <v>42482</v>
      </c>
      <c r="S246" s="183">
        <f>_xll.qlCalendarAdvance(Calendar,R246,$F$1,"mf",,Trigger)</f>
        <v>42573</v>
      </c>
      <c r="T246" s="169">
        <f>_xll.qlDayCounterYearFraction(DayCounter,R246,S246,,,Trigger)</f>
        <v>0.25277777777777777</v>
      </c>
      <c r="U246" s="181">
        <f>_xll.qlInterpolationInterpolate(B3Minterpolation,R246,TRUE)</f>
        <v>1.3051218866905411E-3</v>
      </c>
      <c r="V246" s="184">
        <f>_xll.qlYieldTSDiscount(Discounting,R246,,AllTriggers)</f>
        <v>1.0011862220109444</v>
      </c>
      <c r="W246" s="184">
        <f>_xll.qlYieldTSDiscount(Discounting,S246,,AllTriggers)</f>
        <v>1.0015032524093972</v>
      </c>
      <c r="X246" s="181">
        <f t="shared" si="10"/>
        <v>-1.252303663182474E-3</v>
      </c>
      <c r="AC246" s="155"/>
      <c r="AD246" s="155"/>
    </row>
    <row r="247" spans="5:30" ht="11.25" customHeight="1" x14ac:dyDescent="0.2">
      <c r="E247" s="340"/>
      <c r="F247" s="340"/>
      <c r="G247" s="155"/>
      <c r="K247" s="155"/>
      <c r="L247" s="155"/>
      <c r="R247" s="183">
        <f>_xll.qlCalendarAdvance(Calendar,R246,"1D","f")</f>
        <v>42485</v>
      </c>
      <c r="S247" s="183">
        <f>_xll.qlCalendarAdvance(Calendar,R247,$F$1,"mf",,Trigger)</f>
        <v>42576</v>
      </c>
      <c r="T247" s="169">
        <f>_xll.qlDayCounterYearFraction(DayCounter,R247,S247,,,Trigger)</f>
        <v>0.25277777777777777</v>
      </c>
      <c r="U247" s="181">
        <f>_xll.qlInterpolationInterpolate(B3Minterpolation,R247,TRUE)</f>
        <v>1.3070172987924929E-3</v>
      </c>
      <c r="V247" s="184">
        <f>_xll.qlYieldTSDiscount(Discounting,R247,,AllTriggers)</f>
        <v>1.0011970529278289</v>
      </c>
      <c r="W247" s="184">
        <f>_xll.qlYieldTSDiscount(Discounting,S247,,AllTriggers)</f>
        <v>1.0015129590740193</v>
      </c>
      <c r="X247" s="181">
        <f t="shared" si="10"/>
        <v>-1.2478506533446828E-3</v>
      </c>
      <c r="AC247" s="155"/>
      <c r="AD247" s="155"/>
    </row>
    <row r="248" spans="5:30" ht="11.25" customHeight="1" x14ac:dyDescent="0.2">
      <c r="E248" s="340"/>
      <c r="F248" s="340"/>
      <c r="G248" s="155"/>
      <c r="K248" s="155"/>
      <c r="L248" s="155"/>
      <c r="R248" s="183">
        <f>_xll.qlCalendarAdvance(Calendar,R247,"1D","f")</f>
        <v>42486</v>
      </c>
      <c r="S248" s="183">
        <f>_xll.qlCalendarAdvance(Calendar,R248,$F$1,"mf",,Trigger)</f>
        <v>42577</v>
      </c>
      <c r="T248" s="169">
        <f>_xll.qlDayCounterYearFraction(DayCounter,R248,S248,,,Trigger)</f>
        <v>0.25277777777777777</v>
      </c>
      <c r="U248" s="181">
        <f>_xll.qlInterpolationInterpolate(B3Minterpolation,R248,TRUE)</f>
        <v>1.3076907227569119E-3</v>
      </c>
      <c r="V248" s="184">
        <f>_xll.qlYieldTSDiscount(Discounting,R248,,AllTriggers)</f>
        <v>1.0012006693618991</v>
      </c>
      <c r="W248" s="184">
        <f>_xll.qlYieldTSDiscount(Discounting,S248,,AllTriggers)</f>
        <v>1.001516181525969</v>
      </c>
      <c r="X248" s="181">
        <f t="shared" si="10"/>
        <v>-1.2462903872657084E-3</v>
      </c>
      <c r="AC248" s="155"/>
      <c r="AD248" s="155"/>
    </row>
    <row r="249" spans="5:30" ht="11.25" customHeight="1" x14ac:dyDescent="0.2">
      <c r="E249" s="340"/>
      <c r="F249" s="340"/>
      <c r="G249" s="155"/>
      <c r="K249" s="155"/>
      <c r="L249" s="155"/>
      <c r="R249" s="183">
        <f>_xll.qlCalendarAdvance(Calendar,R248,"1D","f")</f>
        <v>42487</v>
      </c>
      <c r="S249" s="183">
        <f>_xll.qlCalendarAdvance(Calendar,R249,$F$1,"mf",,Trigger)</f>
        <v>42578</v>
      </c>
      <c r="T249" s="169">
        <f>_xll.qlDayCounterYearFraction(DayCounter,R249,S249,,,Trigger)</f>
        <v>0.25277777777777777</v>
      </c>
      <c r="U249" s="181">
        <f>_xll.qlInterpolationInterpolate(B3Minterpolation,R249,TRUE)</f>
        <v>1.3083853787676566E-3</v>
      </c>
      <c r="V249" s="184">
        <f>_xll.qlYieldTSDiscount(Discounting,R249,,AllTriggers)</f>
        <v>1.0012042894703721</v>
      </c>
      <c r="W249" s="184">
        <f>_xll.qlYieldTSDiscount(Discounting,S249,,AllTriggers)</f>
        <v>1.001519397455559</v>
      </c>
      <c r="X249" s="181">
        <f t="shared" si="10"/>
        <v>-1.2446898616907771E-3</v>
      </c>
      <c r="AC249" s="155"/>
      <c r="AD249" s="155"/>
    </row>
    <row r="250" spans="5:30" ht="11.25" customHeight="1" x14ac:dyDescent="0.2">
      <c r="E250" s="340"/>
      <c r="F250" s="340"/>
      <c r="G250" s="155"/>
      <c r="K250" s="155"/>
      <c r="L250" s="155"/>
      <c r="R250" s="183">
        <f>_xll.qlCalendarAdvance(Calendar,R249,"1D","f")</f>
        <v>42488</v>
      </c>
      <c r="S250" s="183">
        <f>_xll.qlCalendarAdvance(Calendar,R250,$F$1,"mf",,Trigger)</f>
        <v>42579</v>
      </c>
      <c r="T250" s="169">
        <f>_xll.qlDayCounterYearFraction(DayCounter,R250,S250,,,Trigger)</f>
        <v>0.25277777777777777</v>
      </c>
      <c r="U250" s="181">
        <f>_xll.qlInterpolationInterpolate(B3Minterpolation,R250,TRUE)</f>
        <v>1.3091015200733926E-3</v>
      </c>
      <c r="V250" s="184">
        <f>_xll.qlYieldTSDiscount(Discounting,R250,,AllTriggers)</f>
        <v>1.0012079135131182</v>
      </c>
      <c r="W250" s="184">
        <f>_xll.qlYieldTSDiscount(Discounting,S250,,AllTriggers)</f>
        <v>1.0015226068802512</v>
      </c>
      <c r="X250" s="181">
        <f t="shared" si="10"/>
        <v>-1.2430481194343494E-3</v>
      </c>
      <c r="AC250" s="155"/>
      <c r="AD250" s="155"/>
    </row>
    <row r="251" spans="5:30" ht="11.25" customHeight="1" x14ac:dyDescent="0.2">
      <c r="E251" s="340"/>
      <c r="F251" s="340"/>
      <c r="G251" s="155"/>
      <c r="K251" s="155"/>
      <c r="L251" s="155"/>
      <c r="R251" s="183">
        <f>_xll.qlCalendarAdvance(Calendar,R250,"1D","f")</f>
        <v>42489</v>
      </c>
      <c r="S251" s="183">
        <f>_xll.qlCalendarAdvance(Calendar,R251,$F$1,"mf",,Trigger)</f>
        <v>42580</v>
      </c>
      <c r="T251" s="169">
        <f>_xll.qlDayCounterYearFraction(DayCounter,R251,S251,,,Trigger)</f>
        <v>0.25277777777777777</v>
      </c>
      <c r="U251" s="181">
        <f>_xll.qlInterpolationInterpolate(B3Minterpolation,R251,TRUE)</f>
        <v>1.3098393999227845E-3</v>
      </c>
      <c r="V251" s="184">
        <f>_xll.qlYieldTSDiscount(Discounting,R251,,AllTriggers)</f>
        <v>1.0012115413250211</v>
      </c>
      <c r="W251" s="184">
        <f>_xll.qlYieldTSDiscount(Discounting,S251,,AllTriggers)</f>
        <v>1.0015258098175082</v>
      </c>
      <c r="X251" s="181">
        <f t="shared" si="10"/>
        <v>-1.24136588202871E-3</v>
      </c>
      <c r="AC251" s="155"/>
      <c r="AD251" s="155"/>
    </row>
    <row r="252" spans="5:30" ht="11.25" customHeight="1" x14ac:dyDescent="0.2">
      <c r="E252" s="340"/>
      <c r="F252" s="340"/>
      <c r="G252" s="155"/>
      <c r="K252" s="155"/>
      <c r="L252" s="155"/>
      <c r="R252" s="183">
        <f>_xll.qlCalendarAdvance(Calendar,R251,"1D","f")</f>
        <v>42492</v>
      </c>
      <c r="S252" s="183">
        <f>_xll.qlCalendarAdvance(Calendar,R252,$F$1,"mf",,Trigger)</f>
        <v>42584</v>
      </c>
      <c r="T252" s="169">
        <f>_xll.qlDayCounterYearFraction(DayCounter,R252,S252,,,Trigger)</f>
        <v>0.25555555555555554</v>
      </c>
      <c r="U252" s="181">
        <f>_xll.qlInterpolationInterpolate(B3Minterpolation,R252,TRUE)</f>
        <v>1.3121860032195476E-3</v>
      </c>
      <c r="V252" s="184">
        <f>_xll.qlYieldTSDiscount(Discounting,R252,,AllTriggers)</f>
        <v>1.0012196412391301</v>
      </c>
      <c r="W252" s="184">
        <f>_xll.qlYieldTSDiscount(Discounting,S252,,AllTriggers)</f>
        <v>1.0015385570414399</v>
      </c>
      <c r="X252" s="181">
        <f t="shared" si="10"/>
        <v>-1.2460143362117957E-3</v>
      </c>
      <c r="AC252" s="155"/>
      <c r="AD252" s="155"/>
    </row>
    <row r="253" spans="5:30" ht="11.25" customHeight="1" x14ac:dyDescent="0.2">
      <c r="E253" s="340"/>
      <c r="F253" s="340"/>
      <c r="G253" s="155"/>
      <c r="K253" s="155"/>
      <c r="L253" s="155"/>
      <c r="R253" s="183">
        <f>_xll.qlCalendarAdvance(Calendar,R252,"1D","f")</f>
        <v>42493</v>
      </c>
      <c r="S253" s="183">
        <f>_xll.qlCalendarAdvance(Calendar,R253,$F$1,"mf",,Trigger)</f>
        <v>42585</v>
      </c>
      <c r="T253" s="169">
        <f>_xll.qlDayCounterYearFraction(DayCounter,R253,S253,,,Trigger)</f>
        <v>0.25555555555555554</v>
      </c>
      <c r="U253" s="181">
        <f>_xll.qlInterpolationInterpolate(B3Minterpolation,R253,TRUE)</f>
        <v>1.3130133697302146E-3</v>
      </c>
      <c r="V253" s="184">
        <f>_xll.qlYieldTSDiscount(Discounting,R253,,AllTriggers)</f>
        <v>1.0012232814037545</v>
      </c>
      <c r="W253" s="184">
        <f>_xll.qlYieldTSDiscount(Discounting,S253,,AllTriggers)</f>
        <v>1.0015417278034666</v>
      </c>
      <c r="X253" s="181">
        <f t="shared" si="10"/>
        <v>-1.2441764261806733E-3</v>
      </c>
      <c r="AC253" s="155"/>
      <c r="AD253" s="155"/>
    </row>
    <row r="254" spans="5:30" ht="11.25" customHeight="1" x14ac:dyDescent="0.2">
      <c r="E254" s="340"/>
      <c r="F254" s="340"/>
      <c r="G254" s="155"/>
      <c r="K254" s="155"/>
      <c r="L254" s="155"/>
      <c r="R254" s="183">
        <f>_xll.qlCalendarAdvance(Calendar,R253,"1D","f")</f>
        <v>42494</v>
      </c>
      <c r="S254" s="183">
        <f>_xll.qlCalendarAdvance(Calendar,R254,$F$1,"mf",,Trigger)</f>
        <v>42586</v>
      </c>
      <c r="T254" s="169">
        <f>_xll.qlDayCounterYearFraction(DayCounter,R254,S254,,,Trigger)</f>
        <v>0.25555555555555554</v>
      </c>
      <c r="U254" s="181">
        <f>_xll.qlInterpolationInterpolate(B3Minterpolation,R254,TRUE)</f>
        <v>1.3138637410278632E-3</v>
      </c>
      <c r="V254" s="184">
        <f>_xll.qlYieldTSDiscount(Discounting,R254,,AllTriggers)</f>
        <v>1.001226923980653</v>
      </c>
      <c r="W254" s="184">
        <f>_xll.qlYieldTSDiscount(Discounting,S254,,AllTriggers)</f>
        <v>1.0015448921828394</v>
      </c>
      <c r="X254" s="181">
        <f t="shared" si="10"/>
        <v>-1.2423041738527181E-3</v>
      </c>
      <c r="AC254" s="155"/>
      <c r="AD254" s="155"/>
    </row>
    <row r="255" spans="5:30" ht="11.25" customHeight="1" x14ac:dyDescent="0.2">
      <c r="E255" s="340"/>
      <c r="F255" s="340"/>
      <c r="G255" s="155"/>
      <c r="K255" s="155"/>
      <c r="L255" s="155"/>
      <c r="R255" s="183">
        <f>_xll.qlCalendarAdvance(Calendar,R254,"1D","f")</f>
        <v>42495</v>
      </c>
      <c r="S255" s="183">
        <f>_xll.qlCalendarAdvance(Calendar,R255,$F$1,"mf",,Trigger)</f>
        <v>42587</v>
      </c>
      <c r="T255" s="169">
        <f>_xll.qlDayCounterYearFraction(DayCounter,R255,S255,,,Trigger)</f>
        <v>0.25555555555555554</v>
      </c>
      <c r="U255" s="181">
        <f>_xll.qlInterpolationInterpolate(B3Minterpolation,R255,TRUE)</f>
        <v>1.3147373703611583E-3</v>
      </c>
      <c r="V255" s="184">
        <f>_xll.qlYieldTSDiscount(Discounting,R255,,AllTriggers)</f>
        <v>1.0012305686984404</v>
      </c>
      <c r="W255" s="184">
        <f>_xll.qlYieldTSDiscount(Discounting,S255,,AllTriggers)</f>
        <v>1.0015480501970226</v>
      </c>
      <c r="X255" s="181">
        <f t="shared" si="10"/>
        <v>-1.2403987080315032E-3</v>
      </c>
      <c r="AC255" s="155"/>
      <c r="AD255" s="155"/>
    </row>
    <row r="256" spans="5:30" ht="11.25" customHeight="1" x14ac:dyDescent="0.2">
      <c r="E256" s="340"/>
      <c r="F256" s="340"/>
      <c r="G256" s="155"/>
      <c r="K256" s="155"/>
      <c r="L256" s="155"/>
      <c r="R256" s="183">
        <f>_xll.qlCalendarAdvance(Calendar,R255,"1D","f")</f>
        <v>42496</v>
      </c>
      <c r="S256" s="183">
        <f>_xll.qlCalendarAdvance(Calendar,R256,$F$1,"mf",,Trigger)</f>
        <v>42590</v>
      </c>
      <c r="T256" s="169">
        <f>_xll.qlDayCounterYearFraction(DayCounter,R256,S256,,,Trigger)</f>
        <v>0.26111111111111113</v>
      </c>
      <c r="U256" s="181">
        <f>_xll.qlInterpolationInterpolate(B3Minterpolation,R256,TRUE)</f>
        <v>1.3156345109787649E-3</v>
      </c>
      <c r="V256" s="184">
        <f>_xll.qlYieldTSDiscount(Discounting,R256,,AllTriggers)</f>
        <v>1.0012342152857261</v>
      </c>
      <c r="W256" s="184">
        <f>_xll.qlYieldTSDiscount(Discounting,S256,,AllTriggers)</f>
        <v>1.0015574862230887</v>
      </c>
      <c r="X256" s="181">
        <f t="shared" si="10"/>
        <v>-1.2361336479216334E-3</v>
      </c>
      <c r="AC256" s="155"/>
      <c r="AD256" s="155"/>
    </row>
    <row r="257" spans="5:30" ht="11.25" customHeight="1" x14ac:dyDescent="0.2">
      <c r="E257" s="340"/>
      <c r="F257" s="340"/>
      <c r="G257" s="155"/>
      <c r="K257" s="155"/>
      <c r="L257" s="155"/>
      <c r="R257" s="183">
        <f>_xll.qlCalendarAdvance(Calendar,R256,"1D","f")</f>
        <v>42499</v>
      </c>
      <c r="S257" s="183">
        <f>_xll.qlCalendarAdvance(Calendar,R257,$F$1,"mf",,Trigger)</f>
        <v>42591</v>
      </c>
      <c r="T257" s="169">
        <f>_xll.qlDayCounterYearFraction(DayCounter,R257,S257,,,Trigger)</f>
        <v>0.25555555555555554</v>
      </c>
      <c r="U257" s="181">
        <f>_xll.qlInterpolationInterpolate(B3Minterpolation,R257,TRUE)</f>
        <v>1.3184695330241058E-3</v>
      </c>
      <c r="V257" s="184">
        <f>_xll.qlYieldTSDiscount(Discounting,R257,,AllTriggers)</f>
        <v>1.001245163550615</v>
      </c>
      <c r="W257" s="184">
        <f>_xll.qlYieldTSDiscount(Discounting,S257,,AllTriggers)</f>
        <v>1.0015606189511685</v>
      </c>
      <c r="X257" s="181">
        <f t="shared" si="10"/>
        <v>-1.2324672860149514E-3</v>
      </c>
      <c r="AC257" s="155"/>
      <c r="AD257" s="155"/>
    </row>
    <row r="258" spans="5:30" ht="11.25" customHeight="1" x14ac:dyDescent="0.2">
      <c r="E258" s="340"/>
      <c r="F258" s="340"/>
      <c r="G258" s="155"/>
      <c r="K258" s="155"/>
      <c r="L258" s="155"/>
      <c r="R258" s="183">
        <f>_xll.qlCalendarAdvance(Calendar,R257,"1D","f")</f>
        <v>42500</v>
      </c>
      <c r="S258" s="183">
        <f>_xll.qlCalendarAdvance(Calendar,R258,$F$1,"mf",,Trigger)</f>
        <v>42592</v>
      </c>
      <c r="T258" s="169">
        <f>_xll.qlDayCounterYearFraction(DayCounter,R258,S258,,,Trigger)</f>
        <v>0.25555555555555554</v>
      </c>
      <c r="U258" s="181">
        <f>_xll.qlInterpolationInterpolate(B3Minterpolation,R258,TRUE)</f>
        <v>1.3194632512656098E-3</v>
      </c>
      <c r="V258" s="184">
        <f>_xll.qlYieldTSDiscount(Discounting,R258,,AllTriggers)</f>
        <v>1.0012488149019159</v>
      </c>
      <c r="W258" s="184">
        <f>_xll.qlYieldTSDiscount(Discounting,S258,,AllTriggers)</f>
        <v>1.0015637454013882</v>
      </c>
      <c r="X258" s="181">
        <f t="shared" si="10"/>
        <v>-1.2304126848874579E-3</v>
      </c>
      <c r="AC258" s="155"/>
      <c r="AD258" s="155"/>
    </row>
    <row r="259" spans="5:30" ht="11.25" customHeight="1" x14ac:dyDescent="0.2">
      <c r="E259" s="340"/>
      <c r="F259" s="340"/>
      <c r="G259" s="155"/>
      <c r="K259" s="155"/>
      <c r="L259" s="155"/>
      <c r="R259" s="183">
        <f>_xll.qlCalendarAdvance(Calendar,R258,"1D","f")</f>
        <v>42501</v>
      </c>
      <c r="S259" s="183">
        <f>_xll.qlCalendarAdvance(Calendar,R259,$F$1,"mf",,Trigger)</f>
        <v>42593</v>
      </c>
      <c r="T259" s="169">
        <f>_xll.qlDayCounterYearFraction(DayCounter,R259,S259,,,Trigger)</f>
        <v>0.25555555555555554</v>
      </c>
      <c r="U259" s="181">
        <f>_xll.qlInterpolationInterpolate(B3Minterpolation,R259,TRUE)</f>
        <v>1.320481747034751E-3</v>
      </c>
      <c r="V259" s="184">
        <f>_xll.qlYieldTSDiscount(Discounting,R259,,AllTriggers)</f>
        <v>1.0012524667657061</v>
      </c>
      <c r="W259" s="184">
        <f>_xll.qlYieldTSDiscount(Discounting,S259,,AllTriggers)</f>
        <v>1.001566865591214</v>
      </c>
      <c r="X259" s="181">
        <f t="shared" si="10"/>
        <v>-1.2283316431402709E-3</v>
      </c>
      <c r="AC259" s="155"/>
      <c r="AD259" s="155"/>
    </row>
    <row r="260" spans="5:30" ht="11.25" customHeight="1" x14ac:dyDescent="0.2">
      <c r="E260" s="340"/>
      <c r="F260" s="340"/>
      <c r="G260" s="155"/>
      <c r="K260" s="155"/>
      <c r="L260" s="155"/>
      <c r="R260" s="183">
        <f>_xll.qlCalendarAdvance(Calendar,R259,"1D","f")</f>
        <v>42502</v>
      </c>
      <c r="S260" s="183">
        <f>_xll.qlCalendarAdvance(Calendar,R260,$F$1,"mf",,Trigger)</f>
        <v>42594</v>
      </c>
      <c r="T260" s="169">
        <f>_xll.qlDayCounterYearFraction(DayCounter,R260,S260,,,Trigger)</f>
        <v>0.25555555555555554</v>
      </c>
      <c r="U260" s="181">
        <f>_xll.qlInterpolationInterpolate(B3Minterpolation,R260,TRUE)</f>
        <v>1.3215252735801941E-3</v>
      </c>
      <c r="V260" s="184">
        <f>_xll.qlYieldTSDiscount(Discounting,R260,,AllTriggers)</f>
        <v>1.001256118870572</v>
      </c>
      <c r="W260" s="184">
        <f>_xll.qlYieldTSDiscount(Discounting,S260,,AllTriggers)</f>
        <v>1.0015699795381134</v>
      </c>
      <c r="X260" s="181">
        <f t="shared" ref="X260:X261" si="11">(V260/W260-1)/T260</f>
        <v>-1.2262252895921678E-3</v>
      </c>
      <c r="AC260" s="155"/>
      <c r="AD260" s="155"/>
    </row>
    <row r="261" spans="5:30" ht="11.25" customHeight="1" x14ac:dyDescent="0.2">
      <c r="E261" s="340"/>
      <c r="F261" s="340"/>
      <c r="G261" s="155"/>
      <c r="K261" s="155"/>
      <c r="L261" s="155"/>
      <c r="R261" s="187">
        <f>_xll.qlCalendarAdvance(Calendar,R260,"1D","f")</f>
        <v>42503</v>
      </c>
      <c r="S261" s="187">
        <f>_xll.qlCalendarAdvance(Calendar,R261,$F$1,"mf",,Trigger)</f>
        <v>42597</v>
      </c>
      <c r="T261" s="174">
        <f>_xll.qlDayCounterYearFraction(DayCounter,R261,S261,,,Trigger)</f>
        <v>0.26111111111111113</v>
      </c>
      <c r="U261" s="190">
        <f>_xll.qlInterpolationInterpolate(B3Minterpolation,R261,TRUE)</f>
        <v>1.3225940841506045E-3</v>
      </c>
      <c r="V261" s="188">
        <f>_xll.qlYieldTSDiscount(Discounting,R261,,AllTriggers)</f>
        <v>1.0012597709450963</v>
      </c>
      <c r="W261" s="188">
        <f>_xll.qlYieldTSDiscount(Discounting,S261,,AllTriggers)</f>
        <v>1.0015792840959281</v>
      </c>
      <c r="X261" s="190">
        <f t="shared" si="11"/>
        <v>-1.2217379149057721E-3</v>
      </c>
      <c r="AC261" s="155"/>
      <c r="AD261" s="155"/>
    </row>
    <row r="262" spans="5:30" ht="11.25" customHeight="1" x14ac:dyDescent="0.2">
      <c r="E262" s="340"/>
      <c r="F262" s="340"/>
      <c r="G262" s="155"/>
      <c r="K262" s="155"/>
      <c r="L262" s="155"/>
      <c r="R262" s="342"/>
      <c r="S262" s="342"/>
      <c r="T262" s="342"/>
      <c r="U262" s="342"/>
      <c r="V262" s="342"/>
      <c r="W262" s="342"/>
      <c r="X262" s="343"/>
      <c r="AC262" s="155"/>
      <c r="AD262" s="155"/>
    </row>
    <row r="263" spans="5:30" ht="11.25" customHeight="1" x14ac:dyDescent="0.2">
      <c r="E263" s="340"/>
      <c r="F263" s="340"/>
      <c r="G263" s="155"/>
      <c r="K263" s="155"/>
      <c r="L263" s="155"/>
      <c r="R263" s="342"/>
      <c r="S263" s="342"/>
      <c r="T263" s="342"/>
      <c r="U263" s="342"/>
      <c r="V263" s="342"/>
      <c r="W263" s="342"/>
      <c r="X263" s="343"/>
      <c r="AC263" s="155"/>
      <c r="AD263" s="155"/>
    </row>
    <row r="264" spans="5:30" ht="11.25" customHeight="1" x14ac:dyDescent="0.2">
      <c r="E264" s="340"/>
      <c r="F264" s="340"/>
      <c r="G264" s="155"/>
      <c r="K264" s="155"/>
      <c r="L264" s="155"/>
      <c r="R264" s="342"/>
      <c r="S264" s="342"/>
      <c r="T264" s="342"/>
      <c r="U264" s="342"/>
      <c r="V264" s="342"/>
      <c r="W264" s="342"/>
      <c r="X264" s="343"/>
      <c r="AC264" s="155"/>
      <c r="AD264" s="155"/>
    </row>
    <row r="265" spans="5:30" ht="11.25" customHeight="1" x14ac:dyDescent="0.2">
      <c r="E265" s="340"/>
      <c r="F265" s="340"/>
      <c r="G265" s="155"/>
      <c r="K265" s="155"/>
      <c r="L265" s="155"/>
      <c r="R265" s="342"/>
      <c r="S265" s="342"/>
      <c r="T265" s="342"/>
      <c r="U265" s="342"/>
      <c r="V265" s="342"/>
      <c r="W265" s="342"/>
      <c r="X265" s="343"/>
      <c r="AC265" s="155"/>
      <c r="AD265" s="155"/>
    </row>
    <row r="266" spans="5:30" ht="11.25" customHeight="1" x14ac:dyDescent="0.2">
      <c r="E266" s="340"/>
      <c r="F266" s="340"/>
      <c r="G266" s="155"/>
      <c r="K266" s="155"/>
      <c r="L266" s="155"/>
      <c r="R266" s="342"/>
      <c r="S266" s="342"/>
      <c r="T266" s="342"/>
      <c r="U266" s="342"/>
      <c r="V266" s="342"/>
      <c r="W266" s="342"/>
      <c r="X266" s="343"/>
      <c r="AC266" s="155"/>
      <c r="AD266" s="155"/>
    </row>
    <row r="267" spans="5:30" ht="11.25" customHeight="1" x14ac:dyDescent="0.2">
      <c r="E267" s="340"/>
      <c r="F267" s="340"/>
      <c r="G267" s="155"/>
      <c r="K267" s="155"/>
      <c r="L267" s="155"/>
      <c r="R267" s="342"/>
      <c r="S267" s="342"/>
      <c r="T267" s="342"/>
      <c r="U267" s="342"/>
      <c r="V267" s="342"/>
      <c r="W267" s="342"/>
      <c r="X267" s="343"/>
      <c r="AC267" s="155"/>
      <c r="AD267" s="155"/>
    </row>
    <row r="268" spans="5:30" ht="11.25" customHeight="1" x14ac:dyDescent="0.2">
      <c r="E268" s="340"/>
      <c r="F268" s="340"/>
      <c r="G268" s="155"/>
      <c r="K268" s="155"/>
      <c r="L268" s="155"/>
      <c r="R268" s="342"/>
      <c r="S268" s="342"/>
      <c r="T268" s="342"/>
      <c r="U268" s="342"/>
      <c r="V268" s="342"/>
      <c r="W268" s="342"/>
      <c r="X268" s="343"/>
      <c r="AC268" s="155"/>
      <c r="AD268" s="155"/>
    </row>
    <row r="269" spans="5:30" ht="11.25" customHeight="1" x14ac:dyDescent="0.2">
      <c r="E269" s="340"/>
      <c r="F269" s="340"/>
      <c r="G269" s="155"/>
      <c r="K269" s="155"/>
      <c r="L269" s="155"/>
      <c r="R269" s="342"/>
      <c r="S269" s="342"/>
      <c r="T269" s="342"/>
      <c r="U269" s="342"/>
      <c r="V269" s="342"/>
      <c r="W269" s="342"/>
      <c r="X269" s="343"/>
      <c r="AC269" s="155"/>
      <c r="AD269" s="155"/>
    </row>
    <row r="270" spans="5:30" ht="11.25" customHeight="1" x14ac:dyDescent="0.2">
      <c r="E270" s="340"/>
      <c r="F270" s="340"/>
      <c r="G270" s="155"/>
      <c r="K270" s="155"/>
      <c r="L270" s="155"/>
      <c r="R270" s="342"/>
      <c r="S270" s="342"/>
      <c r="T270" s="342"/>
      <c r="U270" s="342"/>
      <c r="V270" s="342"/>
      <c r="W270" s="342"/>
      <c r="X270" s="343"/>
      <c r="AC270" s="155"/>
      <c r="AD270" s="155"/>
    </row>
    <row r="271" spans="5:30" ht="11.25" customHeight="1" x14ac:dyDescent="0.2">
      <c r="E271" s="340"/>
      <c r="F271" s="340"/>
      <c r="G271" s="155"/>
      <c r="K271" s="155"/>
      <c r="L271" s="155"/>
      <c r="R271" s="342"/>
      <c r="S271" s="342"/>
      <c r="T271" s="342"/>
      <c r="U271" s="342"/>
      <c r="V271" s="342"/>
      <c r="W271" s="342"/>
      <c r="X271" s="343"/>
      <c r="AC271" s="155"/>
      <c r="AD271" s="155"/>
    </row>
    <row r="272" spans="5:30" ht="11.25" customHeight="1" x14ac:dyDescent="0.2">
      <c r="E272" s="340"/>
      <c r="F272" s="340"/>
      <c r="G272" s="155"/>
      <c r="K272" s="155"/>
      <c r="L272" s="155"/>
      <c r="R272" s="342"/>
      <c r="S272" s="342"/>
      <c r="T272" s="342"/>
      <c r="U272" s="342"/>
      <c r="V272" s="342"/>
      <c r="W272" s="342"/>
      <c r="X272" s="343"/>
      <c r="AC272" s="155"/>
      <c r="AD272" s="155"/>
    </row>
    <row r="273" spans="5:30" ht="11.25" customHeight="1" x14ac:dyDescent="0.2">
      <c r="E273" s="340"/>
      <c r="F273" s="340"/>
      <c r="G273" s="155"/>
      <c r="K273" s="155"/>
      <c r="L273" s="155"/>
      <c r="R273" s="342"/>
      <c r="S273" s="342"/>
      <c r="T273" s="342"/>
      <c r="U273" s="342"/>
      <c r="V273" s="342"/>
      <c r="W273" s="342"/>
      <c r="X273" s="343"/>
      <c r="AC273" s="155"/>
      <c r="AD273" s="155"/>
    </row>
    <row r="274" spans="5:30" ht="11.25" customHeight="1" x14ac:dyDescent="0.2">
      <c r="E274" s="340"/>
      <c r="F274" s="340"/>
      <c r="G274" s="155"/>
      <c r="K274" s="155"/>
      <c r="L274" s="155"/>
      <c r="R274" s="342"/>
      <c r="S274" s="342"/>
      <c r="T274" s="342"/>
      <c r="U274" s="342"/>
      <c r="V274" s="342"/>
      <c r="W274" s="342"/>
      <c r="X274" s="343"/>
      <c r="AC274" s="155"/>
      <c r="AD274" s="155"/>
    </row>
    <row r="275" spans="5:30" ht="11.25" customHeight="1" x14ac:dyDescent="0.2">
      <c r="E275" s="340"/>
      <c r="F275" s="340"/>
      <c r="G275" s="155"/>
      <c r="K275" s="155"/>
      <c r="L275" s="155"/>
      <c r="R275" s="342"/>
      <c r="S275" s="342"/>
      <c r="T275" s="342"/>
      <c r="U275" s="342"/>
      <c r="V275" s="342"/>
      <c r="W275" s="342"/>
      <c r="X275" s="343"/>
      <c r="AC275" s="155"/>
      <c r="AD275" s="155"/>
    </row>
    <row r="276" spans="5:30" ht="11.25" customHeight="1" x14ac:dyDescent="0.2">
      <c r="E276" s="340"/>
      <c r="F276" s="340"/>
      <c r="G276" s="155"/>
      <c r="K276" s="155"/>
      <c r="L276" s="155"/>
      <c r="R276" s="342"/>
      <c r="S276" s="342"/>
      <c r="T276" s="342"/>
      <c r="U276" s="342"/>
      <c r="V276" s="342"/>
      <c r="W276" s="342"/>
      <c r="X276" s="343"/>
      <c r="AC276" s="155"/>
      <c r="AD276" s="155"/>
    </row>
    <row r="277" spans="5:30" ht="11.25" customHeight="1" x14ac:dyDescent="0.2">
      <c r="E277" s="340"/>
      <c r="F277" s="340"/>
      <c r="G277" s="155"/>
      <c r="K277" s="155"/>
      <c r="L277" s="155"/>
      <c r="R277" s="342"/>
      <c r="S277" s="342"/>
      <c r="T277" s="342"/>
      <c r="U277" s="342"/>
      <c r="V277" s="342"/>
      <c r="W277" s="342"/>
      <c r="X277" s="343"/>
      <c r="AC277" s="155"/>
      <c r="AD277" s="155"/>
    </row>
    <row r="278" spans="5:30" ht="11.25" customHeight="1" x14ac:dyDescent="0.2">
      <c r="E278" s="340"/>
      <c r="F278" s="340"/>
      <c r="G278" s="155"/>
      <c r="K278" s="155"/>
      <c r="L278" s="155"/>
      <c r="R278" s="342"/>
      <c r="S278" s="342"/>
      <c r="T278" s="342"/>
      <c r="U278" s="342"/>
      <c r="V278" s="342"/>
      <c r="W278" s="342"/>
      <c r="X278" s="343"/>
      <c r="AC278" s="155"/>
      <c r="AD278" s="155"/>
    </row>
    <row r="279" spans="5:30" ht="11.25" customHeight="1" x14ac:dyDescent="0.2">
      <c r="E279" s="340"/>
      <c r="F279" s="340"/>
      <c r="G279" s="155"/>
      <c r="K279" s="155"/>
      <c r="L279" s="155"/>
      <c r="R279" s="342"/>
      <c r="S279" s="342"/>
      <c r="T279" s="342"/>
      <c r="U279" s="342"/>
      <c r="V279" s="342"/>
      <c r="W279" s="342"/>
      <c r="X279" s="343"/>
      <c r="AC279" s="155"/>
      <c r="AD279" s="155"/>
    </row>
    <row r="280" spans="5:30" ht="11.25" customHeight="1" x14ac:dyDescent="0.2">
      <c r="E280" s="340"/>
      <c r="F280" s="340"/>
      <c r="G280" s="155"/>
      <c r="K280" s="155"/>
      <c r="L280" s="155"/>
      <c r="R280" s="342"/>
      <c r="S280" s="342"/>
      <c r="T280" s="342"/>
      <c r="U280" s="342"/>
      <c r="V280" s="342"/>
      <c r="W280" s="342"/>
      <c r="X280" s="343"/>
      <c r="AC280" s="155"/>
      <c r="AD280" s="155"/>
    </row>
    <row r="281" spans="5:30" ht="11.25" customHeight="1" x14ac:dyDescent="0.2">
      <c r="E281" s="340"/>
      <c r="F281" s="340"/>
      <c r="G281" s="155"/>
      <c r="K281" s="155"/>
      <c r="L281" s="155"/>
      <c r="R281" s="342"/>
      <c r="S281" s="342"/>
      <c r="T281" s="342"/>
      <c r="U281" s="342"/>
      <c r="V281" s="342"/>
      <c r="W281" s="342"/>
      <c r="X281" s="343"/>
      <c r="AC281" s="155"/>
      <c r="AD281" s="155"/>
    </row>
    <row r="282" spans="5:30" ht="11.25" customHeight="1" x14ac:dyDescent="0.2">
      <c r="E282" s="340"/>
      <c r="F282" s="340"/>
      <c r="G282" s="155"/>
      <c r="K282" s="155"/>
      <c r="L282" s="155"/>
      <c r="R282" s="342"/>
      <c r="S282" s="342"/>
      <c r="T282" s="342"/>
      <c r="U282" s="342"/>
      <c r="V282" s="342"/>
      <c r="W282" s="342"/>
      <c r="X282" s="343"/>
      <c r="AC282" s="155"/>
      <c r="AD282" s="155"/>
    </row>
    <row r="283" spans="5:30" ht="11.25" customHeight="1" x14ac:dyDescent="0.2">
      <c r="E283" s="340"/>
      <c r="F283" s="340"/>
      <c r="G283" s="155"/>
      <c r="K283" s="155"/>
      <c r="L283" s="155"/>
      <c r="R283" s="342"/>
      <c r="S283" s="342"/>
      <c r="T283" s="342"/>
      <c r="U283" s="342"/>
      <c r="V283" s="342"/>
      <c r="W283" s="342"/>
      <c r="X283" s="343"/>
      <c r="AC283" s="155"/>
      <c r="AD283" s="155"/>
    </row>
    <row r="284" spans="5:30" ht="11.25" customHeight="1" x14ac:dyDescent="0.2">
      <c r="E284" s="340"/>
      <c r="F284" s="340"/>
      <c r="G284" s="155"/>
      <c r="K284" s="155"/>
      <c r="L284" s="155"/>
      <c r="R284" s="342"/>
      <c r="S284" s="342"/>
      <c r="T284" s="342"/>
      <c r="U284" s="342"/>
      <c r="V284" s="342"/>
      <c r="W284" s="342"/>
      <c r="X284" s="343"/>
      <c r="AC284" s="155"/>
      <c r="AD284" s="155"/>
    </row>
    <row r="285" spans="5:30" ht="11.25" customHeight="1" x14ac:dyDescent="0.2">
      <c r="E285" s="340"/>
      <c r="F285" s="340"/>
      <c r="G285" s="155"/>
      <c r="K285" s="155"/>
      <c r="L285" s="155"/>
      <c r="R285" s="342"/>
      <c r="S285" s="342"/>
      <c r="T285" s="342"/>
      <c r="U285" s="342"/>
      <c r="V285" s="342"/>
      <c r="W285" s="342"/>
      <c r="X285" s="343"/>
      <c r="AC285" s="155"/>
      <c r="AD285" s="155"/>
    </row>
    <row r="286" spans="5:30" ht="11.25" customHeight="1" x14ac:dyDescent="0.2">
      <c r="E286" s="340"/>
      <c r="F286" s="340"/>
      <c r="G286" s="155"/>
      <c r="K286" s="155"/>
      <c r="L286" s="155"/>
      <c r="R286" s="342"/>
      <c r="S286" s="342"/>
      <c r="T286" s="342"/>
      <c r="U286" s="342"/>
      <c r="V286" s="342"/>
      <c r="W286" s="342"/>
      <c r="X286" s="343"/>
      <c r="AC286" s="155"/>
      <c r="AD286" s="155"/>
    </row>
    <row r="287" spans="5:30" ht="11.25" customHeight="1" x14ac:dyDescent="0.2">
      <c r="E287" s="340"/>
      <c r="F287" s="340"/>
      <c r="G287" s="155"/>
      <c r="K287" s="155"/>
      <c r="L287" s="155"/>
      <c r="R287" s="342"/>
      <c r="S287" s="342"/>
      <c r="T287" s="342"/>
      <c r="U287" s="342"/>
      <c r="V287" s="342"/>
      <c r="W287" s="342"/>
      <c r="X287" s="343"/>
      <c r="AC287" s="155"/>
      <c r="AD287" s="155"/>
    </row>
    <row r="288" spans="5:30" ht="11.25" customHeight="1" x14ac:dyDescent="0.2">
      <c r="E288" s="340"/>
      <c r="F288" s="340"/>
      <c r="G288" s="155"/>
      <c r="K288" s="155"/>
      <c r="L288" s="155"/>
      <c r="R288" s="342"/>
      <c r="S288" s="342"/>
      <c r="T288" s="342"/>
      <c r="U288" s="342"/>
      <c r="V288" s="342"/>
      <c r="W288" s="342"/>
      <c r="X288" s="343"/>
      <c r="AC288" s="155"/>
      <c r="AD288" s="155"/>
    </row>
    <row r="289" spans="5:30" ht="11.25" customHeight="1" x14ac:dyDescent="0.2">
      <c r="E289" s="340"/>
      <c r="F289" s="340"/>
      <c r="G289" s="155"/>
      <c r="K289" s="155"/>
      <c r="L289" s="155"/>
      <c r="R289" s="342"/>
      <c r="S289" s="342"/>
      <c r="T289" s="342"/>
      <c r="U289" s="342"/>
      <c r="V289" s="342"/>
      <c r="W289" s="342"/>
      <c r="X289" s="343"/>
      <c r="AC289" s="155"/>
      <c r="AD289" s="155"/>
    </row>
    <row r="290" spans="5:30" ht="11.25" customHeight="1" x14ac:dyDescent="0.2">
      <c r="E290" s="340"/>
      <c r="F290" s="340"/>
      <c r="G290" s="155"/>
      <c r="K290" s="155"/>
      <c r="L290" s="155"/>
      <c r="R290" s="342"/>
      <c r="S290" s="342"/>
      <c r="T290" s="342"/>
      <c r="U290" s="342"/>
      <c r="V290" s="342"/>
      <c r="W290" s="342"/>
      <c r="X290" s="343"/>
      <c r="AC290" s="155"/>
      <c r="AD290" s="155"/>
    </row>
    <row r="291" spans="5:30" ht="11.25" customHeight="1" x14ac:dyDescent="0.2">
      <c r="E291" s="340"/>
      <c r="F291" s="340"/>
      <c r="G291" s="155"/>
      <c r="K291" s="155"/>
      <c r="L291" s="155"/>
      <c r="R291" s="342"/>
      <c r="S291" s="342"/>
      <c r="T291" s="342"/>
      <c r="U291" s="342"/>
      <c r="V291" s="342"/>
      <c r="W291" s="342"/>
      <c r="X291" s="343"/>
      <c r="AC291" s="155"/>
      <c r="AD291" s="155"/>
    </row>
    <row r="292" spans="5:30" ht="11.25" customHeight="1" x14ac:dyDescent="0.2">
      <c r="E292" s="340"/>
      <c r="F292" s="340"/>
      <c r="G292" s="155"/>
      <c r="K292" s="155"/>
      <c r="L292" s="155"/>
      <c r="R292" s="342"/>
      <c r="S292" s="342"/>
      <c r="T292" s="342"/>
      <c r="U292" s="342"/>
      <c r="V292" s="342"/>
      <c r="W292" s="342"/>
      <c r="X292" s="343"/>
      <c r="AC292" s="155"/>
      <c r="AD292" s="155"/>
    </row>
    <row r="293" spans="5:30" ht="11.25" customHeight="1" x14ac:dyDescent="0.2">
      <c r="E293" s="340"/>
      <c r="F293" s="340"/>
      <c r="G293" s="155"/>
      <c r="K293" s="155"/>
      <c r="L293" s="155"/>
      <c r="R293" s="342"/>
      <c r="S293" s="342"/>
      <c r="T293" s="342"/>
      <c r="U293" s="342"/>
      <c r="V293" s="342"/>
      <c r="W293" s="342"/>
      <c r="X293" s="343"/>
      <c r="AC293" s="155"/>
      <c r="AD293" s="155"/>
    </row>
    <row r="294" spans="5:30" ht="11.25" customHeight="1" x14ac:dyDescent="0.2">
      <c r="E294" s="340"/>
      <c r="F294" s="340"/>
      <c r="G294" s="155"/>
      <c r="K294" s="155"/>
      <c r="L294" s="155"/>
      <c r="R294" s="342"/>
      <c r="S294" s="342"/>
      <c r="T294" s="342"/>
      <c r="U294" s="342"/>
      <c r="V294" s="342"/>
      <c r="W294" s="342"/>
      <c r="X294" s="343"/>
      <c r="AC294" s="155"/>
      <c r="AD294" s="155"/>
    </row>
    <row r="295" spans="5:30" ht="11.25" customHeight="1" x14ac:dyDescent="0.2">
      <c r="E295" s="340"/>
      <c r="F295" s="340"/>
      <c r="G295" s="155"/>
      <c r="K295" s="155"/>
      <c r="L295" s="155"/>
      <c r="R295" s="342"/>
      <c r="S295" s="342"/>
      <c r="T295" s="342"/>
      <c r="U295" s="342"/>
      <c r="V295" s="342"/>
      <c r="W295" s="342"/>
      <c r="X295" s="343"/>
      <c r="AC295" s="155"/>
      <c r="AD295" s="155"/>
    </row>
    <row r="296" spans="5:30" ht="11.25" customHeight="1" x14ac:dyDescent="0.2">
      <c r="E296" s="340"/>
      <c r="F296" s="340"/>
      <c r="G296" s="155"/>
      <c r="K296" s="155"/>
      <c r="L296" s="155"/>
      <c r="R296" s="342"/>
      <c r="S296" s="342"/>
      <c r="T296" s="342"/>
      <c r="U296" s="342"/>
      <c r="V296" s="342"/>
      <c r="W296" s="342"/>
      <c r="X296" s="343"/>
      <c r="AC296" s="155"/>
      <c r="AD296" s="155"/>
    </row>
    <row r="297" spans="5:30" ht="11.25" customHeight="1" x14ac:dyDescent="0.2">
      <c r="E297" s="340"/>
      <c r="F297" s="340"/>
      <c r="G297" s="155"/>
      <c r="K297" s="155"/>
      <c r="L297" s="155"/>
      <c r="R297" s="342"/>
      <c r="S297" s="342"/>
      <c r="T297" s="342"/>
      <c r="U297" s="342"/>
      <c r="V297" s="342"/>
      <c r="W297" s="342"/>
      <c r="X297" s="343"/>
      <c r="AC297" s="155"/>
      <c r="AD297" s="155"/>
    </row>
    <row r="298" spans="5:30" ht="11.25" customHeight="1" x14ac:dyDescent="0.2">
      <c r="E298" s="340"/>
      <c r="F298" s="340"/>
      <c r="G298" s="155"/>
      <c r="K298" s="155"/>
      <c r="L298" s="155"/>
      <c r="R298" s="342"/>
      <c r="S298" s="342"/>
      <c r="T298" s="342"/>
      <c r="U298" s="342"/>
      <c r="V298" s="342"/>
      <c r="W298" s="342"/>
      <c r="X298" s="343"/>
      <c r="AC298" s="155"/>
      <c r="AD298" s="155"/>
    </row>
    <row r="299" spans="5:30" ht="11.25" customHeight="1" x14ac:dyDescent="0.2">
      <c r="E299" s="340"/>
      <c r="F299" s="340"/>
      <c r="G299" s="155"/>
      <c r="K299" s="155"/>
      <c r="L299" s="155"/>
      <c r="R299" s="342"/>
      <c r="S299" s="342"/>
      <c r="T299" s="342"/>
      <c r="U299" s="342"/>
      <c r="V299" s="342"/>
      <c r="W299" s="342"/>
      <c r="X299" s="343"/>
      <c r="AC299" s="155"/>
      <c r="AD299" s="155"/>
    </row>
    <row r="300" spans="5:30" ht="11.25" customHeight="1" x14ac:dyDescent="0.2">
      <c r="E300" s="340"/>
      <c r="F300" s="340"/>
      <c r="G300" s="155"/>
      <c r="K300" s="155"/>
      <c r="L300" s="155"/>
      <c r="R300" s="342"/>
      <c r="S300" s="342"/>
      <c r="T300" s="342"/>
      <c r="U300" s="342"/>
      <c r="V300" s="342"/>
      <c r="W300" s="342"/>
      <c r="X300" s="343"/>
      <c r="AC300" s="155"/>
      <c r="AD300" s="155"/>
    </row>
    <row r="301" spans="5:30" ht="11.25" customHeight="1" x14ac:dyDescent="0.2">
      <c r="E301" s="340"/>
      <c r="F301" s="340"/>
      <c r="G301" s="155"/>
      <c r="K301" s="155"/>
      <c r="L301" s="155"/>
      <c r="R301" s="342"/>
      <c r="S301" s="342"/>
      <c r="T301" s="342"/>
      <c r="U301" s="342"/>
      <c r="V301" s="342"/>
      <c r="W301" s="342"/>
      <c r="X301" s="343"/>
      <c r="AC301" s="155"/>
      <c r="AD301" s="155"/>
    </row>
    <row r="302" spans="5:30" ht="11.25" customHeight="1" x14ac:dyDescent="0.2">
      <c r="E302" s="340"/>
      <c r="F302" s="340"/>
      <c r="G302" s="155"/>
      <c r="K302" s="155"/>
      <c r="L302" s="155"/>
      <c r="R302" s="342"/>
      <c r="S302" s="342"/>
      <c r="T302" s="342"/>
      <c r="U302" s="342"/>
      <c r="V302" s="342"/>
      <c r="W302" s="342"/>
      <c r="X302" s="343"/>
      <c r="AC302" s="155"/>
      <c r="AD302" s="155"/>
    </row>
    <row r="303" spans="5:30" ht="11.25" customHeight="1" x14ac:dyDescent="0.2">
      <c r="E303" s="340"/>
      <c r="F303" s="340"/>
      <c r="G303" s="155"/>
      <c r="K303" s="155"/>
      <c r="L303" s="155"/>
      <c r="R303" s="342"/>
      <c r="S303" s="342"/>
      <c r="T303" s="342"/>
      <c r="U303" s="342"/>
      <c r="V303" s="342"/>
      <c r="W303" s="342"/>
      <c r="X303" s="343"/>
      <c r="AC303" s="155"/>
      <c r="AD303" s="155"/>
    </row>
    <row r="304" spans="5:30" ht="11.25" customHeight="1" x14ac:dyDescent="0.2">
      <c r="E304" s="340"/>
      <c r="F304" s="340"/>
      <c r="G304" s="155"/>
      <c r="K304" s="155"/>
      <c r="L304" s="155"/>
      <c r="R304" s="342"/>
      <c r="S304" s="342"/>
      <c r="T304" s="342"/>
      <c r="U304" s="342"/>
      <c r="V304" s="342"/>
      <c r="W304" s="342"/>
      <c r="X304" s="343"/>
      <c r="AC304" s="155"/>
      <c r="AD304" s="155"/>
    </row>
    <row r="305" spans="5:30" ht="11.25" customHeight="1" x14ac:dyDescent="0.2">
      <c r="E305" s="340"/>
      <c r="F305" s="340"/>
      <c r="G305" s="155"/>
      <c r="K305" s="155"/>
      <c r="L305" s="155"/>
      <c r="R305" s="342"/>
      <c r="S305" s="342"/>
      <c r="T305" s="342"/>
      <c r="U305" s="342"/>
      <c r="V305" s="342"/>
      <c r="W305" s="342"/>
      <c r="X305" s="343"/>
      <c r="AC305" s="155"/>
      <c r="AD305" s="155"/>
    </row>
    <row r="306" spans="5:30" ht="11.25" customHeight="1" x14ac:dyDescent="0.2">
      <c r="E306" s="340"/>
      <c r="F306" s="340"/>
      <c r="G306" s="155"/>
      <c r="K306" s="155"/>
      <c r="L306" s="155"/>
      <c r="R306" s="342"/>
      <c r="S306" s="342"/>
      <c r="T306" s="342"/>
      <c r="U306" s="342"/>
      <c r="V306" s="342"/>
      <c r="W306" s="342"/>
      <c r="X306" s="343"/>
      <c r="AC306" s="155"/>
      <c r="AD306" s="155"/>
    </row>
    <row r="307" spans="5:30" ht="11.25" customHeight="1" x14ac:dyDescent="0.2">
      <c r="E307" s="340"/>
      <c r="F307" s="340"/>
      <c r="G307" s="155"/>
      <c r="K307" s="155"/>
      <c r="L307" s="155"/>
      <c r="R307" s="342"/>
      <c r="S307" s="342"/>
      <c r="T307" s="342"/>
      <c r="U307" s="342"/>
      <c r="V307" s="342"/>
      <c r="W307" s="342"/>
      <c r="X307" s="343"/>
      <c r="AC307" s="155"/>
      <c r="AD307" s="155"/>
    </row>
    <row r="308" spans="5:30" ht="11.25" customHeight="1" x14ac:dyDescent="0.2">
      <c r="E308" s="340"/>
      <c r="F308" s="340"/>
      <c r="G308" s="155"/>
      <c r="K308" s="155"/>
      <c r="L308" s="155"/>
      <c r="R308" s="342"/>
      <c r="S308" s="342"/>
      <c r="T308" s="342"/>
      <c r="U308" s="342"/>
      <c r="V308" s="342"/>
      <c r="W308" s="342"/>
      <c r="X308" s="343"/>
      <c r="AC308" s="155"/>
      <c r="AD308" s="155"/>
    </row>
    <row r="309" spans="5:30" ht="11.25" customHeight="1" x14ac:dyDescent="0.2">
      <c r="E309" s="340"/>
      <c r="F309" s="340"/>
      <c r="G309" s="155"/>
      <c r="K309" s="155"/>
      <c r="L309" s="155"/>
      <c r="R309" s="342"/>
      <c r="S309" s="342"/>
      <c r="T309" s="342"/>
      <c r="U309" s="342"/>
      <c r="V309" s="342"/>
      <c r="W309" s="342"/>
      <c r="X309" s="343"/>
      <c r="AC309" s="155"/>
      <c r="AD309" s="155"/>
    </row>
    <row r="310" spans="5:30" ht="11.25" customHeight="1" x14ac:dyDescent="0.2">
      <c r="E310" s="340"/>
      <c r="F310" s="340"/>
      <c r="G310" s="155"/>
      <c r="K310" s="155"/>
      <c r="L310" s="155"/>
      <c r="R310" s="342"/>
      <c r="S310" s="342"/>
      <c r="T310" s="342"/>
      <c r="U310" s="342"/>
      <c r="V310" s="342"/>
      <c r="W310" s="342"/>
      <c r="X310" s="343"/>
      <c r="AC310" s="155"/>
      <c r="AD310" s="155"/>
    </row>
    <row r="311" spans="5:30" ht="11.25" customHeight="1" x14ac:dyDescent="0.2">
      <c r="E311" s="340"/>
      <c r="F311" s="340"/>
      <c r="G311" s="155"/>
      <c r="K311" s="155"/>
      <c r="L311" s="155"/>
      <c r="R311" s="342"/>
      <c r="S311" s="342"/>
      <c r="T311" s="342"/>
      <c r="U311" s="342"/>
      <c r="V311" s="342"/>
      <c r="W311" s="342"/>
      <c r="X311" s="343"/>
      <c r="AC311" s="155"/>
      <c r="AD311" s="155"/>
    </row>
    <row r="312" spans="5:30" ht="11.25" customHeight="1" x14ac:dyDescent="0.2">
      <c r="E312" s="340"/>
      <c r="F312" s="340"/>
      <c r="G312" s="155"/>
      <c r="K312" s="155"/>
      <c r="L312" s="155"/>
      <c r="R312" s="342"/>
      <c r="S312" s="342"/>
      <c r="T312" s="342"/>
      <c r="U312" s="342"/>
      <c r="V312" s="342"/>
      <c r="W312" s="342"/>
      <c r="X312" s="343"/>
      <c r="AC312" s="155"/>
      <c r="AD312" s="155"/>
    </row>
    <row r="313" spans="5:30" ht="11.25" customHeight="1" x14ac:dyDescent="0.2">
      <c r="E313" s="340"/>
      <c r="F313" s="340"/>
      <c r="G313" s="155"/>
      <c r="K313" s="155"/>
      <c r="L313" s="155"/>
      <c r="R313" s="342"/>
      <c r="S313" s="342"/>
      <c r="T313" s="342"/>
      <c r="U313" s="342"/>
      <c r="V313" s="342"/>
      <c r="W313" s="342"/>
      <c r="X313" s="343"/>
      <c r="AC313" s="155"/>
      <c r="AD313" s="155"/>
    </row>
    <row r="314" spans="5:30" ht="11.25" customHeight="1" x14ac:dyDescent="0.2">
      <c r="E314" s="340"/>
      <c r="F314" s="340"/>
      <c r="G314" s="155"/>
      <c r="K314" s="155"/>
      <c r="L314" s="155"/>
      <c r="R314" s="342"/>
      <c r="S314" s="342"/>
      <c r="T314" s="342"/>
      <c r="U314" s="342"/>
      <c r="V314" s="342"/>
      <c r="W314" s="342"/>
      <c r="X314" s="343"/>
      <c r="AC314" s="155"/>
      <c r="AD314" s="155"/>
    </row>
    <row r="315" spans="5:30" ht="11.25" customHeight="1" x14ac:dyDescent="0.2">
      <c r="E315" s="340"/>
      <c r="F315" s="340"/>
      <c r="G315" s="155"/>
      <c r="K315" s="155"/>
      <c r="L315" s="155"/>
      <c r="R315" s="342"/>
      <c r="S315" s="342"/>
      <c r="T315" s="342"/>
      <c r="U315" s="342"/>
      <c r="V315" s="342"/>
      <c r="W315" s="342"/>
      <c r="X315" s="343"/>
      <c r="AC315" s="155"/>
      <c r="AD315" s="155"/>
    </row>
    <row r="316" spans="5:30" ht="11.25" customHeight="1" x14ac:dyDescent="0.2">
      <c r="E316" s="340"/>
      <c r="F316" s="340"/>
      <c r="G316" s="155"/>
      <c r="K316" s="155"/>
      <c r="L316" s="155"/>
      <c r="R316" s="342"/>
      <c r="S316" s="342"/>
      <c r="T316" s="342"/>
      <c r="U316" s="342"/>
      <c r="V316" s="342"/>
      <c r="W316" s="342"/>
      <c r="X316" s="343"/>
      <c r="AC316" s="155"/>
      <c r="AD316" s="155"/>
    </row>
    <row r="317" spans="5:30" ht="11.25" customHeight="1" x14ac:dyDescent="0.2">
      <c r="E317" s="340"/>
      <c r="F317" s="340"/>
      <c r="G317" s="155"/>
      <c r="K317" s="155"/>
      <c r="L317" s="155"/>
      <c r="R317" s="342"/>
      <c r="S317" s="342"/>
      <c r="T317" s="342"/>
      <c r="U317" s="342"/>
      <c r="V317" s="342"/>
      <c r="W317" s="342"/>
      <c r="X317" s="343"/>
      <c r="AC317" s="155"/>
      <c r="AD317" s="155"/>
    </row>
    <row r="318" spans="5:30" ht="11.25" customHeight="1" x14ac:dyDescent="0.2">
      <c r="E318" s="340"/>
      <c r="F318" s="340"/>
      <c r="G318" s="155"/>
      <c r="K318" s="155"/>
      <c r="L318" s="155"/>
      <c r="R318" s="342"/>
      <c r="S318" s="342"/>
      <c r="T318" s="342"/>
      <c r="U318" s="342"/>
      <c r="V318" s="342"/>
      <c r="W318" s="342"/>
      <c r="X318" s="343"/>
      <c r="AC318" s="155"/>
      <c r="AD318" s="155"/>
    </row>
    <row r="319" spans="5:30" ht="11.25" customHeight="1" x14ac:dyDescent="0.2">
      <c r="E319" s="340"/>
      <c r="F319" s="340"/>
      <c r="G319" s="155"/>
      <c r="K319" s="155"/>
      <c r="L319" s="155"/>
      <c r="R319" s="342"/>
      <c r="S319" s="342"/>
      <c r="T319" s="342"/>
      <c r="U319" s="342"/>
      <c r="V319" s="342"/>
      <c r="W319" s="342"/>
      <c r="X319" s="343"/>
      <c r="AC319" s="155"/>
      <c r="AD319" s="155"/>
    </row>
    <row r="320" spans="5:30" ht="11.25" customHeight="1" x14ac:dyDescent="0.2">
      <c r="E320" s="340"/>
      <c r="F320" s="340"/>
      <c r="G320" s="155"/>
      <c r="K320" s="155"/>
      <c r="L320" s="155"/>
      <c r="R320" s="342"/>
      <c r="S320" s="342"/>
      <c r="T320" s="342"/>
      <c r="U320" s="342"/>
      <c r="V320" s="342"/>
      <c r="W320" s="342"/>
      <c r="X320" s="343"/>
      <c r="AC320" s="155"/>
      <c r="AD320" s="155"/>
    </row>
    <row r="321" spans="5:30" ht="11.25" customHeight="1" x14ac:dyDescent="0.2">
      <c r="E321" s="340"/>
      <c r="F321" s="340"/>
      <c r="G321" s="155"/>
      <c r="K321" s="155"/>
      <c r="L321" s="155"/>
      <c r="R321" s="342"/>
      <c r="S321" s="342"/>
      <c r="T321" s="342"/>
      <c r="U321" s="342"/>
      <c r="V321" s="342"/>
      <c r="W321" s="342"/>
      <c r="X321" s="343"/>
      <c r="AC321" s="155"/>
      <c r="AD321" s="155"/>
    </row>
    <row r="322" spans="5:30" ht="11.25" customHeight="1" x14ac:dyDescent="0.2">
      <c r="E322" s="340"/>
      <c r="F322" s="340"/>
      <c r="G322" s="155"/>
      <c r="K322" s="155"/>
      <c r="L322" s="155"/>
      <c r="R322" s="342"/>
      <c r="S322" s="342"/>
      <c r="T322" s="342"/>
      <c r="U322" s="342"/>
      <c r="V322" s="342"/>
      <c r="W322" s="342"/>
      <c r="X322" s="343"/>
      <c r="AC322" s="155"/>
      <c r="AD322" s="155"/>
    </row>
    <row r="323" spans="5:30" ht="11.25" customHeight="1" x14ac:dyDescent="0.2">
      <c r="E323" s="340"/>
      <c r="F323" s="340"/>
      <c r="G323" s="155"/>
      <c r="K323" s="155"/>
      <c r="L323" s="155"/>
      <c r="R323" s="342"/>
      <c r="S323" s="342"/>
      <c r="T323" s="342"/>
      <c r="U323" s="342"/>
      <c r="V323" s="342"/>
      <c r="W323" s="342"/>
      <c r="X323" s="343"/>
      <c r="AC323" s="155"/>
      <c r="AD323" s="155"/>
    </row>
    <row r="324" spans="5:30" ht="11.25" customHeight="1" x14ac:dyDescent="0.2">
      <c r="E324" s="340"/>
      <c r="F324" s="340"/>
      <c r="G324" s="155"/>
      <c r="K324" s="155"/>
      <c r="L324" s="155"/>
      <c r="R324" s="342"/>
      <c r="S324" s="342"/>
      <c r="T324" s="342"/>
      <c r="U324" s="342"/>
      <c r="V324" s="342"/>
      <c r="W324" s="342"/>
      <c r="X324" s="343"/>
      <c r="AC324" s="155"/>
      <c r="AD324" s="155"/>
    </row>
    <row r="325" spans="5:30" ht="11.25" customHeight="1" x14ac:dyDescent="0.2">
      <c r="E325" s="340"/>
      <c r="F325" s="340"/>
      <c r="G325" s="155"/>
      <c r="K325" s="155"/>
      <c r="L325" s="155"/>
      <c r="R325" s="342"/>
      <c r="S325" s="342"/>
      <c r="T325" s="342"/>
      <c r="U325" s="342"/>
      <c r="V325" s="342"/>
      <c r="W325" s="342"/>
      <c r="X325" s="343"/>
      <c r="AC325" s="155"/>
      <c r="AD325" s="155"/>
    </row>
    <row r="326" spans="5:30" ht="11.25" customHeight="1" x14ac:dyDescent="0.2">
      <c r="E326" s="340"/>
      <c r="F326" s="340"/>
      <c r="G326" s="155"/>
      <c r="K326" s="155"/>
      <c r="L326" s="155"/>
      <c r="R326" s="342"/>
      <c r="S326" s="342"/>
      <c r="T326" s="342"/>
      <c r="U326" s="342"/>
      <c r="V326" s="342"/>
      <c r="W326" s="342"/>
      <c r="X326" s="343"/>
      <c r="AC326" s="155"/>
      <c r="AD326" s="155"/>
    </row>
    <row r="327" spans="5:30" ht="11.25" customHeight="1" x14ac:dyDescent="0.2">
      <c r="E327" s="340"/>
      <c r="F327" s="340"/>
      <c r="G327" s="155"/>
      <c r="K327" s="155"/>
      <c r="L327" s="155"/>
      <c r="R327" s="342"/>
      <c r="S327" s="342"/>
      <c r="T327" s="342"/>
      <c r="U327" s="342"/>
      <c r="V327" s="342"/>
      <c r="W327" s="342"/>
      <c r="X327" s="343"/>
      <c r="AC327" s="155"/>
      <c r="AD327" s="155"/>
    </row>
    <row r="328" spans="5:30" ht="11.25" customHeight="1" x14ac:dyDescent="0.2">
      <c r="E328" s="340"/>
      <c r="F328" s="340"/>
      <c r="G328" s="155"/>
      <c r="K328" s="155"/>
      <c r="L328" s="155"/>
      <c r="R328" s="342"/>
      <c r="S328" s="342"/>
      <c r="T328" s="342"/>
      <c r="U328" s="342"/>
      <c r="V328" s="342"/>
      <c r="W328" s="342"/>
      <c r="X328" s="343"/>
      <c r="AC328" s="155"/>
      <c r="AD328" s="155"/>
    </row>
    <row r="329" spans="5:30" ht="11.25" customHeight="1" x14ac:dyDescent="0.2">
      <c r="E329" s="340"/>
      <c r="F329" s="340"/>
      <c r="G329" s="155"/>
      <c r="K329" s="155"/>
      <c r="L329" s="155"/>
      <c r="R329" s="342"/>
      <c r="S329" s="342"/>
      <c r="T329" s="342"/>
      <c r="U329" s="342"/>
      <c r="V329" s="342"/>
      <c r="W329" s="342"/>
      <c r="X329" s="343"/>
      <c r="AC329" s="155"/>
      <c r="AD329" s="155"/>
    </row>
    <row r="330" spans="5:30" ht="11.25" customHeight="1" x14ac:dyDescent="0.2">
      <c r="E330" s="340"/>
      <c r="F330" s="340"/>
      <c r="G330" s="155"/>
      <c r="K330" s="155"/>
      <c r="L330" s="155"/>
      <c r="R330" s="342"/>
      <c r="S330" s="342"/>
      <c r="T330" s="342"/>
      <c r="U330" s="342"/>
      <c r="V330" s="342"/>
      <c r="W330" s="342"/>
      <c r="X330" s="343"/>
      <c r="AC330" s="155"/>
      <c r="AD330" s="155"/>
    </row>
    <row r="331" spans="5:30" ht="11.25" customHeight="1" x14ac:dyDescent="0.2">
      <c r="E331" s="340"/>
      <c r="F331" s="340"/>
      <c r="G331" s="155"/>
      <c r="K331" s="155"/>
      <c r="L331" s="155"/>
      <c r="R331" s="342"/>
      <c r="S331" s="342"/>
      <c r="T331" s="342"/>
      <c r="U331" s="342"/>
      <c r="V331" s="342"/>
      <c r="W331" s="342"/>
      <c r="X331" s="343"/>
      <c r="AC331" s="155"/>
      <c r="AD331" s="155"/>
    </row>
    <row r="332" spans="5:30" ht="11.25" customHeight="1" x14ac:dyDescent="0.2">
      <c r="E332" s="340"/>
      <c r="F332" s="340"/>
      <c r="G332" s="155"/>
      <c r="K332" s="155"/>
      <c r="L332" s="155"/>
      <c r="R332" s="342"/>
      <c r="S332" s="342"/>
      <c r="T332" s="342"/>
      <c r="U332" s="342"/>
      <c r="V332" s="342"/>
      <c r="W332" s="342"/>
      <c r="X332" s="343"/>
      <c r="AC332" s="155"/>
      <c r="AD332" s="155"/>
    </row>
    <row r="333" spans="5:30" ht="11.25" customHeight="1" x14ac:dyDescent="0.2">
      <c r="E333" s="340"/>
      <c r="F333" s="340"/>
      <c r="G333" s="155"/>
      <c r="K333" s="155"/>
      <c r="L333" s="155"/>
      <c r="R333" s="342"/>
      <c r="S333" s="342"/>
      <c r="T333" s="342"/>
      <c r="U333" s="342"/>
      <c r="V333" s="342"/>
      <c r="W333" s="342"/>
      <c r="X333" s="343"/>
      <c r="AC333" s="155"/>
      <c r="AD333" s="155"/>
    </row>
    <row r="334" spans="5:30" ht="11.25" customHeight="1" x14ac:dyDescent="0.2">
      <c r="E334" s="340"/>
      <c r="F334" s="340"/>
      <c r="G334" s="155"/>
      <c r="K334" s="155"/>
      <c r="L334" s="155"/>
      <c r="R334" s="342"/>
      <c r="S334" s="342"/>
      <c r="T334" s="342"/>
      <c r="U334" s="342"/>
      <c r="V334" s="342"/>
      <c r="W334" s="342"/>
      <c r="X334" s="343"/>
      <c r="AC334" s="155"/>
      <c r="AD334" s="155"/>
    </row>
    <row r="335" spans="5:30" ht="11.25" customHeight="1" x14ac:dyDescent="0.2">
      <c r="E335" s="340"/>
      <c r="F335" s="340"/>
      <c r="G335" s="155"/>
      <c r="K335" s="155"/>
      <c r="L335" s="155"/>
      <c r="R335" s="342"/>
      <c r="S335" s="342"/>
      <c r="T335" s="342"/>
      <c r="U335" s="342"/>
      <c r="V335" s="342"/>
      <c r="W335" s="342"/>
      <c r="X335" s="343"/>
      <c r="AC335" s="155"/>
      <c r="AD335" s="155"/>
    </row>
    <row r="336" spans="5:30" ht="11.25" customHeight="1" x14ac:dyDescent="0.2">
      <c r="E336" s="340"/>
      <c r="F336" s="340"/>
      <c r="G336" s="155"/>
      <c r="K336" s="155"/>
      <c r="L336" s="155"/>
      <c r="R336" s="342"/>
      <c r="S336" s="342"/>
      <c r="T336" s="342"/>
      <c r="U336" s="342"/>
      <c r="V336" s="342"/>
      <c r="W336" s="342"/>
      <c r="X336" s="343"/>
      <c r="AC336" s="155"/>
      <c r="AD336" s="155"/>
    </row>
    <row r="337" spans="5:30" ht="11.25" customHeight="1" x14ac:dyDescent="0.2">
      <c r="E337" s="340"/>
      <c r="F337" s="340"/>
      <c r="G337" s="155"/>
      <c r="K337" s="155"/>
      <c r="L337" s="155"/>
      <c r="R337" s="342"/>
      <c r="S337" s="342"/>
      <c r="T337" s="342"/>
      <c r="U337" s="342"/>
      <c r="V337" s="342"/>
      <c r="W337" s="342"/>
      <c r="X337" s="343"/>
      <c r="AC337" s="155"/>
      <c r="AD337" s="155"/>
    </row>
    <row r="338" spans="5:30" ht="11.25" customHeight="1" x14ac:dyDescent="0.2">
      <c r="E338" s="340"/>
      <c r="F338" s="340"/>
      <c r="G338" s="155"/>
      <c r="K338" s="155"/>
      <c r="L338" s="155"/>
      <c r="R338" s="342"/>
      <c r="S338" s="342"/>
      <c r="T338" s="342"/>
      <c r="U338" s="342"/>
      <c r="V338" s="342"/>
      <c r="W338" s="342"/>
      <c r="X338" s="343"/>
      <c r="AC338" s="155"/>
      <c r="AD338" s="155"/>
    </row>
    <row r="339" spans="5:30" ht="11.25" customHeight="1" x14ac:dyDescent="0.2">
      <c r="E339" s="340"/>
      <c r="F339" s="340"/>
      <c r="G339" s="155"/>
      <c r="K339" s="155"/>
      <c r="L339" s="155"/>
      <c r="R339" s="342"/>
      <c r="S339" s="342"/>
      <c r="T339" s="342"/>
      <c r="U339" s="342"/>
      <c r="V339" s="342"/>
      <c r="W339" s="342"/>
      <c r="X339" s="343"/>
      <c r="AC339" s="155"/>
      <c r="AD339" s="155"/>
    </row>
    <row r="340" spans="5:30" ht="11.25" customHeight="1" x14ac:dyDescent="0.2">
      <c r="E340" s="340"/>
      <c r="F340" s="340"/>
      <c r="G340" s="155"/>
      <c r="K340" s="155"/>
      <c r="L340" s="155"/>
      <c r="R340" s="342"/>
      <c r="S340" s="342"/>
      <c r="T340" s="342"/>
      <c r="U340" s="342"/>
      <c r="V340" s="342"/>
      <c r="W340" s="342"/>
      <c r="X340" s="343"/>
      <c r="AC340" s="155"/>
      <c r="AD340" s="155"/>
    </row>
    <row r="341" spans="5:30" ht="11.25" customHeight="1" x14ac:dyDescent="0.2">
      <c r="E341" s="340"/>
      <c r="F341" s="340"/>
      <c r="G341" s="155"/>
      <c r="K341" s="155"/>
      <c r="L341" s="155"/>
      <c r="R341" s="342"/>
      <c r="S341" s="342"/>
      <c r="T341" s="342"/>
      <c r="U341" s="342"/>
      <c r="V341" s="342"/>
      <c r="W341" s="342"/>
      <c r="X341" s="343"/>
      <c r="AC341" s="155"/>
      <c r="AD341" s="155"/>
    </row>
    <row r="342" spans="5:30" ht="11.25" customHeight="1" x14ac:dyDescent="0.2">
      <c r="E342" s="340"/>
      <c r="F342" s="340"/>
      <c r="G342" s="155"/>
      <c r="K342" s="155"/>
      <c r="L342" s="155"/>
      <c r="R342" s="342"/>
      <c r="S342" s="342"/>
      <c r="T342" s="342"/>
      <c r="U342" s="342"/>
      <c r="V342" s="342"/>
      <c r="W342" s="342"/>
      <c r="X342" s="343"/>
      <c r="AC342" s="155"/>
      <c r="AD342" s="155"/>
    </row>
    <row r="343" spans="5:30" ht="11.25" customHeight="1" x14ac:dyDescent="0.2">
      <c r="E343" s="340"/>
      <c r="F343" s="340"/>
      <c r="G343" s="155"/>
      <c r="K343" s="155"/>
      <c r="L343" s="155"/>
      <c r="R343" s="342"/>
      <c r="S343" s="342"/>
      <c r="T343" s="342"/>
      <c r="U343" s="342"/>
      <c r="V343" s="342"/>
      <c r="W343" s="342"/>
      <c r="X343" s="343"/>
      <c r="AC343" s="155"/>
      <c r="AD343" s="155"/>
    </row>
    <row r="344" spans="5:30" ht="11.25" customHeight="1" x14ac:dyDescent="0.2">
      <c r="E344" s="340"/>
      <c r="F344" s="340"/>
      <c r="G344" s="155"/>
      <c r="K344" s="155"/>
      <c r="L344" s="155"/>
      <c r="R344" s="342"/>
      <c r="S344" s="342"/>
      <c r="T344" s="342"/>
      <c r="U344" s="342"/>
      <c r="V344" s="342"/>
      <c r="W344" s="342"/>
      <c r="X344" s="343"/>
      <c r="AC344" s="155"/>
      <c r="AD344" s="155"/>
    </row>
    <row r="345" spans="5:30" ht="11.25" customHeight="1" x14ac:dyDescent="0.2">
      <c r="E345" s="340"/>
      <c r="F345" s="340"/>
      <c r="G345" s="155"/>
      <c r="K345" s="155"/>
      <c r="L345" s="155"/>
      <c r="R345" s="342"/>
      <c r="S345" s="342"/>
      <c r="T345" s="342"/>
      <c r="U345" s="342"/>
      <c r="V345" s="342"/>
      <c r="W345" s="342"/>
      <c r="X345" s="343"/>
      <c r="AC345" s="155"/>
      <c r="AD345" s="155"/>
    </row>
    <row r="346" spans="5:30" ht="11.25" customHeight="1" x14ac:dyDescent="0.2">
      <c r="E346" s="340"/>
      <c r="F346" s="340"/>
      <c r="G346" s="155"/>
      <c r="K346" s="155"/>
      <c r="L346" s="155"/>
      <c r="R346" s="342"/>
      <c r="S346" s="342"/>
      <c r="T346" s="342"/>
      <c r="U346" s="342"/>
      <c r="V346" s="342"/>
      <c r="W346" s="342"/>
      <c r="X346" s="343"/>
      <c r="AC346" s="155"/>
      <c r="AD346" s="155"/>
    </row>
    <row r="347" spans="5:30" ht="11.25" customHeight="1" x14ac:dyDescent="0.2">
      <c r="E347" s="340"/>
      <c r="F347" s="340"/>
      <c r="G347" s="155"/>
      <c r="K347" s="155"/>
      <c r="L347" s="155"/>
      <c r="R347" s="342"/>
      <c r="S347" s="342"/>
      <c r="T347" s="342"/>
      <c r="U347" s="342"/>
      <c r="V347" s="342"/>
      <c r="W347" s="342"/>
      <c r="X347" s="343"/>
      <c r="AC347" s="155"/>
      <c r="AD347" s="155"/>
    </row>
    <row r="348" spans="5:30" ht="11.25" customHeight="1" x14ac:dyDescent="0.2">
      <c r="E348" s="340"/>
      <c r="F348" s="340"/>
      <c r="G348" s="155"/>
      <c r="K348" s="155"/>
      <c r="L348" s="155"/>
      <c r="R348" s="342"/>
      <c r="S348" s="342"/>
      <c r="T348" s="342"/>
      <c r="U348" s="342"/>
      <c r="V348" s="342"/>
      <c r="W348" s="342"/>
      <c r="X348" s="343"/>
      <c r="AC348" s="155"/>
      <c r="AD348" s="155"/>
    </row>
    <row r="349" spans="5:30" ht="11.25" customHeight="1" x14ac:dyDescent="0.2">
      <c r="E349" s="340"/>
      <c r="F349" s="340"/>
      <c r="G349" s="155"/>
      <c r="K349" s="155"/>
      <c r="L349" s="155"/>
      <c r="R349" s="342"/>
      <c r="S349" s="342"/>
      <c r="T349" s="342"/>
      <c r="U349" s="342"/>
      <c r="V349" s="342"/>
      <c r="W349" s="342"/>
      <c r="X349" s="343"/>
      <c r="AC349" s="155"/>
      <c r="AD349" s="155"/>
    </row>
    <row r="350" spans="5:30" ht="11.25" customHeight="1" x14ac:dyDescent="0.2">
      <c r="E350" s="340"/>
      <c r="F350" s="340"/>
      <c r="G350" s="155"/>
      <c r="K350" s="155"/>
      <c r="L350" s="155"/>
      <c r="R350" s="342"/>
      <c r="S350" s="342"/>
      <c r="T350" s="342"/>
      <c r="U350" s="342"/>
      <c r="V350" s="342"/>
      <c r="W350" s="342"/>
      <c r="X350" s="343"/>
      <c r="AC350" s="155"/>
      <c r="AD350" s="155"/>
    </row>
    <row r="351" spans="5:30" ht="11.25" customHeight="1" x14ac:dyDescent="0.2">
      <c r="E351" s="340"/>
      <c r="F351" s="340"/>
      <c r="G351" s="155"/>
      <c r="K351" s="155"/>
      <c r="L351" s="155"/>
      <c r="R351" s="342"/>
      <c r="S351" s="342"/>
      <c r="T351" s="342"/>
      <c r="U351" s="342"/>
      <c r="V351" s="342"/>
      <c r="W351" s="342"/>
      <c r="X351" s="343"/>
      <c r="AC351" s="155"/>
      <c r="AD351" s="155"/>
    </row>
    <row r="352" spans="5:30" ht="11.25" customHeight="1" x14ac:dyDescent="0.2">
      <c r="E352" s="340"/>
      <c r="F352" s="340"/>
      <c r="G352" s="155"/>
      <c r="K352" s="155"/>
      <c r="L352" s="155"/>
      <c r="R352" s="342"/>
      <c r="S352" s="342"/>
      <c r="T352" s="342"/>
      <c r="U352" s="342"/>
      <c r="V352" s="342"/>
      <c r="W352" s="342"/>
      <c r="X352" s="343"/>
      <c r="AC352" s="155"/>
      <c r="AD352" s="155"/>
    </row>
    <row r="353" spans="5:30" ht="11.25" customHeight="1" x14ac:dyDescent="0.2">
      <c r="E353" s="340"/>
      <c r="F353" s="340"/>
      <c r="G353" s="155"/>
      <c r="K353" s="155"/>
      <c r="L353" s="155"/>
      <c r="R353" s="342"/>
      <c r="S353" s="342"/>
      <c r="T353" s="342"/>
      <c r="U353" s="342"/>
      <c r="V353" s="342"/>
      <c r="W353" s="342"/>
      <c r="X353" s="343"/>
      <c r="AC353" s="155"/>
      <c r="AD353" s="155"/>
    </row>
    <row r="354" spans="5:30" ht="11.25" customHeight="1" x14ac:dyDescent="0.2">
      <c r="E354" s="340"/>
      <c r="F354" s="340"/>
      <c r="G354" s="155"/>
      <c r="K354" s="155"/>
      <c r="L354" s="155"/>
      <c r="R354" s="342"/>
      <c r="S354" s="342"/>
      <c r="T354" s="342"/>
      <c r="U354" s="342"/>
      <c r="V354" s="342"/>
      <c r="W354" s="342"/>
      <c r="X354" s="343"/>
      <c r="AC354" s="155"/>
      <c r="AD354" s="155"/>
    </row>
    <row r="355" spans="5:30" ht="11.25" customHeight="1" x14ac:dyDescent="0.2">
      <c r="E355" s="340"/>
      <c r="F355" s="340"/>
      <c r="G355" s="155"/>
      <c r="K355" s="155"/>
      <c r="L355" s="155"/>
      <c r="R355" s="342"/>
      <c r="S355" s="342"/>
      <c r="T355" s="342"/>
      <c r="U355" s="342"/>
      <c r="V355" s="342"/>
      <c r="W355" s="342"/>
      <c r="X355" s="343"/>
      <c r="AC355" s="155"/>
      <c r="AD355" s="155"/>
    </row>
    <row r="356" spans="5:30" ht="11.25" customHeight="1" x14ac:dyDescent="0.2">
      <c r="E356" s="340"/>
      <c r="F356" s="340"/>
      <c r="G356" s="155"/>
      <c r="K356" s="155"/>
      <c r="L356" s="155"/>
      <c r="R356" s="342"/>
      <c r="S356" s="342"/>
      <c r="T356" s="342"/>
      <c r="U356" s="342"/>
      <c r="V356" s="342"/>
      <c r="W356" s="342"/>
      <c r="X356" s="343"/>
      <c r="AC356" s="155"/>
      <c r="AD356" s="155"/>
    </row>
    <row r="357" spans="5:30" ht="11.25" customHeight="1" x14ac:dyDescent="0.2">
      <c r="E357" s="340"/>
      <c r="F357" s="340"/>
      <c r="G357" s="155"/>
      <c r="K357" s="155"/>
      <c r="L357" s="155"/>
      <c r="R357" s="342"/>
      <c r="S357" s="342"/>
      <c r="T357" s="342"/>
      <c r="U357" s="342"/>
      <c r="V357" s="342"/>
      <c r="W357" s="342"/>
      <c r="X357" s="343"/>
      <c r="AC357" s="155"/>
      <c r="AD357" s="155"/>
    </row>
    <row r="358" spans="5:30" ht="11.25" customHeight="1" x14ac:dyDescent="0.2">
      <c r="E358" s="340"/>
      <c r="F358" s="340"/>
      <c r="G358" s="155"/>
      <c r="K358" s="155"/>
      <c r="L358" s="155"/>
      <c r="R358" s="342"/>
      <c r="S358" s="342"/>
      <c r="T358" s="342"/>
      <c r="U358" s="342"/>
      <c r="V358" s="342"/>
      <c r="W358" s="342"/>
      <c r="X358" s="343"/>
      <c r="AC358" s="155"/>
      <c r="AD358" s="155"/>
    </row>
    <row r="359" spans="5:30" ht="11.25" customHeight="1" x14ac:dyDescent="0.2">
      <c r="E359" s="340"/>
      <c r="F359" s="340"/>
      <c r="G359" s="155"/>
      <c r="K359" s="155"/>
      <c r="L359" s="155"/>
      <c r="R359" s="342"/>
      <c r="S359" s="342"/>
      <c r="T359" s="342"/>
      <c r="U359" s="342"/>
      <c r="V359" s="342"/>
      <c r="W359" s="342"/>
      <c r="X359" s="343"/>
      <c r="AC359" s="155"/>
      <c r="AD359" s="155"/>
    </row>
    <row r="360" spans="5:30" ht="11.25" customHeight="1" x14ac:dyDescent="0.2">
      <c r="E360" s="340"/>
      <c r="F360" s="340"/>
      <c r="G360" s="155"/>
      <c r="K360" s="155"/>
      <c r="L360" s="155"/>
      <c r="R360" s="342"/>
      <c r="S360" s="342"/>
      <c r="T360" s="342"/>
      <c r="U360" s="342"/>
      <c r="V360" s="342"/>
      <c r="W360" s="342"/>
      <c r="X360" s="343"/>
      <c r="AC360" s="155"/>
      <c r="AD360" s="155"/>
    </row>
    <row r="361" spans="5:30" ht="11.25" customHeight="1" x14ac:dyDescent="0.2">
      <c r="E361" s="340"/>
      <c r="F361" s="340"/>
      <c r="G361" s="155"/>
      <c r="K361" s="155"/>
      <c r="L361" s="155"/>
      <c r="R361" s="342"/>
      <c r="S361" s="342"/>
      <c r="T361" s="342"/>
      <c r="U361" s="342"/>
      <c r="V361" s="342"/>
      <c r="W361" s="342"/>
      <c r="X361" s="343"/>
      <c r="AC361" s="155"/>
      <c r="AD361" s="155"/>
    </row>
    <row r="362" spans="5:30" ht="11.25" customHeight="1" x14ac:dyDescent="0.2">
      <c r="E362" s="340"/>
      <c r="F362" s="340"/>
      <c r="G362" s="155"/>
      <c r="K362" s="155"/>
      <c r="L362" s="155"/>
      <c r="R362" s="342"/>
      <c r="S362" s="342"/>
      <c r="T362" s="342"/>
      <c r="U362" s="342"/>
      <c r="V362" s="342"/>
      <c r="W362" s="342"/>
      <c r="X362" s="343"/>
      <c r="AC362" s="155"/>
      <c r="AD362" s="155"/>
    </row>
    <row r="363" spans="5:30" ht="11.25" customHeight="1" x14ac:dyDescent="0.2">
      <c r="E363" s="340"/>
      <c r="F363" s="340"/>
      <c r="G363" s="155"/>
      <c r="K363" s="155"/>
      <c r="L363" s="155"/>
      <c r="R363" s="342"/>
      <c r="S363" s="342"/>
      <c r="T363" s="342"/>
      <c r="U363" s="342"/>
      <c r="V363" s="342"/>
      <c r="W363" s="342"/>
      <c r="X363" s="343"/>
      <c r="AC363" s="155"/>
      <c r="AD363" s="155"/>
    </row>
    <row r="364" spans="5:30" ht="11.25" customHeight="1" x14ac:dyDescent="0.2">
      <c r="E364" s="340"/>
      <c r="F364" s="340"/>
      <c r="G364" s="155"/>
      <c r="K364" s="155"/>
      <c r="L364" s="155"/>
      <c r="R364" s="342"/>
      <c r="S364" s="342"/>
      <c r="T364" s="342"/>
      <c r="U364" s="342"/>
      <c r="V364" s="342"/>
      <c r="W364" s="342"/>
      <c r="X364" s="343"/>
      <c r="AC364" s="155"/>
      <c r="AD364" s="155"/>
    </row>
    <row r="365" spans="5:30" ht="11.25" customHeight="1" x14ac:dyDescent="0.2">
      <c r="E365" s="340"/>
      <c r="F365" s="340"/>
      <c r="G365" s="155"/>
      <c r="K365" s="155"/>
      <c r="L365" s="155"/>
      <c r="R365" s="342"/>
      <c r="S365" s="342"/>
      <c r="T365" s="342"/>
      <c r="U365" s="342"/>
      <c r="V365" s="342"/>
      <c r="W365" s="342"/>
      <c r="X365" s="343"/>
      <c r="AC365" s="155"/>
      <c r="AD365" s="155"/>
    </row>
    <row r="366" spans="5:30" ht="11.25" customHeight="1" x14ac:dyDescent="0.2">
      <c r="E366" s="340"/>
      <c r="F366" s="340"/>
      <c r="G366" s="155"/>
      <c r="K366" s="155"/>
      <c r="L366" s="155"/>
      <c r="R366" s="342"/>
      <c r="S366" s="342"/>
      <c r="T366" s="342"/>
      <c r="U366" s="342"/>
      <c r="V366" s="342"/>
      <c r="W366" s="342"/>
      <c r="X366" s="343"/>
      <c r="AC366" s="155"/>
      <c r="AD366" s="155"/>
    </row>
    <row r="367" spans="5:30" ht="11.25" customHeight="1" x14ac:dyDescent="0.2">
      <c r="E367" s="340"/>
      <c r="F367" s="340"/>
      <c r="G367" s="155"/>
      <c r="K367" s="155"/>
      <c r="L367" s="155"/>
      <c r="R367" s="342"/>
      <c r="S367" s="342"/>
      <c r="T367" s="342"/>
      <c r="U367" s="342"/>
      <c r="V367" s="342"/>
      <c r="W367" s="342"/>
      <c r="X367" s="343"/>
      <c r="AC367" s="155"/>
      <c r="AD367" s="155"/>
    </row>
    <row r="368" spans="5:30" ht="11.25" customHeight="1" x14ac:dyDescent="0.2">
      <c r="E368" s="340"/>
      <c r="F368" s="340"/>
      <c r="G368" s="155"/>
      <c r="K368" s="155"/>
      <c r="L368" s="155"/>
      <c r="R368" s="342"/>
      <c r="S368" s="342"/>
      <c r="T368" s="342"/>
      <c r="U368" s="342"/>
      <c r="V368" s="342"/>
      <c r="W368" s="342"/>
      <c r="X368" s="343"/>
      <c r="AC368" s="155"/>
      <c r="AD368" s="155"/>
    </row>
    <row r="369" spans="5:30" ht="11.25" customHeight="1" x14ac:dyDescent="0.2">
      <c r="E369" s="340"/>
      <c r="F369" s="340"/>
      <c r="G369" s="155"/>
      <c r="K369" s="155"/>
      <c r="L369" s="155"/>
      <c r="R369" s="342"/>
      <c r="S369" s="342"/>
      <c r="T369" s="342"/>
      <c r="U369" s="342"/>
      <c r="V369" s="342"/>
      <c r="W369" s="342"/>
      <c r="X369" s="343"/>
      <c r="AC369" s="155"/>
      <c r="AD369" s="155"/>
    </row>
    <row r="370" spans="5:30" ht="11.25" customHeight="1" x14ac:dyDescent="0.2">
      <c r="E370" s="340"/>
      <c r="F370" s="340"/>
      <c r="G370" s="155"/>
      <c r="K370" s="155"/>
      <c r="L370" s="155"/>
      <c r="R370" s="342"/>
      <c r="S370" s="342"/>
      <c r="T370" s="342"/>
      <c r="U370" s="342"/>
      <c r="V370" s="342"/>
      <c r="W370" s="342"/>
      <c r="X370" s="343"/>
      <c r="AC370" s="155"/>
      <c r="AD370" s="155"/>
    </row>
    <row r="371" spans="5:30" ht="11.25" customHeight="1" x14ac:dyDescent="0.2">
      <c r="E371" s="340"/>
      <c r="F371" s="340"/>
      <c r="G371" s="155"/>
      <c r="K371" s="155"/>
      <c r="L371" s="155"/>
      <c r="R371" s="342"/>
      <c r="S371" s="342"/>
      <c r="T371" s="342"/>
      <c r="U371" s="342"/>
      <c r="V371" s="342"/>
      <c r="W371" s="342"/>
      <c r="X371" s="343"/>
      <c r="AC371" s="155"/>
      <c r="AD371" s="155"/>
    </row>
    <row r="372" spans="5:30" ht="11.25" customHeight="1" x14ac:dyDescent="0.2">
      <c r="E372" s="340"/>
      <c r="F372" s="340"/>
      <c r="G372" s="155"/>
      <c r="K372" s="155"/>
      <c r="L372" s="155"/>
      <c r="R372" s="342"/>
      <c r="S372" s="342"/>
      <c r="T372" s="342"/>
      <c r="U372" s="342"/>
      <c r="V372" s="342"/>
      <c r="W372" s="342"/>
      <c r="X372" s="343"/>
      <c r="AC372" s="155"/>
      <c r="AD372" s="155"/>
    </row>
    <row r="373" spans="5:30" ht="11.25" customHeight="1" x14ac:dyDescent="0.2">
      <c r="E373" s="340"/>
      <c r="F373" s="340"/>
      <c r="G373" s="155"/>
      <c r="K373" s="155"/>
      <c r="L373" s="155"/>
      <c r="R373" s="342"/>
      <c r="S373" s="342"/>
      <c r="T373" s="342"/>
      <c r="U373" s="342"/>
      <c r="V373" s="342"/>
      <c r="W373" s="342"/>
      <c r="X373" s="343"/>
      <c r="AC373" s="155"/>
      <c r="AD373" s="155"/>
    </row>
    <row r="374" spans="5:30" ht="11.25" customHeight="1" x14ac:dyDescent="0.2">
      <c r="E374" s="340"/>
      <c r="F374" s="340"/>
      <c r="G374" s="155"/>
      <c r="K374" s="155"/>
      <c r="L374" s="155"/>
      <c r="R374" s="342"/>
      <c r="S374" s="342"/>
      <c r="T374" s="342"/>
      <c r="U374" s="342"/>
      <c r="V374" s="342"/>
      <c r="W374" s="342"/>
      <c r="X374" s="343"/>
      <c r="AC374" s="155"/>
      <c r="AD374" s="155"/>
    </row>
    <row r="375" spans="5:30" ht="11.25" customHeight="1" x14ac:dyDescent="0.2">
      <c r="E375" s="340"/>
      <c r="F375" s="340"/>
      <c r="G375" s="155"/>
      <c r="K375" s="155"/>
      <c r="L375" s="155"/>
      <c r="R375" s="342"/>
      <c r="S375" s="342"/>
      <c r="T375" s="342"/>
      <c r="U375" s="342"/>
      <c r="V375" s="342"/>
      <c r="W375" s="342"/>
      <c r="X375" s="343"/>
      <c r="AC375" s="155"/>
      <c r="AD375" s="155"/>
    </row>
    <row r="376" spans="5:30" ht="11.25" customHeight="1" x14ac:dyDescent="0.2">
      <c r="E376" s="340"/>
      <c r="F376" s="340"/>
      <c r="G376" s="155"/>
      <c r="K376" s="155"/>
      <c r="L376" s="155"/>
      <c r="R376" s="342"/>
      <c r="S376" s="342"/>
      <c r="T376" s="342"/>
      <c r="U376" s="342"/>
      <c r="V376" s="342"/>
      <c r="W376" s="342"/>
      <c r="X376" s="343"/>
      <c r="AC376" s="155"/>
      <c r="AD376" s="155"/>
    </row>
    <row r="377" spans="5:30" ht="11.25" customHeight="1" x14ac:dyDescent="0.2">
      <c r="E377" s="340"/>
      <c r="F377" s="340"/>
      <c r="G377" s="155"/>
      <c r="K377" s="155"/>
      <c r="L377" s="155"/>
      <c r="R377" s="342"/>
      <c r="S377" s="342"/>
      <c r="T377" s="342"/>
      <c r="U377" s="342"/>
      <c r="V377" s="342"/>
      <c r="W377" s="342"/>
      <c r="X377" s="343"/>
      <c r="AC377" s="155"/>
      <c r="AD377" s="155"/>
    </row>
    <row r="378" spans="5:30" ht="11.25" customHeight="1" x14ac:dyDescent="0.2">
      <c r="E378" s="340"/>
      <c r="F378" s="340"/>
      <c r="G378" s="155"/>
      <c r="K378" s="155"/>
      <c r="L378" s="155"/>
      <c r="R378" s="342"/>
      <c r="S378" s="342"/>
      <c r="T378" s="342"/>
      <c r="U378" s="342"/>
      <c r="V378" s="342"/>
      <c r="W378" s="342"/>
      <c r="X378" s="343"/>
      <c r="AC378" s="155"/>
      <c r="AD378" s="155"/>
    </row>
    <row r="379" spans="5:30" ht="11.25" customHeight="1" x14ac:dyDescent="0.2">
      <c r="E379" s="340"/>
      <c r="F379" s="340"/>
      <c r="G379" s="155"/>
      <c r="K379" s="155"/>
      <c r="L379" s="155"/>
      <c r="R379" s="342"/>
      <c r="S379" s="342"/>
      <c r="T379" s="342"/>
      <c r="U379" s="342"/>
      <c r="V379" s="342"/>
      <c r="W379" s="342"/>
      <c r="X379" s="343"/>
      <c r="AC379" s="155"/>
      <c r="AD379" s="155"/>
    </row>
    <row r="380" spans="5:30" ht="11.25" customHeight="1" x14ac:dyDescent="0.2">
      <c r="E380" s="340"/>
      <c r="F380" s="340"/>
      <c r="G380" s="155"/>
      <c r="K380" s="155"/>
      <c r="L380" s="155"/>
      <c r="R380" s="342"/>
      <c r="S380" s="342"/>
      <c r="T380" s="342"/>
      <c r="U380" s="342"/>
      <c r="V380" s="342"/>
      <c r="W380" s="342"/>
      <c r="X380" s="343"/>
      <c r="AC380" s="155"/>
      <c r="AD380" s="155"/>
    </row>
    <row r="381" spans="5:30" ht="11.25" customHeight="1" x14ac:dyDescent="0.2">
      <c r="E381" s="340"/>
      <c r="F381" s="340"/>
      <c r="G381" s="155"/>
      <c r="K381" s="155"/>
      <c r="L381" s="155"/>
      <c r="R381" s="342"/>
      <c r="S381" s="342"/>
      <c r="T381" s="342"/>
      <c r="U381" s="342"/>
      <c r="V381" s="342"/>
      <c r="W381" s="342"/>
      <c r="X381" s="343"/>
      <c r="AC381" s="155"/>
      <c r="AD381" s="155"/>
    </row>
    <row r="382" spans="5:30" ht="11.25" customHeight="1" x14ac:dyDescent="0.2">
      <c r="E382" s="340"/>
      <c r="F382" s="340"/>
      <c r="G382" s="155"/>
      <c r="K382" s="155"/>
      <c r="L382" s="155"/>
      <c r="R382" s="342"/>
      <c r="S382" s="342"/>
      <c r="T382" s="342"/>
      <c r="U382" s="342"/>
      <c r="V382" s="342"/>
      <c r="W382" s="342"/>
      <c r="X382" s="343"/>
      <c r="AC382" s="155"/>
      <c r="AD382" s="155"/>
    </row>
    <row r="383" spans="5:30" ht="11.25" customHeight="1" x14ac:dyDescent="0.2">
      <c r="E383" s="340"/>
      <c r="F383" s="340"/>
      <c r="G383" s="155"/>
      <c r="K383" s="155"/>
      <c r="L383" s="155"/>
      <c r="R383" s="342"/>
      <c r="S383" s="342"/>
      <c r="T383" s="342"/>
      <c r="U383" s="342"/>
      <c r="V383" s="342"/>
      <c r="W383" s="342"/>
      <c r="X383" s="343"/>
      <c r="AC383" s="155"/>
      <c r="AD383" s="155"/>
    </row>
    <row r="384" spans="5:30" ht="11.25" customHeight="1" x14ac:dyDescent="0.2">
      <c r="E384" s="340"/>
      <c r="F384" s="340"/>
      <c r="G384" s="155"/>
      <c r="K384" s="155"/>
      <c r="L384" s="155"/>
      <c r="R384" s="342"/>
      <c r="S384" s="342"/>
      <c r="T384" s="342"/>
      <c r="U384" s="342"/>
      <c r="V384" s="342"/>
      <c r="W384" s="342"/>
      <c r="X384" s="343"/>
      <c r="AC384" s="155"/>
      <c r="AD384" s="155"/>
    </row>
    <row r="385" spans="5:30" ht="11.25" customHeight="1" x14ac:dyDescent="0.2">
      <c r="E385" s="340"/>
      <c r="F385" s="340"/>
      <c r="G385" s="155"/>
      <c r="K385" s="155"/>
      <c r="L385" s="155"/>
      <c r="R385" s="342"/>
      <c r="S385" s="342"/>
      <c r="T385" s="342"/>
      <c r="U385" s="342"/>
      <c r="V385" s="342"/>
      <c r="W385" s="342"/>
      <c r="X385" s="343"/>
      <c r="AC385" s="155"/>
      <c r="AD385" s="155"/>
    </row>
    <row r="386" spans="5:30" ht="11.25" customHeight="1" x14ac:dyDescent="0.2">
      <c r="E386" s="340"/>
      <c r="F386" s="340"/>
      <c r="G386" s="155"/>
      <c r="K386" s="155"/>
      <c r="L386" s="155"/>
      <c r="R386" s="342"/>
      <c r="S386" s="342"/>
      <c r="T386" s="342"/>
      <c r="U386" s="342"/>
      <c r="V386" s="342"/>
      <c r="W386" s="342"/>
      <c r="X386" s="343"/>
      <c r="AC386" s="155"/>
      <c r="AD386" s="155"/>
    </row>
    <row r="387" spans="5:30" ht="11.25" customHeight="1" x14ac:dyDescent="0.2">
      <c r="E387" s="340"/>
      <c r="F387" s="340"/>
      <c r="G387" s="155"/>
      <c r="K387" s="155"/>
      <c r="L387" s="155"/>
      <c r="R387" s="342"/>
      <c r="S387" s="342"/>
      <c r="T387" s="342"/>
      <c r="U387" s="342"/>
      <c r="V387" s="342"/>
      <c r="W387" s="342"/>
      <c r="X387" s="343"/>
      <c r="AC387" s="155"/>
      <c r="AD387" s="155"/>
    </row>
    <row r="388" spans="5:30" ht="11.25" customHeight="1" x14ac:dyDescent="0.2">
      <c r="E388" s="340"/>
      <c r="F388" s="340"/>
      <c r="G388" s="155"/>
      <c r="K388" s="155"/>
      <c r="L388" s="155"/>
      <c r="R388" s="342"/>
      <c r="S388" s="342"/>
      <c r="T388" s="342"/>
      <c r="U388" s="342"/>
      <c r="V388" s="342"/>
      <c r="W388" s="342"/>
      <c r="X388" s="343"/>
      <c r="AC388" s="155"/>
      <c r="AD388" s="155"/>
    </row>
    <row r="389" spans="5:30" ht="11.25" customHeight="1" x14ac:dyDescent="0.2">
      <c r="E389" s="340"/>
      <c r="F389" s="340"/>
      <c r="G389" s="155"/>
      <c r="K389" s="155"/>
      <c r="L389" s="155"/>
      <c r="R389" s="342"/>
      <c r="S389" s="342"/>
      <c r="T389" s="342"/>
      <c r="U389" s="342"/>
      <c r="V389" s="342"/>
      <c r="W389" s="342"/>
      <c r="X389" s="343"/>
      <c r="AC389" s="155"/>
      <c r="AD389" s="155"/>
    </row>
    <row r="390" spans="5:30" ht="11.25" customHeight="1" x14ac:dyDescent="0.2">
      <c r="E390" s="340"/>
      <c r="F390" s="340"/>
      <c r="G390" s="155"/>
      <c r="K390" s="155"/>
      <c r="L390" s="155"/>
      <c r="R390" s="342"/>
      <c r="S390" s="342"/>
      <c r="T390" s="342"/>
      <c r="U390" s="342"/>
      <c r="V390" s="342"/>
      <c r="W390" s="342"/>
      <c r="X390" s="343"/>
      <c r="AC390" s="155"/>
      <c r="AD390" s="155"/>
    </row>
    <row r="391" spans="5:30" ht="11.25" customHeight="1" x14ac:dyDescent="0.2">
      <c r="E391" s="340"/>
      <c r="F391" s="340"/>
      <c r="G391" s="155"/>
      <c r="K391" s="155"/>
      <c r="L391" s="155"/>
      <c r="R391" s="342"/>
      <c r="S391" s="342"/>
      <c r="T391" s="342"/>
      <c r="U391" s="342"/>
      <c r="V391" s="342"/>
      <c r="W391" s="342"/>
      <c r="X391" s="343"/>
      <c r="AC391" s="155"/>
      <c r="AD391" s="155"/>
    </row>
    <row r="392" spans="5:30" ht="11.25" customHeight="1" x14ac:dyDescent="0.2">
      <c r="E392" s="340"/>
      <c r="F392" s="340"/>
      <c r="G392" s="155"/>
      <c r="K392" s="155"/>
      <c r="L392" s="155"/>
      <c r="R392" s="342"/>
      <c r="S392" s="342"/>
      <c r="T392" s="342"/>
      <c r="U392" s="342"/>
      <c r="V392" s="342"/>
      <c r="W392" s="342"/>
      <c r="X392" s="343"/>
      <c r="AC392" s="155"/>
      <c r="AD392" s="155"/>
    </row>
    <row r="393" spans="5:30" ht="11.25" customHeight="1" x14ac:dyDescent="0.2">
      <c r="E393" s="340"/>
      <c r="F393" s="340"/>
      <c r="G393" s="155"/>
      <c r="K393" s="155"/>
      <c r="L393" s="155"/>
      <c r="R393" s="342"/>
      <c r="S393" s="342"/>
      <c r="T393" s="342"/>
      <c r="U393" s="342"/>
      <c r="V393" s="342"/>
      <c r="W393" s="342"/>
      <c r="X393" s="343"/>
      <c r="AC393" s="155"/>
      <c r="AD393" s="155"/>
    </row>
    <row r="394" spans="5:30" ht="11.25" customHeight="1" x14ac:dyDescent="0.2">
      <c r="E394" s="340"/>
      <c r="F394" s="340"/>
      <c r="G394" s="155"/>
      <c r="K394" s="155"/>
      <c r="L394" s="155"/>
      <c r="R394" s="342"/>
      <c r="S394" s="342"/>
      <c r="T394" s="342"/>
      <c r="U394" s="342"/>
      <c r="V394" s="342"/>
      <c r="W394" s="342"/>
      <c r="X394" s="343"/>
      <c r="AC394" s="155"/>
      <c r="AD394" s="155"/>
    </row>
    <row r="395" spans="5:30" ht="11.25" customHeight="1" x14ac:dyDescent="0.2">
      <c r="E395" s="340"/>
      <c r="F395" s="340"/>
      <c r="G395" s="155"/>
      <c r="K395" s="155"/>
      <c r="L395" s="155"/>
      <c r="R395" s="342"/>
      <c r="S395" s="342"/>
      <c r="T395" s="342"/>
      <c r="U395" s="342"/>
      <c r="V395" s="342"/>
      <c r="W395" s="342"/>
      <c r="X395" s="343"/>
      <c r="AC395" s="155"/>
      <c r="AD395" s="155"/>
    </row>
    <row r="396" spans="5:30" ht="11.25" customHeight="1" x14ac:dyDescent="0.2">
      <c r="E396" s="340"/>
      <c r="F396" s="340"/>
      <c r="G396" s="155"/>
      <c r="K396" s="155"/>
      <c r="L396" s="155"/>
      <c r="R396" s="342"/>
      <c r="S396" s="342"/>
      <c r="T396" s="342"/>
      <c r="U396" s="342"/>
      <c r="V396" s="342"/>
      <c r="W396" s="342"/>
      <c r="X396" s="343"/>
      <c r="AC396" s="155"/>
      <c r="AD396" s="155"/>
    </row>
    <row r="397" spans="5:30" ht="11.25" customHeight="1" x14ac:dyDescent="0.2">
      <c r="E397" s="340"/>
      <c r="F397" s="340"/>
      <c r="G397" s="155"/>
      <c r="K397" s="155"/>
      <c r="L397" s="155"/>
      <c r="R397" s="342"/>
      <c r="S397" s="342"/>
      <c r="T397" s="342"/>
      <c r="U397" s="342"/>
      <c r="V397" s="342"/>
      <c r="W397" s="342"/>
      <c r="X397" s="343"/>
      <c r="AC397" s="155"/>
      <c r="AD397" s="155"/>
    </row>
    <row r="398" spans="5:30" ht="11.25" customHeight="1" x14ac:dyDescent="0.2">
      <c r="E398" s="340"/>
      <c r="F398" s="340"/>
      <c r="G398" s="155"/>
      <c r="K398" s="155"/>
      <c r="L398" s="155"/>
      <c r="R398" s="342"/>
      <c r="S398" s="342"/>
      <c r="T398" s="342"/>
      <c r="U398" s="342"/>
      <c r="V398" s="342"/>
      <c r="W398" s="342"/>
      <c r="X398" s="343"/>
      <c r="AC398" s="155"/>
      <c r="AD398" s="155"/>
    </row>
    <row r="399" spans="5:30" ht="11.25" customHeight="1" x14ac:dyDescent="0.2">
      <c r="E399" s="340"/>
      <c r="F399" s="340"/>
      <c r="G399" s="155"/>
      <c r="K399" s="155"/>
      <c r="L399" s="155"/>
      <c r="R399" s="342"/>
      <c r="S399" s="342"/>
      <c r="T399" s="342"/>
      <c r="U399" s="342"/>
      <c r="V399" s="342"/>
      <c r="W399" s="342"/>
      <c r="X399" s="343"/>
      <c r="AC399" s="155"/>
      <c r="AD399" s="155"/>
    </row>
    <row r="400" spans="5:30" ht="11.25" customHeight="1" x14ac:dyDescent="0.2">
      <c r="E400" s="340"/>
      <c r="F400" s="340"/>
      <c r="G400" s="155"/>
      <c r="K400" s="155"/>
      <c r="L400" s="155"/>
      <c r="R400" s="342"/>
      <c r="S400" s="342"/>
      <c r="T400" s="342"/>
      <c r="U400" s="342"/>
      <c r="V400" s="342"/>
      <c r="W400" s="342"/>
      <c r="X400" s="343"/>
      <c r="AC400" s="155"/>
      <c r="AD400" s="155"/>
    </row>
    <row r="401" spans="5:30" ht="11.25" customHeight="1" x14ac:dyDescent="0.2">
      <c r="E401" s="340"/>
      <c r="F401" s="340"/>
      <c r="G401" s="155"/>
      <c r="K401" s="155"/>
      <c r="L401" s="155"/>
      <c r="R401" s="342"/>
      <c r="S401" s="342"/>
      <c r="T401" s="342"/>
      <c r="U401" s="342"/>
      <c r="V401" s="342"/>
      <c r="W401" s="342"/>
      <c r="X401" s="343"/>
      <c r="AC401" s="155"/>
      <c r="AD401" s="155"/>
    </row>
    <row r="402" spans="5:30" ht="11.25" customHeight="1" x14ac:dyDescent="0.2">
      <c r="E402" s="340"/>
      <c r="F402" s="340"/>
      <c r="G402" s="155"/>
      <c r="K402" s="155"/>
      <c r="L402" s="155"/>
      <c r="R402" s="342"/>
      <c r="S402" s="342"/>
      <c r="T402" s="342"/>
      <c r="U402" s="342"/>
      <c r="V402" s="342"/>
      <c r="W402" s="342"/>
      <c r="X402" s="343"/>
      <c r="AC402" s="155"/>
      <c r="AD402" s="155"/>
    </row>
    <row r="403" spans="5:30" ht="11.25" customHeight="1" x14ac:dyDescent="0.2">
      <c r="E403" s="340"/>
      <c r="F403" s="340"/>
      <c r="G403" s="155"/>
      <c r="K403" s="155"/>
      <c r="L403" s="155"/>
      <c r="R403" s="342"/>
      <c r="S403" s="342"/>
      <c r="T403" s="342"/>
      <c r="U403" s="342"/>
      <c r="V403" s="342"/>
      <c r="W403" s="342"/>
      <c r="X403" s="343"/>
      <c r="AC403" s="155"/>
      <c r="AD403" s="155"/>
    </row>
    <row r="404" spans="5:30" ht="11.25" customHeight="1" x14ac:dyDescent="0.2">
      <c r="E404" s="340"/>
      <c r="F404" s="340"/>
      <c r="G404" s="155"/>
      <c r="K404" s="155"/>
      <c r="L404" s="155"/>
      <c r="R404" s="342"/>
      <c r="S404" s="342"/>
      <c r="T404" s="342"/>
      <c r="U404" s="342"/>
      <c r="V404" s="342"/>
      <c r="W404" s="342"/>
      <c r="X404" s="343"/>
      <c r="AC404" s="155"/>
      <c r="AD404" s="155"/>
    </row>
    <row r="405" spans="5:30" ht="11.25" customHeight="1" x14ac:dyDescent="0.2">
      <c r="E405" s="340"/>
      <c r="F405" s="340"/>
      <c r="G405" s="155"/>
      <c r="K405" s="155"/>
      <c r="L405" s="155"/>
      <c r="R405" s="342"/>
      <c r="S405" s="342"/>
      <c r="T405" s="342"/>
      <c r="U405" s="342"/>
      <c r="V405" s="342"/>
      <c r="W405" s="342"/>
      <c r="X405" s="343"/>
      <c r="AC405" s="155"/>
      <c r="AD405" s="155"/>
    </row>
    <row r="406" spans="5:30" ht="11.25" customHeight="1" x14ac:dyDescent="0.2">
      <c r="E406" s="340"/>
      <c r="F406" s="340"/>
      <c r="G406" s="155"/>
      <c r="K406" s="155"/>
      <c r="L406" s="155"/>
      <c r="R406" s="342"/>
      <c r="S406" s="342"/>
      <c r="T406" s="342"/>
      <c r="U406" s="342"/>
      <c r="V406" s="342"/>
      <c r="W406" s="342"/>
      <c r="X406" s="343"/>
      <c r="AC406" s="155"/>
      <c r="AD406" s="155"/>
    </row>
    <row r="407" spans="5:30" ht="11.25" customHeight="1" x14ac:dyDescent="0.2">
      <c r="E407" s="340"/>
      <c r="F407" s="340"/>
      <c r="G407" s="155"/>
      <c r="K407" s="155"/>
      <c r="L407" s="155"/>
      <c r="R407" s="342"/>
      <c r="S407" s="342"/>
      <c r="T407" s="342"/>
      <c r="U407" s="342"/>
      <c r="V407" s="342"/>
      <c r="W407" s="342"/>
      <c r="X407" s="343"/>
      <c r="AC407" s="155"/>
      <c r="AD407" s="155"/>
    </row>
    <row r="408" spans="5:30" ht="11.25" customHeight="1" x14ac:dyDescent="0.2">
      <c r="E408" s="340"/>
      <c r="F408" s="340"/>
      <c r="G408" s="155"/>
      <c r="K408" s="155"/>
      <c r="L408" s="155"/>
      <c r="R408" s="342"/>
      <c r="S408" s="342"/>
      <c r="T408" s="342"/>
      <c r="U408" s="342"/>
      <c r="V408" s="342"/>
      <c r="W408" s="342"/>
      <c r="X408" s="343"/>
      <c r="AC408" s="155"/>
      <c r="AD408" s="155"/>
    </row>
    <row r="409" spans="5:30" ht="11.25" customHeight="1" x14ac:dyDescent="0.2">
      <c r="E409" s="340"/>
      <c r="F409" s="340"/>
      <c r="G409" s="155"/>
      <c r="K409" s="155"/>
      <c r="L409" s="155"/>
      <c r="R409" s="342"/>
      <c r="S409" s="342"/>
      <c r="T409" s="342"/>
      <c r="U409" s="342"/>
      <c r="V409" s="342"/>
      <c r="W409" s="342"/>
      <c r="X409" s="343"/>
      <c r="AC409" s="155"/>
      <c r="AD409" s="155"/>
    </row>
    <row r="410" spans="5:30" ht="11.25" customHeight="1" x14ac:dyDescent="0.2">
      <c r="E410" s="340"/>
      <c r="F410" s="340"/>
      <c r="G410" s="155"/>
      <c r="K410" s="155"/>
      <c r="L410" s="155"/>
      <c r="R410" s="342"/>
      <c r="S410" s="342"/>
      <c r="T410" s="342"/>
      <c r="U410" s="342"/>
      <c r="V410" s="342"/>
      <c r="W410" s="342"/>
      <c r="X410" s="343"/>
      <c r="AC410" s="155"/>
      <c r="AD410" s="155"/>
    </row>
    <row r="411" spans="5:30" ht="11.25" customHeight="1" x14ac:dyDescent="0.2">
      <c r="E411" s="340"/>
      <c r="F411" s="340"/>
      <c r="G411" s="155"/>
      <c r="K411" s="155"/>
      <c r="L411" s="155"/>
      <c r="R411" s="342"/>
      <c r="S411" s="342"/>
      <c r="T411" s="342"/>
      <c r="U411" s="342"/>
      <c r="V411" s="342"/>
      <c r="W411" s="342"/>
      <c r="X411" s="343"/>
      <c r="AC411" s="155"/>
      <c r="AD411" s="155"/>
    </row>
    <row r="412" spans="5:30" ht="11.25" customHeight="1" x14ac:dyDescent="0.2">
      <c r="E412" s="340"/>
      <c r="F412" s="340"/>
      <c r="G412" s="155"/>
      <c r="K412" s="155"/>
      <c r="L412" s="155"/>
      <c r="R412" s="342"/>
      <c r="S412" s="342"/>
      <c r="T412" s="342"/>
      <c r="U412" s="342"/>
      <c r="V412" s="342"/>
      <c r="W412" s="342"/>
      <c r="X412" s="343"/>
      <c r="AC412" s="155"/>
      <c r="AD412" s="155"/>
    </row>
    <row r="413" spans="5:30" ht="11.25" customHeight="1" x14ac:dyDescent="0.2">
      <c r="E413" s="340"/>
      <c r="F413" s="340"/>
      <c r="G413" s="155"/>
      <c r="K413" s="155"/>
      <c r="L413" s="155"/>
      <c r="R413" s="342"/>
      <c r="S413" s="342"/>
      <c r="T413" s="342"/>
      <c r="U413" s="342"/>
      <c r="V413" s="342"/>
      <c r="W413" s="342"/>
      <c r="X413" s="343"/>
      <c r="AC413" s="155"/>
      <c r="AD413" s="155"/>
    </row>
    <row r="414" spans="5:30" ht="11.25" customHeight="1" x14ac:dyDescent="0.2">
      <c r="E414" s="340"/>
      <c r="F414" s="340"/>
      <c r="G414" s="155"/>
      <c r="K414" s="155"/>
      <c r="L414" s="155"/>
      <c r="R414" s="342"/>
      <c r="S414" s="342"/>
      <c r="T414" s="342"/>
      <c r="U414" s="342"/>
      <c r="V414" s="342"/>
      <c r="W414" s="342"/>
      <c r="X414" s="343"/>
      <c r="AC414" s="155"/>
      <c r="AD414" s="155"/>
    </row>
    <row r="415" spans="5:30" ht="11.25" customHeight="1" x14ac:dyDescent="0.2">
      <c r="E415" s="340"/>
      <c r="F415" s="340"/>
      <c r="G415" s="155"/>
      <c r="K415" s="155"/>
      <c r="L415" s="155"/>
      <c r="R415" s="342"/>
      <c r="S415" s="342"/>
      <c r="T415" s="342"/>
      <c r="U415" s="342"/>
      <c r="V415" s="342"/>
      <c r="W415" s="342"/>
      <c r="X415" s="343"/>
      <c r="AC415" s="155"/>
      <c r="AD415" s="155"/>
    </row>
    <row r="416" spans="5:30" ht="11.25" customHeight="1" x14ac:dyDescent="0.2">
      <c r="E416" s="340"/>
      <c r="F416" s="340"/>
      <c r="G416" s="155"/>
      <c r="K416" s="155"/>
      <c r="L416" s="155"/>
      <c r="R416" s="342"/>
      <c r="S416" s="342"/>
      <c r="T416" s="342"/>
      <c r="U416" s="342"/>
      <c r="V416" s="342"/>
      <c r="W416" s="342"/>
      <c r="X416" s="343"/>
      <c r="AC416" s="155"/>
      <c r="AD416" s="155"/>
    </row>
    <row r="417" spans="5:30" ht="11.25" customHeight="1" x14ac:dyDescent="0.2">
      <c r="E417" s="340"/>
      <c r="F417" s="340"/>
      <c r="G417" s="155"/>
      <c r="K417" s="155"/>
      <c r="L417" s="155"/>
      <c r="R417" s="342"/>
      <c r="S417" s="342"/>
      <c r="T417" s="342"/>
      <c r="U417" s="342"/>
      <c r="V417" s="342"/>
      <c r="W417" s="342"/>
      <c r="X417" s="343"/>
      <c r="AC417" s="155"/>
      <c r="AD417" s="155"/>
    </row>
    <row r="418" spans="5:30" ht="11.25" customHeight="1" x14ac:dyDescent="0.2">
      <c r="E418" s="340"/>
      <c r="F418" s="340"/>
      <c r="G418" s="155"/>
      <c r="K418" s="155"/>
      <c r="L418" s="155"/>
      <c r="R418" s="342"/>
      <c r="S418" s="342"/>
      <c r="T418" s="342"/>
      <c r="U418" s="342"/>
      <c r="V418" s="342"/>
      <c r="W418" s="342"/>
      <c r="X418" s="343"/>
      <c r="AC418" s="155"/>
      <c r="AD418" s="155"/>
    </row>
    <row r="419" spans="5:30" ht="11.25" customHeight="1" x14ac:dyDescent="0.2">
      <c r="E419" s="340"/>
      <c r="F419" s="340"/>
      <c r="G419" s="155"/>
      <c r="K419" s="155"/>
      <c r="L419" s="155"/>
      <c r="R419" s="342"/>
      <c r="S419" s="342"/>
      <c r="T419" s="342"/>
      <c r="U419" s="342"/>
      <c r="V419" s="342"/>
      <c r="W419" s="342"/>
      <c r="X419" s="343"/>
      <c r="AC419" s="155"/>
      <c r="AD419" s="155"/>
    </row>
    <row r="420" spans="5:30" ht="11.25" customHeight="1" x14ac:dyDescent="0.2">
      <c r="E420" s="340"/>
      <c r="F420" s="340"/>
      <c r="G420" s="155"/>
      <c r="K420" s="155"/>
      <c r="L420" s="155"/>
      <c r="R420" s="342"/>
      <c r="S420" s="342"/>
      <c r="T420" s="342"/>
      <c r="U420" s="342"/>
      <c r="V420" s="342"/>
      <c r="W420" s="342"/>
      <c r="X420" s="343"/>
      <c r="AC420" s="155"/>
      <c r="AD420" s="155"/>
    </row>
    <row r="421" spans="5:30" ht="11.25" customHeight="1" x14ac:dyDescent="0.2">
      <c r="E421" s="340"/>
      <c r="F421" s="340"/>
      <c r="G421" s="155"/>
      <c r="K421" s="155"/>
      <c r="L421" s="155"/>
      <c r="R421" s="342"/>
      <c r="S421" s="342"/>
      <c r="T421" s="342"/>
      <c r="U421" s="342"/>
      <c r="V421" s="342"/>
      <c r="W421" s="342"/>
      <c r="X421" s="343"/>
      <c r="AC421" s="155"/>
      <c r="AD421" s="155"/>
    </row>
    <row r="422" spans="5:30" ht="11.25" customHeight="1" x14ac:dyDescent="0.2">
      <c r="E422" s="340"/>
      <c r="F422" s="340"/>
      <c r="G422" s="155"/>
      <c r="K422" s="155"/>
      <c r="L422" s="155"/>
      <c r="R422" s="342"/>
      <c r="S422" s="342"/>
      <c r="T422" s="342"/>
      <c r="U422" s="342"/>
      <c r="V422" s="342"/>
      <c r="W422" s="342"/>
      <c r="X422" s="343"/>
      <c r="AC422" s="155"/>
      <c r="AD422" s="155"/>
    </row>
    <row r="423" spans="5:30" ht="11.25" customHeight="1" x14ac:dyDescent="0.2">
      <c r="E423" s="340"/>
      <c r="F423" s="340"/>
      <c r="G423" s="155"/>
      <c r="K423" s="155"/>
      <c r="L423" s="155"/>
      <c r="R423" s="342"/>
      <c r="S423" s="342"/>
      <c r="T423" s="342"/>
      <c r="U423" s="342"/>
      <c r="V423" s="342"/>
      <c r="W423" s="342"/>
      <c r="X423" s="343"/>
      <c r="AC423" s="155"/>
      <c r="AD423" s="155"/>
    </row>
    <row r="424" spans="5:30" ht="11.25" customHeight="1" x14ac:dyDescent="0.2">
      <c r="E424" s="340"/>
      <c r="F424" s="340"/>
      <c r="G424" s="155"/>
      <c r="K424" s="155"/>
      <c r="L424" s="155"/>
      <c r="R424" s="342"/>
      <c r="S424" s="342"/>
      <c r="T424" s="342"/>
      <c r="U424" s="342"/>
      <c r="V424" s="342"/>
      <c r="W424" s="342"/>
      <c r="X424" s="343"/>
      <c r="AC424" s="155"/>
      <c r="AD424" s="155"/>
    </row>
    <row r="425" spans="5:30" ht="11.25" customHeight="1" x14ac:dyDescent="0.2">
      <c r="E425" s="340"/>
      <c r="F425" s="340"/>
      <c r="G425" s="155"/>
      <c r="K425" s="155"/>
      <c r="L425" s="155"/>
      <c r="R425" s="342"/>
      <c r="S425" s="342"/>
      <c r="T425" s="342"/>
      <c r="U425" s="342"/>
      <c r="V425" s="342"/>
      <c r="W425" s="342"/>
      <c r="X425" s="343"/>
      <c r="AC425" s="155"/>
      <c r="AD425" s="155"/>
    </row>
    <row r="426" spans="5:30" ht="11.25" customHeight="1" x14ac:dyDescent="0.2">
      <c r="E426" s="340"/>
      <c r="F426" s="340"/>
      <c r="G426" s="155"/>
      <c r="K426" s="155"/>
      <c r="L426" s="155"/>
      <c r="R426" s="342"/>
      <c r="S426" s="342"/>
      <c r="T426" s="342"/>
      <c r="U426" s="342"/>
      <c r="V426" s="342"/>
      <c r="W426" s="342"/>
      <c r="X426" s="343"/>
      <c r="AC426" s="155"/>
      <c r="AD426" s="155"/>
    </row>
    <row r="427" spans="5:30" ht="11.25" customHeight="1" x14ac:dyDescent="0.2">
      <c r="E427" s="340"/>
      <c r="F427" s="340"/>
      <c r="G427" s="155"/>
      <c r="K427" s="155"/>
      <c r="L427" s="155"/>
      <c r="R427" s="342"/>
      <c r="S427" s="342"/>
      <c r="T427" s="342"/>
      <c r="U427" s="342"/>
      <c r="V427" s="342"/>
      <c r="W427" s="342"/>
      <c r="X427" s="343"/>
      <c r="AC427" s="155"/>
      <c r="AD427" s="155"/>
    </row>
    <row r="428" spans="5:30" ht="11.25" customHeight="1" x14ac:dyDescent="0.2">
      <c r="E428" s="340"/>
      <c r="F428" s="340"/>
      <c r="G428" s="155"/>
      <c r="K428" s="155"/>
      <c r="L428" s="155"/>
      <c r="R428" s="342"/>
      <c r="S428" s="342"/>
      <c r="T428" s="342"/>
      <c r="U428" s="342"/>
      <c r="V428" s="342"/>
      <c r="W428" s="342"/>
      <c r="X428" s="343"/>
      <c r="AC428" s="155"/>
      <c r="AD428" s="155"/>
    </row>
    <row r="429" spans="5:30" ht="11.25" customHeight="1" x14ac:dyDescent="0.2">
      <c r="E429" s="340"/>
      <c r="F429" s="340"/>
      <c r="G429" s="155"/>
      <c r="K429" s="155"/>
      <c r="L429" s="155"/>
      <c r="R429" s="342"/>
      <c r="S429" s="342"/>
      <c r="T429" s="342"/>
      <c r="U429" s="342"/>
      <c r="V429" s="342"/>
      <c r="W429" s="342"/>
      <c r="X429" s="343"/>
      <c r="AC429" s="155"/>
      <c r="AD429" s="155"/>
    </row>
    <row r="430" spans="5:30" ht="11.25" customHeight="1" x14ac:dyDescent="0.2">
      <c r="E430" s="340"/>
      <c r="F430" s="340"/>
      <c r="G430" s="155"/>
      <c r="K430" s="155"/>
      <c r="L430" s="155"/>
      <c r="R430" s="342"/>
      <c r="S430" s="342"/>
      <c r="T430" s="342"/>
      <c r="U430" s="342"/>
      <c r="V430" s="342"/>
      <c r="W430" s="342"/>
      <c r="X430" s="343"/>
      <c r="AC430" s="155"/>
      <c r="AD430" s="155"/>
    </row>
    <row r="431" spans="5:30" ht="11.25" customHeight="1" x14ac:dyDescent="0.2">
      <c r="E431" s="340"/>
      <c r="F431" s="340"/>
      <c r="G431" s="155"/>
      <c r="K431" s="155"/>
      <c r="L431" s="155"/>
      <c r="R431" s="342"/>
      <c r="S431" s="342"/>
      <c r="T431" s="342"/>
      <c r="U431" s="342"/>
      <c r="V431" s="342"/>
      <c r="W431" s="342"/>
      <c r="X431" s="343"/>
      <c r="AC431" s="155"/>
      <c r="AD431" s="155"/>
    </row>
    <row r="432" spans="5:30" ht="11.25" customHeight="1" x14ac:dyDescent="0.2">
      <c r="E432" s="340"/>
      <c r="F432" s="340"/>
      <c r="G432" s="155"/>
      <c r="K432" s="155"/>
      <c r="L432" s="155"/>
      <c r="R432" s="342"/>
      <c r="S432" s="342"/>
      <c r="T432" s="342"/>
      <c r="U432" s="342"/>
      <c r="V432" s="342"/>
      <c r="W432" s="342"/>
      <c r="X432" s="343"/>
      <c r="AC432" s="155"/>
      <c r="AD432" s="155"/>
    </row>
    <row r="433" spans="5:30" ht="11.25" customHeight="1" x14ac:dyDescent="0.2">
      <c r="E433" s="340"/>
      <c r="F433" s="340"/>
      <c r="G433" s="155"/>
      <c r="K433" s="155"/>
      <c r="L433" s="155"/>
      <c r="R433" s="342"/>
      <c r="S433" s="342"/>
      <c r="T433" s="342"/>
      <c r="U433" s="342"/>
      <c r="V433" s="342"/>
      <c r="W433" s="342"/>
      <c r="X433" s="343"/>
      <c r="AC433" s="155"/>
      <c r="AD433" s="155"/>
    </row>
    <row r="434" spans="5:30" ht="11.25" customHeight="1" x14ac:dyDescent="0.2">
      <c r="E434" s="340"/>
      <c r="F434" s="340"/>
      <c r="G434" s="155"/>
      <c r="K434" s="155"/>
      <c r="L434" s="155"/>
      <c r="R434" s="342"/>
      <c r="S434" s="342"/>
      <c r="T434" s="342"/>
      <c r="U434" s="342"/>
      <c r="V434" s="342"/>
      <c r="W434" s="342"/>
      <c r="X434" s="343"/>
      <c r="AC434" s="155"/>
      <c r="AD434" s="155"/>
    </row>
    <row r="435" spans="5:30" ht="11.25" customHeight="1" x14ac:dyDescent="0.2">
      <c r="E435" s="340"/>
      <c r="F435" s="340"/>
      <c r="G435" s="155"/>
      <c r="K435" s="155"/>
      <c r="L435" s="155"/>
      <c r="R435" s="342"/>
      <c r="S435" s="342"/>
      <c r="T435" s="342"/>
      <c r="U435" s="342"/>
      <c r="V435" s="342"/>
      <c r="W435" s="342"/>
      <c r="X435" s="343"/>
      <c r="AC435" s="155"/>
      <c r="AD435" s="155"/>
    </row>
    <row r="436" spans="5:30" ht="11.25" customHeight="1" x14ac:dyDescent="0.2">
      <c r="E436" s="340"/>
      <c r="F436" s="340"/>
      <c r="G436" s="155"/>
      <c r="K436" s="155"/>
      <c r="L436" s="155"/>
      <c r="R436" s="342"/>
      <c r="S436" s="342"/>
      <c r="T436" s="342"/>
      <c r="U436" s="342"/>
      <c r="V436" s="342"/>
      <c r="W436" s="342"/>
      <c r="X436" s="343"/>
      <c r="AC436" s="155"/>
      <c r="AD436" s="155"/>
    </row>
    <row r="437" spans="5:30" ht="11.25" customHeight="1" x14ac:dyDescent="0.2">
      <c r="E437" s="340"/>
      <c r="F437" s="340"/>
      <c r="G437" s="155"/>
      <c r="K437" s="155"/>
      <c r="L437" s="155"/>
      <c r="R437" s="342"/>
      <c r="S437" s="342"/>
      <c r="T437" s="342"/>
      <c r="U437" s="342"/>
      <c r="V437" s="342"/>
      <c r="W437" s="342"/>
      <c r="X437" s="343"/>
      <c r="AC437" s="155"/>
      <c r="AD437" s="155"/>
    </row>
    <row r="438" spans="5:30" ht="11.25" customHeight="1" x14ac:dyDescent="0.2">
      <c r="E438" s="340"/>
      <c r="F438" s="340"/>
      <c r="G438" s="155"/>
      <c r="K438" s="155"/>
      <c r="L438" s="155"/>
      <c r="R438" s="342"/>
      <c r="S438" s="342"/>
      <c r="T438" s="342"/>
      <c r="U438" s="342"/>
      <c r="V438" s="342"/>
      <c r="W438" s="342"/>
      <c r="X438" s="343"/>
      <c r="AC438" s="155"/>
      <c r="AD438" s="155"/>
    </row>
    <row r="439" spans="5:30" ht="11.25" customHeight="1" x14ac:dyDescent="0.2">
      <c r="E439" s="340"/>
      <c r="F439" s="340"/>
      <c r="G439" s="155"/>
      <c r="K439" s="155"/>
      <c r="L439" s="155"/>
      <c r="R439" s="342"/>
      <c r="S439" s="342"/>
      <c r="T439" s="342"/>
      <c r="U439" s="342"/>
      <c r="V439" s="342"/>
      <c r="W439" s="342"/>
      <c r="X439" s="343"/>
      <c r="AC439" s="155"/>
      <c r="AD439" s="155"/>
    </row>
    <row r="440" spans="5:30" ht="11.25" customHeight="1" x14ac:dyDescent="0.2">
      <c r="E440" s="340"/>
      <c r="F440" s="340"/>
      <c r="G440" s="155"/>
      <c r="K440" s="155"/>
      <c r="L440" s="155"/>
      <c r="R440" s="342"/>
      <c r="S440" s="342"/>
      <c r="T440" s="342"/>
      <c r="U440" s="342"/>
      <c r="V440" s="342"/>
      <c r="W440" s="342"/>
      <c r="X440" s="343"/>
      <c r="AC440" s="155"/>
      <c r="AD440" s="155"/>
    </row>
    <row r="441" spans="5:30" ht="11.25" customHeight="1" x14ac:dyDescent="0.2">
      <c r="E441" s="340"/>
      <c r="F441" s="340"/>
      <c r="G441" s="155"/>
      <c r="K441" s="155"/>
      <c r="L441" s="155"/>
      <c r="R441" s="342"/>
      <c r="S441" s="342"/>
      <c r="T441" s="342"/>
      <c r="U441" s="342"/>
      <c r="V441" s="342"/>
      <c r="W441" s="342"/>
      <c r="X441" s="343"/>
      <c r="AC441" s="155"/>
      <c r="AD441" s="155"/>
    </row>
    <row r="442" spans="5:30" ht="11.25" customHeight="1" x14ac:dyDescent="0.2">
      <c r="E442" s="340"/>
      <c r="F442" s="340"/>
      <c r="G442" s="155"/>
      <c r="K442" s="155"/>
      <c r="L442" s="155"/>
      <c r="R442" s="342"/>
      <c r="S442" s="342"/>
      <c r="T442" s="342"/>
      <c r="U442" s="342"/>
      <c r="V442" s="342"/>
      <c r="W442" s="342"/>
      <c r="X442" s="343"/>
      <c r="AC442" s="155"/>
      <c r="AD442" s="155"/>
    </row>
    <row r="443" spans="5:30" ht="11.25" customHeight="1" x14ac:dyDescent="0.2">
      <c r="E443" s="340"/>
      <c r="F443" s="340"/>
      <c r="G443" s="155"/>
      <c r="K443" s="155"/>
      <c r="L443" s="155"/>
      <c r="R443" s="342"/>
      <c r="S443" s="342"/>
      <c r="T443" s="342"/>
      <c r="U443" s="342"/>
      <c r="V443" s="342"/>
      <c r="W443" s="342"/>
      <c r="X443" s="343"/>
      <c r="AC443" s="155"/>
      <c r="AD443" s="155"/>
    </row>
    <row r="444" spans="5:30" ht="11.25" customHeight="1" x14ac:dyDescent="0.2">
      <c r="E444" s="340"/>
      <c r="F444" s="340"/>
      <c r="G444" s="155"/>
      <c r="K444" s="155"/>
      <c r="L444" s="155"/>
      <c r="R444" s="342"/>
      <c r="S444" s="342"/>
      <c r="T444" s="342"/>
      <c r="U444" s="342"/>
      <c r="V444" s="342"/>
      <c r="W444" s="342"/>
      <c r="X444" s="343"/>
      <c r="AC444" s="155"/>
      <c r="AD444" s="155"/>
    </row>
    <row r="445" spans="5:30" ht="11.25" customHeight="1" x14ac:dyDescent="0.2">
      <c r="E445" s="340"/>
      <c r="F445" s="340"/>
      <c r="G445" s="155"/>
      <c r="K445" s="155"/>
      <c r="L445" s="155"/>
      <c r="R445" s="342"/>
      <c r="S445" s="342"/>
      <c r="T445" s="342"/>
      <c r="U445" s="342"/>
      <c r="V445" s="342"/>
      <c r="W445" s="342"/>
      <c r="X445" s="343"/>
      <c r="AC445" s="155"/>
      <c r="AD445" s="155"/>
    </row>
    <row r="446" spans="5:30" ht="11.25" customHeight="1" x14ac:dyDescent="0.2">
      <c r="E446" s="340"/>
      <c r="F446" s="340"/>
      <c r="G446" s="155"/>
      <c r="K446" s="155"/>
      <c r="L446" s="155"/>
      <c r="R446" s="342"/>
      <c r="S446" s="342"/>
      <c r="T446" s="342"/>
      <c r="U446" s="342"/>
      <c r="V446" s="342"/>
      <c r="W446" s="342"/>
      <c r="X446" s="343"/>
      <c r="AC446" s="155"/>
      <c r="AD446" s="155"/>
    </row>
    <row r="447" spans="5:30" ht="11.25" customHeight="1" x14ac:dyDescent="0.2">
      <c r="E447" s="340"/>
      <c r="F447" s="340"/>
      <c r="G447" s="155"/>
      <c r="K447" s="155"/>
      <c r="L447" s="155"/>
      <c r="R447" s="342"/>
      <c r="S447" s="342"/>
      <c r="T447" s="342"/>
      <c r="U447" s="342"/>
      <c r="V447" s="342"/>
      <c r="W447" s="342"/>
      <c r="X447" s="343"/>
      <c r="AC447" s="155"/>
      <c r="AD447" s="155"/>
    </row>
    <row r="448" spans="5:30" ht="11.25" customHeight="1" x14ac:dyDescent="0.2">
      <c r="E448" s="340"/>
      <c r="F448" s="340"/>
      <c r="G448" s="155"/>
      <c r="K448" s="155"/>
      <c r="L448" s="155"/>
      <c r="R448" s="342"/>
      <c r="S448" s="342"/>
      <c r="T448" s="342"/>
      <c r="U448" s="342"/>
      <c r="V448" s="342"/>
      <c r="W448" s="342"/>
      <c r="X448" s="343"/>
      <c r="AC448" s="155"/>
      <c r="AD448" s="155"/>
    </row>
    <row r="449" spans="5:30" ht="11.25" customHeight="1" x14ac:dyDescent="0.2">
      <c r="E449" s="340"/>
      <c r="F449" s="340"/>
      <c r="G449" s="155"/>
      <c r="K449" s="155"/>
      <c r="L449" s="155"/>
      <c r="R449" s="342"/>
      <c r="S449" s="342"/>
      <c r="T449" s="342"/>
      <c r="U449" s="342"/>
      <c r="V449" s="342"/>
      <c r="W449" s="342"/>
      <c r="X449" s="343"/>
      <c r="AC449" s="155"/>
      <c r="AD449" s="155"/>
    </row>
    <row r="450" spans="5:30" ht="11.25" customHeight="1" x14ac:dyDescent="0.2">
      <c r="E450" s="340"/>
      <c r="F450" s="340"/>
      <c r="G450" s="155"/>
      <c r="K450" s="155"/>
      <c r="L450" s="155"/>
      <c r="R450" s="342"/>
      <c r="S450" s="342"/>
      <c r="T450" s="342"/>
      <c r="U450" s="342"/>
      <c r="V450" s="342"/>
      <c r="W450" s="342"/>
      <c r="X450" s="343"/>
      <c r="AC450" s="155"/>
      <c r="AD450" s="155"/>
    </row>
    <row r="451" spans="5:30" ht="11.25" customHeight="1" x14ac:dyDescent="0.2">
      <c r="E451" s="340"/>
      <c r="F451" s="340"/>
      <c r="G451" s="155"/>
      <c r="K451" s="155"/>
      <c r="L451" s="155"/>
      <c r="R451" s="342"/>
      <c r="S451" s="342"/>
      <c r="T451" s="342"/>
      <c r="U451" s="342"/>
      <c r="V451" s="342"/>
      <c r="W451" s="342"/>
      <c r="X451" s="343"/>
      <c r="AC451" s="155"/>
      <c r="AD451" s="155"/>
    </row>
    <row r="452" spans="5:30" ht="11.25" customHeight="1" x14ac:dyDescent="0.2">
      <c r="E452" s="340"/>
      <c r="F452" s="340"/>
      <c r="G452" s="155"/>
      <c r="K452" s="155"/>
      <c r="L452" s="155"/>
      <c r="R452" s="342"/>
      <c r="S452" s="342"/>
      <c r="T452" s="342"/>
      <c r="U452" s="342"/>
      <c r="V452" s="342"/>
      <c r="W452" s="342"/>
      <c r="X452" s="343"/>
      <c r="AC452" s="155"/>
      <c r="AD452" s="155"/>
    </row>
    <row r="453" spans="5:30" ht="11.25" customHeight="1" x14ac:dyDescent="0.2">
      <c r="E453" s="340"/>
      <c r="F453" s="340"/>
      <c r="G453" s="155"/>
      <c r="K453" s="155"/>
      <c r="L453" s="155"/>
      <c r="R453" s="342"/>
      <c r="S453" s="342"/>
      <c r="T453" s="342"/>
      <c r="U453" s="342"/>
      <c r="V453" s="342"/>
      <c r="W453" s="342"/>
      <c r="X453" s="343"/>
      <c r="AC453" s="155"/>
      <c r="AD453" s="155"/>
    </row>
    <row r="454" spans="5:30" ht="11.25" customHeight="1" x14ac:dyDescent="0.2">
      <c r="E454" s="340"/>
      <c r="F454" s="340"/>
      <c r="G454" s="155"/>
      <c r="K454" s="155"/>
      <c r="L454" s="155"/>
      <c r="R454" s="342"/>
      <c r="S454" s="342"/>
      <c r="T454" s="342"/>
      <c r="U454" s="342"/>
      <c r="V454" s="342"/>
      <c r="W454" s="342"/>
      <c r="X454" s="343"/>
      <c r="AC454" s="155"/>
      <c r="AD454" s="155"/>
    </row>
    <row r="455" spans="5:30" ht="11.25" customHeight="1" x14ac:dyDescent="0.2">
      <c r="E455" s="340"/>
      <c r="F455" s="340"/>
      <c r="G455" s="155"/>
      <c r="K455" s="155"/>
      <c r="L455" s="155"/>
      <c r="R455" s="342"/>
      <c r="S455" s="342"/>
      <c r="T455" s="342"/>
      <c r="U455" s="342"/>
      <c r="V455" s="342"/>
      <c r="W455" s="342"/>
      <c r="X455" s="343"/>
      <c r="AC455" s="155"/>
      <c r="AD455" s="155"/>
    </row>
    <row r="456" spans="5:30" ht="11.25" customHeight="1" x14ac:dyDescent="0.2">
      <c r="E456" s="340"/>
      <c r="F456" s="340"/>
      <c r="G456" s="155"/>
      <c r="K456" s="155"/>
      <c r="L456" s="155"/>
      <c r="R456" s="342"/>
      <c r="S456" s="342"/>
      <c r="T456" s="342"/>
      <c r="U456" s="342"/>
      <c r="V456" s="342"/>
      <c r="W456" s="342"/>
      <c r="X456" s="343"/>
      <c r="AC456" s="155"/>
      <c r="AD456" s="155"/>
    </row>
    <row r="457" spans="5:30" ht="11.25" customHeight="1" x14ac:dyDescent="0.2">
      <c r="E457" s="340"/>
      <c r="F457" s="340"/>
      <c r="G457" s="155"/>
      <c r="K457" s="155"/>
      <c r="L457" s="155"/>
      <c r="R457" s="342"/>
      <c r="S457" s="342"/>
      <c r="T457" s="342"/>
      <c r="U457" s="342"/>
      <c r="V457" s="342"/>
      <c r="W457" s="342"/>
      <c r="X457" s="343"/>
      <c r="AC457" s="155"/>
      <c r="AD457" s="155"/>
    </row>
    <row r="458" spans="5:30" ht="11.25" customHeight="1" x14ac:dyDescent="0.2">
      <c r="E458" s="340"/>
      <c r="F458" s="340"/>
      <c r="G458" s="155"/>
      <c r="K458" s="155"/>
      <c r="L458" s="155"/>
      <c r="R458" s="342"/>
      <c r="S458" s="342"/>
      <c r="T458" s="342"/>
      <c r="U458" s="342"/>
      <c r="V458" s="342"/>
      <c r="W458" s="342"/>
      <c r="X458" s="343"/>
      <c r="AC458" s="155"/>
      <c r="AD458" s="155"/>
    </row>
    <row r="459" spans="5:30" ht="11.25" customHeight="1" x14ac:dyDescent="0.2">
      <c r="E459" s="340"/>
      <c r="F459" s="340"/>
      <c r="G459" s="155"/>
      <c r="K459" s="155"/>
      <c r="L459" s="155"/>
      <c r="R459" s="342"/>
      <c r="S459" s="342"/>
      <c r="T459" s="342"/>
      <c r="U459" s="342"/>
      <c r="V459" s="342"/>
      <c r="W459" s="342"/>
      <c r="X459" s="343"/>
      <c r="AC459" s="155"/>
      <c r="AD459" s="155"/>
    </row>
    <row r="460" spans="5:30" ht="11.25" customHeight="1" x14ac:dyDescent="0.2">
      <c r="E460" s="340"/>
      <c r="F460" s="340"/>
      <c r="G460" s="155"/>
      <c r="K460" s="155"/>
      <c r="L460" s="155"/>
      <c r="R460" s="342"/>
      <c r="S460" s="342"/>
      <c r="T460" s="342"/>
      <c r="U460" s="342"/>
      <c r="V460" s="342"/>
      <c r="W460" s="342"/>
      <c r="X460" s="343"/>
      <c r="AC460" s="155"/>
      <c r="AD460" s="155"/>
    </row>
    <row r="461" spans="5:30" ht="11.25" customHeight="1" x14ac:dyDescent="0.2">
      <c r="E461" s="340"/>
      <c r="F461" s="340"/>
      <c r="G461" s="155"/>
      <c r="K461" s="155"/>
      <c r="L461" s="155"/>
      <c r="R461" s="342"/>
      <c r="S461" s="342"/>
      <c r="T461" s="342"/>
      <c r="U461" s="342"/>
      <c r="V461" s="342"/>
      <c r="W461" s="342"/>
      <c r="X461" s="343"/>
      <c r="AC461" s="155"/>
      <c r="AD461" s="155"/>
    </row>
    <row r="462" spans="5:30" ht="11.25" customHeight="1" x14ac:dyDescent="0.2">
      <c r="E462" s="340"/>
      <c r="F462" s="340"/>
      <c r="G462" s="155"/>
      <c r="K462" s="155"/>
      <c r="L462" s="155"/>
      <c r="R462" s="342"/>
      <c r="S462" s="342"/>
      <c r="T462" s="342"/>
      <c r="U462" s="342"/>
      <c r="V462" s="342"/>
      <c r="W462" s="342"/>
      <c r="X462" s="343"/>
      <c r="AC462" s="155"/>
      <c r="AD462" s="155"/>
    </row>
    <row r="463" spans="5:30" ht="11.25" customHeight="1" x14ac:dyDescent="0.2">
      <c r="E463" s="340"/>
      <c r="F463" s="340"/>
      <c r="G463" s="155"/>
      <c r="K463" s="155"/>
      <c r="L463" s="155"/>
      <c r="R463" s="342"/>
      <c r="S463" s="342"/>
      <c r="T463" s="342"/>
      <c r="U463" s="342"/>
      <c r="V463" s="342"/>
      <c r="W463" s="342"/>
      <c r="X463" s="343"/>
      <c r="AC463" s="155"/>
      <c r="AD463" s="155"/>
    </row>
    <row r="464" spans="5:30" ht="11.25" customHeight="1" x14ac:dyDescent="0.2">
      <c r="E464" s="340"/>
      <c r="F464" s="340"/>
      <c r="G464" s="155"/>
      <c r="K464" s="155"/>
      <c r="L464" s="155"/>
      <c r="R464" s="342"/>
      <c r="S464" s="342"/>
      <c r="T464" s="342"/>
      <c r="U464" s="342"/>
      <c r="V464" s="342"/>
      <c r="W464" s="342"/>
      <c r="X464" s="343"/>
      <c r="AC464" s="155"/>
      <c r="AD464" s="155"/>
    </row>
    <row r="465" spans="5:30" ht="11.25" customHeight="1" x14ac:dyDescent="0.2">
      <c r="E465" s="340"/>
      <c r="F465" s="340"/>
      <c r="G465" s="155"/>
      <c r="K465" s="155"/>
      <c r="L465" s="155"/>
      <c r="R465" s="342"/>
      <c r="S465" s="342"/>
      <c r="T465" s="342"/>
      <c r="U465" s="342"/>
      <c r="V465" s="342"/>
      <c r="W465" s="342"/>
      <c r="X465" s="343"/>
      <c r="AC465" s="155"/>
      <c r="AD465" s="155"/>
    </row>
    <row r="466" spans="5:30" ht="11.25" customHeight="1" x14ac:dyDescent="0.2">
      <c r="E466" s="340"/>
      <c r="F466" s="340"/>
      <c r="G466" s="155"/>
      <c r="K466" s="155"/>
      <c r="L466" s="155"/>
      <c r="R466" s="342"/>
      <c r="S466" s="342"/>
      <c r="T466" s="342"/>
      <c r="U466" s="342"/>
      <c r="V466" s="342"/>
      <c r="W466" s="342"/>
      <c r="X466" s="343"/>
      <c r="AC466" s="155"/>
      <c r="AD466" s="155"/>
    </row>
    <row r="467" spans="5:30" ht="11.25" customHeight="1" x14ac:dyDescent="0.2">
      <c r="E467" s="340"/>
      <c r="F467" s="340"/>
      <c r="G467" s="155"/>
      <c r="K467" s="155"/>
      <c r="L467" s="155"/>
      <c r="R467" s="342"/>
      <c r="S467" s="342"/>
      <c r="T467" s="342"/>
      <c r="U467" s="342"/>
      <c r="V467" s="342"/>
      <c r="W467" s="342"/>
      <c r="X467" s="343"/>
      <c r="AC467" s="155"/>
      <c r="AD467" s="155"/>
    </row>
    <row r="468" spans="5:30" ht="11.25" customHeight="1" x14ac:dyDescent="0.2">
      <c r="E468" s="340"/>
      <c r="F468" s="340"/>
      <c r="G468" s="155"/>
      <c r="K468" s="155"/>
      <c r="L468" s="155"/>
      <c r="R468" s="342"/>
      <c r="S468" s="342"/>
      <c r="T468" s="342"/>
      <c r="U468" s="342"/>
      <c r="V468" s="342"/>
      <c r="W468" s="342"/>
      <c r="X468" s="343"/>
      <c r="AC468" s="155"/>
      <c r="AD468" s="155"/>
    </row>
    <row r="469" spans="5:30" ht="11.25" customHeight="1" x14ac:dyDescent="0.2">
      <c r="E469" s="340"/>
      <c r="F469" s="340"/>
      <c r="G469" s="155"/>
      <c r="K469" s="155"/>
      <c r="L469" s="155"/>
      <c r="R469" s="342"/>
      <c r="S469" s="342"/>
      <c r="T469" s="342"/>
      <c r="U469" s="342"/>
      <c r="V469" s="342"/>
      <c r="W469" s="342"/>
      <c r="X469" s="343"/>
      <c r="AC469" s="155"/>
      <c r="AD469" s="155"/>
    </row>
    <row r="470" spans="5:30" ht="11.25" customHeight="1" x14ac:dyDescent="0.2">
      <c r="E470" s="340"/>
      <c r="F470" s="340"/>
      <c r="G470" s="155"/>
      <c r="K470" s="155"/>
      <c r="L470" s="155"/>
      <c r="R470" s="342"/>
      <c r="S470" s="342"/>
      <c r="T470" s="342"/>
      <c r="U470" s="342"/>
      <c r="V470" s="342"/>
      <c r="W470" s="342"/>
      <c r="X470" s="343"/>
      <c r="AC470" s="155"/>
      <c r="AD470" s="155"/>
    </row>
    <row r="471" spans="5:30" ht="11.25" customHeight="1" x14ac:dyDescent="0.2">
      <c r="E471" s="340"/>
      <c r="F471" s="340"/>
      <c r="G471" s="155"/>
      <c r="K471" s="155"/>
      <c r="L471" s="155"/>
      <c r="R471" s="342"/>
      <c r="S471" s="342"/>
      <c r="T471" s="342"/>
      <c r="U471" s="342"/>
      <c r="V471" s="342"/>
      <c r="W471" s="342"/>
      <c r="X471" s="343"/>
      <c r="AC471" s="155"/>
      <c r="AD471" s="155"/>
    </row>
    <row r="472" spans="5:30" ht="11.25" customHeight="1" x14ac:dyDescent="0.2">
      <c r="E472" s="340"/>
      <c r="F472" s="340"/>
      <c r="G472" s="155"/>
      <c r="K472" s="155"/>
      <c r="L472" s="155"/>
      <c r="R472" s="342"/>
      <c r="S472" s="342"/>
      <c r="T472" s="342"/>
      <c r="U472" s="342"/>
      <c r="V472" s="342"/>
      <c r="W472" s="342"/>
      <c r="X472" s="343"/>
      <c r="AC472" s="155"/>
      <c r="AD472" s="155"/>
    </row>
    <row r="473" spans="5:30" ht="11.25" customHeight="1" x14ac:dyDescent="0.2">
      <c r="E473" s="340"/>
      <c r="F473" s="340"/>
      <c r="G473" s="155"/>
      <c r="K473" s="155"/>
      <c r="L473" s="155"/>
      <c r="R473" s="342"/>
      <c r="S473" s="342"/>
      <c r="T473" s="342"/>
      <c r="U473" s="342"/>
      <c r="V473" s="342"/>
      <c r="W473" s="342"/>
      <c r="X473" s="343"/>
      <c r="AC473" s="155"/>
      <c r="AD473" s="155"/>
    </row>
    <row r="474" spans="5:30" ht="11.25" customHeight="1" x14ac:dyDescent="0.2">
      <c r="E474" s="340"/>
      <c r="F474" s="340"/>
      <c r="G474" s="155"/>
      <c r="K474" s="155"/>
      <c r="L474" s="155"/>
      <c r="R474" s="342"/>
      <c r="S474" s="342"/>
      <c r="T474" s="342"/>
      <c r="U474" s="342"/>
      <c r="V474" s="342"/>
      <c r="W474" s="342"/>
      <c r="X474" s="343"/>
      <c r="AC474" s="155"/>
      <c r="AD474" s="155"/>
    </row>
    <row r="475" spans="5:30" ht="11.25" customHeight="1" x14ac:dyDescent="0.2">
      <c r="E475" s="340"/>
      <c r="F475" s="340"/>
      <c r="G475" s="155"/>
      <c r="K475" s="155"/>
      <c r="L475" s="155"/>
      <c r="R475" s="342"/>
      <c r="S475" s="342"/>
      <c r="T475" s="342"/>
      <c r="U475" s="342"/>
      <c r="V475" s="342"/>
      <c r="W475" s="342"/>
      <c r="X475" s="343"/>
      <c r="AC475" s="155"/>
      <c r="AD475" s="155"/>
    </row>
    <row r="476" spans="5:30" ht="11.25" customHeight="1" x14ac:dyDescent="0.2">
      <c r="E476" s="340"/>
      <c r="F476" s="340"/>
      <c r="G476" s="155"/>
      <c r="K476" s="155"/>
      <c r="L476" s="155"/>
      <c r="R476" s="342"/>
      <c r="S476" s="342"/>
      <c r="T476" s="342"/>
      <c r="U476" s="342"/>
      <c r="V476" s="342"/>
      <c r="W476" s="342"/>
      <c r="X476" s="343"/>
      <c r="AC476" s="155"/>
      <c r="AD476" s="155"/>
    </row>
    <row r="477" spans="5:30" ht="11.25" customHeight="1" x14ac:dyDescent="0.2">
      <c r="E477" s="340"/>
      <c r="F477" s="340"/>
      <c r="G477" s="155"/>
      <c r="K477" s="155"/>
      <c r="L477" s="155"/>
      <c r="R477" s="342"/>
      <c r="S477" s="342"/>
      <c r="T477" s="342"/>
      <c r="U477" s="342"/>
      <c r="V477" s="342"/>
      <c r="W477" s="342"/>
      <c r="X477" s="343"/>
      <c r="AC477" s="155"/>
      <c r="AD477" s="155"/>
    </row>
    <row r="478" spans="5:30" ht="11.25" customHeight="1" x14ac:dyDescent="0.2">
      <c r="E478" s="340"/>
      <c r="F478" s="340"/>
      <c r="G478" s="155"/>
      <c r="K478" s="155"/>
      <c r="L478" s="155"/>
      <c r="R478" s="342"/>
      <c r="S478" s="342"/>
      <c r="T478" s="342"/>
      <c r="U478" s="342"/>
      <c r="V478" s="342"/>
      <c r="W478" s="342"/>
      <c r="X478" s="343"/>
      <c r="AC478" s="155"/>
      <c r="AD478" s="155"/>
    </row>
    <row r="479" spans="5:30" ht="11.25" customHeight="1" x14ac:dyDescent="0.2">
      <c r="E479" s="340"/>
      <c r="F479" s="340"/>
      <c r="G479" s="155"/>
      <c r="K479" s="155"/>
      <c r="L479" s="155"/>
      <c r="R479" s="342"/>
      <c r="S479" s="342"/>
      <c r="T479" s="342"/>
      <c r="U479" s="342"/>
      <c r="V479" s="342"/>
      <c r="W479" s="342"/>
      <c r="X479" s="343"/>
      <c r="AC479" s="155"/>
      <c r="AD479" s="155"/>
    </row>
    <row r="480" spans="5:30" ht="11.25" customHeight="1" x14ac:dyDescent="0.2">
      <c r="E480" s="340"/>
      <c r="F480" s="340"/>
      <c r="G480" s="155"/>
      <c r="K480" s="155"/>
      <c r="L480" s="155"/>
      <c r="R480" s="342"/>
      <c r="S480" s="342"/>
      <c r="T480" s="342"/>
      <c r="U480" s="342"/>
      <c r="V480" s="342"/>
      <c r="W480" s="342"/>
      <c r="X480" s="343"/>
      <c r="AA480" s="155"/>
      <c r="AC480" s="155"/>
      <c r="AD480" s="155"/>
    </row>
    <row r="481" spans="5:30" ht="11.25" customHeight="1" x14ac:dyDescent="0.2">
      <c r="E481" s="340"/>
      <c r="F481" s="340"/>
      <c r="G481" s="155"/>
      <c r="K481" s="155"/>
      <c r="L481" s="155"/>
      <c r="R481" s="342"/>
      <c r="S481" s="342"/>
      <c r="T481" s="342"/>
      <c r="U481" s="342"/>
      <c r="V481" s="342"/>
      <c r="W481" s="342"/>
      <c r="X481" s="343"/>
      <c r="AA481" s="155"/>
      <c r="AC481" s="155"/>
      <c r="AD481" s="155"/>
    </row>
    <row r="482" spans="5:30" ht="11.25" customHeight="1" x14ac:dyDescent="0.2">
      <c r="E482" s="340"/>
      <c r="F482" s="340"/>
      <c r="G482" s="155"/>
      <c r="K482" s="155"/>
      <c r="L482" s="155"/>
      <c r="R482" s="342"/>
      <c r="S482" s="342"/>
      <c r="T482" s="342"/>
      <c r="U482" s="342"/>
      <c r="V482" s="342"/>
      <c r="W482" s="342"/>
      <c r="X482" s="343"/>
      <c r="AA482" s="155"/>
      <c r="AC482" s="155"/>
      <c r="AD482" s="155"/>
    </row>
    <row r="483" spans="5:30" ht="11.25" customHeight="1" x14ac:dyDescent="0.2">
      <c r="E483" s="340"/>
      <c r="F483" s="340"/>
      <c r="G483" s="155"/>
      <c r="K483" s="155"/>
      <c r="L483" s="155"/>
      <c r="R483" s="342"/>
      <c r="S483" s="342"/>
      <c r="T483" s="342"/>
      <c r="U483" s="342"/>
      <c r="V483" s="342"/>
      <c r="W483" s="342"/>
      <c r="X483" s="343"/>
      <c r="AA483" s="155"/>
      <c r="AC483" s="155"/>
      <c r="AD483" s="155"/>
    </row>
    <row r="484" spans="5:30" ht="11.25" customHeight="1" x14ac:dyDescent="0.2">
      <c r="E484" s="340"/>
      <c r="F484" s="340"/>
      <c r="G484" s="155"/>
      <c r="K484" s="155"/>
      <c r="L484" s="155"/>
      <c r="R484" s="342"/>
      <c r="S484" s="342"/>
      <c r="T484" s="342"/>
      <c r="U484" s="342"/>
      <c r="V484" s="342"/>
      <c r="W484" s="342"/>
      <c r="X484" s="343"/>
      <c r="AA484" s="155"/>
      <c r="AC484" s="155"/>
      <c r="AD484" s="155"/>
    </row>
    <row r="485" spans="5:30" ht="11.25" customHeight="1" x14ac:dyDescent="0.2">
      <c r="E485" s="340"/>
      <c r="F485" s="340"/>
      <c r="G485" s="155"/>
      <c r="K485" s="155"/>
      <c r="L485" s="155"/>
      <c r="R485" s="342"/>
      <c r="S485" s="342"/>
      <c r="T485" s="342"/>
      <c r="U485" s="342"/>
      <c r="V485" s="342"/>
      <c r="W485" s="342"/>
      <c r="X485" s="343"/>
      <c r="AA485" s="155"/>
      <c r="AC485" s="155"/>
      <c r="AD485" s="155"/>
    </row>
    <row r="486" spans="5:30" ht="11.25" customHeight="1" x14ac:dyDescent="0.2">
      <c r="E486" s="340"/>
      <c r="F486" s="340"/>
      <c r="G486" s="155"/>
      <c r="K486" s="155"/>
      <c r="L486" s="155"/>
      <c r="R486" s="342"/>
      <c r="S486" s="342"/>
      <c r="T486" s="342"/>
      <c r="U486" s="342"/>
      <c r="V486" s="342"/>
      <c r="W486" s="342"/>
      <c r="X486" s="343"/>
      <c r="AA486" s="155"/>
      <c r="AC486" s="155"/>
      <c r="AD486" s="155"/>
    </row>
    <row r="487" spans="5:30" ht="11.25" customHeight="1" x14ac:dyDescent="0.2">
      <c r="E487" s="340"/>
      <c r="F487" s="340"/>
      <c r="G487" s="155"/>
      <c r="K487" s="155"/>
      <c r="L487" s="155"/>
      <c r="R487" s="342"/>
      <c r="S487" s="342"/>
      <c r="T487" s="342"/>
      <c r="U487" s="342"/>
      <c r="V487" s="342"/>
      <c r="W487" s="342"/>
      <c r="X487" s="343"/>
      <c r="AA487" s="155"/>
      <c r="AC487" s="155"/>
      <c r="AD487" s="155"/>
    </row>
    <row r="488" spans="5:30" ht="11.25" customHeight="1" x14ac:dyDescent="0.2">
      <c r="E488" s="340"/>
      <c r="F488" s="340"/>
      <c r="G488" s="155"/>
      <c r="K488" s="155"/>
      <c r="L488" s="155"/>
      <c r="R488" s="342"/>
      <c r="S488" s="342"/>
      <c r="T488" s="342"/>
      <c r="U488" s="342"/>
      <c r="V488" s="342"/>
      <c r="W488" s="342"/>
      <c r="X488" s="343"/>
      <c r="AA488" s="155"/>
      <c r="AC488" s="155"/>
      <c r="AD488" s="155"/>
    </row>
    <row r="489" spans="5:30" ht="11.25" customHeight="1" x14ac:dyDescent="0.2">
      <c r="E489" s="340"/>
      <c r="F489" s="340"/>
      <c r="G489" s="155"/>
      <c r="K489" s="155"/>
      <c r="L489" s="155"/>
      <c r="R489" s="342"/>
      <c r="S489" s="342"/>
      <c r="T489" s="342"/>
      <c r="U489" s="342"/>
      <c r="V489" s="342"/>
      <c r="W489" s="342"/>
      <c r="X489" s="343"/>
      <c r="AA489" s="155"/>
      <c r="AC489" s="155"/>
      <c r="AD489" s="155"/>
    </row>
    <row r="490" spans="5:30" ht="11.25" customHeight="1" x14ac:dyDescent="0.2">
      <c r="E490" s="340"/>
      <c r="F490" s="340"/>
      <c r="G490" s="155"/>
      <c r="K490" s="155"/>
      <c r="L490" s="155"/>
      <c r="R490" s="342"/>
      <c r="S490" s="342"/>
      <c r="T490" s="342"/>
      <c r="U490" s="342"/>
      <c r="V490" s="342"/>
      <c r="W490" s="342"/>
      <c r="X490" s="343"/>
      <c r="AA490" s="155"/>
      <c r="AC490" s="155"/>
      <c r="AD490" s="155"/>
    </row>
    <row r="491" spans="5:30" ht="11.25" customHeight="1" x14ac:dyDescent="0.2">
      <c r="E491" s="340"/>
      <c r="F491" s="340"/>
      <c r="G491" s="155"/>
      <c r="K491" s="155"/>
      <c r="L491" s="155"/>
      <c r="R491" s="342"/>
      <c r="S491" s="342"/>
      <c r="T491" s="342"/>
      <c r="U491" s="342"/>
      <c r="V491" s="342"/>
      <c r="W491" s="342"/>
      <c r="X491" s="343"/>
      <c r="AA491" s="155"/>
      <c r="AC491" s="155"/>
      <c r="AD491" s="155"/>
    </row>
    <row r="492" spans="5:30" ht="11.25" customHeight="1" x14ac:dyDescent="0.2">
      <c r="E492" s="340"/>
      <c r="F492" s="340"/>
      <c r="G492" s="155"/>
      <c r="K492" s="155"/>
      <c r="L492" s="155"/>
      <c r="R492" s="342"/>
      <c r="S492" s="342"/>
      <c r="T492" s="342"/>
      <c r="U492" s="342"/>
      <c r="V492" s="342"/>
      <c r="W492" s="342"/>
      <c r="X492" s="343"/>
      <c r="AA492" s="155"/>
      <c r="AC492" s="155"/>
      <c r="AD492" s="155"/>
    </row>
    <row r="493" spans="5:30" ht="11.25" customHeight="1" x14ac:dyDescent="0.2">
      <c r="E493" s="340"/>
      <c r="F493" s="340"/>
      <c r="G493" s="155"/>
      <c r="K493" s="155"/>
      <c r="L493" s="155"/>
      <c r="R493" s="342"/>
      <c r="S493" s="342"/>
      <c r="T493" s="342"/>
      <c r="U493" s="342"/>
      <c r="V493" s="342"/>
      <c r="W493" s="342"/>
      <c r="X493" s="343"/>
      <c r="AA493" s="155"/>
      <c r="AC493" s="155"/>
      <c r="AD493" s="155"/>
    </row>
    <row r="494" spans="5:30" ht="11.25" customHeight="1" x14ac:dyDescent="0.2">
      <c r="E494" s="340"/>
      <c r="F494" s="340"/>
      <c r="G494" s="155"/>
      <c r="K494" s="155"/>
      <c r="L494" s="155"/>
      <c r="R494" s="342"/>
      <c r="S494" s="342"/>
      <c r="T494" s="342"/>
      <c r="U494" s="342"/>
      <c r="V494" s="342"/>
      <c r="W494" s="342"/>
      <c r="X494" s="343"/>
      <c r="AA494" s="155"/>
      <c r="AC494" s="155"/>
      <c r="AD494" s="155"/>
    </row>
    <row r="495" spans="5:30" ht="11.25" customHeight="1" x14ac:dyDescent="0.2">
      <c r="E495" s="340"/>
      <c r="F495" s="340"/>
      <c r="G495" s="155"/>
      <c r="K495" s="155"/>
      <c r="L495" s="155"/>
      <c r="R495" s="342"/>
      <c r="S495" s="342"/>
      <c r="T495" s="342"/>
      <c r="U495" s="342"/>
      <c r="V495" s="342"/>
      <c r="W495" s="342"/>
      <c r="X495" s="343"/>
      <c r="AA495" s="155"/>
      <c r="AC495" s="155"/>
      <c r="AD495" s="155"/>
    </row>
    <row r="496" spans="5:30" ht="11.25" customHeight="1" x14ac:dyDescent="0.2">
      <c r="E496" s="340"/>
      <c r="F496" s="340"/>
      <c r="G496" s="155"/>
      <c r="K496" s="155"/>
      <c r="L496" s="155"/>
      <c r="R496" s="342"/>
      <c r="S496" s="342"/>
      <c r="T496" s="342"/>
      <c r="U496" s="342"/>
      <c r="V496" s="342"/>
      <c r="W496" s="342"/>
      <c r="X496" s="343"/>
      <c r="AA496" s="155"/>
      <c r="AC496" s="155"/>
      <c r="AD496" s="155"/>
    </row>
    <row r="497" spans="5:30" ht="11.25" customHeight="1" x14ac:dyDescent="0.2">
      <c r="E497" s="340"/>
      <c r="F497" s="340"/>
      <c r="G497" s="155"/>
      <c r="K497" s="155"/>
      <c r="L497" s="155"/>
      <c r="R497" s="342"/>
      <c r="S497" s="342"/>
      <c r="T497" s="342"/>
      <c r="U497" s="342"/>
      <c r="V497" s="342"/>
      <c r="W497" s="342"/>
      <c r="X497" s="343"/>
      <c r="AA497" s="155"/>
      <c r="AC497" s="155"/>
      <c r="AD497" s="155"/>
    </row>
    <row r="498" spans="5:30" ht="11.25" customHeight="1" x14ac:dyDescent="0.2">
      <c r="E498" s="340"/>
      <c r="F498" s="340"/>
      <c r="G498" s="155"/>
      <c r="K498" s="155"/>
      <c r="L498" s="155"/>
      <c r="R498" s="342"/>
      <c r="S498" s="342"/>
      <c r="T498" s="342"/>
      <c r="U498" s="342"/>
      <c r="V498" s="342"/>
      <c r="W498" s="342"/>
      <c r="X498" s="343"/>
      <c r="AA498" s="155"/>
      <c r="AC498" s="155"/>
      <c r="AD498" s="155"/>
    </row>
    <row r="499" spans="5:30" ht="11.25" customHeight="1" x14ac:dyDescent="0.2">
      <c r="E499" s="340"/>
      <c r="F499" s="340"/>
      <c r="G499" s="155"/>
      <c r="K499" s="155"/>
      <c r="L499" s="155"/>
      <c r="R499" s="342"/>
      <c r="S499" s="342"/>
      <c r="T499" s="342"/>
      <c r="U499" s="342"/>
      <c r="V499" s="342"/>
      <c r="W499" s="342"/>
      <c r="X499" s="343"/>
      <c r="AA499" s="155"/>
      <c r="AC499" s="155"/>
      <c r="AD499" s="155"/>
    </row>
    <row r="500" spans="5:30" ht="11.25" customHeight="1" x14ac:dyDescent="0.2">
      <c r="E500" s="340"/>
      <c r="F500" s="340"/>
      <c r="G500" s="155"/>
      <c r="K500" s="155"/>
      <c r="L500" s="155"/>
      <c r="R500" s="342"/>
      <c r="S500" s="342"/>
      <c r="T500" s="342"/>
      <c r="U500" s="342"/>
      <c r="V500" s="342"/>
      <c r="W500" s="342"/>
      <c r="X500" s="343"/>
      <c r="AA500" s="155"/>
      <c r="AC500" s="155"/>
      <c r="AD500" s="155"/>
    </row>
    <row r="501" spans="5:30" ht="11.25" customHeight="1" x14ac:dyDescent="0.2">
      <c r="E501" s="340"/>
      <c r="F501" s="340"/>
      <c r="G501" s="155"/>
      <c r="K501" s="155"/>
      <c r="L501" s="155"/>
      <c r="R501" s="342"/>
      <c r="S501" s="342"/>
      <c r="T501" s="342"/>
      <c r="U501" s="342"/>
      <c r="V501" s="342"/>
      <c r="W501" s="342"/>
      <c r="X501" s="343"/>
      <c r="AA501" s="155"/>
      <c r="AC501" s="155"/>
      <c r="AD501" s="155"/>
    </row>
    <row r="502" spans="5:30" ht="11.25" customHeight="1" x14ac:dyDescent="0.2">
      <c r="E502" s="340"/>
      <c r="F502" s="340"/>
      <c r="G502" s="155"/>
      <c r="K502" s="155"/>
      <c r="L502" s="155"/>
      <c r="R502" s="342"/>
      <c r="S502" s="342"/>
      <c r="T502" s="342"/>
      <c r="U502" s="342"/>
      <c r="V502" s="342"/>
      <c r="W502" s="342"/>
      <c r="X502" s="343"/>
      <c r="AA502" s="155"/>
      <c r="AC502" s="155"/>
      <c r="AD502" s="155"/>
    </row>
    <row r="503" spans="5:30" ht="11.25" customHeight="1" x14ac:dyDescent="0.2">
      <c r="E503" s="340"/>
      <c r="F503" s="340"/>
      <c r="G503" s="155"/>
      <c r="K503" s="155"/>
      <c r="L503" s="155"/>
      <c r="R503" s="342"/>
      <c r="S503" s="342"/>
      <c r="T503" s="342"/>
      <c r="U503" s="342"/>
      <c r="V503" s="342"/>
      <c r="W503" s="342"/>
      <c r="X503" s="343"/>
      <c r="AA503" s="155"/>
      <c r="AC503" s="155"/>
      <c r="AD503" s="155"/>
    </row>
    <row r="504" spans="5:30" ht="11.25" customHeight="1" x14ac:dyDescent="0.2">
      <c r="E504" s="340"/>
      <c r="F504" s="340"/>
      <c r="G504" s="155"/>
      <c r="K504" s="155"/>
      <c r="L504" s="155"/>
      <c r="R504" s="342"/>
      <c r="S504" s="342"/>
      <c r="T504" s="342"/>
      <c r="U504" s="342"/>
      <c r="V504" s="342"/>
      <c r="W504" s="342"/>
      <c r="X504" s="343"/>
      <c r="AA504" s="155"/>
      <c r="AC504" s="155"/>
      <c r="AD504" s="155"/>
    </row>
    <row r="505" spans="5:30" ht="11.25" customHeight="1" x14ac:dyDescent="0.2">
      <c r="E505" s="340"/>
      <c r="F505" s="340"/>
      <c r="G505" s="155"/>
      <c r="K505" s="155"/>
      <c r="L505" s="155"/>
      <c r="R505" s="342"/>
      <c r="S505" s="342"/>
      <c r="T505" s="342"/>
      <c r="U505" s="342"/>
      <c r="V505" s="342"/>
      <c r="W505" s="342"/>
      <c r="X505" s="343"/>
      <c r="AA505" s="155"/>
      <c r="AC505" s="155"/>
      <c r="AD505" s="155"/>
    </row>
    <row r="506" spans="5:30" ht="11.25" customHeight="1" x14ac:dyDescent="0.2">
      <c r="E506" s="340"/>
      <c r="F506" s="340"/>
      <c r="G506" s="155"/>
      <c r="K506" s="155"/>
      <c r="L506" s="155"/>
      <c r="R506" s="342"/>
      <c r="S506" s="342"/>
      <c r="T506" s="342"/>
      <c r="U506" s="342"/>
      <c r="V506" s="342"/>
      <c r="W506" s="342"/>
      <c r="X506" s="343"/>
      <c r="AA506" s="155"/>
      <c r="AC506" s="155"/>
      <c r="AD506" s="155"/>
    </row>
    <row r="507" spans="5:30" ht="11.25" customHeight="1" x14ac:dyDescent="0.2">
      <c r="E507" s="340"/>
      <c r="F507" s="340"/>
      <c r="G507" s="155"/>
      <c r="K507" s="155"/>
      <c r="L507" s="155"/>
      <c r="R507" s="342"/>
      <c r="S507" s="342"/>
      <c r="T507" s="342"/>
      <c r="U507" s="342"/>
      <c r="V507" s="342"/>
      <c r="W507" s="342"/>
      <c r="X507" s="343"/>
      <c r="AA507" s="155"/>
      <c r="AC507" s="155"/>
      <c r="AD507" s="155"/>
    </row>
    <row r="508" spans="5:30" ht="11.25" customHeight="1" x14ac:dyDescent="0.2">
      <c r="E508" s="340"/>
      <c r="F508" s="340"/>
      <c r="G508" s="155"/>
      <c r="K508" s="155"/>
      <c r="L508" s="155"/>
      <c r="R508" s="342"/>
      <c r="S508" s="342"/>
      <c r="T508" s="342"/>
      <c r="U508" s="342"/>
      <c r="V508" s="342"/>
      <c r="W508" s="342"/>
      <c r="X508" s="343"/>
      <c r="AA508" s="155"/>
      <c r="AC508" s="155"/>
      <c r="AD508" s="155"/>
    </row>
    <row r="509" spans="5:30" ht="11.25" customHeight="1" x14ac:dyDescent="0.2">
      <c r="E509" s="340"/>
      <c r="F509" s="340"/>
      <c r="G509" s="155"/>
      <c r="K509" s="155"/>
      <c r="L509" s="155"/>
      <c r="R509" s="342"/>
      <c r="S509" s="342"/>
      <c r="T509" s="342"/>
      <c r="U509" s="342"/>
      <c r="V509" s="342"/>
      <c r="W509" s="342"/>
      <c r="X509" s="343"/>
      <c r="AA509" s="155"/>
      <c r="AC509" s="155"/>
      <c r="AD509" s="155"/>
    </row>
    <row r="510" spans="5:30" ht="11.25" customHeight="1" x14ac:dyDescent="0.2">
      <c r="E510" s="340"/>
      <c r="F510" s="340"/>
      <c r="G510" s="155"/>
      <c r="K510" s="155"/>
      <c r="L510" s="155"/>
      <c r="R510" s="342"/>
      <c r="S510" s="342"/>
      <c r="T510" s="342"/>
      <c r="U510" s="342"/>
      <c r="V510" s="342"/>
      <c r="W510" s="342"/>
      <c r="X510" s="343"/>
      <c r="AA510" s="155"/>
      <c r="AC510" s="155"/>
      <c r="AD510" s="155"/>
    </row>
    <row r="511" spans="5:30" ht="11.25" customHeight="1" x14ac:dyDescent="0.2">
      <c r="E511" s="340"/>
      <c r="F511" s="340"/>
      <c r="G511" s="155"/>
      <c r="K511" s="155"/>
      <c r="L511" s="155"/>
      <c r="R511" s="342"/>
      <c r="S511" s="342"/>
      <c r="T511" s="342"/>
      <c r="U511" s="342"/>
      <c r="V511" s="342"/>
      <c r="W511" s="342"/>
      <c r="X511" s="343"/>
      <c r="AA511" s="155"/>
      <c r="AC511" s="155"/>
      <c r="AD511" s="155"/>
    </row>
    <row r="512" spans="5:30" ht="11.25" customHeight="1" x14ac:dyDescent="0.2">
      <c r="E512" s="340"/>
      <c r="F512" s="340"/>
      <c r="G512" s="155"/>
      <c r="K512" s="155"/>
      <c r="L512" s="155"/>
      <c r="R512" s="342"/>
      <c r="S512" s="342"/>
      <c r="T512" s="342"/>
      <c r="U512" s="342"/>
      <c r="V512" s="342"/>
      <c r="W512" s="342"/>
      <c r="X512" s="343"/>
      <c r="AA512" s="155"/>
      <c r="AC512" s="155"/>
      <c r="AD512" s="155"/>
    </row>
    <row r="513" spans="5:30" ht="11.25" customHeight="1" x14ac:dyDescent="0.2">
      <c r="E513" s="340"/>
      <c r="F513" s="340"/>
      <c r="G513" s="155"/>
      <c r="K513" s="155"/>
      <c r="L513" s="155"/>
      <c r="R513" s="342"/>
      <c r="S513" s="342"/>
      <c r="T513" s="342"/>
      <c r="U513" s="342"/>
      <c r="V513" s="342"/>
      <c r="W513" s="342"/>
      <c r="X513" s="343"/>
      <c r="AA513" s="155"/>
      <c r="AC513" s="155"/>
      <c r="AD513" s="155"/>
    </row>
    <row r="514" spans="5:30" ht="11.25" customHeight="1" x14ac:dyDescent="0.2">
      <c r="E514" s="340"/>
      <c r="F514" s="340"/>
      <c r="G514" s="155"/>
      <c r="K514" s="155"/>
      <c r="L514" s="155"/>
      <c r="R514" s="342"/>
      <c r="S514" s="342"/>
      <c r="T514" s="342"/>
      <c r="U514" s="342"/>
      <c r="V514" s="342"/>
      <c r="W514" s="342"/>
      <c r="X514" s="343"/>
      <c r="AA514" s="155"/>
      <c r="AC514" s="155"/>
      <c r="AD514" s="155"/>
    </row>
    <row r="515" spans="5:30" ht="11.25" customHeight="1" x14ac:dyDescent="0.2">
      <c r="E515" s="340"/>
      <c r="F515" s="340"/>
      <c r="G515" s="155"/>
      <c r="K515" s="155"/>
      <c r="L515" s="155"/>
      <c r="R515" s="342"/>
      <c r="S515" s="342"/>
      <c r="T515" s="342"/>
      <c r="U515" s="342"/>
      <c r="V515" s="342"/>
      <c r="W515" s="342"/>
      <c r="X515" s="343"/>
      <c r="AA515" s="155"/>
      <c r="AC515" s="155"/>
      <c r="AD515" s="155"/>
    </row>
    <row r="516" spans="5:30" ht="11.25" customHeight="1" x14ac:dyDescent="0.2">
      <c r="E516" s="340"/>
      <c r="F516" s="340"/>
      <c r="G516" s="155"/>
      <c r="K516" s="155"/>
      <c r="L516" s="155"/>
      <c r="R516" s="342"/>
      <c r="S516" s="342"/>
      <c r="T516" s="342"/>
      <c r="U516" s="342"/>
      <c r="V516" s="342"/>
      <c r="W516" s="342"/>
      <c r="X516" s="343"/>
      <c r="AA516" s="155"/>
      <c r="AC516" s="155"/>
      <c r="AD516" s="155"/>
    </row>
    <row r="517" spans="5:30" ht="11.25" customHeight="1" x14ac:dyDescent="0.2">
      <c r="E517" s="340"/>
      <c r="F517" s="340"/>
      <c r="G517" s="155"/>
      <c r="K517" s="155"/>
      <c r="L517" s="155"/>
      <c r="R517" s="342"/>
      <c r="S517" s="342"/>
      <c r="T517" s="342"/>
      <c r="U517" s="342"/>
      <c r="V517" s="342"/>
      <c r="W517" s="342"/>
      <c r="X517" s="343"/>
      <c r="AA517" s="155"/>
      <c r="AC517" s="155"/>
      <c r="AD517" s="155"/>
    </row>
    <row r="518" spans="5:30" ht="11.25" customHeight="1" x14ac:dyDescent="0.2">
      <c r="E518" s="340"/>
      <c r="F518" s="340"/>
      <c r="G518" s="155"/>
      <c r="K518" s="155"/>
      <c r="L518" s="155"/>
      <c r="R518" s="342"/>
      <c r="S518" s="342"/>
      <c r="T518" s="342"/>
      <c r="U518" s="342"/>
      <c r="V518" s="342"/>
      <c r="W518" s="342"/>
      <c r="X518" s="343"/>
      <c r="AA518" s="155"/>
      <c r="AC518" s="155"/>
      <c r="AD518" s="155"/>
    </row>
    <row r="519" spans="5:30" ht="11.25" customHeight="1" x14ac:dyDescent="0.2">
      <c r="E519" s="340"/>
      <c r="F519" s="340"/>
      <c r="G519" s="155"/>
      <c r="K519" s="155"/>
      <c r="L519" s="155"/>
      <c r="R519" s="342"/>
      <c r="S519" s="342"/>
      <c r="T519" s="342"/>
      <c r="U519" s="342"/>
      <c r="V519" s="342"/>
      <c r="W519" s="342"/>
      <c r="X519" s="343"/>
      <c r="AA519" s="155"/>
      <c r="AC519" s="155"/>
      <c r="AD519" s="155"/>
    </row>
    <row r="520" spans="5:30" ht="11.25" customHeight="1" x14ac:dyDescent="0.2">
      <c r="E520" s="340"/>
      <c r="F520" s="340"/>
      <c r="G520" s="155"/>
      <c r="K520" s="155"/>
      <c r="L520" s="155"/>
      <c r="R520" s="342"/>
      <c r="S520" s="342"/>
      <c r="T520" s="342"/>
      <c r="U520" s="342"/>
      <c r="V520" s="342"/>
      <c r="W520" s="342"/>
      <c r="X520" s="343"/>
      <c r="AA520" s="155"/>
      <c r="AC520" s="155"/>
      <c r="AD520" s="155"/>
    </row>
    <row r="521" spans="5:30" ht="11.25" customHeight="1" x14ac:dyDescent="0.2">
      <c r="E521" s="340"/>
      <c r="F521" s="340"/>
      <c r="G521" s="155"/>
      <c r="K521" s="155"/>
      <c r="L521" s="155"/>
      <c r="R521" s="342"/>
      <c r="S521" s="342"/>
      <c r="T521" s="342"/>
      <c r="U521" s="342"/>
      <c r="V521" s="342"/>
      <c r="W521" s="342"/>
      <c r="X521" s="343"/>
      <c r="AA521" s="155"/>
      <c r="AC521" s="155"/>
      <c r="AD521" s="155"/>
    </row>
    <row r="522" spans="5:30" ht="11.25" customHeight="1" x14ac:dyDescent="0.2">
      <c r="E522" s="340"/>
      <c r="F522" s="340"/>
      <c r="G522" s="155"/>
      <c r="K522" s="155"/>
      <c r="L522" s="155"/>
      <c r="R522" s="342"/>
      <c r="S522" s="342"/>
      <c r="T522" s="342"/>
      <c r="U522" s="342"/>
      <c r="V522" s="342"/>
      <c r="W522" s="342"/>
      <c r="X522" s="343"/>
      <c r="AA522" s="155"/>
      <c r="AC522" s="155"/>
      <c r="AD522" s="155"/>
    </row>
    <row r="523" spans="5:30" ht="11.25" customHeight="1" x14ac:dyDescent="0.2">
      <c r="E523" s="340"/>
      <c r="F523" s="340"/>
      <c r="G523" s="155"/>
      <c r="K523" s="155"/>
      <c r="L523" s="155"/>
      <c r="R523" s="342"/>
      <c r="S523" s="342"/>
      <c r="T523" s="342"/>
      <c r="U523" s="342"/>
      <c r="V523" s="342"/>
      <c r="W523" s="342"/>
      <c r="X523" s="343"/>
      <c r="AA523" s="155"/>
      <c r="AC523" s="155"/>
      <c r="AD523" s="155"/>
    </row>
    <row r="524" spans="5:30" ht="11.25" customHeight="1" x14ac:dyDescent="0.2">
      <c r="E524" s="340"/>
      <c r="F524" s="340"/>
      <c r="G524" s="155"/>
      <c r="K524" s="155"/>
      <c r="L524" s="155"/>
      <c r="R524" s="342"/>
      <c r="S524" s="342"/>
      <c r="T524" s="342"/>
      <c r="U524" s="342"/>
      <c r="V524" s="342"/>
      <c r="W524" s="342"/>
      <c r="X524" s="343"/>
      <c r="AA524" s="155"/>
      <c r="AC524" s="155"/>
      <c r="AD524" s="155"/>
    </row>
    <row r="525" spans="5:30" ht="11.25" customHeight="1" x14ac:dyDescent="0.2">
      <c r="E525" s="340"/>
      <c r="F525" s="340"/>
      <c r="G525" s="155"/>
      <c r="K525" s="155"/>
      <c r="L525" s="155"/>
      <c r="R525" s="342"/>
      <c r="S525" s="342"/>
      <c r="T525" s="342"/>
      <c r="U525" s="342"/>
      <c r="V525" s="342"/>
      <c r="W525" s="342"/>
      <c r="X525" s="343"/>
      <c r="AA525" s="155"/>
      <c r="AC525" s="155"/>
      <c r="AD525" s="155"/>
    </row>
    <row r="526" spans="5:30" ht="11.25" customHeight="1" x14ac:dyDescent="0.2">
      <c r="E526" s="340"/>
      <c r="F526" s="340"/>
      <c r="G526" s="155"/>
      <c r="K526" s="155"/>
      <c r="L526" s="155"/>
      <c r="R526" s="342"/>
      <c r="S526" s="342"/>
      <c r="T526" s="342"/>
      <c r="U526" s="342"/>
      <c r="V526" s="342"/>
      <c r="W526" s="342"/>
      <c r="X526" s="343"/>
      <c r="AA526" s="155"/>
      <c r="AC526" s="155"/>
      <c r="AD526" s="155"/>
    </row>
    <row r="527" spans="5:30" ht="11.25" customHeight="1" x14ac:dyDescent="0.2">
      <c r="E527" s="340"/>
      <c r="F527" s="340"/>
      <c r="G527" s="155"/>
      <c r="K527" s="155"/>
      <c r="L527" s="155"/>
      <c r="R527" s="342"/>
      <c r="S527" s="342"/>
      <c r="T527" s="342"/>
      <c r="U527" s="342"/>
      <c r="V527" s="342"/>
      <c r="W527" s="342"/>
      <c r="X527" s="343"/>
      <c r="AA527" s="155"/>
      <c r="AC527" s="155"/>
      <c r="AD527" s="155"/>
    </row>
    <row r="528" spans="5:30" ht="11.25" customHeight="1" x14ac:dyDescent="0.2">
      <c r="E528" s="340"/>
      <c r="F528" s="340"/>
      <c r="G528" s="155"/>
      <c r="K528" s="155"/>
      <c r="L528" s="155"/>
      <c r="R528" s="342"/>
      <c r="S528" s="342"/>
      <c r="T528" s="342"/>
      <c r="U528" s="342"/>
      <c r="V528" s="342"/>
      <c r="W528" s="342"/>
      <c r="X528" s="343"/>
      <c r="AA528" s="155"/>
      <c r="AC528" s="155"/>
      <c r="AD528" s="155"/>
    </row>
    <row r="529" spans="5:30" ht="11.25" customHeight="1" x14ac:dyDescent="0.2">
      <c r="E529" s="340"/>
      <c r="F529" s="340"/>
      <c r="G529" s="155"/>
      <c r="K529" s="155"/>
      <c r="L529" s="155"/>
      <c r="R529" s="342"/>
      <c r="S529" s="342"/>
      <c r="T529" s="342"/>
      <c r="U529" s="342"/>
      <c r="V529" s="342"/>
      <c r="W529" s="342"/>
      <c r="X529" s="343"/>
      <c r="AA529" s="155"/>
      <c r="AC529" s="155"/>
      <c r="AD529" s="155"/>
    </row>
    <row r="530" spans="5:30" ht="11.25" customHeight="1" x14ac:dyDescent="0.2">
      <c r="E530" s="340"/>
      <c r="F530" s="340"/>
      <c r="G530" s="155"/>
      <c r="K530" s="155"/>
      <c r="L530" s="155"/>
      <c r="R530" s="342"/>
      <c r="S530" s="342"/>
      <c r="T530" s="342"/>
      <c r="U530" s="342"/>
      <c r="V530" s="342"/>
      <c r="W530" s="342"/>
      <c r="X530" s="343"/>
      <c r="AA530" s="155"/>
      <c r="AC530" s="155"/>
      <c r="AD530" s="155"/>
    </row>
    <row r="531" spans="5:30" ht="11.25" customHeight="1" x14ac:dyDescent="0.2">
      <c r="E531" s="340"/>
      <c r="F531" s="340"/>
      <c r="G531" s="155"/>
      <c r="K531" s="155"/>
      <c r="L531" s="155"/>
      <c r="R531" s="342"/>
      <c r="S531" s="342"/>
      <c r="T531" s="342"/>
      <c r="U531" s="342"/>
      <c r="V531" s="342"/>
      <c r="W531" s="342"/>
      <c r="X531" s="343"/>
      <c r="AA531" s="155"/>
      <c r="AC531" s="155"/>
      <c r="AD531" s="155"/>
    </row>
    <row r="532" spans="5:30" ht="11.25" customHeight="1" x14ac:dyDescent="0.2">
      <c r="E532" s="340"/>
      <c r="F532" s="340"/>
      <c r="G532" s="155"/>
      <c r="K532" s="155"/>
      <c r="L532" s="155"/>
      <c r="R532" s="342"/>
      <c r="S532" s="342"/>
      <c r="T532" s="342"/>
      <c r="U532" s="342"/>
      <c r="V532" s="342"/>
      <c r="W532" s="342"/>
      <c r="X532" s="343"/>
      <c r="AA532" s="155"/>
      <c r="AC532" s="155"/>
      <c r="AD532" s="155"/>
    </row>
    <row r="533" spans="5:30" ht="11.25" customHeight="1" x14ac:dyDescent="0.2">
      <c r="E533" s="340"/>
      <c r="F533" s="340"/>
      <c r="G533" s="155"/>
      <c r="K533" s="155"/>
      <c r="L533" s="155"/>
      <c r="R533" s="342"/>
      <c r="S533" s="342"/>
      <c r="T533" s="342"/>
      <c r="U533" s="342"/>
      <c r="V533" s="342"/>
      <c r="W533" s="342"/>
      <c r="X533" s="343"/>
      <c r="AA533" s="155"/>
      <c r="AC533" s="155"/>
      <c r="AD533" s="155"/>
    </row>
    <row r="534" spans="5:30" ht="11.25" customHeight="1" x14ac:dyDescent="0.2">
      <c r="E534" s="340"/>
      <c r="F534" s="340"/>
      <c r="G534" s="155"/>
      <c r="K534" s="155"/>
      <c r="L534" s="155"/>
      <c r="R534" s="342"/>
      <c r="S534" s="342"/>
      <c r="T534" s="342"/>
      <c r="U534" s="342"/>
      <c r="V534" s="342"/>
      <c r="W534" s="342"/>
      <c r="X534" s="343"/>
      <c r="AA534" s="155"/>
      <c r="AC534" s="155"/>
      <c r="AD534" s="155"/>
    </row>
    <row r="535" spans="5:30" ht="11.25" customHeight="1" x14ac:dyDescent="0.2">
      <c r="E535" s="340"/>
      <c r="F535" s="340"/>
      <c r="G535" s="155"/>
      <c r="K535" s="155"/>
      <c r="L535" s="155"/>
      <c r="AA535" s="155"/>
      <c r="AC535" s="155"/>
      <c r="AD535" s="155"/>
    </row>
    <row r="536" spans="5:30" ht="11.25" customHeight="1" x14ac:dyDescent="0.2">
      <c r="E536" s="340"/>
      <c r="F536" s="340"/>
      <c r="G536" s="155"/>
      <c r="K536" s="155"/>
      <c r="L536" s="155"/>
      <c r="AA536" s="155"/>
      <c r="AC536" s="155"/>
      <c r="AD536" s="155"/>
    </row>
    <row r="537" spans="5:30" ht="11.25" customHeight="1" x14ac:dyDescent="0.2">
      <c r="E537" s="340"/>
      <c r="F537" s="340"/>
      <c r="G537" s="155"/>
      <c r="K537" s="155"/>
      <c r="L537" s="155"/>
      <c r="AA537" s="155"/>
      <c r="AC537" s="155"/>
      <c r="AD537" s="155"/>
    </row>
    <row r="538" spans="5:30" ht="11.25" customHeight="1" x14ac:dyDescent="0.2">
      <c r="E538" s="340"/>
      <c r="F538" s="340"/>
      <c r="G538" s="155"/>
      <c r="K538" s="155"/>
      <c r="L538" s="155"/>
      <c r="AA538" s="155"/>
      <c r="AC538" s="155"/>
      <c r="AD538" s="155"/>
    </row>
    <row r="539" spans="5:30" ht="11.25" customHeight="1" x14ac:dyDescent="0.2">
      <c r="E539" s="340"/>
      <c r="F539" s="340"/>
      <c r="G539" s="155"/>
      <c r="K539" s="155"/>
      <c r="L539" s="155"/>
      <c r="AA539" s="155"/>
      <c r="AC539" s="155"/>
      <c r="AD539" s="155"/>
    </row>
    <row r="540" spans="5:30" ht="11.25" customHeight="1" x14ac:dyDescent="0.2">
      <c r="E540" s="340"/>
      <c r="F540" s="340"/>
      <c r="G540" s="155"/>
      <c r="K540" s="155"/>
      <c r="L540" s="155"/>
      <c r="AA540" s="155"/>
      <c r="AC540" s="155"/>
      <c r="AD540" s="155"/>
    </row>
    <row r="541" spans="5:30" ht="11.25" customHeight="1" x14ac:dyDescent="0.2">
      <c r="E541" s="340"/>
      <c r="F541" s="340"/>
      <c r="G541" s="155"/>
      <c r="K541" s="155"/>
      <c r="L541" s="155"/>
      <c r="AA541" s="155"/>
      <c r="AC541" s="155"/>
      <c r="AD541" s="155"/>
    </row>
    <row r="542" spans="5:30" ht="11.25" customHeight="1" x14ac:dyDescent="0.2">
      <c r="E542" s="340"/>
      <c r="F542" s="340"/>
      <c r="G542" s="155"/>
      <c r="K542" s="155"/>
      <c r="L542" s="155"/>
      <c r="AA542" s="155"/>
      <c r="AC542" s="155"/>
      <c r="AD542" s="155"/>
    </row>
    <row r="543" spans="5:30" ht="11.25" customHeight="1" x14ac:dyDescent="0.2">
      <c r="E543" s="340"/>
      <c r="F543" s="340"/>
      <c r="G543" s="155"/>
      <c r="K543" s="155"/>
      <c r="L543" s="155"/>
      <c r="AA543" s="155"/>
      <c r="AC543" s="155"/>
      <c r="AD543" s="155"/>
    </row>
    <row r="544" spans="5:30" ht="11.25" customHeight="1" x14ac:dyDescent="0.2">
      <c r="E544" s="340"/>
      <c r="F544" s="340"/>
      <c r="G544" s="155"/>
      <c r="K544" s="155"/>
      <c r="L544" s="155"/>
      <c r="AA544" s="155"/>
      <c r="AC544" s="155"/>
      <c r="AD544" s="155"/>
    </row>
    <row r="545" spans="5:30" ht="11.25" customHeight="1" x14ac:dyDescent="0.2">
      <c r="E545" s="340"/>
      <c r="F545" s="340"/>
      <c r="G545" s="155"/>
      <c r="K545" s="155"/>
      <c r="L545" s="155"/>
      <c r="AA545" s="155"/>
      <c r="AC545" s="155"/>
      <c r="AD545" s="155"/>
    </row>
    <row r="546" spans="5:30" ht="11.25" customHeight="1" x14ac:dyDescent="0.2">
      <c r="E546" s="340"/>
      <c r="F546" s="340"/>
      <c r="G546" s="155"/>
      <c r="K546" s="155"/>
      <c r="L546" s="155"/>
      <c r="AA546" s="155"/>
      <c r="AC546" s="155"/>
      <c r="AD546" s="155"/>
    </row>
    <row r="547" spans="5:30" ht="11.25" customHeight="1" x14ac:dyDescent="0.2">
      <c r="E547" s="340"/>
      <c r="F547" s="340"/>
      <c r="G547" s="155"/>
      <c r="K547" s="155"/>
      <c r="L547" s="155"/>
      <c r="AA547" s="155"/>
      <c r="AC547" s="155"/>
      <c r="AD547" s="155"/>
    </row>
    <row r="548" spans="5:30" ht="11.25" customHeight="1" x14ac:dyDescent="0.2">
      <c r="E548" s="340"/>
      <c r="F548" s="340"/>
      <c r="G548" s="155"/>
      <c r="K548" s="155"/>
      <c r="L548" s="155"/>
      <c r="AA548" s="155"/>
      <c r="AC548" s="155"/>
      <c r="AD548" s="155"/>
    </row>
    <row r="549" spans="5:30" ht="11.25" customHeight="1" x14ac:dyDescent="0.2">
      <c r="E549" s="340"/>
      <c r="F549" s="340"/>
      <c r="G549" s="155"/>
      <c r="K549" s="155"/>
      <c r="L549" s="155"/>
      <c r="AA549" s="155"/>
      <c r="AC549" s="155"/>
      <c r="AD549" s="155"/>
    </row>
    <row r="550" spans="5:30" ht="11.25" customHeight="1" x14ac:dyDescent="0.2">
      <c r="E550" s="340"/>
      <c r="F550" s="340"/>
      <c r="G550" s="155"/>
      <c r="K550" s="155"/>
      <c r="L550" s="155"/>
      <c r="AA550" s="155"/>
      <c r="AC550" s="155"/>
      <c r="AD550" s="155"/>
    </row>
    <row r="551" spans="5:30" ht="11.25" customHeight="1" x14ac:dyDescent="0.2">
      <c r="E551" s="340"/>
      <c r="F551" s="340"/>
      <c r="G551" s="155"/>
      <c r="K551" s="155"/>
      <c r="L551" s="155"/>
      <c r="AA551" s="155"/>
      <c r="AC551" s="155"/>
      <c r="AD551" s="155"/>
    </row>
    <row r="552" spans="5:30" ht="11.25" customHeight="1" x14ac:dyDescent="0.2">
      <c r="E552" s="340"/>
      <c r="F552" s="340"/>
      <c r="G552" s="155"/>
      <c r="K552" s="155"/>
      <c r="L552" s="155"/>
      <c r="AA552" s="155"/>
      <c r="AC552" s="155"/>
      <c r="AD552" s="155"/>
    </row>
    <row r="553" spans="5:30" ht="11.25" customHeight="1" x14ac:dyDescent="0.2">
      <c r="E553" s="340"/>
      <c r="F553" s="340"/>
      <c r="G553" s="155"/>
      <c r="K553" s="155"/>
      <c r="L553" s="155"/>
      <c r="AA553" s="155"/>
      <c r="AC553" s="155"/>
      <c r="AD553" s="155"/>
    </row>
    <row r="554" spans="5:30" ht="11.25" customHeight="1" x14ac:dyDescent="0.2">
      <c r="E554" s="340"/>
      <c r="F554" s="340"/>
      <c r="G554" s="155"/>
      <c r="K554" s="155"/>
      <c r="L554" s="155"/>
      <c r="AA554" s="155"/>
      <c r="AC554" s="155"/>
      <c r="AD554" s="155"/>
    </row>
    <row r="555" spans="5:30" ht="11.25" customHeight="1" x14ac:dyDescent="0.2">
      <c r="E555" s="340"/>
      <c r="F555" s="340"/>
      <c r="G555" s="155"/>
      <c r="K555" s="155"/>
      <c r="L555" s="155"/>
      <c r="AA555" s="155"/>
      <c r="AC555" s="155"/>
      <c r="AD555" s="155"/>
    </row>
    <row r="556" spans="5:30" ht="11.25" customHeight="1" x14ac:dyDescent="0.2">
      <c r="E556" s="340"/>
      <c r="F556" s="340"/>
      <c r="G556" s="155"/>
      <c r="K556" s="155"/>
      <c r="L556" s="155"/>
      <c r="AA556" s="155"/>
      <c r="AC556" s="155"/>
      <c r="AD556" s="155"/>
    </row>
    <row r="557" spans="5:30" ht="11.25" customHeight="1" x14ac:dyDescent="0.2">
      <c r="E557" s="340"/>
      <c r="F557" s="340"/>
      <c r="G557" s="155"/>
      <c r="K557" s="155"/>
      <c r="L557" s="155"/>
      <c r="AA557" s="155"/>
      <c r="AC557" s="155"/>
      <c r="AD557" s="155"/>
    </row>
    <row r="558" spans="5:30" ht="11.25" customHeight="1" x14ac:dyDescent="0.2">
      <c r="E558" s="340"/>
      <c r="F558" s="340"/>
      <c r="G558" s="155"/>
      <c r="K558" s="155"/>
      <c r="L558" s="155"/>
      <c r="AA558" s="155"/>
      <c r="AC558" s="155"/>
      <c r="AD558" s="155"/>
    </row>
    <row r="559" spans="5:30" ht="11.25" customHeight="1" x14ac:dyDescent="0.2">
      <c r="E559" s="340"/>
      <c r="F559" s="340"/>
      <c r="G559" s="155"/>
      <c r="K559" s="155"/>
      <c r="L559" s="155"/>
      <c r="AA559" s="155"/>
      <c r="AC559" s="155"/>
      <c r="AD559" s="155"/>
    </row>
    <row r="560" spans="5:30" ht="11.25" customHeight="1" x14ac:dyDescent="0.2">
      <c r="E560" s="340"/>
      <c r="F560" s="340"/>
      <c r="G560" s="155"/>
      <c r="K560" s="155"/>
      <c r="L560" s="155"/>
      <c r="AA560" s="155"/>
      <c r="AC560" s="155"/>
      <c r="AD560" s="155"/>
    </row>
    <row r="561" spans="5:30" ht="11.25" customHeight="1" x14ac:dyDescent="0.2">
      <c r="E561" s="340"/>
      <c r="F561" s="340"/>
      <c r="G561" s="155"/>
      <c r="K561" s="155"/>
      <c r="L561" s="155"/>
      <c r="AA561" s="155"/>
      <c r="AC561" s="155"/>
      <c r="AD561" s="155"/>
    </row>
    <row r="562" spans="5:30" ht="11.25" customHeight="1" x14ac:dyDescent="0.2">
      <c r="E562" s="340"/>
      <c r="F562" s="340"/>
      <c r="G562" s="155"/>
      <c r="K562" s="155"/>
      <c r="L562" s="155"/>
      <c r="AA562" s="155"/>
      <c r="AC562" s="155"/>
      <c r="AD562" s="155"/>
    </row>
    <row r="563" spans="5:30" ht="11.25" customHeight="1" x14ac:dyDescent="0.2">
      <c r="E563" s="340"/>
      <c r="F563" s="340"/>
      <c r="G563" s="155"/>
      <c r="K563" s="155"/>
      <c r="L563" s="155"/>
      <c r="AA563" s="155"/>
      <c r="AC563" s="155"/>
      <c r="AD563" s="155"/>
    </row>
    <row r="564" spans="5:30" ht="11.25" customHeight="1" x14ac:dyDescent="0.2">
      <c r="E564" s="340"/>
      <c r="F564" s="340"/>
      <c r="G564" s="155"/>
      <c r="K564" s="155"/>
      <c r="L564" s="155"/>
      <c r="AA564" s="155"/>
      <c r="AC564" s="155"/>
      <c r="AD564" s="155"/>
    </row>
    <row r="565" spans="5:30" ht="11.25" customHeight="1" x14ac:dyDescent="0.2">
      <c r="E565" s="340"/>
      <c r="F565" s="340"/>
      <c r="G565" s="155"/>
      <c r="K565" s="155"/>
      <c r="L565" s="155"/>
      <c r="AA565" s="155"/>
      <c r="AC565" s="155"/>
      <c r="AD565" s="155"/>
    </row>
    <row r="566" spans="5:30" ht="11.25" customHeight="1" x14ac:dyDescent="0.2">
      <c r="E566" s="340"/>
      <c r="F566" s="340"/>
      <c r="G566" s="155"/>
      <c r="K566" s="155"/>
      <c r="L566" s="155"/>
      <c r="AA566" s="155"/>
      <c r="AC566" s="155"/>
      <c r="AD566" s="155"/>
    </row>
    <row r="567" spans="5:30" ht="11.25" customHeight="1" x14ac:dyDescent="0.2">
      <c r="E567" s="340"/>
      <c r="F567" s="340"/>
      <c r="G567" s="155"/>
      <c r="K567" s="155"/>
      <c r="L567" s="155"/>
      <c r="AA567" s="155"/>
      <c r="AC567" s="155"/>
      <c r="AD567" s="155"/>
    </row>
    <row r="568" spans="5:30" ht="11.25" customHeight="1" x14ac:dyDescent="0.2">
      <c r="E568" s="340"/>
      <c r="F568" s="340"/>
      <c r="G568" s="155"/>
      <c r="K568" s="155"/>
      <c r="L568" s="155"/>
      <c r="AA568" s="155"/>
      <c r="AC568" s="155"/>
      <c r="AD568" s="155"/>
    </row>
    <row r="569" spans="5:30" ht="11.25" customHeight="1" x14ac:dyDescent="0.2">
      <c r="E569" s="340"/>
      <c r="F569" s="340"/>
      <c r="G569" s="155"/>
      <c r="K569" s="155"/>
      <c r="L569" s="155"/>
      <c r="AA569" s="155"/>
      <c r="AC569" s="155"/>
      <c r="AD569" s="155"/>
    </row>
    <row r="570" spans="5:30" ht="11.25" customHeight="1" x14ac:dyDescent="0.2">
      <c r="E570" s="340"/>
      <c r="F570" s="340"/>
      <c r="G570" s="155"/>
      <c r="K570" s="155"/>
      <c r="L570" s="155"/>
      <c r="AA570" s="155"/>
      <c r="AC570" s="155"/>
      <c r="AD570" s="155"/>
    </row>
    <row r="571" spans="5:30" ht="11.25" customHeight="1" x14ac:dyDescent="0.2">
      <c r="E571" s="340"/>
      <c r="F571" s="340"/>
      <c r="G571" s="155"/>
      <c r="K571" s="155"/>
      <c r="L571" s="155"/>
      <c r="AA571" s="155"/>
      <c r="AC571" s="155"/>
      <c r="AD571" s="155"/>
    </row>
    <row r="572" spans="5:30" ht="11.25" customHeight="1" x14ac:dyDescent="0.2">
      <c r="E572" s="340"/>
      <c r="F572" s="340"/>
      <c r="G572" s="155"/>
      <c r="K572" s="155"/>
      <c r="L572" s="155"/>
      <c r="AA572" s="155"/>
      <c r="AC572" s="155"/>
      <c r="AD572" s="155"/>
    </row>
    <row r="573" spans="5:30" ht="11.25" customHeight="1" x14ac:dyDescent="0.2">
      <c r="E573" s="340"/>
      <c r="F573" s="340"/>
      <c r="G573" s="155"/>
      <c r="K573" s="155"/>
      <c r="L573" s="155"/>
      <c r="AA573" s="155"/>
      <c r="AC573" s="155"/>
      <c r="AD573" s="155"/>
    </row>
    <row r="574" spans="5:30" ht="11.25" customHeight="1" x14ac:dyDescent="0.2">
      <c r="E574" s="340"/>
      <c r="F574" s="340"/>
      <c r="G574" s="155"/>
      <c r="K574" s="155"/>
      <c r="L574" s="155"/>
      <c r="AA574" s="155"/>
      <c r="AC574" s="155"/>
      <c r="AD574" s="155"/>
    </row>
    <row r="575" spans="5:30" ht="11.25" customHeight="1" x14ac:dyDescent="0.2">
      <c r="E575" s="340"/>
      <c r="F575" s="340"/>
      <c r="G575" s="155"/>
      <c r="K575" s="155"/>
      <c r="L575" s="155"/>
      <c r="AA575" s="155"/>
      <c r="AC575" s="155"/>
      <c r="AD575" s="155"/>
    </row>
    <row r="576" spans="5:30" ht="11.25" customHeight="1" x14ac:dyDescent="0.2">
      <c r="E576" s="340"/>
      <c r="F576" s="340"/>
      <c r="G576" s="155"/>
      <c r="K576" s="155"/>
      <c r="L576" s="155"/>
      <c r="AA576" s="155"/>
      <c r="AC576" s="155"/>
      <c r="AD576" s="155"/>
    </row>
    <row r="577" spans="5:30" ht="11.25" customHeight="1" x14ac:dyDescent="0.2">
      <c r="E577" s="340"/>
      <c r="F577" s="340"/>
      <c r="G577" s="155"/>
      <c r="K577" s="155"/>
      <c r="L577" s="155"/>
      <c r="AA577" s="155"/>
      <c r="AC577" s="155"/>
      <c r="AD577" s="155"/>
    </row>
    <row r="578" spans="5:30" ht="11.25" customHeight="1" x14ac:dyDescent="0.2">
      <c r="E578" s="340"/>
      <c r="F578" s="340"/>
      <c r="G578" s="155"/>
      <c r="K578" s="155"/>
      <c r="L578" s="155"/>
      <c r="AA578" s="155"/>
      <c r="AC578" s="155"/>
      <c r="AD578" s="155"/>
    </row>
    <row r="579" spans="5:30" ht="11.25" customHeight="1" x14ac:dyDescent="0.2">
      <c r="E579" s="340"/>
      <c r="F579" s="340"/>
      <c r="G579" s="155"/>
      <c r="K579" s="155"/>
      <c r="L579" s="155"/>
      <c r="AA579" s="155"/>
      <c r="AC579" s="155"/>
      <c r="AD579" s="155"/>
    </row>
    <row r="580" spans="5:30" ht="11.25" customHeight="1" x14ac:dyDescent="0.2">
      <c r="E580" s="340"/>
      <c r="F580" s="340"/>
      <c r="G580" s="155"/>
      <c r="K580" s="155"/>
      <c r="L580" s="155"/>
      <c r="AA580" s="155"/>
      <c r="AC580" s="155"/>
      <c r="AD580" s="155"/>
    </row>
    <row r="581" spans="5:30" ht="11.25" customHeight="1" x14ac:dyDescent="0.2">
      <c r="E581" s="340"/>
      <c r="F581" s="340"/>
      <c r="G581" s="155"/>
      <c r="K581" s="155"/>
      <c r="L581" s="155"/>
      <c r="AA581" s="155"/>
      <c r="AC581" s="155"/>
      <c r="AD581" s="155"/>
    </row>
    <row r="582" spans="5:30" ht="11.25" customHeight="1" x14ac:dyDescent="0.2">
      <c r="AA582" s="155"/>
      <c r="AC582" s="155"/>
      <c r="AD582" s="155"/>
    </row>
    <row r="583" spans="5:30" x14ac:dyDescent="0.2">
      <c r="AA583" s="155"/>
      <c r="AC583" s="155"/>
      <c r="AD583" s="155"/>
    </row>
    <row r="584" spans="5:30" x14ac:dyDescent="0.2">
      <c r="AA584" s="155"/>
      <c r="AC584" s="155"/>
      <c r="AD584" s="155"/>
    </row>
    <row r="585" spans="5:30" x14ac:dyDescent="0.2">
      <c r="AA585" s="155"/>
      <c r="AC585" s="155"/>
      <c r="AD585" s="155"/>
    </row>
    <row r="586" spans="5:30" x14ac:dyDescent="0.2">
      <c r="AA586" s="155"/>
      <c r="AC586" s="155"/>
      <c r="AD586" s="155"/>
    </row>
    <row r="587" spans="5:30" x14ac:dyDescent="0.2">
      <c r="AA587" s="155"/>
      <c r="AC587" s="155"/>
      <c r="AD587" s="155"/>
    </row>
    <row r="588" spans="5:30" x14ac:dyDescent="0.2">
      <c r="AA588" s="155"/>
      <c r="AC588" s="155"/>
      <c r="AD588" s="155"/>
    </row>
    <row r="589" spans="5:30" x14ac:dyDescent="0.2">
      <c r="AA589" s="155"/>
      <c r="AC589" s="155"/>
      <c r="AD589" s="155"/>
    </row>
    <row r="590" spans="5:30" x14ac:dyDescent="0.2">
      <c r="AA590" s="155"/>
      <c r="AC590" s="155"/>
      <c r="AD590" s="155"/>
    </row>
    <row r="591" spans="5:30" x14ac:dyDescent="0.2">
      <c r="AA591" s="155"/>
      <c r="AC591" s="155"/>
      <c r="AD591" s="155"/>
    </row>
    <row r="592" spans="5:30" x14ac:dyDescent="0.2">
      <c r="AA592" s="155"/>
      <c r="AC592" s="155"/>
      <c r="AD592" s="155"/>
    </row>
    <row r="593" spans="27:30" x14ac:dyDescent="0.2">
      <c r="AA593" s="155"/>
      <c r="AC593" s="155"/>
      <c r="AD593" s="155"/>
    </row>
    <row r="594" spans="27:30" x14ac:dyDescent="0.2">
      <c r="AA594" s="155"/>
      <c r="AC594" s="155"/>
      <c r="AD594" s="155"/>
    </row>
    <row r="595" spans="27:30" x14ac:dyDescent="0.2">
      <c r="AA595" s="155"/>
      <c r="AC595" s="155"/>
      <c r="AD595" s="155"/>
    </row>
    <row r="596" spans="27:30" x14ac:dyDescent="0.2">
      <c r="AA596" s="155"/>
      <c r="AC596" s="155"/>
      <c r="AD596" s="155"/>
    </row>
    <row r="597" spans="27:30" x14ac:dyDescent="0.2">
      <c r="AA597" s="155"/>
      <c r="AC597" s="155"/>
      <c r="AD597" s="155"/>
    </row>
    <row r="598" spans="27:30" x14ac:dyDescent="0.2">
      <c r="AA598" s="155"/>
      <c r="AC598" s="155"/>
      <c r="AD598" s="155"/>
    </row>
    <row r="599" spans="27:30" x14ac:dyDescent="0.2">
      <c r="AA599" s="155"/>
      <c r="AC599" s="155"/>
      <c r="AD599" s="155"/>
    </row>
    <row r="600" spans="27:30" x14ac:dyDescent="0.2">
      <c r="AA600" s="155"/>
      <c r="AC600" s="155"/>
      <c r="AD600" s="155"/>
    </row>
    <row r="601" spans="27:30" x14ac:dyDescent="0.2">
      <c r="AA601" s="155"/>
      <c r="AC601" s="155"/>
      <c r="AD601" s="155"/>
    </row>
    <row r="602" spans="27:30" x14ac:dyDescent="0.2">
      <c r="AA602" s="155"/>
      <c r="AC602" s="155"/>
      <c r="AD602" s="155"/>
    </row>
    <row r="603" spans="27:30" x14ac:dyDescent="0.2">
      <c r="AA603" s="155"/>
      <c r="AC603" s="155"/>
      <c r="AD603" s="155"/>
    </row>
    <row r="604" spans="27:30" x14ac:dyDescent="0.2">
      <c r="AA604" s="155"/>
      <c r="AC604" s="155"/>
      <c r="AD604" s="155"/>
    </row>
    <row r="605" spans="27:30" x14ac:dyDescent="0.2">
      <c r="AA605" s="155"/>
      <c r="AC605" s="155"/>
      <c r="AD605" s="155"/>
    </row>
    <row r="606" spans="27:30" x14ac:dyDescent="0.2">
      <c r="AA606" s="155"/>
      <c r="AC606" s="155"/>
      <c r="AD606" s="155"/>
    </row>
    <row r="607" spans="27:30" x14ac:dyDescent="0.2">
      <c r="AA607" s="155"/>
      <c r="AC607" s="155"/>
      <c r="AD607" s="155"/>
    </row>
    <row r="608" spans="27:30" x14ac:dyDescent="0.2">
      <c r="AA608" s="155"/>
      <c r="AC608" s="155"/>
      <c r="AD608" s="155"/>
    </row>
    <row r="609" spans="27:30" x14ac:dyDescent="0.2">
      <c r="AA609" s="155"/>
      <c r="AC609" s="155"/>
      <c r="AD609" s="155"/>
    </row>
    <row r="610" spans="27:30" x14ac:dyDescent="0.2">
      <c r="AA610" s="155"/>
      <c r="AC610" s="155"/>
      <c r="AD610" s="155"/>
    </row>
    <row r="611" spans="27:30" x14ac:dyDescent="0.2">
      <c r="AA611" s="155"/>
      <c r="AC611" s="155"/>
      <c r="AD611" s="155"/>
    </row>
    <row r="612" spans="27:30" x14ac:dyDescent="0.2">
      <c r="AA612" s="155"/>
      <c r="AC612" s="155"/>
      <c r="AD612" s="155"/>
    </row>
    <row r="613" spans="27:30" x14ac:dyDescent="0.2">
      <c r="AA613" s="155"/>
      <c r="AC613" s="155"/>
      <c r="AD613" s="155"/>
    </row>
    <row r="614" spans="27:30" x14ac:dyDescent="0.2">
      <c r="AA614" s="155"/>
      <c r="AC614" s="155"/>
      <c r="AD614" s="155"/>
    </row>
    <row r="615" spans="27:30" x14ac:dyDescent="0.2">
      <c r="AA615" s="155"/>
      <c r="AC615" s="155"/>
      <c r="AD615" s="155"/>
    </row>
    <row r="616" spans="27:30" x14ac:dyDescent="0.2">
      <c r="AA616" s="155"/>
      <c r="AC616" s="155"/>
      <c r="AD616" s="155"/>
    </row>
    <row r="617" spans="27:30" x14ac:dyDescent="0.2">
      <c r="AA617" s="155"/>
      <c r="AC617" s="155"/>
      <c r="AD617" s="155"/>
    </row>
    <row r="618" spans="27:30" x14ac:dyDescent="0.2">
      <c r="AA618" s="155"/>
      <c r="AC618" s="155"/>
      <c r="AD618" s="155"/>
    </row>
    <row r="619" spans="27:30" x14ac:dyDescent="0.2">
      <c r="AA619" s="155"/>
      <c r="AC619" s="155"/>
      <c r="AD619" s="155"/>
    </row>
    <row r="620" spans="27:30" x14ac:dyDescent="0.2">
      <c r="AA620" s="155"/>
      <c r="AC620" s="155"/>
      <c r="AD620" s="155"/>
    </row>
    <row r="621" spans="27:30" x14ac:dyDescent="0.2">
      <c r="AA621" s="155"/>
      <c r="AC621" s="155"/>
      <c r="AD621" s="155"/>
    </row>
    <row r="622" spans="27:30" x14ac:dyDescent="0.2">
      <c r="AA622" s="155"/>
      <c r="AC622" s="155"/>
      <c r="AD622" s="155"/>
    </row>
    <row r="623" spans="27:30" x14ac:dyDescent="0.2">
      <c r="AA623" s="155"/>
      <c r="AC623" s="155"/>
      <c r="AD623" s="155"/>
    </row>
    <row r="624" spans="27:30" x14ac:dyDescent="0.2">
      <c r="AA624" s="155"/>
      <c r="AC624" s="155"/>
      <c r="AD624" s="155"/>
    </row>
    <row r="625" spans="27:30" x14ac:dyDescent="0.2">
      <c r="AA625" s="155"/>
      <c r="AC625" s="155"/>
      <c r="AD625" s="155"/>
    </row>
    <row r="626" spans="27:30" x14ac:dyDescent="0.2">
      <c r="AA626" s="155"/>
      <c r="AC626" s="155"/>
      <c r="AD626" s="155"/>
    </row>
    <row r="627" spans="27:30" x14ac:dyDescent="0.2">
      <c r="AA627" s="155"/>
      <c r="AC627" s="155"/>
      <c r="AD627" s="155"/>
    </row>
    <row r="628" spans="27:30" x14ac:dyDescent="0.2">
      <c r="AA628" s="155"/>
      <c r="AC628" s="155"/>
      <c r="AD628" s="155"/>
    </row>
    <row r="629" spans="27:30" x14ac:dyDescent="0.2">
      <c r="AA629" s="155"/>
      <c r="AC629" s="155"/>
      <c r="AD629" s="155"/>
    </row>
    <row r="630" spans="27:30" x14ac:dyDescent="0.2">
      <c r="AA630" s="155"/>
      <c r="AC630" s="155"/>
      <c r="AD630" s="155"/>
    </row>
    <row r="631" spans="27:30" x14ac:dyDescent="0.2">
      <c r="AA631" s="155"/>
      <c r="AC631" s="155"/>
      <c r="AD631" s="155"/>
    </row>
    <row r="632" spans="27:30" x14ac:dyDescent="0.2">
      <c r="AA632" s="155"/>
      <c r="AC632" s="155"/>
      <c r="AD632" s="155"/>
    </row>
    <row r="633" spans="27:30" x14ac:dyDescent="0.2">
      <c r="AA633" s="155"/>
      <c r="AC633" s="155"/>
      <c r="AD633" s="155"/>
    </row>
    <row r="634" spans="27:30" x14ac:dyDescent="0.2">
      <c r="AA634" s="155"/>
      <c r="AC634" s="155"/>
      <c r="AD634" s="155"/>
    </row>
    <row r="635" spans="27:30" x14ac:dyDescent="0.2">
      <c r="AA635" s="155"/>
      <c r="AC635" s="155"/>
      <c r="AD635" s="155"/>
    </row>
    <row r="636" spans="27:30" x14ac:dyDescent="0.2">
      <c r="AA636" s="155"/>
      <c r="AC636" s="155"/>
      <c r="AD636" s="155"/>
    </row>
    <row r="637" spans="27:30" x14ac:dyDescent="0.2">
      <c r="AA637" s="155"/>
      <c r="AC637" s="155"/>
      <c r="AD637" s="155"/>
    </row>
    <row r="638" spans="27:30" x14ac:dyDescent="0.2">
      <c r="AA638" s="155"/>
      <c r="AC638" s="155"/>
      <c r="AD638" s="155"/>
    </row>
    <row r="639" spans="27:30" x14ac:dyDescent="0.2">
      <c r="AA639" s="155"/>
      <c r="AC639" s="155"/>
      <c r="AD639" s="155"/>
    </row>
    <row r="640" spans="27:30" x14ac:dyDescent="0.2">
      <c r="AA640" s="155"/>
      <c r="AC640" s="155"/>
      <c r="AD640" s="155"/>
    </row>
    <row r="641" spans="27:30" x14ac:dyDescent="0.2">
      <c r="AA641" s="155"/>
      <c r="AC641" s="155"/>
      <c r="AD641" s="155"/>
    </row>
    <row r="642" spans="27:30" x14ac:dyDescent="0.2">
      <c r="AA642" s="155"/>
      <c r="AC642" s="155"/>
      <c r="AD642" s="155"/>
    </row>
    <row r="643" spans="27:30" x14ac:dyDescent="0.2">
      <c r="AA643" s="155"/>
      <c r="AC643" s="155"/>
      <c r="AD643" s="155"/>
    </row>
    <row r="644" spans="27:30" x14ac:dyDescent="0.2">
      <c r="AA644" s="155"/>
      <c r="AC644" s="155"/>
      <c r="AD644" s="155"/>
    </row>
    <row r="645" spans="27:30" x14ac:dyDescent="0.2">
      <c r="AA645" s="155"/>
      <c r="AC645" s="155"/>
      <c r="AD645" s="155"/>
    </row>
    <row r="646" spans="27:30" x14ac:dyDescent="0.2">
      <c r="AA646" s="155"/>
      <c r="AC646" s="155"/>
      <c r="AD646" s="155"/>
    </row>
    <row r="647" spans="27:30" x14ac:dyDescent="0.2">
      <c r="AA647" s="155"/>
      <c r="AC647" s="155"/>
      <c r="AD647" s="155"/>
    </row>
    <row r="648" spans="27:30" x14ac:dyDescent="0.2">
      <c r="AA648" s="155"/>
      <c r="AC648" s="155"/>
      <c r="AD648" s="155"/>
    </row>
    <row r="649" spans="27:30" x14ac:dyDescent="0.2">
      <c r="AA649" s="155"/>
      <c r="AC649" s="155"/>
      <c r="AD649" s="155"/>
    </row>
    <row r="650" spans="27:30" x14ac:dyDescent="0.2">
      <c r="AA650" s="155"/>
      <c r="AC650" s="155"/>
      <c r="AD650" s="155"/>
    </row>
    <row r="651" spans="27:30" x14ac:dyDescent="0.2">
      <c r="AA651" s="155"/>
      <c r="AC651" s="155"/>
      <c r="AD651" s="155"/>
    </row>
    <row r="652" spans="27:30" x14ac:dyDescent="0.2">
      <c r="AA652" s="155"/>
      <c r="AC652" s="155"/>
      <c r="AD652" s="155"/>
    </row>
    <row r="653" spans="27:30" x14ac:dyDescent="0.2">
      <c r="AA653" s="155"/>
      <c r="AC653" s="155"/>
      <c r="AD653" s="155"/>
    </row>
    <row r="654" spans="27:30" x14ac:dyDescent="0.2">
      <c r="AA654" s="155"/>
      <c r="AC654" s="155"/>
      <c r="AD654" s="155"/>
    </row>
    <row r="655" spans="27:30" x14ac:dyDescent="0.2">
      <c r="AA655" s="155"/>
      <c r="AC655" s="155"/>
      <c r="AD655" s="155"/>
    </row>
    <row r="656" spans="27:30" x14ac:dyDescent="0.2">
      <c r="AA656" s="155"/>
      <c r="AC656" s="155"/>
      <c r="AD656" s="155"/>
    </row>
    <row r="657" spans="27:30" x14ac:dyDescent="0.2">
      <c r="AA657" s="155"/>
      <c r="AC657" s="155"/>
      <c r="AD657" s="155"/>
    </row>
    <row r="658" spans="27:30" x14ac:dyDescent="0.2">
      <c r="AA658" s="155"/>
      <c r="AC658" s="155"/>
      <c r="AD658" s="155"/>
    </row>
    <row r="659" spans="27:30" x14ac:dyDescent="0.2">
      <c r="AA659" s="155"/>
      <c r="AC659" s="155"/>
      <c r="AD659" s="155"/>
    </row>
    <row r="660" spans="27:30" x14ac:dyDescent="0.2">
      <c r="AA660" s="155"/>
      <c r="AC660" s="155"/>
      <c r="AD660" s="155"/>
    </row>
    <row r="661" spans="27:30" x14ac:dyDescent="0.2">
      <c r="AA661" s="155"/>
      <c r="AC661" s="155"/>
      <c r="AD661" s="155"/>
    </row>
    <row r="662" spans="27:30" x14ac:dyDescent="0.2">
      <c r="AA662" s="155"/>
      <c r="AC662" s="155"/>
      <c r="AD662" s="155"/>
    </row>
    <row r="663" spans="27:30" x14ac:dyDescent="0.2">
      <c r="AA663" s="155"/>
      <c r="AC663" s="155"/>
      <c r="AD663" s="155"/>
    </row>
    <row r="664" spans="27:30" x14ac:dyDescent="0.2">
      <c r="AA664" s="155"/>
      <c r="AC664" s="155"/>
      <c r="AD664" s="155"/>
    </row>
    <row r="665" spans="27:30" x14ac:dyDescent="0.2">
      <c r="AA665" s="155"/>
      <c r="AC665" s="155"/>
      <c r="AD665" s="155"/>
    </row>
    <row r="666" spans="27:30" x14ac:dyDescent="0.2">
      <c r="AA666" s="155"/>
      <c r="AC666" s="155"/>
      <c r="AD666" s="155"/>
    </row>
    <row r="667" spans="27:30" x14ac:dyDescent="0.2">
      <c r="AA667" s="155"/>
      <c r="AC667" s="155"/>
      <c r="AD667" s="155"/>
    </row>
    <row r="668" spans="27:30" x14ac:dyDescent="0.2">
      <c r="AA668" s="155"/>
      <c r="AC668" s="155"/>
      <c r="AD668" s="155"/>
    </row>
    <row r="669" spans="27:30" x14ac:dyDescent="0.2">
      <c r="AA669" s="155"/>
      <c r="AC669" s="155"/>
      <c r="AD669" s="155"/>
    </row>
    <row r="670" spans="27:30" x14ac:dyDescent="0.2">
      <c r="AA670" s="155"/>
      <c r="AC670" s="155"/>
      <c r="AD670" s="155"/>
    </row>
    <row r="671" spans="27:30" x14ac:dyDescent="0.2">
      <c r="AA671" s="155"/>
      <c r="AC671" s="155"/>
      <c r="AD671" s="155"/>
    </row>
    <row r="672" spans="27:30" x14ac:dyDescent="0.2">
      <c r="AA672" s="155"/>
      <c r="AC672" s="155"/>
      <c r="AD672" s="155"/>
    </row>
    <row r="673" spans="27:30" x14ac:dyDescent="0.2">
      <c r="AA673" s="155"/>
      <c r="AC673" s="155"/>
      <c r="AD673" s="155"/>
    </row>
    <row r="674" spans="27:30" x14ac:dyDescent="0.2">
      <c r="AA674" s="155"/>
      <c r="AC674" s="155"/>
      <c r="AD674" s="155"/>
    </row>
    <row r="675" spans="27:30" x14ac:dyDescent="0.2">
      <c r="AA675" s="155"/>
      <c r="AC675" s="155"/>
      <c r="AD675" s="155"/>
    </row>
    <row r="676" spans="27:30" x14ac:dyDescent="0.2">
      <c r="AA676" s="155"/>
      <c r="AC676" s="155"/>
      <c r="AD676" s="155"/>
    </row>
    <row r="677" spans="27:30" x14ac:dyDescent="0.2">
      <c r="AA677" s="155"/>
      <c r="AC677" s="155"/>
      <c r="AD677" s="155"/>
    </row>
    <row r="678" spans="27:30" x14ac:dyDescent="0.2">
      <c r="AA678" s="155"/>
      <c r="AC678" s="155"/>
      <c r="AD678" s="155"/>
    </row>
    <row r="679" spans="27:30" x14ac:dyDescent="0.2">
      <c r="AA679" s="155"/>
      <c r="AC679" s="155"/>
      <c r="AD679" s="155"/>
    </row>
    <row r="680" spans="27:30" x14ac:dyDescent="0.2">
      <c r="AA680" s="155"/>
      <c r="AC680" s="155"/>
      <c r="AD680" s="155"/>
    </row>
    <row r="681" spans="27:30" x14ac:dyDescent="0.2">
      <c r="AA681" s="155"/>
      <c r="AC681" s="155"/>
      <c r="AD681" s="155"/>
    </row>
    <row r="682" spans="27:30" x14ac:dyDescent="0.2">
      <c r="AA682" s="155"/>
      <c r="AC682" s="155"/>
      <c r="AD682" s="155"/>
    </row>
    <row r="683" spans="27:30" x14ac:dyDescent="0.2">
      <c r="AA683" s="155"/>
      <c r="AC683" s="155"/>
      <c r="AD683" s="155"/>
    </row>
    <row r="684" spans="27:30" x14ac:dyDescent="0.2">
      <c r="AA684" s="155"/>
      <c r="AC684" s="155"/>
      <c r="AD684" s="155"/>
    </row>
    <row r="685" spans="27:30" x14ac:dyDescent="0.2">
      <c r="AA685" s="155"/>
      <c r="AC685" s="155"/>
      <c r="AD685" s="155"/>
    </row>
    <row r="686" spans="27:30" x14ac:dyDescent="0.2">
      <c r="AA686" s="155"/>
      <c r="AC686" s="155"/>
      <c r="AD686" s="155"/>
    </row>
    <row r="687" spans="27:30" x14ac:dyDescent="0.2">
      <c r="AA687" s="155"/>
      <c r="AC687" s="155"/>
      <c r="AD687" s="155"/>
    </row>
    <row r="688" spans="27:30" x14ac:dyDescent="0.2">
      <c r="AA688" s="155"/>
      <c r="AC688" s="155"/>
      <c r="AD688" s="155"/>
    </row>
    <row r="689" spans="27:30" x14ac:dyDescent="0.2">
      <c r="AA689" s="155"/>
      <c r="AC689" s="155"/>
      <c r="AD689" s="155"/>
    </row>
    <row r="690" spans="27:30" x14ac:dyDescent="0.2">
      <c r="AA690" s="155"/>
      <c r="AC690" s="155"/>
      <c r="AD690" s="155"/>
    </row>
    <row r="691" spans="27:30" x14ac:dyDescent="0.2">
      <c r="AA691" s="155"/>
      <c r="AC691" s="155"/>
      <c r="AD691" s="155"/>
    </row>
    <row r="692" spans="27:30" x14ac:dyDescent="0.2">
      <c r="AA692" s="155"/>
      <c r="AC692" s="155"/>
      <c r="AD692" s="155"/>
    </row>
    <row r="693" spans="27:30" x14ac:dyDescent="0.2">
      <c r="AA693" s="155"/>
      <c r="AC693" s="155"/>
      <c r="AD693" s="155"/>
    </row>
    <row r="694" spans="27:30" x14ac:dyDescent="0.2">
      <c r="AA694" s="155"/>
      <c r="AC694" s="155"/>
      <c r="AD694" s="155"/>
    </row>
    <row r="695" spans="27:30" x14ac:dyDescent="0.2">
      <c r="AA695" s="155"/>
      <c r="AC695" s="155"/>
      <c r="AD695" s="155"/>
    </row>
    <row r="696" spans="27:30" x14ac:dyDescent="0.2">
      <c r="AA696" s="155"/>
      <c r="AC696" s="155"/>
      <c r="AD696" s="155"/>
    </row>
    <row r="697" spans="27:30" x14ac:dyDescent="0.2">
      <c r="AA697" s="155"/>
      <c r="AC697" s="155"/>
      <c r="AD697" s="155"/>
    </row>
    <row r="698" spans="27:30" x14ac:dyDescent="0.2">
      <c r="AA698" s="155"/>
      <c r="AC698" s="155"/>
      <c r="AD698" s="155"/>
    </row>
    <row r="699" spans="27:30" x14ac:dyDescent="0.2">
      <c r="AA699" s="155"/>
      <c r="AC699" s="155"/>
      <c r="AD699" s="155"/>
    </row>
    <row r="700" spans="27:30" x14ac:dyDescent="0.2">
      <c r="AA700" s="155"/>
      <c r="AC700" s="155"/>
      <c r="AD700" s="155"/>
    </row>
    <row r="701" spans="27:30" x14ac:dyDescent="0.2">
      <c r="AA701" s="155"/>
      <c r="AC701" s="155"/>
      <c r="AD701" s="155"/>
    </row>
    <row r="702" spans="27:30" x14ac:dyDescent="0.2">
      <c r="AA702" s="155"/>
      <c r="AC702" s="155"/>
      <c r="AD702" s="155"/>
    </row>
    <row r="703" spans="27:30" x14ac:dyDescent="0.2">
      <c r="AA703" s="155"/>
      <c r="AC703" s="155"/>
      <c r="AD703" s="155"/>
    </row>
    <row r="704" spans="27:30" x14ac:dyDescent="0.2">
      <c r="AA704" s="155"/>
      <c r="AC704" s="155"/>
      <c r="AD704" s="155"/>
    </row>
    <row r="705" spans="27:30" x14ac:dyDescent="0.2">
      <c r="AA705" s="155"/>
      <c r="AC705" s="155"/>
      <c r="AD705" s="155"/>
    </row>
    <row r="706" spans="27:30" x14ac:dyDescent="0.2">
      <c r="AA706" s="155"/>
      <c r="AC706" s="155"/>
      <c r="AD706" s="155"/>
    </row>
    <row r="707" spans="27:30" x14ac:dyDescent="0.2">
      <c r="AA707" s="155"/>
      <c r="AC707" s="155"/>
      <c r="AD707" s="155"/>
    </row>
    <row r="708" spans="27:30" x14ac:dyDescent="0.2">
      <c r="AA708" s="155"/>
      <c r="AC708" s="155"/>
      <c r="AD708" s="155"/>
    </row>
    <row r="709" spans="27:30" x14ac:dyDescent="0.2">
      <c r="AA709" s="155"/>
      <c r="AC709" s="155"/>
      <c r="AD709" s="155"/>
    </row>
    <row r="710" spans="27:30" x14ac:dyDescent="0.2">
      <c r="AA710" s="155"/>
      <c r="AC710" s="155"/>
      <c r="AD710" s="155"/>
    </row>
    <row r="711" spans="27:30" x14ac:dyDescent="0.2">
      <c r="AA711" s="155"/>
      <c r="AC711" s="155"/>
      <c r="AD711" s="155"/>
    </row>
    <row r="712" spans="27:30" x14ac:dyDescent="0.2">
      <c r="AA712" s="155"/>
      <c r="AC712" s="155"/>
      <c r="AD712" s="155"/>
    </row>
    <row r="713" spans="27:30" x14ac:dyDescent="0.2">
      <c r="AA713" s="155"/>
      <c r="AC713" s="155"/>
      <c r="AD713" s="155"/>
    </row>
    <row r="714" spans="27:30" x14ac:dyDescent="0.2">
      <c r="AA714" s="155"/>
      <c r="AC714" s="155"/>
      <c r="AD714" s="155"/>
    </row>
    <row r="715" spans="27:30" x14ac:dyDescent="0.2">
      <c r="AA715" s="155"/>
      <c r="AC715" s="155"/>
      <c r="AD715" s="155"/>
    </row>
    <row r="716" spans="27:30" x14ac:dyDescent="0.2">
      <c r="AA716" s="155"/>
      <c r="AC716" s="155"/>
      <c r="AD716" s="155"/>
    </row>
    <row r="717" spans="27:30" x14ac:dyDescent="0.2">
      <c r="AA717" s="155"/>
      <c r="AC717" s="155"/>
      <c r="AD717" s="155"/>
    </row>
    <row r="718" spans="27:30" x14ac:dyDescent="0.2">
      <c r="AA718" s="155"/>
      <c r="AC718" s="155"/>
      <c r="AD718" s="155"/>
    </row>
    <row r="719" spans="27:30" x14ac:dyDescent="0.2">
      <c r="AA719" s="155"/>
      <c r="AC719" s="155"/>
      <c r="AD719" s="155"/>
    </row>
    <row r="720" spans="27:30" x14ac:dyDescent="0.2">
      <c r="AA720" s="155"/>
      <c r="AC720" s="155"/>
      <c r="AD720" s="155"/>
    </row>
    <row r="721" spans="27:30" x14ac:dyDescent="0.2">
      <c r="AA721" s="155"/>
      <c r="AC721" s="155"/>
      <c r="AD721" s="155"/>
    </row>
    <row r="722" spans="27:30" x14ac:dyDescent="0.2">
      <c r="AA722" s="155"/>
      <c r="AC722" s="155"/>
      <c r="AD722" s="155"/>
    </row>
    <row r="723" spans="27:30" x14ac:dyDescent="0.2">
      <c r="AA723" s="155"/>
      <c r="AC723" s="155"/>
      <c r="AD723" s="155"/>
    </row>
    <row r="724" spans="27:30" x14ac:dyDescent="0.2">
      <c r="AA724" s="155"/>
      <c r="AC724" s="155"/>
      <c r="AD724" s="155"/>
    </row>
    <row r="725" spans="27:30" x14ac:dyDescent="0.2">
      <c r="AA725" s="155"/>
      <c r="AC725" s="155"/>
      <c r="AD725" s="155"/>
    </row>
    <row r="726" spans="27:30" x14ac:dyDescent="0.2">
      <c r="AA726" s="155"/>
      <c r="AC726" s="155"/>
      <c r="AD726" s="155"/>
    </row>
    <row r="727" spans="27:30" x14ac:dyDescent="0.2">
      <c r="AA727" s="155"/>
      <c r="AC727" s="155"/>
      <c r="AD727" s="155"/>
    </row>
    <row r="728" spans="27:30" x14ac:dyDescent="0.2">
      <c r="AA728" s="155"/>
      <c r="AC728" s="155"/>
      <c r="AD728" s="155"/>
    </row>
    <row r="729" spans="27:30" x14ac:dyDescent="0.2">
      <c r="AA729" s="155"/>
      <c r="AC729" s="155"/>
      <c r="AD729" s="155"/>
    </row>
    <row r="730" spans="27:30" x14ac:dyDescent="0.2">
      <c r="AA730" s="155"/>
      <c r="AC730" s="155"/>
      <c r="AD730" s="155"/>
    </row>
    <row r="731" spans="27:30" x14ac:dyDescent="0.2">
      <c r="AA731" s="155"/>
      <c r="AC731" s="155"/>
      <c r="AD731" s="155"/>
    </row>
    <row r="732" spans="27:30" x14ac:dyDescent="0.2">
      <c r="AA732" s="155"/>
      <c r="AC732" s="155"/>
      <c r="AD732" s="155"/>
    </row>
    <row r="733" spans="27:30" x14ac:dyDescent="0.2">
      <c r="AA733" s="155"/>
      <c r="AC733" s="155"/>
      <c r="AD733" s="155"/>
    </row>
    <row r="734" spans="27:30" x14ac:dyDescent="0.2">
      <c r="AA734" s="155"/>
      <c r="AC734" s="155"/>
      <c r="AD734" s="155"/>
    </row>
    <row r="735" spans="27:30" x14ac:dyDescent="0.2">
      <c r="AA735" s="155"/>
      <c r="AC735" s="155"/>
      <c r="AD735" s="155"/>
    </row>
    <row r="736" spans="27:30" x14ac:dyDescent="0.2">
      <c r="AA736" s="155"/>
      <c r="AC736" s="155"/>
      <c r="AD736" s="155"/>
    </row>
    <row r="737" spans="27:30" x14ac:dyDescent="0.2">
      <c r="AA737" s="155"/>
      <c r="AC737" s="155"/>
      <c r="AD737" s="155"/>
    </row>
    <row r="738" spans="27:30" x14ac:dyDescent="0.2">
      <c r="AA738" s="155"/>
      <c r="AC738" s="155"/>
      <c r="AD738" s="155"/>
    </row>
    <row r="739" spans="27:30" x14ac:dyDescent="0.2">
      <c r="AA739" s="155"/>
      <c r="AC739" s="155"/>
      <c r="AD739" s="155"/>
    </row>
    <row r="740" spans="27:30" x14ac:dyDescent="0.2">
      <c r="AA740" s="155"/>
      <c r="AC740" s="155"/>
      <c r="AD740" s="155"/>
    </row>
    <row r="741" spans="27:30" x14ac:dyDescent="0.2">
      <c r="AA741" s="155"/>
      <c r="AC741" s="155"/>
      <c r="AD741" s="155"/>
    </row>
    <row r="742" spans="27:30" x14ac:dyDescent="0.2">
      <c r="AA742" s="155"/>
      <c r="AC742" s="155"/>
      <c r="AD742" s="155"/>
    </row>
    <row r="743" spans="27:30" x14ac:dyDescent="0.2">
      <c r="AA743" s="155"/>
      <c r="AC743" s="155"/>
      <c r="AD743" s="155"/>
    </row>
    <row r="744" spans="27:30" x14ac:dyDescent="0.2">
      <c r="AA744" s="155"/>
      <c r="AC744" s="155"/>
      <c r="AD744" s="155"/>
    </row>
    <row r="745" spans="27:30" x14ac:dyDescent="0.2">
      <c r="AA745" s="155"/>
      <c r="AC745" s="155"/>
      <c r="AD745" s="155"/>
    </row>
    <row r="746" spans="27:30" x14ac:dyDescent="0.2">
      <c r="AA746" s="155"/>
      <c r="AC746" s="155"/>
      <c r="AD746" s="155"/>
    </row>
    <row r="747" spans="27:30" x14ac:dyDescent="0.2">
      <c r="AA747" s="155"/>
      <c r="AC747" s="155"/>
      <c r="AD747" s="155"/>
    </row>
    <row r="748" spans="27:30" x14ac:dyDescent="0.2">
      <c r="AA748" s="155"/>
      <c r="AC748" s="155"/>
      <c r="AD748" s="155"/>
    </row>
    <row r="749" spans="27:30" x14ac:dyDescent="0.2">
      <c r="AA749" s="155"/>
      <c r="AC749" s="155"/>
      <c r="AD749" s="155"/>
    </row>
    <row r="750" spans="27:30" x14ac:dyDescent="0.2">
      <c r="AA750" s="155"/>
      <c r="AC750" s="155"/>
      <c r="AD750" s="155"/>
    </row>
    <row r="751" spans="27:30" x14ac:dyDescent="0.2">
      <c r="AA751" s="155"/>
      <c r="AC751" s="155"/>
      <c r="AD751" s="155"/>
    </row>
    <row r="752" spans="27:30" x14ac:dyDescent="0.2">
      <c r="AA752" s="155"/>
      <c r="AC752" s="155"/>
      <c r="AD752" s="155"/>
    </row>
    <row r="753" spans="27:30" x14ac:dyDescent="0.2">
      <c r="AA753" s="155"/>
      <c r="AC753" s="155"/>
      <c r="AD753" s="155"/>
    </row>
    <row r="754" spans="27:30" x14ac:dyDescent="0.2">
      <c r="AA754" s="155"/>
      <c r="AC754" s="155"/>
      <c r="AD754" s="155"/>
    </row>
    <row r="755" spans="27:30" x14ac:dyDescent="0.2">
      <c r="AA755" s="155"/>
      <c r="AC755" s="155"/>
      <c r="AD755" s="155"/>
    </row>
    <row r="756" spans="27:30" x14ac:dyDescent="0.2">
      <c r="AA756" s="155"/>
      <c r="AC756" s="155"/>
      <c r="AD756" s="155"/>
    </row>
    <row r="757" spans="27:30" x14ac:dyDescent="0.2">
      <c r="AA757" s="155"/>
      <c r="AC757" s="155"/>
      <c r="AD757" s="155"/>
    </row>
    <row r="758" spans="27:30" x14ac:dyDescent="0.2">
      <c r="AA758" s="155"/>
      <c r="AC758" s="155"/>
      <c r="AD758" s="155"/>
    </row>
    <row r="759" spans="27:30" x14ac:dyDescent="0.2">
      <c r="AA759" s="155"/>
      <c r="AC759" s="155"/>
      <c r="AD759" s="155"/>
    </row>
    <row r="760" spans="27:30" x14ac:dyDescent="0.2">
      <c r="AA760" s="155"/>
      <c r="AC760" s="155"/>
      <c r="AD760" s="155"/>
    </row>
    <row r="761" spans="27:30" x14ac:dyDescent="0.2">
      <c r="AA761" s="155"/>
      <c r="AC761" s="155"/>
      <c r="AD761" s="155"/>
    </row>
    <row r="762" spans="27:30" x14ac:dyDescent="0.2">
      <c r="AA762" s="155"/>
      <c r="AC762" s="155"/>
      <c r="AD762" s="155"/>
    </row>
    <row r="763" spans="27:30" x14ac:dyDescent="0.2">
      <c r="AA763" s="155"/>
      <c r="AC763" s="155"/>
      <c r="AD763" s="155"/>
    </row>
    <row r="764" spans="27:30" x14ac:dyDescent="0.2">
      <c r="AA764" s="155"/>
      <c r="AC764" s="155"/>
      <c r="AD764" s="155"/>
    </row>
    <row r="765" spans="27:30" x14ac:dyDescent="0.2">
      <c r="AA765" s="155"/>
      <c r="AC765" s="155"/>
      <c r="AD765" s="155"/>
    </row>
    <row r="766" spans="27:30" x14ac:dyDescent="0.2">
      <c r="AA766" s="155"/>
      <c r="AC766" s="155"/>
      <c r="AD766" s="155"/>
    </row>
    <row r="767" spans="27:30" x14ac:dyDescent="0.2">
      <c r="AA767" s="155"/>
      <c r="AC767" s="155"/>
      <c r="AD767" s="155"/>
    </row>
    <row r="768" spans="27:30" x14ac:dyDescent="0.2">
      <c r="AA768" s="155"/>
      <c r="AC768" s="155"/>
      <c r="AD768" s="155"/>
    </row>
    <row r="769" spans="27:30" x14ac:dyDescent="0.2">
      <c r="AA769" s="155"/>
      <c r="AC769" s="155"/>
      <c r="AD769" s="155"/>
    </row>
    <row r="770" spans="27:30" x14ac:dyDescent="0.2">
      <c r="AA770" s="155"/>
      <c r="AC770" s="155"/>
      <c r="AD770" s="155"/>
    </row>
    <row r="771" spans="27:30" x14ac:dyDescent="0.2">
      <c r="AA771" s="155"/>
      <c r="AC771" s="155"/>
      <c r="AD771" s="155"/>
    </row>
    <row r="772" spans="27:30" x14ac:dyDescent="0.2">
      <c r="AA772" s="155"/>
      <c r="AC772" s="155"/>
      <c r="AD772" s="155"/>
    </row>
    <row r="773" spans="27:30" x14ac:dyDescent="0.2">
      <c r="AA773" s="155"/>
      <c r="AC773" s="155"/>
      <c r="AD773" s="155"/>
    </row>
    <row r="774" spans="27:30" x14ac:dyDescent="0.2">
      <c r="AA774" s="155"/>
      <c r="AC774" s="155"/>
      <c r="AD774" s="155"/>
    </row>
    <row r="775" spans="27:30" x14ac:dyDescent="0.2">
      <c r="AA775" s="155"/>
      <c r="AC775" s="155"/>
      <c r="AD775" s="155"/>
    </row>
    <row r="776" spans="27:30" x14ac:dyDescent="0.2">
      <c r="AA776" s="155"/>
      <c r="AC776" s="155"/>
      <c r="AD776" s="155"/>
    </row>
    <row r="777" spans="27:30" x14ac:dyDescent="0.2">
      <c r="AA777" s="155"/>
      <c r="AC777" s="155"/>
      <c r="AD777" s="155"/>
    </row>
    <row r="778" spans="27:30" x14ac:dyDescent="0.2">
      <c r="AA778" s="155"/>
      <c r="AC778" s="155"/>
      <c r="AD778" s="155"/>
    </row>
    <row r="779" spans="27:30" x14ac:dyDescent="0.2">
      <c r="AA779" s="155"/>
      <c r="AC779" s="155"/>
      <c r="AD779" s="155"/>
    </row>
    <row r="780" spans="27:30" x14ac:dyDescent="0.2">
      <c r="AA780" s="155"/>
      <c r="AC780" s="155"/>
      <c r="AD780" s="155"/>
    </row>
    <row r="781" spans="27:30" x14ac:dyDescent="0.2">
      <c r="AA781" s="155"/>
      <c r="AC781" s="155"/>
      <c r="AD781" s="155"/>
    </row>
    <row r="782" spans="27:30" x14ac:dyDescent="0.2">
      <c r="AA782" s="155"/>
      <c r="AC782" s="155"/>
      <c r="AD782" s="155"/>
    </row>
    <row r="783" spans="27:30" x14ac:dyDescent="0.2">
      <c r="AA783" s="155"/>
      <c r="AC783" s="155"/>
      <c r="AD783" s="155"/>
    </row>
    <row r="784" spans="27:30" x14ac:dyDescent="0.2">
      <c r="AA784" s="155"/>
      <c r="AC784" s="155"/>
      <c r="AD784" s="155"/>
    </row>
    <row r="785" spans="27:30" x14ac:dyDescent="0.2">
      <c r="AA785" s="155"/>
      <c r="AC785" s="155"/>
      <c r="AD785" s="155"/>
    </row>
    <row r="786" spans="27:30" x14ac:dyDescent="0.2">
      <c r="AA786" s="155"/>
      <c r="AC786" s="155"/>
      <c r="AD786" s="155"/>
    </row>
    <row r="787" spans="27:30" x14ac:dyDescent="0.2">
      <c r="AA787" s="155"/>
      <c r="AC787" s="155"/>
      <c r="AD787" s="155"/>
    </row>
    <row r="788" spans="27:30" x14ac:dyDescent="0.2">
      <c r="AA788" s="155"/>
      <c r="AC788" s="155"/>
      <c r="AD788" s="155"/>
    </row>
    <row r="789" spans="27:30" x14ac:dyDescent="0.2">
      <c r="AA789" s="155"/>
      <c r="AC789" s="155"/>
      <c r="AD789" s="155"/>
    </row>
    <row r="790" spans="27:30" x14ac:dyDescent="0.2">
      <c r="AA790" s="155"/>
      <c r="AC790" s="155"/>
      <c r="AD790" s="155"/>
    </row>
    <row r="791" spans="27:30" x14ac:dyDescent="0.2">
      <c r="AA791" s="155"/>
      <c r="AC791" s="155"/>
      <c r="AD791" s="155"/>
    </row>
    <row r="792" spans="27:30" x14ac:dyDescent="0.2">
      <c r="AA792" s="155"/>
      <c r="AC792" s="155"/>
      <c r="AD792" s="155"/>
    </row>
    <row r="793" spans="27:30" x14ac:dyDescent="0.2">
      <c r="AA793" s="155"/>
      <c r="AC793" s="155"/>
      <c r="AD793" s="155"/>
    </row>
    <row r="794" spans="27:30" x14ac:dyDescent="0.2">
      <c r="AA794" s="155"/>
      <c r="AC794" s="155"/>
      <c r="AD794" s="155"/>
    </row>
    <row r="795" spans="27:30" x14ac:dyDescent="0.2">
      <c r="AA795" s="155"/>
      <c r="AC795" s="155"/>
      <c r="AD795" s="155"/>
    </row>
    <row r="796" spans="27:30" x14ac:dyDescent="0.2">
      <c r="AA796" s="155"/>
      <c r="AC796" s="155"/>
      <c r="AD796" s="155"/>
    </row>
    <row r="797" spans="27:30" x14ac:dyDescent="0.2">
      <c r="AA797" s="155"/>
      <c r="AC797" s="155"/>
      <c r="AD797" s="155"/>
    </row>
    <row r="798" spans="27:30" x14ac:dyDescent="0.2">
      <c r="AA798" s="155"/>
      <c r="AC798" s="155"/>
      <c r="AD798" s="155"/>
    </row>
    <row r="799" spans="27:30" x14ac:dyDescent="0.2">
      <c r="AA799" s="155"/>
      <c r="AC799" s="155"/>
      <c r="AD799" s="155"/>
    </row>
    <row r="800" spans="27:30" x14ac:dyDescent="0.2">
      <c r="AA800" s="155"/>
      <c r="AC800" s="155"/>
      <c r="AD800" s="155"/>
    </row>
    <row r="801" spans="27:30" x14ac:dyDescent="0.2">
      <c r="AA801" s="155"/>
      <c r="AC801" s="155"/>
      <c r="AD801" s="155"/>
    </row>
    <row r="802" spans="27:30" x14ac:dyDescent="0.2">
      <c r="AA802" s="155"/>
      <c r="AC802" s="155"/>
      <c r="AD802" s="155"/>
    </row>
    <row r="803" spans="27:30" x14ac:dyDescent="0.2">
      <c r="AA803" s="155"/>
      <c r="AC803" s="155"/>
      <c r="AD803" s="155"/>
    </row>
    <row r="804" spans="27:30" x14ac:dyDescent="0.2">
      <c r="AA804" s="155"/>
      <c r="AC804" s="155"/>
      <c r="AD804" s="155"/>
    </row>
    <row r="805" spans="27:30" x14ac:dyDescent="0.2">
      <c r="AA805" s="155"/>
      <c r="AC805" s="155"/>
      <c r="AD805" s="155"/>
    </row>
    <row r="806" spans="27:30" x14ac:dyDescent="0.2">
      <c r="AA806" s="155"/>
      <c r="AC806" s="155"/>
      <c r="AD806" s="155"/>
    </row>
    <row r="807" spans="27:30" x14ac:dyDescent="0.2">
      <c r="AA807" s="155"/>
      <c r="AC807" s="155"/>
      <c r="AD807" s="155"/>
    </row>
    <row r="808" spans="27:30" x14ac:dyDescent="0.2">
      <c r="AA808" s="155"/>
      <c r="AC808" s="155"/>
      <c r="AD808" s="155"/>
    </row>
    <row r="809" spans="27:30" x14ac:dyDescent="0.2">
      <c r="AA809" s="155"/>
      <c r="AC809" s="155"/>
      <c r="AD809" s="155"/>
    </row>
    <row r="810" spans="27:30" x14ac:dyDescent="0.2">
      <c r="AA810" s="155"/>
      <c r="AC810" s="155"/>
      <c r="AD810" s="155"/>
    </row>
    <row r="811" spans="27:30" x14ac:dyDescent="0.2">
      <c r="AA811" s="155"/>
      <c r="AC811" s="155"/>
      <c r="AD811" s="155"/>
    </row>
    <row r="812" spans="27:30" x14ac:dyDescent="0.2">
      <c r="AA812" s="155"/>
      <c r="AC812" s="155"/>
      <c r="AD812" s="155"/>
    </row>
    <row r="813" spans="27:30" x14ac:dyDescent="0.2">
      <c r="AA813" s="155"/>
      <c r="AC813" s="155"/>
      <c r="AD813" s="155"/>
    </row>
    <row r="814" spans="27:30" x14ac:dyDescent="0.2">
      <c r="AA814" s="155"/>
      <c r="AC814" s="155"/>
      <c r="AD814" s="155"/>
    </row>
    <row r="815" spans="27:30" x14ac:dyDescent="0.2">
      <c r="AA815" s="155"/>
      <c r="AC815" s="155"/>
      <c r="AD815" s="155"/>
    </row>
    <row r="816" spans="27:30" x14ac:dyDescent="0.2">
      <c r="AA816" s="155"/>
      <c r="AC816" s="155"/>
      <c r="AD816" s="155"/>
    </row>
    <row r="817" spans="27:30" x14ac:dyDescent="0.2">
      <c r="AA817" s="155"/>
      <c r="AC817" s="155"/>
      <c r="AD817" s="155"/>
    </row>
    <row r="818" spans="27:30" x14ac:dyDescent="0.2">
      <c r="AA818" s="155"/>
      <c r="AC818" s="155"/>
      <c r="AD818" s="155"/>
    </row>
    <row r="819" spans="27:30" x14ac:dyDescent="0.2">
      <c r="AA819" s="155"/>
      <c r="AC819" s="155"/>
      <c r="AD819" s="155"/>
    </row>
    <row r="820" spans="27:30" x14ac:dyDescent="0.2">
      <c r="AA820" s="155"/>
      <c r="AC820" s="155"/>
      <c r="AD820" s="155"/>
    </row>
    <row r="821" spans="27:30" x14ac:dyDescent="0.2">
      <c r="AA821" s="155"/>
      <c r="AC821" s="155"/>
      <c r="AD821" s="155"/>
    </row>
    <row r="822" spans="27:30" x14ac:dyDescent="0.2">
      <c r="AA822" s="155"/>
      <c r="AC822" s="155"/>
      <c r="AD822" s="155"/>
    </row>
    <row r="823" spans="27:30" x14ac:dyDescent="0.2">
      <c r="AA823" s="155"/>
      <c r="AC823" s="155"/>
      <c r="AD823" s="155"/>
    </row>
    <row r="824" spans="27:30" x14ac:dyDescent="0.2">
      <c r="AA824" s="155"/>
      <c r="AC824" s="155"/>
      <c r="AD824" s="155"/>
    </row>
    <row r="825" spans="27:30" x14ac:dyDescent="0.2">
      <c r="AA825" s="155"/>
      <c r="AC825" s="155"/>
      <c r="AD825" s="155"/>
    </row>
    <row r="826" spans="27:30" x14ac:dyDescent="0.2">
      <c r="AA826" s="155"/>
      <c r="AC826" s="155"/>
      <c r="AD826" s="155"/>
    </row>
    <row r="827" spans="27:30" x14ac:dyDescent="0.2">
      <c r="AA827" s="155"/>
      <c r="AC827" s="155"/>
      <c r="AD827" s="155"/>
    </row>
    <row r="828" spans="27:30" x14ac:dyDescent="0.2">
      <c r="AA828" s="155"/>
      <c r="AC828" s="155"/>
      <c r="AD828" s="155"/>
    </row>
    <row r="829" spans="27:30" x14ac:dyDescent="0.2">
      <c r="AA829" s="155"/>
      <c r="AC829" s="155"/>
      <c r="AD829" s="155"/>
    </row>
    <row r="830" spans="27:30" x14ac:dyDescent="0.2">
      <c r="AA830" s="155"/>
      <c r="AC830" s="155"/>
      <c r="AD830" s="155"/>
    </row>
    <row r="831" spans="27:30" x14ac:dyDescent="0.2">
      <c r="AA831" s="155"/>
      <c r="AC831" s="155"/>
      <c r="AD831" s="155"/>
    </row>
    <row r="832" spans="27:30" x14ac:dyDescent="0.2">
      <c r="AA832" s="155"/>
      <c r="AC832" s="155"/>
      <c r="AD832" s="155"/>
    </row>
    <row r="833" spans="27:30" x14ac:dyDescent="0.2">
      <c r="AA833" s="155"/>
      <c r="AC833" s="155"/>
      <c r="AD833" s="155"/>
    </row>
    <row r="834" spans="27:30" x14ac:dyDescent="0.2">
      <c r="AA834" s="155"/>
      <c r="AC834" s="155"/>
      <c r="AD834" s="155"/>
    </row>
    <row r="835" spans="27:30" x14ac:dyDescent="0.2">
      <c r="AA835" s="155"/>
      <c r="AC835" s="155"/>
      <c r="AD835" s="155"/>
    </row>
    <row r="836" spans="27:30" x14ac:dyDescent="0.2">
      <c r="AA836" s="155"/>
      <c r="AC836" s="155"/>
      <c r="AD836" s="155"/>
    </row>
    <row r="837" spans="27:30" x14ac:dyDescent="0.2">
      <c r="AA837" s="155"/>
      <c r="AC837" s="155"/>
      <c r="AD837" s="155"/>
    </row>
    <row r="838" spans="27:30" x14ac:dyDescent="0.2">
      <c r="AA838" s="155"/>
      <c r="AC838" s="155"/>
      <c r="AD838" s="155"/>
    </row>
    <row r="839" spans="27:30" x14ac:dyDescent="0.2">
      <c r="AA839" s="155"/>
      <c r="AC839" s="155"/>
      <c r="AD839" s="155"/>
    </row>
    <row r="840" spans="27:30" x14ac:dyDescent="0.2">
      <c r="AA840" s="155"/>
      <c r="AC840" s="155"/>
      <c r="AD840" s="155"/>
    </row>
    <row r="841" spans="27:30" x14ac:dyDescent="0.2">
      <c r="AA841" s="155"/>
      <c r="AC841" s="155"/>
      <c r="AD841" s="155"/>
    </row>
    <row r="842" spans="27:30" x14ac:dyDescent="0.2">
      <c r="AA842" s="155"/>
      <c r="AC842" s="155"/>
      <c r="AD842" s="155"/>
    </row>
    <row r="843" spans="27:30" x14ac:dyDescent="0.2">
      <c r="AA843" s="155"/>
      <c r="AC843" s="155"/>
      <c r="AD843" s="155"/>
    </row>
    <row r="844" spans="27:30" x14ac:dyDescent="0.2">
      <c r="AA844" s="155"/>
      <c r="AC844" s="155"/>
      <c r="AD844" s="155"/>
    </row>
    <row r="845" spans="27:30" x14ac:dyDescent="0.2">
      <c r="AA845" s="155"/>
      <c r="AC845" s="155"/>
      <c r="AD845" s="155"/>
    </row>
    <row r="846" spans="27:30" x14ac:dyDescent="0.2">
      <c r="AA846" s="155"/>
      <c r="AC846" s="155"/>
      <c r="AD846" s="155"/>
    </row>
    <row r="847" spans="27:30" x14ac:dyDescent="0.2">
      <c r="AA847" s="155"/>
      <c r="AC847" s="155"/>
      <c r="AD847" s="155"/>
    </row>
    <row r="848" spans="27:30" x14ac:dyDescent="0.2">
      <c r="AA848" s="155"/>
      <c r="AC848" s="155"/>
      <c r="AD848" s="155"/>
    </row>
    <row r="849" spans="27:30" x14ac:dyDescent="0.2">
      <c r="AA849" s="155"/>
      <c r="AC849" s="155"/>
      <c r="AD849" s="155"/>
    </row>
    <row r="850" spans="27:30" x14ac:dyDescent="0.2">
      <c r="AA850" s="155"/>
      <c r="AC850" s="155"/>
      <c r="AD850" s="155"/>
    </row>
    <row r="851" spans="27:30" x14ac:dyDescent="0.2">
      <c r="AA851" s="155"/>
      <c r="AC851" s="155"/>
      <c r="AD851" s="155"/>
    </row>
    <row r="852" spans="27:30" x14ac:dyDescent="0.2">
      <c r="AA852" s="155"/>
      <c r="AC852" s="155"/>
      <c r="AD852" s="155"/>
    </row>
    <row r="853" spans="27:30" x14ac:dyDescent="0.2">
      <c r="AA853" s="155"/>
      <c r="AC853" s="155"/>
      <c r="AD853" s="155"/>
    </row>
    <row r="854" spans="27:30" x14ac:dyDescent="0.2">
      <c r="AA854" s="155"/>
      <c r="AC854" s="155"/>
      <c r="AD854" s="155"/>
    </row>
    <row r="855" spans="27:30" x14ac:dyDescent="0.2">
      <c r="AA855" s="155"/>
      <c r="AC855" s="155"/>
      <c r="AD855" s="155"/>
    </row>
    <row r="856" spans="27:30" x14ac:dyDescent="0.2">
      <c r="AA856" s="155"/>
      <c r="AC856" s="155"/>
      <c r="AD856" s="155"/>
    </row>
    <row r="857" spans="27:30" x14ac:dyDescent="0.2">
      <c r="AA857" s="155"/>
      <c r="AC857" s="155"/>
      <c r="AD857" s="155"/>
    </row>
    <row r="858" spans="27:30" x14ac:dyDescent="0.2">
      <c r="AA858" s="155"/>
      <c r="AC858" s="155"/>
      <c r="AD858" s="155"/>
    </row>
    <row r="859" spans="27:30" x14ac:dyDescent="0.2">
      <c r="AA859" s="155"/>
      <c r="AC859" s="155"/>
      <c r="AD859" s="155"/>
    </row>
    <row r="860" spans="27:30" x14ac:dyDescent="0.2">
      <c r="AA860" s="155"/>
      <c r="AC860" s="155"/>
      <c r="AD860" s="155"/>
    </row>
    <row r="861" spans="27:30" x14ac:dyDescent="0.2">
      <c r="AA861" s="155"/>
      <c r="AC861" s="155"/>
      <c r="AD861" s="155"/>
    </row>
    <row r="862" spans="27:30" x14ac:dyDescent="0.2">
      <c r="AA862" s="155"/>
      <c r="AC862" s="155"/>
      <c r="AD862" s="155"/>
    </row>
    <row r="863" spans="27:30" x14ac:dyDescent="0.2">
      <c r="AA863" s="155"/>
      <c r="AC863" s="155"/>
      <c r="AD863" s="155"/>
    </row>
    <row r="864" spans="27:30" x14ac:dyDescent="0.2">
      <c r="AA864" s="155"/>
      <c r="AC864" s="155"/>
      <c r="AD864" s="155"/>
    </row>
    <row r="865" spans="27:30" x14ac:dyDescent="0.2">
      <c r="AA865" s="155"/>
      <c r="AC865" s="155"/>
      <c r="AD865" s="155"/>
    </row>
    <row r="866" spans="27:30" x14ac:dyDescent="0.2">
      <c r="AA866" s="155"/>
      <c r="AC866" s="155"/>
      <c r="AD866" s="155"/>
    </row>
    <row r="867" spans="27:30" x14ac:dyDescent="0.2">
      <c r="AA867" s="155"/>
      <c r="AC867" s="155"/>
      <c r="AD867" s="155"/>
    </row>
    <row r="868" spans="27:30" x14ac:dyDescent="0.2">
      <c r="AA868" s="155"/>
      <c r="AC868" s="155"/>
      <c r="AD868" s="155"/>
    </row>
    <row r="869" spans="27:30" x14ac:dyDescent="0.2">
      <c r="AA869" s="155"/>
      <c r="AC869" s="155"/>
      <c r="AD869" s="155"/>
    </row>
    <row r="870" spans="27:30" x14ac:dyDescent="0.2">
      <c r="AA870" s="155"/>
      <c r="AC870" s="155"/>
      <c r="AD870" s="155"/>
    </row>
    <row r="871" spans="27:30" x14ac:dyDescent="0.2">
      <c r="AA871" s="155"/>
      <c r="AC871" s="155"/>
      <c r="AD871" s="155"/>
    </row>
    <row r="872" spans="27:30" x14ac:dyDescent="0.2">
      <c r="AA872" s="155"/>
      <c r="AC872" s="155"/>
      <c r="AD872" s="155"/>
    </row>
    <row r="873" spans="27:30" x14ac:dyDescent="0.2">
      <c r="AA873" s="155"/>
      <c r="AC873" s="155"/>
      <c r="AD873" s="155"/>
    </row>
    <row r="874" spans="27:30" x14ac:dyDescent="0.2">
      <c r="AA874" s="155"/>
      <c r="AC874" s="155"/>
      <c r="AD874" s="155"/>
    </row>
    <row r="875" spans="27:30" x14ac:dyDescent="0.2">
      <c r="AA875" s="155"/>
      <c r="AC875" s="155"/>
      <c r="AD875" s="155"/>
    </row>
    <row r="876" spans="27:30" x14ac:dyDescent="0.2">
      <c r="AA876" s="155"/>
      <c r="AC876" s="155"/>
      <c r="AD876" s="155"/>
    </row>
    <row r="877" spans="27:30" x14ac:dyDescent="0.2">
      <c r="AA877" s="155"/>
      <c r="AC877" s="155"/>
      <c r="AD877" s="155"/>
    </row>
    <row r="878" spans="27:30" x14ac:dyDescent="0.2">
      <c r="AA878" s="155"/>
      <c r="AC878" s="155"/>
      <c r="AD878" s="155"/>
    </row>
    <row r="879" spans="27:30" x14ac:dyDescent="0.2">
      <c r="AA879" s="155"/>
      <c r="AC879" s="155"/>
      <c r="AD879" s="155"/>
    </row>
    <row r="880" spans="27:30" x14ac:dyDescent="0.2">
      <c r="AA880" s="155"/>
      <c r="AC880" s="155"/>
      <c r="AD880" s="155"/>
    </row>
    <row r="881" spans="27:30" x14ac:dyDescent="0.2">
      <c r="AA881" s="155"/>
      <c r="AC881" s="155"/>
      <c r="AD881" s="155"/>
    </row>
    <row r="882" spans="27:30" x14ac:dyDescent="0.2">
      <c r="AA882" s="155"/>
      <c r="AC882" s="155"/>
      <c r="AD882" s="155"/>
    </row>
    <row r="883" spans="27:30" x14ac:dyDescent="0.2">
      <c r="AA883" s="155"/>
      <c r="AC883" s="155"/>
      <c r="AD883" s="155"/>
    </row>
    <row r="884" spans="27:30" x14ac:dyDescent="0.2">
      <c r="AA884" s="155"/>
      <c r="AC884" s="155"/>
      <c r="AD884" s="155"/>
    </row>
    <row r="885" spans="27:30" x14ac:dyDescent="0.2">
      <c r="AA885" s="155"/>
      <c r="AC885" s="155"/>
      <c r="AD885" s="155"/>
    </row>
    <row r="886" spans="27:30" x14ac:dyDescent="0.2">
      <c r="AA886" s="155"/>
      <c r="AC886" s="155"/>
      <c r="AD886" s="155"/>
    </row>
    <row r="887" spans="27:30" x14ac:dyDescent="0.2">
      <c r="AA887" s="155"/>
      <c r="AC887" s="155"/>
      <c r="AD887" s="155"/>
    </row>
    <row r="888" spans="27:30" x14ac:dyDescent="0.2">
      <c r="AA888" s="155"/>
      <c r="AC888" s="155"/>
      <c r="AD888" s="155"/>
    </row>
    <row r="889" spans="27:30" x14ac:dyDescent="0.2">
      <c r="AA889" s="155"/>
      <c r="AC889" s="155"/>
      <c r="AD889" s="155"/>
    </row>
    <row r="890" spans="27:30" x14ac:dyDescent="0.2">
      <c r="AA890" s="155"/>
      <c r="AC890" s="155"/>
      <c r="AD890" s="155"/>
    </row>
    <row r="891" spans="27:30" x14ac:dyDescent="0.2">
      <c r="AA891" s="155"/>
      <c r="AC891" s="155"/>
      <c r="AD891" s="155"/>
    </row>
    <row r="892" spans="27:30" x14ac:dyDescent="0.2">
      <c r="AA892" s="155"/>
      <c r="AC892" s="155"/>
      <c r="AD892" s="155"/>
    </row>
    <row r="893" spans="27:30" x14ac:dyDescent="0.2">
      <c r="AA893" s="155"/>
      <c r="AC893" s="155"/>
      <c r="AD893" s="155"/>
    </row>
    <row r="894" spans="27:30" x14ac:dyDescent="0.2">
      <c r="AA894" s="155"/>
      <c r="AC894" s="155"/>
      <c r="AD894" s="155"/>
    </row>
    <row r="895" spans="27:30" x14ac:dyDescent="0.2">
      <c r="AA895" s="155"/>
      <c r="AC895" s="155"/>
      <c r="AD895" s="155"/>
    </row>
    <row r="896" spans="27:30" x14ac:dyDescent="0.2">
      <c r="AA896" s="155"/>
      <c r="AC896" s="155"/>
      <c r="AD896" s="155"/>
    </row>
    <row r="897" spans="27:30" x14ac:dyDescent="0.2">
      <c r="AA897" s="155"/>
      <c r="AC897" s="155"/>
      <c r="AD897" s="155"/>
    </row>
    <row r="898" spans="27:30" x14ac:dyDescent="0.2">
      <c r="AA898" s="155"/>
      <c r="AC898" s="155"/>
      <c r="AD898" s="155"/>
    </row>
    <row r="899" spans="27:30" x14ac:dyDescent="0.2">
      <c r="AA899" s="155"/>
      <c r="AC899" s="155"/>
      <c r="AD899" s="155"/>
    </row>
    <row r="900" spans="27:30" x14ac:dyDescent="0.2">
      <c r="AA900" s="155"/>
      <c r="AC900" s="155"/>
      <c r="AD900" s="155"/>
    </row>
    <row r="901" spans="27:30" x14ac:dyDescent="0.2">
      <c r="AA901" s="155"/>
      <c r="AC901" s="155"/>
      <c r="AD901" s="155"/>
    </row>
    <row r="902" spans="27:30" x14ac:dyDescent="0.2">
      <c r="AA902" s="155"/>
      <c r="AC902" s="155"/>
      <c r="AD902" s="155"/>
    </row>
    <row r="903" spans="27:30" x14ac:dyDescent="0.2">
      <c r="AA903" s="155"/>
      <c r="AC903" s="155"/>
      <c r="AD903" s="155"/>
    </row>
    <row r="904" spans="27:30" x14ac:dyDescent="0.2">
      <c r="AA904" s="155"/>
      <c r="AC904" s="155"/>
      <c r="AD904" s="155"/>
    </row>
    <row r="905" spans="27:30" x14ac:dyDescent="0.2">
      <c r="AA905" s="155"/>
      <c r="AC905" s="155"/>
      <c r="AD905" s="155"/>
    </row>
    <row r="906" spans="27:30" x14ac:dyDescent="0.2">
      <c r="AA906" s="155"/>
      <c r="AC906" s="155"/>
      <c r="AD906" s="155"/>
    </row>
    <row r="907" spans="27:30" x14ac:dyDescent="0.2">
      <c r="AA907" s="155"/>
      <c r="AC907" s="155"/>
      <c r="AD907" s="155"/>
    </row>
    <row r="908" spans="27:30" x14ac:dyDescent="0.2">
      <c r="AA908" s="155"/>
      <c r="AC908" s="155"/>
      <c r="AD908" s="155"/>
    </row>
    <row r="909" spans="27:30" x14ac:dyDescent="0.2">
      <c r="AA909" s="155"/>
      <c r="AC909" s="155"/>
      <c r="AD909" s="155"/>
    </row>
    <row r="910" spans="27:30" x14ac:dyDescent="0.2">
      <c r="AA910" s="155"/>
      <c r="AC910" s="155"/>
      <c r="AD910" s="155"/>
    </row>
    <row r="911" spans="27:30" x14ac:dyDescent="0.2">
      <c r="AA911" s="155"/>
      <c r="AC911" s="155"/>
      <c r="AD911" s="155"/>
    </row>
    <row r="912" spans="27:30" x14ac:dyDescent="0.2">
      <c r="AA912" s="155"/>
      <c r="AC912" s="155"/>
      <c r="AD912" s="155"/>
    </row>
    <row r="913" spans="27:30" x14ac:dyDescent="0.2">
      <c r="AA913" s="155"/>
      <c r="AC913" s="155"/>
      <c r="AD913" s="155"/>
    </row>
    <row r="914" spans="27:30" x14ac:dyDescent="0.2">
      <c r="AA914" s="155"/>
      <c r="AC914" s="155"/>
      <c r="AD914" s="155"/>
    </row>
    <row r="915" spans="27:30" x14ac:dyDescent="0.2">
      <c r="AA915" s="155"/>
      <c r="AC915" s="155"/>
      <c r="AD915" s="155"/>
    </row>
    <row r="916" spans="27:30" x14ac:dyDescent="0.2">
      <c r="AA916" s="155"/>
      <c r="AC916" s="155"/>
      <c r="AD916" s="155"/>
    </row>
    <row r="917" spans="27:30" x14ac:dyDescent="0.2">
      <c r="AA917" s="155"/>
      <c r="AC917" s="155"/>
      <c r="AD917" s="155"/>
    </row>
    <row r="918" spans="27:30" x14ac:dyDescent="0.2">
      <c r="AA918" s="155"/>
      <c r="AC918" s="155"/>
      <c r="AD918" s="155"/>
    </row>
    <row r="919" spans="27:30" x14ac:dyDescent="0.2">
      <c r="AA919" s="155"/>
      <c r="AC919" s="155"/>
      <c r="AD919" s="155"/>
    </row>
    <row r="920" spans="27:30" x14ac:dyDescent="0.2">
      <c r="AA920" s="155"/>
      <c r="AC920" s="155"/>
      <c r="AD920" s="155"/>
    </row>
    <row r="921" spans="27:30" x14ac:dyDescent="0.2">
      <c r="AA921" s="155"/>
      <c r="AC921" s="155"/>
      <c r="AD921" s="155"/>
    </row>
    <row r="922" spans="27:30" x14ac:dyDescent="0.2">
      <c r="AA922" s="155"/>
      <c r="AC922" s="155"/>
      <c r="AD922" s="155"/>
    </row>
    <row r="923" spans="27:30" x14ac:dyDescent="0.2">
      <c r="AA923" s="155"/>
      <c r="AC923" s="155"/>
      <c r="AD923" s="155"/>
    </row>
    <row r="924" spans="27:30" x14ac:dyDescent="0.2">
      <c r="AA924" s="155"/>
      <c r="AC924" s="155"/>
      <c r="AD924" s="155"/>
    </row>
    <row r="925" spans="27:30" x14ac:dyDescent="0.2">
      <c r="AA925" s="155"/>
      <c r="AC925" s="155"/>
      <c r="AD925" s="155"/>
    </row>
    <row r="926" spans="27:30" x14ac:dyDescent="0.2">
      <c r="AA926" s="155"/>
      <c r="AC926" s="155"/>
      <c r="AD926" s="155"/>
    </row>
    <row r="927" spans="27:30" x14ac:dyDescent="0.2">
      <c r="AA927" s="155"/>
      <c r="AC927" s="155"/>
      <c r="AD927" s="155"/>
    </row>
    <row r="928" spans="27:30" x14ac:dyDescent="0.2">
      <c r="AA928" s="155"/>
      <c r="AC928" s="155"/>
      <c r="AD928" s="155"/>
    </row>
    <row r="929" spans="27:30" x14ac:dyDescent="0.2">
      <c r="AA929" s="155"/>
      <c r="AC929" s="155"/>
      <c r="AD929" s="155"/>
    </row>
    <row r="930" spans="27:30" x14ac:dyDescent="0.2">
      <c r="AA930" s="155"/>
      <c r="AC930" s="155"/>
      <c r="AD930" s="155"/>
    </row>
    <row r="931" spans="27:30" x14ac:dyDescent="0.2">
      <c r="AA931" s="155"/>
      <c r="AC931" s="155"/>
      <c r="AD931" s="155"/>
    </row>
    <row r="932" spans="27:30" x14ac:dyDescent="0.2">
      <c r="AA932" s="155"/>
      <c r="AC932" s="155"/>
      <c r="AD932" s="155"/>
    </row>
    <row r="933" spans="27:30" x14ac:dyDescent="0.2">
      <c r="AA933" s="155"/>
      <c r="AC933" s="155"/>
      <c r="AD933" s="155"/>
    </row>
    <row r="934" spans="27:30" x14ac:dyDescent="0.2">
      <c r="AA934" s="155"/>
      <c r="AC934" s="155"/>
      <c r="AD934" s="155"/>
    </row>
    <row r="935" spans="27:30" x14ac:dyDescent="0.2">
      <c r="AA935" s="155"/>
      <c r="AC935" s="155"/>
      <c r="AD935" s="155"/>
    </row>
    <row r="936" spans="27:30" x14ac:dyDescent="0.2">
      <c r="AA936" s="155"/>
      <c r="AC936" s="155"/>
      <c r="AD936" s="155"/>
    </row>
    <row r="937" spans="27:30" x14ac:dyDescent="0.2">
      <c r="AA937" s="155"/>
      <c r="AC937" s="155"/>
      <c r="AD937" s="155"/>
    </row>
    <row r="938" spans="27:30" x14ac:dyDescent="0.2">
      <c r="AA938" s="155"/>
      <c r="AC938" s="155"/>
      <c r="AD938" s="155"/>
    </row>
    <row r="939" spans="27:30" x14ac:dyDescent="0.2">
      <c r="AA939" s="155"/>
      <c r="AC939" s="155"/>
      <c r="AD939" s="155"/>
    </row>
    <row r="940" spans="27:30" x14ac:dyDescent="0.2">
      <c r="AA940" s="155"/>
      <c r="AC940" s="155"/>
      <c r="AD940" s="155"/>
    </row>
    <row r="941" spans="27:30" x14ac:dyDescent="0.2">
      <c r="AA941" s="155"/>
      <c r="AC941" s="155"/>
      <c r="AD941" s="155"/>
    </row>
    <row r="942" spans="27:30" x14ac:dyDescent="0.2">
      <c r="AA942" s="155"/>
      <c r="AC942" s="155"/>
      <c r="AD942" s="155"/>
    </row>
    <row r="943" spans="27:30" x14ac:dyDescent="0.2">
      <c r="AA943" s="155"/>
      <c r="AC943" s="155"/>
      <c r="AD943" s="155"/>
    </row>
    <row r="944" spans="27:30" x14ac:dyDescent="0.2">
      <c r="AA944" s="155"/>
      <c r="AC944" s="155"/>
      <c r="AD944" s="155"/>
    </row>
    <row r="945" spans="27:30" x14ac:dyDescent="0.2">
      <c r="AA945" s="155"/>
      <c r="AC945" s="155"/>
      <c r="AD945" s="155"/>
    </row>
    <row r="946" spans="27:30" x14ac:dyDescent="0.2">
      <c r="AA946" s="155"/>
      <c r="AC946" s="155"/>
      <c r="AD946" s="155"/>
    </row>
    <row r="947" spans="27:30" x14ac:dyDescent="0.2">
      <c r="AA947" s="155"/>
      <c r="AC947" s="155"/>
      <c r="AD947" s="155"/>
    </row>
    <row r="948" spans="27:30" x14ac:dyDescent="0.2">
      <c r="AA948" s="155"/>
      <c r="AC948" s="155"/>
      <c r="AD948" s="155"/>
    </row>
    <row r="949" spans="27:30" x14ac:dyDescent="0.2">
      <c r="AA949" s="155"/>
      <c r="AC949" s="155"/>
      <c r="AD949" s="155"/>
    </row>
    <row r="950" spans="27:30" x14ac:dyDescent="0.2">
      <c r="AA950" s="155"/>
      <c r="AC950" s="155"/>
      <c r="AD950" s="155"/>
    </row>
    <row r="951" spans="27:30" x14ac:dyDescent="0.2">
      <c r="AA951" s="155"/>
      <c r="AC951" s="155"/>
      <c r="AD951" s="155"/>
    </row>
    <row r="952" spans="27:30" x14ac:dyDescent="0.2">
      <c r="AA952" s="155"/>
      <c r="AC952" s="155"/>
      <c r="AD952" s="155"/>
    </row>
    <row r="953" spans="27:30" x14ac:dyDescent="0.2">
      <c r="AA953" s="155"/>
      <c r="AC953" s="155"/>
      <c r="AD953" s="155"/>
    </row>
    <row r="954" spans="27:30" x14ac:dyDescent="0.2">
      <c r="AA954" s="155"/>
      <c r="AC954" s="155"/>
      <c r="AD954" s="155"/>
    </row>
    <row r="955" spans="27:30" x14ac:dyDescent="0.2">
      <c r="AA955" s="155"/>
      <c r="AC955" s="155"/>
      <c r="AD955" s="155"/>
    </row>
    <row r="956" spans="27:30" x14ac:dyDescent="0.2">
      <c r="AA956" s="155"/>
      <c r="AC956" s="155"/>
      <c r="AD956" s="155"/>
    </row>
    <row r="957" spans="27:30" x14ac:dyDescent="0.2">
      <c r="AA957" s="155"/>
      <c r="AC957" s="155"/>
      <c r="AD957" s="155"/>
    </row>
    <row r="958" spans="27:30" x14ac:dyDescent="0.2">
      <c r="AA958" s="155"/>
      <c r="AC958" s="155"/>
      <c r="AD958" s="155"/>
    </row>
    <row r="959" spans="27:30" x14ac:dyDescent="0.2">
      <c r="AA959" s="155"/>
      <c r="AC959" s="155"/>
      <c r="AD959" s="155"/>
    </row>
    <row r="960" spans="27:30" x14ac:dyDescent="0.2">
      <c r="AA960" s="155"/>
      <c r="AC960" s="155"/>
      <c r="AD960" s="155"/>
    </row>
    <row r="961" spans="27:30" x14ac:dyDescent="0.2">
      <c r="AA961" s="155"/>
      <c r="AC961" s="155"/>
      <c r="AD961" s="155"/>
    </row>
    <row r="962" spans="27:30" x14ac:dyDescent="0.2">
      <c r="AA962" s="155"/>
      <c r="AC962" s="155"/>
      <c r="AD962" s="155"/>
    </row>
    <row r="963" spans="27:30" x14ac:dyDescent="0.2">
      <c r="AA963" s="155"/>
      <c r="AC963" s="155"/>
      <c r="AD963" s="155"/>
    </row>
    <row r="964" spans="27:30" x14ac:dyDescent="0.2">
      <c r="AA964" s="155"/>
      <c r="AC964" s="155"/>
      <c r="AD964" s="155"/>
    </row>
    <row r="965" spans="27:30" x14ac:dyDescent="0.2">
      <c r="AA965" s="155"/>
      <c r="AC965" s="155"/>
      <c r="AD965" s="155"/>
    </row>
    <row r="966" spans="27:30" x14ac:dyDescent="0.2">
      <c r="AA966" s="155"/>
      <c r="AC966" s="155"/>
      <c r="AD966" s="155"/>
    </row>
    <row r="967" spans="27:30" x14ac:dyDescent="0.2">
      <c r="AA967" s="155"/>
      <c r="AC967" s="155"/>
      <c r="AD967" s="155"/>
    </row>
    <row r="968" spans="27:30" x14ac:dyDescent="0.2">
      <c r="AA968" s="155"/>
      <c r="AC968" s="155"/>
      <c r="AD968" s="155"/>
    </row>
    <row r="969" spans="27:30" x14ac:dyDescent="0.2">
      <c r="AA969" s="155"/>
      <c r="AC969" s="155"/>
      <c r="AD969" s="155"/>
    </row>
    <row r="970" spans="27:30" x14ac:dyDescent="0.2">
      <c r="AA970" s="155"/>
      <c r="AC970" s="155"/>
      <c r="AD970" s="155"/>
    </row>
    <row r="971" spans="27:30" x14ac:dyDescent="0.2">
      <c r="AA971" s="155"/>
      <c r="AC971" s="155"/>
      <c r="AD971" s="155"/>
    </row>
    <row r="972" spans="27:30" x14ac:dyDescent="0.2">
      <c r="AA972" s="155"/>
      <c r="AC972" s="155"/>
      <c r="AD972" s="155"/>
    </row>
    <row r="973" spans="27:30" x14ac:dyDescent="0.2">
      <c r="AA973" s="155"/>
      <c r="AC973" s="155"/>
      <c r="AD973" s="155"/>
    </row>
    <row r="974" spans="27:30" x14ac:dyDescent="0.2">
      <c r="AA974" s="155"/>
      <c r="AC974" s="155"/>
      <c r="AD974" s="155"/>
    </row>
    <row r="975" spans="27:30" x14ac:dyDescent="0.2">
      <c r="AA975" s="155"/>
      <c r="AC975" s="155"/>
      <c r="AD975" s="155"/>
    </row>
    <row r="976" spans="27:30" x14ac:dyDescent="0.2">
      <c r="AA976" s="155"/>
      <c r="AC976" s="155"/>
      <c r="AD976" s="155"/>
    </row>
    <row r="977" spans="27:30" x14ac:dyDescent="0.2">
      <c r="AA977" s="155"/>
      <c r="AC977" s="155"/>
      <c r="AD977" s="155"/>
    </row>
    <row r="978" spans="27:30" x14ac:dyDescent="0.2">
      <c r="AA978" s="155"/>
      <c r="AC978" s="155"/>
      <c r="AD978" s="155"/>
    </row>
    <row r="979" spans="27:30" x14ac:dyDescent="0.2">
      <c r="AA979" s="155"/>
      <c r="AC979" s="155"/>
      <c r="AD979" s="155"/>
    </row>
    <row r="980" spans="27:30" x14ac:dyDescent="0.2">
      <c r="AA980" s="155"/>
      <c r="AC980" s="155"/>
      <c r="AD980" s="155"/>
    </row>
    <row r="981" spans="27:30" x14ac:dyDescent="0.2">
      <c r="AA981" s="155"/>
      <c r="AC981" s="155"/>
      <c r="AD981" s="155"/>
    </row>
    <row r="982" spans="27:30" x14ac:dyDescent="0.2">
      <c r="AA982" s="155"/>
      <c r="AC982" s="155"/>
      <c r="AD982" s="155"/>
    </row>
    <row r="983" spans="27:30" x14ac:dyDescent="0.2">
      <c r="AA983" s="155"/>
      <c r="AC983" s="155"/>
      <c r="AD983" s="155"/>
    </row>
    <row r="984" spans="27:30" x14ac:dyDescent="0.2">
      <c r="AA984" s="155"/>
      <c r="AC984" s="155"/>
      <c r="AD984" s="155"/>
    </row>
    <row r="985" spans="27:30" x14ac:dyDescent="0.2">
      <c r="AA985" s="155"/>
      <c r="AC985" s="155"/>
      <c r="AD985" s="155"/>
    </row>
    <row r="986" spans="27:30" x14ac:dyDescent="0.2">
      <c r="AA986" s="155"/>
      <c r="AC986" s="155"/>
      <c r="AD986" s="155"/>
    </row>
    <row r="987" spans="27:30" x14ac:dyDescent="0.2">
      <c r="AA987" s="155"/>
      <c r="AC987" s="155"/>
      <c r="AD987" s="155"/>
    </row>
    <row r="988" spans="27:30" x14ac:dyDescent="0.2">
      <c r="AA988" s="155"/>
      <c r="AC988" s="155"/>
      <c r="AD988" s="155"/>
    </row>
    <row r="989" spans="27:30" x14ac:dyDescent="0.2">
      <c r="AA989" s="155"/>
      <c r="AC989" s="155"/>
      <c r="AD989" s="155"/>
    </row>
    <row r="990" spans="27:30" x14ac:dyDescent="0.2">
      <c r="AA990" s="155"/>
      <c r="AC990" s="155"/>
      <c r="AD990" s="155"/>
    </row>
    <row r="991" spans="27:30" x14ac:dyDescent="0.2">
      <c r="AA991" s="155"/>
      <c r="AC991" s="155"/>
      <c r="AD991" s="155"/>
    </row>
    <row r="992" spans="27:30" x14ac:dyDescent="0.2">
      <c r="AA992" s="155"/>
      <c r="AC992" s="155"/>
      <c r="AD992" s="155"/>
    </row>
    <row r="993" spans="27:30" x14ac:dyDescent="0.2">
      <c r="AA993" s="155"/>
      <c r="AC993" s="155"/>
      <c r="AD993" s="155"/>
    </row>
    <row r="994" spans="27:30" x14ac:dyDescent="0.2">
      <c r="AA994" s="155"/>
      <c r="AC994" s="155"/>
      <c r="AD994" s="155"/>
    </row>
    <row r="995" spans="27:30" x14ac:dyDescent="0.2">
      <c r="AA995" s="155"/>
      <c r="AC995" s="155"/>
      <c r="AD995" s="155"/>
    </row>
    <row r="996" spans="27:30" x14ac:dyDescent="0.2">
      <c r="AA996" s="155"/>
      <c r="AC996" s="155"/>
      <c r="AD996" s="155"/>
    </row>
    <row r="997" spans="27:30" x14ac:dyDescent="0.2">
      <c r="AA997" s="155"/>
      <c r="AC997" s="155"/>
      <c r="AD997" s="155"/>
    </row>
    <row r="998" spans="27:30" x14ac:dyDescent="0.2">
      <c r="AA998" s="155"/>
      <c r="AC998" s="155"/>
      <c r="AD998" s="155"/>
    </row>
    <row r="999" spans="27:30" x14ac:dyDescent="0.2">
      <c r="AA999" s="155"/>
      <c r="AC999" s="155"/>
      <c r="AD999" s="155"/>
    </row>
    <row r="1000" spans="27:30" x14ac:dyDescent="0.2">
      <c r="AA1000" s="155"/>
      <c r="AC1000" s="155"/>
      <c r="AD1000" s="155"/>
    </row>
    <row r="1001" spans="27:30" x14ac:dyDescent="0.2">
      <c r="AA1001" s="155"/>
      <c r="AC1001" s="155"/>
      <c r="AD1001" s="155"/>
    </row>
    <row r="1002" spans="27:30" x14ac:dyDescent="0.2">
      <c r="AA1002" s="155"/>
      <c r="AC1002" s="155"/>
      <c r="AD1002" s="155"/>
    </row>
    <row r="1003" spans="27:30" x14ac:dyDescent="0.2">
      <c r="AA1003" s="155"/>
      <c r="AC1003" s="155"/>
      <c r="AD1003" s="155"/>
    </row>
    <row r="1004" spans="27:30" x14ac:dyDescent="0.2">
      <c r="AA1004" s="155"/>
      <c r="AC1004" s="155"/>
      <c r="AD1004" s="155"/>
    </row>
    <row r="1005" spans="27:30" x14ac:dyDescent="0.2">
      <c r="AA1005" s="155"/>
      <c r="AC1005" s="155"/>
      <c r="AD1005" s="155"/>
    </row>
    <row r="1006" spans="27:30" x14ac:dyDescent="0.2">
      <c r="AA1006" s="155"/>
      <c r="AC1006" s="155"/>
      <c r="AD1006" s="155"/>
    </row>
    <row r="1007" spans="27:30" x14ac:dyDescent="0.2">
      <c r="AA1007" s="155"/>
      <c r="AC1007" s="155"/>
      <c r="AD1007" s="155"/>
    </row>
    <row r="1008" spans="27:30" x14ac:dyDescent="0.2">
      <c r="AA1008" s="155"/>
      <c r="AC1008" s="155"/>
      <c r="AD1008" s="155"/>
    </row>
    <row r="1009" spans="27:30" x14ac:dyDescent="0.2">
      <c r="AA1009" s="155"/>
      <c r="AC1009" s="155"/>
      <c r="AD1009" s="155"/>
    </row>
    <row r="1010" spans="27:30" x14ac:dyDescent="0.2">
      <c r="AA1010" s="155"/>
      <c r="AC1010" s="155"/>
      <c r="AD1010" s="155"/>
    </row>
    <row r="1011" spans="27:30" x14ac:dyDescent="0.2">
      <c r="AA1011" s="155"/>
      <c r="AC1011" s="155"/>
      <c r="AD1011" s="155"/>
    </row>
    <row r="1012" spans="27:30" x14ac:dyDescent="0.2">
      <c r="AA1012" s="155"/>
      <c r="AC1012" s="155"/>
      <c r="AD1012" s="155"/>
    </row>
    <row r="1013" spans="27:30" x14ac:dyDescent="0.2">
      <c r="AA1013" s="155"/>
      <c r="AC1013" s="155"/>
      <c r="AD1013" s="155"/>
    </row>
    <row r="1014" spans="27:30" x14ac:dyDescent="0.2">
      <c r="AA1014" s="155"/>
      <c r="AC1014" s="155"/>
      <c r="AD1014" s="155"/>
    </row>
    <row r="1015" spans="27:30" x14ac:dyDescent="0.2">
      <c r="AA1015" s="155"/>
      <c r="AC1015" s="155"/>
      <c r="AD1015" s="155"/>
    </row>
    <row r="1016" spans="27:30" x14ac:dyDescent="0.2">
      <c r="AA1016" s="155"/>
      <c r="AC1016" s="155"/>
      <c r="AD1016" s="155"/>
    </row>
    <row r="1017" spans="27:30" x14ac:dyDescent="0.2">
      <c r="AA1017" s="155"/>
      <c r="AC1017" s="155"/>
      <c r="AD1017" s="155"/>
    </row>
    <row r="1018" spans="27:30" x14ac:dyDescent="0.2">
      <c r="AA1018" s="155"/>
      <c r="AC1018" s="155"/>
      <c r="AD1018" s="155"/>
    </row>
    <row r="1019" spans="27:30" x14ac:dyDescent="0.2">
      <c r="AA1019" s="155"/>
      <c r="AC1019" s="155"/>
      <c r="AD1019" s="155"/>
    </row>
    <row r="1020" spans="27:30" x14ac:dyDescent="0.2">
      <c r="AA1020" s="155"/>
      <c r="AC1020" s="155"/>
      <c r="AD1020" s="155"/>
    </row>
    <row r="1021" spans="27:30" x14ac:dyDescent="0.2">
      <c r="AA1021" s="155"/>
      <c r="AC1021" s="155"/>
      <c r="AD1021" s="155"/>
    </row>
    <row r="1022" spans="27:30" x14ac:dyDescent="0.2">
      <c r="AA1022" s="155"/>
      <c r="AC1022" s="155"/>
      <c r="AD1022" s="155"/>
    </row>
    <row r="1023" spans="27:30" x14ac:dyDescent="0.2">
      <c r="AA1023" s="155"/>
      <c r="AC1023" s="155"/>
      <c r="AD1023" s="155"/>
    </row>
    <row r="1024" spans="27:30" x14ac:dyDescent="0.2">
      <c r="AA1024" s="155"/>
      <c r="AC1024" s="155"/>
      <c r="AD1024" s="155"/>
    </row>
    <row r="1025" spans="27:30" x14ac:dyDescent="0.2">
      <c r="AA1025" s="155"/>
      <c r="AC1025" s="155"/>
      <c r="AD1025" s="155"/>
    </row>
    <row r="1026" spans="27:30" x14ac:dyDescent="0.2">
      <c r="AA1026" s="155"/>
      <c r="AC1026" s="155"/>
      <c r="AD1026" s="155"/>
    </row>
    <row r="1027" spans="27:30" x14ac:dyDescent="0.2">
      <c r="AA1027" s="155"/>
      <c r="AC1027" s="155"/>
      <c r="AD1027" s="155"/>
    </row>
    <row r="1028" spans="27:30" x14ac:dyDescent="0.2">
      <c r="AA1028" s="155"/>
      <c r="AC1028" s="155"/>
      <c r="AD1028" s="155"/>
    </row>
    <row r="1029" spans="27:30" x14ac:dyDescent="0.2">
      <c r="AA1029" s="155"/>
      <c r="AC1029" s="155"/>
      <c r="AD1029" s="155"/>
    </row>
    <row r="1030" spans="27:30" x14ac:dyDescent="0.2">
      <c r="AA1030" s="155"/>
      <c r="AC1030" s="155"/>
      <c r="AD1030" s="155"/>
    </row>
    <row r="1031" spans="27:30" x14ac:dyDescent="0.2">
      <c r="AA1031" s="155"/>
      <c r="AC1031" s="155"/>
      <c r="AD1031" s="155"/>
    </row>
    <row r="1032" spans="27:30" x14ac:dyDescent="0.2">
      <c r="AA1032" s="155"/>
      <c r="AC1032" s="155"/>
      <c r="AD1032" s="155"/>
    </row>
    <row r="1033" spans="27:30" x14ac:dyDescent="0.2">
      <c r="AA1033" s="155"/>
      <c r="AC1033" s="155"/>
      <c r="AD1033" s="155"/>
    </row>
    <row r="1034" spans="27:30" x14ac:dyDescent="0.2">
      <c r="AA1034" s="155"/>
      <c r="AC1034" s="155"/>
      <c r="AD1034" s="155"/>
    </row>
    <row r="1035" spans="27:30" x14ac:dyDescent="0.2">
      <c r="AA1035" s="155"/>
      <c r="AC1035" s="155"/>
      <c r="AD1035" s="155"/>
    </row>
    <row r="1036" spans="27:30" x14ac:dyDescent="0.2">
      <c r="AA1036" s="155"/>
      <c r="AC1036" s="155"/>
      <c r="AD1036" s="155"/>
    </row>
    <row r="1037" spans="27:30" x14ac:dyDescent="0.2">
      <c r="AA1037" s="155"/>
      <c r="AC1037" s="155"/>
      <c r="AD1037" s="155"/>
    </row>
    <row r="1038" spans="27:30" x14ac:dyDescent="0.2">
      <c r="AA1038" s="155"/>
      <c r="AC1038" s="155"/>
      <c r="AD1038" s="155"/>
    </row>
    <row r="1039" spans="27:30" x14ac:dyDescent="0.2">
      <c r="AA1039" s="155"/>
      <c r="AC1039" s="155"/>
      <c r="AD1039" s="155"/>
    </row>
    <row r="1040" spans="27:30" x14ac:dyDescent="0.2">
      <c r="AA1040" s="155"/>
      <c r="AC1040" s="155"/>
      <c r="AD1040" s="155"/>
    </row>
    <row r="1041" spans="27:30" x14ac:dyDescent="0.2">
      <c r="AA1041" s="155"/>
      <c r="AC1041" s="155"/>
      <c r="AD1041" s="155"/>
    </row>
    <row r="1042" spans="27:30" x14ac:dyDescent="0.2">
      <c r="AA1042" s="155"/>
      <c r="AC1042" s="155"/>
      <c r="AD1042" s="155"/>
    </row>
    <row r="1043" spans="27:30" x14ac:dyDescent="0.2">
      <c r="AA1043" s="155"/>
      <c r="AC1043" s="155"/>
      <c r="AD1043" s="155"/>
    </row>
    <row r="1044" spans="27:30" x14ac:dyDescent="0.2">
      <c r="AA1044" s="155"/>
      <c r="AC1044" s="155"/>
      <c r="AD1044" s="155"/>
    </row>
    <row r="1045" spans="27:30" x14ac:dyDescent="0.2">
      <c r="AA1045" s="155"/>
      <c r="AC1045" s="155"/>
      <c r="AD1045" s="155"/>
    </row>
    <row r="1046" spans="27:30" x14ac:dyDescent="0.2">
      <c r="AA1046" s="155"/>
      <c r="AC1046" s="155"/>
      <c r="AD1046" s="155"/>
    </row>
    <row r="1047" spans="27:30" x14ac:dyDescent="0.2">
      <c r="AA1047" s="155"/>
      <c r="AC1047" s="155"/>
      <c r="AD1047" s="155"/>
    </row>
    <row r="1048" spans="27:30" x14ac:dyDescent="0.2">
      <c r="AA1048" s="155"/>
      <c r="AC1048" s="155"/>
      <c r="AD1048" s="155"/>
    </row>
    <row r="1049" spans="27:30" x14ac:dyDescent="0.2">
      <c r="AA1049" s="155"/>
      <c r="AC1049" s="155"/>
      <c r="AD1049" s="155"/>
    </row>
    <row r="1050" spans="27:30" x14ac:dyDescent="0.2">
      <c r="AA1050" s="155"/>
      <c r="AC1050" s="155"/>
      <c r="AD1050" s="155"/>
    </row>
    <row r="1051" spans="27:30" x14ac:dyDescent="0.2">
      <c r="AA1051" s="155"/>
      <c r="AC1051" s="155"/>
      <c r="AD1051" s="155"/>
    </row>
    <row r="1052" spans="27:30" x14ac:dyDescent="0.2">
      <c r="AA1052" s="155"/>
      <c r="AC1052" s="155"/>
      <c r="AD1052" s="155"/>
    </row>
    <row r="1053" spans="27:30" x14ac:dyDescent="0.2">
      <c r="AA1053" s="155"/>
      <c r="AC1053" s="155"/>
      <c r="AD1053" s="155"/>
    </row>
    <row r="1054" spans="27:30" x14ac:dyDescent="0.2">
      <c r="AA1054" s="155"/>
      <c r="AC1054" s="155"/>
      <c r="AD1054" s="155"/>
    </row>
    <row r="1055" spans="27:30" x14ac:dyDescent="0.2">
      <c r="AA1055" s="155"/>
      <c r="AC1055" s="155"/>
      <c r="AD1055" s="155"/>
    </row>
    <row r="1056" spans="27:30" x14ac:dyDescent="0.2">
      <c r="AA1056" s="155"/>
      <c r="AC1056" s="155"/>
      <c r="AD1056" s="155"/>
    </row>
    <row r="1057" spans="27:30" x14ac:dyDescent="0.2">
      <c r="AA1057" s="155"/>
      <c r="AC1057" s="155"/>
      <c r="AD1057" s="155"/>
    </row>
    <row r="1058" spans="27:30" x14ac:dyDescent="0.2">
      <c r="AA1058" s="155"/>
      <c r="AC1058" s="155"/>
      <c r="AD1058" s="155"/>
    </row>
    <row r="1059" spans="27:30" x14ac:dyDescent="0.2">
      <c r="AA1059" s="155"/>
      <c r="AC1059" s="155"/>
      <c r="AD1059" s="155"/>
    </row>
    <row r="1060" spans="27:30" x14ac:dyDescent="0.2">
      <c r="AA1060" s="155"/>
      <c r="AC1060" s="155"/>
      <c r="AD1060" s="155"/>
    </row>
    <row r="1061" spans="27:30" x14ac:dyDescent="0.2">
      <c r="AA1061" s="155"/>
      <c r="AC1061" s="155"/>
      <c r="AD1061" s="155"/>
    </row>
    <row r="1062" spans="27:30" x14ac:dyDescent="0.2">
      <c r="AA1062" s="155"/>
      <c r="AC1062" s="155"/>
      <c r="AD1062" s="155"/>
    </row>
    <row r="1063" spans="27:30" x14ac:dyDescent="0.2">
      <c r="AA1063" s="155"/>
      <c r="AC1063" s="155"/>
      <c r="AD1063" s="155"/>
    </row>
    <row r="1064" spans="27:30" x14ac:dyDescent="0.2">
      <c r="AA1064" s="155"/>
      <c r="AC1064" s="155"/>
      <c r="AD1064" s="155"/>
    </row>
    <row r="1065" spans="27:30" x14ac:dyDescent="0.2">
      <c r="AA1065" s="155"/>
      <c r="AC1065" s="155"/>
      <c r="AD1065" s="155"/>
    </row>
    <row r="1066" spans="27:30" x14ac:dyDescent="0.2">
      <c r="AA1066" s="155"/>
      <c r="AC1066" s="155"/>
      <c r="AD1066" s="155"/>
    </row>
    <row r="1067" spans="27:30" x14ac:dyDescent="0.2">
      <c r="AA1067" s="155"/>
      <c r="AC1067" s="155"/>
      <c r="AD1067" s="155"/>
    </row>
    <row r="1068" spans="27:30" x14ac:dyDescent="0.2">
      <c r="AA1068" s="155"/>
      <c r="AC1068" s="155"/>
      <c r="AD1068" s="155"/>
    </row>
    <row r="1069" spans="27:30" x14ac:dyDescent="0.2">
      <c r="AA1069" s="155"/>
      <c r="AC1069" s="155"/>
      <c r="AD1069" s="155"/>
    </row>
    <row r="1070" spans="27:30" x14ac:dyDescent="0.2">
      <c r="AA1070" s="155"/>
      <c r="AC1070" s="155"/>
      <c r="AD1070" s="155"/>
    </row>
    <row r="1071" spans="27:30" x14ac:dyDescent="0.2">
      <c r="AA1071" s="155"/>
      <c r="AC1071" s="155"/>
      <c r="AD1071" s="155"/>
    </row>
    <row r="1072" spans="27:30" x14ac:dyDescent="0.2">
      <c r="AA1072" s="155"/>
      <c r="AC1072" s="155"/>
      <c r="AD1072" s="155"/>
    </row>
    <row r="1073" spans="27:30" x14ac:dyDescent="0.2">
      <c r="AA1073" s="155"/>
      <c r="AC1073" s="155"/>
      <c r="AD1073" s="155"/>
    </row>
    <row r="1074" spans="27:30" x14ac:dyDescent="0.2">
      <c r="AA1074" s="155"/>
      <c r="AC1074" s="155"/>
      <c r="AD1074" s="155"/>
    </row>
    <row r="1075" spans="27:30" x14ac:dyDescent="0.2">
      <c r="AA1075" s="155"/>
      <c r="AC1075" s="155"/>
      <c r="AD1075" s="155"/>
    </row>
    <row r="1076" spans="27:30" x14ac:dyDescent="0.2">
      <c r="AA1076" s="155"/>
      <c r="AC1076" s="155"/>
      <c r="AD1076" s="155"/>
    </row>
    <row r="1077" spans="27:30" x14ac:dyDescent="0.2">
      <c r="AA1077" s="155"/>
      <c r="AC1077" s="155"/>
      <c r="AD1077" s="155"/>
    </row>
    <row r="1078" spans="27:30" x14ac:dyDescent="0.2">
      <c r="AA1078" s="155"/>
      <c r="AC1078" s="155"/>
      <c r="AD1078" s="155"/>
    </row>
    <row r="1079" spans="27:30" x14ac:dyDescent="0.2">
      <c r="AA1079" s="155"/>
      <c r="AC1079" s="155"/>
      <c r="AD1079" s="155"/>
    </row>
    <row r="1080" spans="27:30" x14ac:dyDescent="0.2">
      <c r="AA1080" s="155"/>
      <c r="AC1080" s="155"/>
      <c r="AD1080" s="155"/>
    </row>
    <row r="1081" spans="27:30" x14ac:dyDescent="0.2">
      <c r="AA1081" s="155"/>
      <c r="AC1081" s="155"/>
      <c r="AD1081" s="155"/>
    </row>
    <row r="1082" spans="27:30" x14ac:dyDescent="0.2">
      <c r="AA1082" s="155"/>
      <c r="AC1082" s="155"/>
      <c r="AD1082" s="155"/>
    </row>
    <row r="1083" spans="27:30" x14ac:dyDescent="0.2">
      <c r="AA1083" s="155"/>
      <c r="AC1083" s="155"/>
      <c r="AD1083" s="155"/>
    </row>
    <row r="1084" spans="27:30" x14ac:dyDescent="0.2">
      <c r="AA1084" s="155"/>
      <c r="AC1084" s="155"/>
      <c r="AD1084" s="155"/>
    </row>
    <row r="1085" spans="27:30" x14ac:dyDescent="0.2">
      <c r="AA1085" s="155"/>
      <c r="AC1085" s="155"/>
      <c r="AD1085" s="155"/>
    </row>
    <row r="1086" spans="27:30" x14ac:dyDescent="0.2">
      <c r="AA1086" s="155"/>
      <c r="AC1086" s="155"/>
      <c r="AD1086" s="155"/>
    </row>
    <row r="1087" spans="27:30" x14ac:dyDescent="0.2">
      <c r="AA1087" s="155"/>
      <c r="AC1087" s="155"/>
      <c r="AD1087" s="155"/>
    </row>
    <row r="1088" spans="27:30" x14ac:dyDescent="0.2">
      <c r="AA1088" s="155"/>
      <c r="AC1088" s="155"/>
      <c r="AD1088" s="155"/>
    </row>
    <row r="1089" spans="27:30" x14ac:dyDescent="0.2">
      <c r="AA1089" s="155"/>
      <c r="AC1089" s="155"/>
      <c r="AD1089" s="155"/>
    </row>
    <row r="1090" spans="27:30" x14ac:dyDescent="0.2">
      <c r="AA1090" s="155"/>
      <c r="AC1090" s="155"/>
      <c r="AD1090" s="155"/>
    </row>
    <row r="1091" spans="27:30" x14ac:dyDescent="0.2">
      <c r="AA1091" s="155"/>
      <c r="AC1091" s="155"/>
      <c r="AD1091" s="155"/>
    </row>
    <row r="1092" spans="27:30" x14ac:dyDescent="0.2">
      <c r="AA1092" s="155"/>
      <c r="AC1092" s="155"/>
      <c r="AD1092" s="155"/>
    </row>
    <row r="1093" spans="27:30" x14ac:dyDescent="0.2">
      <c r="AA1093" s="155"/>
      <c r="AC1093" s="155"/>
      <c r="AD1093" s="155"/>
    </row>
    <row r="1094" spans="27:30" x14ac:dyDescent="0.2">
      <c r="AA1094" s="155"/>
      <c r="AC1094" s="155"/>
      <c r="AD1094" s="155"/>
    </row>
    <row r="1095" spans="27:30" x14ac:dyDescent="0.2">
      <c r="AA1095" s="155"/>
      <c r="AC1095" s="155"/>
      <c r="AD1095" s="155"/>
    </row>
    <row r="1096" spans="27:30" x14ac:dyDescent="0.2">
      <c r="AA1096" s="155"/>
      <c r="AC1096" s="155"/>
      <c r="AD1096" s="155"/>
    </row>
    <row r="1097" spans="27:30" x14ac:dyDescent="0.2">
      <c r="AA1097" s="155"/>
      <c r="AC1097" s="155"/>
      <c r="AD1097" s="155"/>
    </row>
    <row r="1098" spans="27:30" x14ac:dyDescent="0.2">
      <c r="AA1098" s="155"/>
      <c r="AC1098" s="155"/>
      <c r="AD1098" s="155"/>
    </row>
    <row r="1099" spans="27:30" x14ac:dyDescent="0.2">
      <c r="AA1099" s="155"/>
      <c r="AC1099" s="155"/>
      <c r="AD1099" s="155"/>
    </row>
    <row r="1100" spans="27:30" x14ac:dyDescent="0.2">
      <c r="AA1100" s="155"/>
      <c r="AC1100" s="155"/>
      <c r="AD1100" s="155"/>
    </row>
    <row r="1101" spans="27:30" x14ac:dyDescent="0.2">
      <c r="AA1101" s="155"/>
      <c r="AC1101" s="155"/>
      <c r="AD1101" s="155"/>
    </row>
    <row r="1102" spans="27:30" x14ac:dyDescent="0.2">
      <c r="AA1102" s="155"/>
      <c r="AC1102" s="155"/>
      <c r="AD1102" s="155"/>
    </row>
    <row r="1103" spans="27:30" x14ac:dyDescent="0.2">
      <c r="AA1103" s="155"/>
      <c r="AC1103" s="155"/>
      <c r="AD1103" s="155"/>
    </row>
    <row r="1104" spans="27:30" x14ac:dyDescent="0.2">
      <c r="AA1104" s="155"/>
      <c r="AC1104" s="155"/>
      <c r="AD1104" s="155"/>
    </row>
    <row r="1105" spans="27:30" x14ac:dyDescent="0.2">
      <c r="AA1105" s="155"/>
      <c r="AC1105" s="155"/>
      <c r="AD1105" s="155"/>
    </row>
    <row r="1106" spans="27:30" x14ac:dyDescent="0.2">
      <c r="AA1106" s="155"/>
      <c r="AC1106" s="155"/>
      <c r="AD1106" s="155"/>
    </row>
    <row r="1107" spans="27:30" x14ac:dyDescent="0.2">
      <c r="AA1107" s="155"/>
      <c r="AC1107" s="155"/>
      <c r="AD1107" s="155"/>
    </row>
    <row r="1108" spans="27:30" x14ac:dyDescent="0.2">
      <c r="AA1108" s="155"/>
      <c r="AC1108" s="155"/>
      <c r="AD1108" s="155"/>
    </row>
    <row r="1109" spans="27:30" x14ac:dyDescent="0.2">
      <c r="AA1109" s="155"/>
      <c r="AC1109" s="155"/>
      <c r="AD1109" s="155"/>
    </row>
    <row r="1110" spans="27:30" x14ac:dyDescent="0.2">
      <c r="AA1110" s="155"/>
      <c r="AC1110" s="155"/>
      <c r="AD1110" s="155"/>
    </row>
    <row r="1111" spans="27:30" x14ac:dyDescent="0.2">
      <c r="AA1111" s="155"/>
      <c r="AC1111" s="155"/>
      <c r="AD1111" s="155"/>
    </row>
    <row r="1112" spans="27:30" x14ac:dyDescent="0.2">
      <c r="AA1112" s="155"/>
      <c r="AC1112" s="155"/>
      <c r="AD1112" s="155"/>
    </row>
    <row r="1113" spans="27:30" x14ac:dyDescent="0.2">
      <c r="AA1113" s="155"/>
      <c r="AC1113" s="155"/>
      <c r="AD1113" s="155"/>
    </row>
    <row r="1114" spans="27:30" x14ac:dyDescent="0.2">
      <c r="AA1114" s="155"/>
      <c r="AC1114" s="155"/>
      <c r="AD1114" s="155"/>
    </row>
    <row r="1115" spans="27:30" x14ac:dyDescent="0.2">
      <c r="AA1115" s="155"/>
      <c r="AC1115" s="155"/>
      <c r="AD1115" s="155"/>
    </row>
    <row r="1116" spans="27:30" x14ac:dyDescent="0.2">
      <c r="AA1116" s="155"/>
      <c r="AC1116" s="155"/>
      <c r="AD1116" s="155"/>
    </row>
    <row r="1117" spans="27:30" x14ac:dyDescent="0.2">
      <c r="AA1117" s="155"/>
      <c r="AC1117" s="155"/>
      <c r="AD1117" s="155"/>
    </row>
    <row r="1118" spans="27:30" x14ac:dyDescent="0.2">
      <c r="AA1118" s="155"/>
      <c r="AC1118" s="155"/>
      <c r="AD1118" s="155"/>
    </row>
    <row r="1119" spans="27:30" x14ac:dyDescent="0.2">
      <c r="AA1119" s="155"/>
      <c r="AC1119" s="155"/>
      <c r="AD1119" s="155"/>
    </row>
    <row r="1120" spans="27:30" x14ac:dyDescent="0.2">
      <c r="AA1120" s="155"/>
      <c r="AC1120" s="155"/>
      <c r="AD1120" s="155"/>
    </row>
    <row r="1121" spans="27:30" x14ac:dyDescent="0.2">
      <c r="AA1121" s="155"/>
      <c r="AC1121" s="155"/>
      <c r="AD1121" s="155"/>
    </row>
    <row r="1122" spans="27:30" x14ac:dyDescent="0.2">
      <c r="AA1122" s="155"/>
      <c r="AC1122" s="155"/>
      <c r="AD1122" s="155"/>
    </row>
    <row r="1123" spans="27:30" x14ac:dyDescent="0.2">
      <c r="AA1123" s="155"/>
      <c r="AC1123" s="155"/>
      <c r="AD1123" s="155"/>
    </row>
    <row r="1124" spans="27:30" x14ac:dyDescent="0.2">
      <c r="AA1124" s="155"/>
      <c r="AC1124" s="155"/>
      <c r="AD1124" s="155"/>
    </row>
    <row r="1125" spans="27:30" x14ac:dyDescent="0.2">
      <c r="AA1125" s="155"/>
      <c r="AC1125" s="155"/>
      <c r="AD1125" s="155"/>
    </row>
    <row r="1126" spans="27:30" x14ac:dyDescent="0.2">
      <c r="AA1126" s="155"/>
      <c r="AC1126" s="155"/>
      <c r="AD1126" s="155"/>
    </row>
    <row r="1127" spans="27:30" x14ac:dyDescent="0.2">
      <c r="AA1127" s="155"/>
      <c r="AC1127" s="155"/>
      <c r="AD1127" s="155"/>
    </row>
    <row r="1128" spans="27:30" x14ac:dyDescent="0.2">
      <c r="AA1128" s="155"/>
      <c r="AC1128" s="155"/>
      <c r="AD1128" s="155"/>
    </row>
    <row r="1129" spans="27:30" x14ac:dyDescent="0.2">
      <c r="AA1129" s="155"/>
      <c r="AC1129" s="155"/>
      <c r="AD1129" s="155"/>
    </row>
    <row r="1130" spans="27:30" x14ac:dyDescent="0.2">
      <c r="AA1130" s="155"/>
      <c r="AC1130" s="155"/>
      <c r="AD1130" s="155"/>
    </row>
    <row r="1131" spans="27:30" x14ac:dyDescent="0.2">
      <c r="AA1131" s="155"/>
      <c r="AC1131" s="155"/>
      <c r="AD1131" s="155"/>
    </row>
    <row r="1132" spans="27:30" x14ac:dyDescent="0.2">
      <c r="AA1132" s="155"/>
      <c r="AC1132" s="155"/>
      <c r="AD1132" s="155"/>
    </row>
    <row r="1133" spans="27:30" x14ac:dyDescent="0.2">
      <c r="AA1133" s="155"/>
      <c r="AC1133" s="155"/>
      <c r="AD1133" s="155"/>
    </row>
    <row r="1134" spans="27:30" x14ac:dyDescent="0.2">
      <c r="AA1134" s="155"/>
      <c r="AC1134" s="155"/>
      <c r="AD1134" s="155"/>
    </row>
    <row r="1135" spans="27:30" x14ac:dyDescent="0.2">
      <c r="AA1135" s="155"/>
      <c r="AC1135" s="155"/>
      <c r="AD1135" s="155"/>
    </row>
    <row r="1136" spans="27:30" x14ac:dyDescent="0.2">
      <c r="AA1136" s="155"/>
      <c r="AC1136" s="155"/>
      <c r="AD1136" s="155"/>
    </row>
    <row r="1137" spans="27:30" x14ac:dyDescent="0.2">
      <c r="AA1137" s="155"/>
      <c r="AC1137" s="155"/>
      <c r="AD1137" s="155"/>
    </row>
    <row r="1138" spans="27:30" x14ac:dyDescent="0.2">
      <c r="AA1138" s="155"/>
      <c r="AC1138" s="155"/>
      <c r="AD1138" s="155"/>
    </row>
    <row r="1139" spans="27:30" x14ac:dyDescent="0.2">
      <c r="AA1139" s="155"/>
      <c r="AC1139" s="155"/>
      <c r="AD1139" s="155"/>
    </row>
    <row r="1140" spans="27:30" x14ac:dyDescent="0.2">
      <c r="AA1140" s="155"/>
      <c r="AC1140" s="155"/>
      <c r="AD1140" s="155"/>
    </row>
    <row r="1141" spans="27:30" x14ac:dyDescent="0.2">
      <c r="AA1141" s="155"/>
      <c r="AC1141" s="155"/>
      <c r="AD1141" s="155"/>
    </row>
    <row r="1142" spans="27:30" x14ac:dyDescent="0.2">
      <c r="AA1142" s="155"/>
      <c r="AC1142" s="155"/>
      <c r="AD1142" s="155"/>
    </row>
    <row r="1143" spans="27:30" x14ac:dyDescent="0.2">
      <c r="AA1143" s="155"/>
      <c r="AC1143" s="155"/>
      <c r="AD1143" s="155"/>
    </row>
    <row r="1144" spans="27:30" x14ac:dyDescent="0.2">
      <c r="AA1144" s="155"/>
      <c r="AC1144" s="155"/>
      <c r="AD1144" s="155"/>
    </row>
    <row r="1145" spans="27:30" x14ac:dyDescent="0.2">
      <c r="AA1145" s="155"/>
      <c r="AC1145" s="155"/>
      <c r="AD1145" s="155"/>
    </row>
    <row r="1146" spans="27:30" x14ac:dyDescent="0.2">
      <c r="AA1146" s="155"/>
      <c r="AC1146" s="155"/>
      <c r="AD1146" s="155"/>
    </row>
    <row r="1147" spans="27:30" x14ac:dyDescent="0.2">
      <c r="AA1147" s="155"/>
      <c r="AC1147" s="155"/>
      <c r="AD1147" s="155"/>
    </row>
    <row r="1148" spans="27:30" x14ac:dyDescent="0.2">
      <c r="AA1148" s="155"/>
      <c r="AC1148" s="155"/>
      <c r="AD1148" s="155"/>
    </row>
    <row r="1149" spans="27:30" x14ac:dyDescent="0.2">
      <c r="AA1149" s="155"/>
      <c r="AC1149" s="155"/>
      <c r="AD1149" s="155"/>
    </row>
    <row r="1150" spans="27:30" x14ac:dyDescent="0.2">
      <c r="AA1150" s="155"/>
      <c r="AC1150" s="155"/>
      <c r="AD1150" s="155"/>
    </row>
    <row r="1151" spans="27:30" x14ac:dyDescent="0.2">
      <c r="AA1151" s="155"/>
      <c r="AC1151" s="155"/>
      <c r="AD1151" s="155"/>
    </row>
    <row r="1152" spans="27:30" x14ac:dyDescent="0.2">
      <c r="AA1152" s="155"/>
      <c r="AC1152" s="155"/>
      <c r="AD1152" s="155"/>
    </row>
    <row r="1153" spans="27:30" x14ac:dyDescent="0.2">
      <c r="AA1153" s="155"/>
      <c r="AC1153" s="155"/>
      <c r="AD1153" s="155"/>
    </row>
    <row r="1154" spans="27:30" x14ac:dyDescent="0.2">
      <c r="AA1154" s="155"/>
      <c r="AC1154" s="155"/>
      <c r="AD1154" s="155"/>
    </row>
    <row r="1155" spans="27:30" x14ac:dyDescent="0.2">
      <c r="AA1155" s="155"/>
      <c r="AC1155" s="155"/>
      <c r="AD1155" s="155"/>
    </row>
    <row r="1156" spans="27:30" x14ac:dyDescent="0.2">
      <c r="AA1156" s="155"/>
      <c r="AC1156" s="155"/>
      <c r="AD1156" s="155"/>
    </row>
    <row r="1157" spans="27:30" x14ac:dyDescent="0.2">
      <c r="AA1157" s="155"/>
      <c r="AC1157" s="155"/>
      <c r="AD1157" s="155"/>
    </row>
    <row r="1158" spans="27:30" x14ac:dyDescent="0.2">
      <c r="AA1158" s="155"/>
      <c r="AC1158" s="155"/>
      <c r="AD1158" s="155"/>
    </row>
    <row r="1159" spans="27:30" x14ac:dyDescent="0.2">
      <c r="AA1159" s="155"/>
      <c r="AC1159" s="155"/>
      <c r="AD1159" s="155"/>
    </row>
    <row r="1160" spans="27:30" x14ac:dyDescent="0.2">
      <c r="AA1160" s="155"/>
      <c r="AC1160" s="155"/>
      <c r="AD1160" s="155"/>
    </row>
    <row r="1161" spans="27:30" x14ac:dyDescent="0.2">
      <c r="AA1161" s="155"/>
      <c r="AC1161" s="155"/>
      <c r="AD1161" s="155"/>
    </row>
    <row r="1162" spans="27:30" x14ac:dyDescent="0.2">
      <c r="AA1162" s="155"/>
      <c r="AC1162" s="155"/>
      <c r="AD1162" s="155"/>
    </row>
    <row r="1163" spans="27:30" x14ac:dyDescent="0.2">
      <c r="AA1163" s="155"/>
      <c r="AC1163" s="155"/>
      <c r="AD1163" s="155"/>
    </row>
    <row r="1164" spans="27:30" x14ac:dyDescent="0.2">
      <c r="AA1164" s="155"/>
      <c r="AC1164" s="155"/>
      <c r="AD1164" s="155"/>
    </row>
    <row r="1165" spans="27:30" x14ac:dyDescent="0.2">
      <c r="AA1165" s="155"/>
      <c r="AC1165" s="155"/>
      <c r="AD1165" s="155"/>
    </row>
    <row r="1166" spans="27:30" x14ac:dyDescent="0.2">
      <c r="AA1166" s="155"/>
      <c r="AC1166" s="155"/>
      <c r="AD1166" s="155"/>
    </row>
    <row r="1167" spans="27:30" x14ac:dyDescent="0.2">
      <c r="AA1167" s="155"/>
      <c r="AC1167" s="155"/>
      <c r="AD1167" s="155"/>
    </row>
    <row r="1168" spans="27:30" x14ac:dyDescent="0.2">
      <c r="AA1168" s="155"/>
      <c r="AC1168" s="155"/>
      <c r="AD1168" s="155"/>
    </row>
    <row r="1169" spans="27:30" x14ac:dyDescent="0.2">
      <c r="AA1169" s="155"/>
      <c r="AC1169" s="155"/>
      <c r="AD1169" s="155"/>
    </row>
    <row r="1170" spans="27:30" x14ac:dyDescent="0.2">
      <c r="AA1170" s="155"/>
      <c r="AC1170" s="155"/>
      <c r="AD1170" s="155"/>
    </row>
    <row r="1171" spans="27:30" x14ac:dyDescent="0.2">
      <c r="AA1171" s="155"/>
      <c r="AC1171" s="155"/>
      <c r="AD1171" s="155"/>
    </row>
    <row r="1172" spans="27:30" x14ac:dyDescent="0.2">
      <c r="AA1172" s="155"/>
      <c r="AC1172" s="155"/>
      <c r="AD1172" s="155"/>
    </row>
    <row r="1173" spans="27:30" x14ac:dyDescent="0.2">
      <c r="AA1173" s="155"/>
      <c r="AC1173" s="155"/>
      <c r="AD1173" s="155"/>
    </row>
    <row r="1174" spans="27:30" x14ac:dyDescent="0.2">
      <c r="AA1174" s="155"/>
      <c r="AC1174" s="155"/>
      <c r="AD1174" s="155"/>
    </row>
    <row r="1175" spans="27:30" x14ac:dyDescent="0.2">
      <c r="AA1175" s="155"/>
      <c r="AC1175" s="155"/>
      <c r="AD1175" s="155"/>
    </row>
    <row r="1176" spans="27:30" x14ac:dyDescent="0.2">
      <c r="AA1176" s="155"/>
      <c r="AC1176" s="155"/>
      <c r="AD1176" s="155"/>
    </row>
    <row r="1177" spans="27:30" x14ac:dyDescent="0.2">
      <c r="AA1177" s="155"/>
      <c r="AC1177" s="155"/>
      <c r="AD1177" s="155"/>
    </row>
    <row r="1178" spans="27:30" x14ac:dyDescent="0.2">
      <c r="AA1178" s="155"/>
      <c r="AC1178" s="155"/>
      <c r="AD1178" s="155"/>
    </row>
    <row r="1179" spans="27:30" x14ac:dyDescent="0.2">
      <c r="AA1179" s="155"/>
      <c r="AC1179" s="155"/>
      <c r="AD1179" s="155"/>
    </row>
    <row r="1180" spans="27:30" x14ac:dyDescent="0.2">
      <c r="AA1180" s="155"/>
      <c r="AC1180" s="155"/>
      <c r="AD1180" s="155"/>
    </row>
    <row r="1181" spans="27:30" x14ac:dyDescent="0.2">
      <c r="AA1181" s="155"/>
      <c r="AC1181" s="155"/>
      <c r="AD1181" s="155"/>
    </row>
    <row r="1182" spans="27:30" x14ac:dyDescent="0.2">
      <c r="AA1182" s="155"/>
      <c r="AC1182" s="155"/>
      <c r="AD1182" s="155"/>
    </row>
    <row r="1183" spans="27:30" x14ac:dyDescent="0.2">
      <c r="AA1183" s="155"/>
      <c r="AC1183" s="155"/>
      <c r="AD1183" s="155"/>
    </row>
    <row r="1184" spans="27:30" x14ac:dyDescent="0.2">
      <c r="AA1184" s="155"/>
      <c r="AC1184" s="155"/>
      <c r="AD1184" s="155"/>
    </row>
    <row r="1185" spans="27:30" x14ac:dyDescent="0.2">
      <c r="AA1185" s="155"/>
      <c r="AC1185" s="155"/>
      <c r="AD1185" s="155"/>
    </row>
    <row r="1186" spans="27:30" x14ac:dyDescent="0.2">
      <c r="AA1186" s="155"/>
      <c r="AC1186" s="155"/>
      <c r="AD1186" s="155"/>
    </row>
    <row r="1187" spans="27:30" x14ac:dyDescent="0.2">
      <c r="AA1187" s="155"/>
      <c r="AC1187" s="155"/>
      <c r="AD1187" s="155"/>
    </row>
    <row r="1188" spans="27:30" x14ac:dyDescent="0.2">
      <c r="AA1188" s="155"/>
      <c r="AC1188" s="155"/>
      <c r="AD1188" s="155"/>
    </row>
    <row r="1189" spans="27:30" x14ac:dyDescent="0.2">
      <c r="AA1189" s="155"/>
      <c r="AC1189" s="155"/>
      <c r="AD1189" s="155"/>
    </row>
    <row r="1190" spans="27:30" x14ac:dyDescent="0.2">
      <c r="AA1190" s="155"/>
      <c r="AC1190" s="155"/>
      <c r="AD1190" s="155"/>
    </row>
    <row r="1191" spans="27:30" x14ac:dyDescent="0.2">
      <c r="AA1191" s="155"/>
      <c r="AC1191" s="155"/>
      <c r="AD1191" s="155"/>
    </row>
    <row r="1192" spans="27:30" x14ac:dyDescent="0.2">
      <c r="AA1192" s="155"/>
      <c r="AC1192" s="155"/>
      <c r="AD1192" s="155"/>
    </row>
    <row r="1193" spans="27:30" x14ac:dyDescent="0.2">
      <c r="AA1193" s="155"/>
      <c r="AC1193" s="155"/>
      <c r="AD1193" s="155"/>
    </row>
    <row r="1194" spans="27:30" x14ac:dyDescent="0.2">
      <c r="AA1194" s="155"/>
      <c r="AC1194" s="155"/>
      <c r="AD1194" s="155"/>
    </row>
    <row r="1195" spans="27:30" x14ac:dyDescent="0.2">
      <c r="AA1195" s="155"/>
      <c r="AC1195" s="155"/>
      <c r="AD1195" s="155"/>
    </row>
    <row r="1196" spans="27:30" x14ac:dyDescent="0.2">
      <c r="AA1196" s="155"/>
      <c r="AC1196" s="155"/>
      <c r="AD1196" s="155"/>
    </row>
    <row r="1197" spans="27:30" x14ac:dyDescent="0.2">
      <c r="AA1197" s="155"/>
      <c r="AC1197" s="155"/>
      <c r="AD1197" s="155"/>
    </row>
    <row r="1198" spans="27:30" x14ac:dyDescent="0.2">
      <c r="AA1198" s="155"/>
      <c r="AC1198" s="155"/>
      <c r="AD1198" s="155"/>
    </row>
    <row r="1199" spans="27:30" x14ac:dyDescent="0.2">
      <c r="AA1199" s="155"/>
      <c r="AC1199" s="155"/>
      <c r="AD1199" s="155"/>
    </row>
    <row r="1200" spans="27:30" x14ac:dyDescent="0.2">
      <c r="AA1200" s="155"/>
      <c r="AC1200" s="155"/>
      <c r="AD1200" s="155"/>
    </row>
    <row r="1201" spans="27:30" x14ac:dyDescent="0.2">
      <c r="AA1201" s="155"/>
      <c r="AC1201" s="155"/>
      <c r="AD1201" s="155"/>
    </row>
    <row r="1202" spans="27:30" x14ac:dyDescent="0.2">
      <c r="AA1202" s="155"/>
      <c r="AC1202" s="155"/>
      <c r="AD1202" s="155"/>
    </row>
    <row r="1203" spans="27:30" x14ac:dyDescent="0.2">
      <c r="AA1203" s="155"/>
      <c r="AC1203" s="155"/>
      <c r="AD1203" s="155"/>
    </row>
    <row r="1204" spans="27:30" x14ac:dyDescent="0.2">
      <c r="AA1204" s="155"/>
      <c r="AC1204" s="155"/>
      <c r="AD1204" s="155"/>
    </row>
    <row r="1205" spans="27:30" x14ac:dyDescent="0.2">
      <c r="AA1205" s="155"/>
      <c r="AC1205" s="155"/>
      <c r="AD1205" s="155"/>
    </row>
    <row r="1206" spans="27:30" x14ac:dyDescent="0.2">
      <c r="AA1206" s="155"/>
      <c r="AC1206" s="155"/>
      <c r="AD1206" s="155"/>
    </row>
    <row r="1207" spans="27:30" x14ac:dyDescent="0.2">
      <c r="AA1207" s="155"/>
      <c r="AC1207" s="155"/>
      <c r="AD1207" s="155"/>
    </row>
    <row r="1208" spans="27:30" x14ac:dyDescent="0.2">
      <c r="AA1208" s="155"/>
      <c r="AC1208" s="155"/>
      <c r="AD1208" s="155"/>
    </row>
    <row r="1209" spans="27:30" x14ac:dyDescent="0.2">
      <c r="AA1209" s="155"/>
      <c r="AC1209" s="155"/>
      <c r="AD1209" s="155"/>
    </row>
    <row r="1210" spans="27:30" x14ac:dyDescent="0.2">
      <c r="AA1210" s="155"/>
      <c r="AC1210" s="155"/>
      <c r="AD1210" s="155"/>
    </row>
    <row r="1211" spans="27:30" x14ac:dyDescent="0.2">
      <c r="AA1211" s="155"/>
      <c r="AC1211" s="155"/>
      <c r="AD1211" s="155"/>
    </row>
    <row r="1212" spans="27:30" x14ac:dyDescent="0.2">
      <c r="AA1212" s="155"/>
      <c r="AC1212" s="155"/>
      <c r="AD1212" s="155"/>
    </row>
    <row r="1213" spans="27:30" x14ac:dyDescent="0.2">
      <c r="AA1213" s="155"/>
      <c r="AC1213" s="155"/>
      <c r="AD1213" s="155"/>
    </row>
    <row r="1214" spans="27:30" x14ac:dyDescent="0.2">
      <c r="AA1214" s="155"/>
      <c r="AC1214" s="155"/>
      <c r="AD1214" s="155"/>
    </row>
    <row r="1215" spans="27:30" x14ac:dyDescent="0.2">
      <c r="AA1215" s="155"/>
      <c r="AC1215" s="155"/>
      <c r="AD1215" s="155"/>
    </row>
    <row r="1216" spans="27:30" x14ac:dyDescent="0.2">
      <c r="AA1216" s="155"/>
      <c r="AC1216" s="155"/>
      <c r="AD1216" s="155"/>
    </row>
    <row r="1217" spans="27:30" x14ac:dyDescent="0.2">
      <c r="AA1217" s="155"/>
      <c r="AC1217" s="155"/>
      <c r="AD1217" s="155"/>
    </row>
    <row r="1218" spans="27:30" x14ac:dyDescent="0.2">
      <c r="AA1218" s="155"/>
      <c r="AC1218" s="155"/>
      <c r="AD1218" s="155"/>
    </row>
    <row r="1219" spans="27:30" x14ac:dyDescent="0.2">
      <c r="AA1219" s="155"/>
      <c r="AC1219" s="155"/>
      <c r="AD1219" s="155"/>
    </row>
    <row r="1220" spans="27:30" x14ac:dyDescent="0.2">
      <c r="AA1220" s="155"/>
      <c r="AC1220" s="155"/>
      <c r="AD1220" s="155"/>
    </row>
    <row r="1221" spans="27:30" x14ac:dyDescent="0.2">
      <c r="AA1221" s="155"/>
      <c r="AC1221" s="155"/>
      <c r="AD1221" s="155"/>
    </row>
    <row r="1222" spans="27:30" x14ac:dyDescent="0.2">
      <c r="AA1222" s="155"/>
      <c r="AC1222" s="155"/>
      <c r="AD1222" s="155"/>
    </row>
    <row r="1223" spans="27:30" x14ac:dyDescent="0.2">
      <c r="AA1223" s="155"/>
      <c r="AC1223" s="155"/>
      <c r="AD1223" s="155"/>
    </row>
    <row r="1224" spans="27:30" x14ac:dyDescent="0.2">
      <c r="AA1224" s="155"/>
      <c r="AC1224" s="155"/>
      <c r="AD1224" s="155"/>
    </row>
    <row r="1225" spans="27:30" x14ac:dyDescent="0.2">
      <c r="AA1225" s="155"/>
      <c r="AC1225" s="155"/>
      <c r="AD1225" s="155"/>
    </row>
    <row r="1226" spans="27:30" x14ac:dyDescent="0.2">
      <c r="AA1226" s="155"/>
      <c r="AC1226" s="155"/>
      <c r="AD1226" s="155"/>
    </row>
    <row r="1227" spans="27:30" x14ac:dyDescent="0.2">
      <c r="AA1227" s="155"/>
      <c r="AC1227" s="155"/>
      <c r="AD1227" s="155"/>
    </row>
    <row r="1228" spans="27:30" x14ac:dyDescent="0.2">
      <c r="AA1228" s="155"/>
      <c r="AC1228" s="155"/>
      <c r="AD1228" s="155"/>
    </row>
    <row r="1229" spans="27:30" x14ac:dyDescent="0.2">
      <c r="AA1229" s="155"/>
      <c r="AC1229" s="155"/>
      <c r="AD1229" s="155"/>
    </row>
    <row r="1230" spans="27:30" x14ac:dyDescent="0.2">
      <c r="AA1230" s="155"/>
      <c r="AC1230" s="155"/>
      <c r="AD1230" s="155"/>
    </row>
    <row r="1231" spans="27:30" x14ac:dyDescent="0.2">
      <c r="AA1231" s="155"/>
      <c r="AC1231" s="155"/>
      <c r="AD1231" s="155"/>
    </row>
    <row r="1232" spans="27:30" x14ac:dyDescent="0.2">
      <c r="AA1232" s="155"/>
      <c r="AC1232" s="155"/>
      <c r="AD1232" s="155"/>
    </row>
    <row r="1233" spans="27:30" x14ac:dyDescent="0.2">
      <c r="AA1233" s="155"/>
      <c r="AC1233" s="155"/>
      <c r="AD1233" s="155"/>
    </row>
    <row r="1234" spans="27:30" x14ac:dyDescent="0.2">
      <c r="AA1234" s="155"/>
      <c r="AC1234" s="155"/>
      <c r="AD1234" s="155"/>
    </row>
    <row r="1235" spans="27:30" x14ac:dyDescent="0.2">
      <c r="AA1235" s="155"/>
      <c r="AC1235" s="155"/>
      <c r="AD1235" s="155"/>
    </row>
    <row r="1236" spans="27:30" x14ac:dyDescent="0.2">
      <c r="AA1236" s="155"/>
      <c r="AC1236" s="155"/>
      <c r="AD1236" s="155"/>
    </row>
    <row r="1237" spans="27:30" x14ac:dyDescent="0.2">
      <c r="AA1237" s="155"/>
      <c r="AC1237" s="155"/>
      <c r="AD1237" s="155"/>
    </row>
    <row r="1238" spans="27:30" x14ac:dyDescent="0.2">
      <c r="AA1238" s="155"/>
      <c r="AC1238" s="155"/>
      <c r="AD1238" s="155"/>
    </row>
    <row r="1239" spans="27:30" x14ac:dyDescent="0.2">
      <c r="AA1239" s="155"/>
      <c r="AC1239" s="155"/>
      <c r="AD1239" s="155"/>
    </row>
    <row r="1240" spans="27:30" x14ac:dyDescent="0.2">
      <c r="AA1240" s="155"/>
      <c r="AC1240" s="155"/>
      <c r="AD1240" s="155"/>
    </row>
    <row r="1241" spans="27:30" x14ac:dyDescent="0.2">
      <c r="AA1241" s="155"/>
      <c r="AC1241" s="155"/>
      <c r="AD1241" s="155"/>
    </row>
    <row r="1242" spans="27:30" x14ac:dyDescent="0.2">
      <c r="AA1242" s="155"/>
      <c r="AC1242" s="155"/>
      <c r="AD1242" s="155"/>
    </row>
    <row r="1243" spans="27:30" x14ac:dyDescent="0.2">
      <c r="AA1243" s="155"/>
      <c r="AC1243" s="155"/>
      <c r="AD1243" s="155"/>
    </row>
    <row r="1244" spans="27:30" x14ac:dyDescent="0.2">
      <c r="AA1244" s="155"/>
      <c r="AC1244" s="155"/>
      <c r="AD1244" s="155"/>
    </row>
    <row r="1245" spans="27:30" x14ac:dyDescent="0.2">
      <c r="AA1245" s="155"/>
      <c r="AC1245" s="155"/>
      <c r="AD1245" s="155"/>
    </row>
    <row r="1246" spans="27:30" x14ac:dyDescent="0.2">
      <c r="AA1246" s="155"/>
      <c r="AC1246" s="155"/>
      <c r="AD1246" s="155"/>
    </row>
    <row r="1247" spans="27:30" x14ac:dyDescent="0.2">
      <c r="AA1247" s="155"/>
      <c r="AC1247" s="155"/>
      <c r="AD1247" s="155"/>
    </row>
    <row r="1248" spans="27:30" x14ac:dyDescent="0.2">
      <c r="AA1248" s="155"/>
      <c r="AC1248" s="155"/>
      <c r="AD1248" s="155"/>
    </row>
    <row r="1249" spans="27:30" x14ac:dyDescent="0.2">
      <c r="AA1249" s="155"/>
      <c r="AC1249" s="155"/>
      <c r="AD1249" s="155"/>
    </row>
    <row r="1250" spans="27:30" x14ac:dyDescent="0.2">
      <c r="AA1250" s="155"/>
      <c r="AC1250" s="155"/>
      <c r="AD1250" s="155"/>
    </row>
    <row r="1251" spans="27:30" x14ac:dyDescent="0.2">
      <c r="AA1251" s="155"/>
      <c r="AC1251" s="155"/>
      <c r="AD1251" s="155"/>
    </row>
    <row r="1252" spans="27:30" x14ac:dyDescent="0.2">
      <c r="AA1252" s="155"/>
      <c r="AC1252" s="155"/>
      <c r="AD1252" s="155"/>
    </row>
    <row r="1253" spans="27:30" x14ac:dyDescent="0.2">
      <c r="AA1253" s="155"/>
      <c r="AC1253" s="155"/>
      <c r="AD1253" s="155"/>
    </row>
    <row r="1254" spans="27:30" x14ac:dyDescent="0.2">
      <c r="AA1254" s="155"/>
      <c r="AC1254" s="155"/>
      <c r="AD1254" s="155"/>
    </row>
    <row r="1255" spans="27:30" x14ac:dyDescent="0.2">
      <c r="AA1255" s="155"/>
      <c r="AC1255" s="155"/>
      <c r="AD1255" s="155"/>
    </row>
    <row r="1256" spans="27:30" x14ac:dyDescent="0.2">
      <c r="AA1256" s="155"/>
      <c r="AC1256" s="155"/>
      <c r="AD1256" s="155"/>
    </row>
    <row r="1257" spans="27:30" x14ac:dyDescent="0.2">
      <c r="AA1257" s="155"/>
      <c r="AC1257" s="155"/>
      <c r="AD1257" s="155"/>
    </row>
    <row r="1258" spans="27:30" x14ac:dyDescent="0.2">
      <c r="AA1258" s="155"/>
      <c r="AC1258" s="155"/>
      <c r="AD1258" s="155"/>
    </row>
    <row r="1259" spans="27:30" x14ac:dyDescent="0.2">
      <c r="AA1259" s="155"/>
      <c r="AC1259" s="155"/>
      <c r="AD1259" s="155"/>
    </row>
    <row r="1260" spans="27:30" x14ac:dyDescent="0.2">
      <c r="AA1260" s="155"/>
      <c r="AC1260" s="155"/>
      <c r="AD1260" s="155"/>
    </row>
    <row r="1261" spans="27:30" x14ac:dyDescent="0.2">
      <c r="AA1261" s="155"/>
      <c r="AC1261" s="155"/>
      <c r="AD1261" s="155"/>
    </row>
    <row r="1262" spans="27:30" x14ac:dyDescent="0.2">
      <c r="AA1262" s="155"/>
      <c r="AC1262" s="155"/>
      <c r="AD1262" s="155"/>
    </row>
    <row r="1263" spans="27:30" x14ac:dyDescent="0.2">
      <c r="AA1263" s="155"/>
      <c r="AC1263" s="155"/>
      <c r="AD1263" s="155"/>
    </row>
    <row r="1264" spans="27:30" x14ac:dyDescent="0.2">
      <c r="AA1264" s="155"/>
      <c r="AC1264" s="155"/>
      <c r="AD1264" s="155"/>
    </row>
    <row r="1265" spans="27:30" x14ac:dyDescent="0.2">
      <c r="AA1265" s="155"/>
      <c r="AC1265" s="155"/>
      <c r="AD1265" s="155"/>
    </row>
    <row r="1266" spans="27:30" x14ac:dyDescent="0.2">
      <c r="AA1266" s="155"/>
      <c r="AC1266" s="155"/>
      <c r="AD1266" s="155"/>
    </row>
    <row r="1267" spans="27:30" x14ac:dyDescent="0.2">
      <c r="AA1267" s="155"/>
      <c r="AC1267" s="155"/>
      <c r="AD1267" s="155"/>
    </row>
    <row r="1268" spans="27:30" x14ac:dyDescent="0.2">
      <c r="AA1268" s="155"/>
      <c r="AC1268" s="155"/>
      <c r="AD1268" s="155"/>
    </row>
    <row r="1269" spans="27:30" x14ac:dyDescent="0.2">
      <c r="AA1269" s="155"/>
      <c r="AC1269" s="155"/>
      <c r="AD1269" s="155"/>
    </row>
    <row r="1270" spans="27:30" x14ac:dyDescent="0.2">
      <c r="AA1270" s="155"/>
      <c r="AC1270" s="155"/>
      <c r="AD1270" s="155"/>
    </row>
    <row r="1271" spans="27:30" x14ac:dyDescent="0.2">
      <c r="AA1271" s="155"/>
      <c r="AC1271" s="155"/>
      <c r="AD1271" s="155"/>
    </row>
    <row r="1272" spans="27:30" x14ac:dyDescent="0.2">
      <c r="AA1272" s="155"/>
      <c r="AC1272" s="155"/>
      <c r="AD1272" s="155"/>
    </row>
    <row r="1273" spans="27:30" x14ac:dyDescent="0.2">
      <c r="AA1273" s="155"/>
      <c r="AC1273" s="155"/>
      <c r="AD1273" s="155"/>
    </row>
    <row r="1274" spans="27:30" x14ac:dyDescent="0.2">
      <c r="AA1274" s="155"/>
      <c r="AC1274" s="155"/>
      <c r="AD1274" s="155"/>
    </row>
    <row r="1275" spans="27:30" x14ac:dyDescent="0.2">
      <c r="AA1275" s="155"/>
      <c r="AC1275" s="155"/>
      <c r="AD1275" s="155"/>
    </row>
    <row r="1276" spans="27:30" x14ac:dyDescent="0.2">
      <c r="AA1276" s="155"/>
      <c r="AC1276" s="155"/>
      <c r="AD1276" s="155"/>
    </row>
    <row r="1277" spans="27:30" x14ac:dyDescent="0.2">
      <c r="AA1277" s="155"/>
      <c r="AC1277" s="155"/>
      <c r="AD1277" s="155"/>
    </row>
    <row r="1278" spans="27:30" x14ac:dyDescent="0.2">
      <c r="AA1278" s="155"/>
      <c r="AC1278" s="155"/>
      <c r="AD1278" s="155"/>
    </row>
    <row r="1279" spans="27:30" x14ac:dyDescent="0.2">
      <c r="AA1279" s="155"/>
      <c r="AC1279" s="155"/>
      <c r="AD1279" s="155"/>
    </row>
    <row r="1280" spans="27:30" x14ac:dyDescent="0.2">
      <c r="AA1280" s="155"/>
      <c r="AC1280" s="155"/>
      <c r="AD1280" s="155"/>
    </row>
    <row r="1281" spans="27:30" x14ac:dyDescent="0.2">
      <c r="AA1281" s="155"/>
      <c r="AC1281" s="155"/>
      <c r="AD1281" s="155"/>
    </row>
    <row r="1282" spans="27:30" x14ac:dyDescent="0.2">
      <c r="AA1282" s="155"/>
      <c r="AC1282" s="155"/>
      <c r="AD1282" s="155"/>
    </row>
    <row r="1283" spans="27:30" x14ac:dyDescent="0.2">
      <c r="AA1283" s="155"/>
      <c r="AC1283" s="155"/>
      <c r="AD1283" s="155"/>
    </row>
    <row r="1284" spans="27:30" x14ac:dyDescent="0.2">
      <c r="AA1284" s="155"/>
      <c r="AC1284" s="155"/>
      <c r="AD1284" s="155"/>
    </row>
    <row r="1285" spans="27:30" x14ac:dyDescent="0.2">
      <c r="AA1285" s="155"/>
      <c r="AC1285" s="155"/>
      <c r="AD1285" s="155"/>
    </row>
    <row r="1286" spans="27:30" x14ac:dyDescent="0.2">
      <c r="AA1286" s="155"/>
      <c r="AC1286" s="155"/>
      <c r="AD1286" s="155"/>
    </row>
    <row r="1287" spans="27:30" x14ac:dyDescent="0.2">
      <c r="AA1287" s="155"/>
      <c r="AC1287" s="155"/>
      <c r="AD1287" s="155"/>
    </row>
    <row r="1288" spans="27:30" x14ac:dyDescent="0.2">
      <c r="AA1288" s="155"/>
      <c r="AC1288" s="155"/>
      <c r="AD1288" s="155"/>
    </row>
    <row r="1289" spans="27:30" x14ac:dyDescent="0.2">
      <c r="AA1289" s="155"/>
      <c r="AC1289" s="155"/>
      <c r="AD1289" s="155"/>
    </row>
    <row r="1290" spans="27:30" x14ac:dyDescent="0.2">
      <c r="AA1290" s="155"/>
      <c r="AC1290" s="155"/>
      <c r="AD1290" s="155"/>
    </row>
    <row r="1291" spans="27:30" x14ac:dyDescent="0.2">
      <c r="AA1291" s="155"/>
      <c r="AC1291" s="155"/>
      <c r="AD1291" s="155"/>
    </row>
    <row r="1292" spans="27:30" x14ac:dyDescent="0.2">
      <c r="AA1292" s="155"/>
      <c r="AC1292" s="155"/>
      <c r="AD1292" s="155"/>
    </row>
    <row r="1293" spans="27:30" x14ac:dyDescent="0.2">
      <c r="AA1293" s="155"/>
      <c r="AC1293" s="155"/>
      <c r="AD1293" s="155"/>
    </row>
    <row r="1294" spans="27:30" x14ac:dyDescent="0.2">
      <c r="AA1294" s="155"/>
      <c r="AC1294" s="155"/>
      <c r="AD1294" s="155"/>
    </row>
    <row r="1295" spans="27:30" x14ac:dyDescent="0.2">
      <c r="AA1295" s="155"/>
      <c r="AC1295" s="155"/>
      <c r="AD1295" s="155"/>
    </row>
    <row r="1296" spans="27:30" x14ac:dyDescent="0.2">
      <c r="AA1296" s="155"/>
      <c r="AC1296" s="155"/>
      <c r="AD1296" s="155"/>
    </row>
    <row r="1297" spans="27:30" x14ac:dyDescent="0.2">
      <c r="AA1297" s="155"/>
      <c r="AC1297" s="155"/>
      <c r="AD1297" s="155"/>
    </row>
    <row r="1298" spans="27:30" x14ac:dyDescent="0.2">
      <c r="AA1298" s="155"/>
      <c r="AC1298" s="155"/>
      <c r="AD1298" s="155"/>
    </row>
    <row r="1299" spans="27:30" x14ac:dyDescent="0.2">
      <c r="AA1299" s="155"/>
      <c r="AC1299" s="155"/>
      <c r="AD1299" s="155"/>
    </row>
    <row r="1300" spans="27:30" x14ac:dyDescent="0.2">
      <c r="AA1300" s="155"/>
      <c r="AC1300" s="155"/>
      <c r="AD1300" s="155"/>
    </row>
    <row r="1301" spans="27:30" x14ac:dyDescent="0.2">
      <c r="AA1301" s="155"/>
      <c r="AC1301" s="155"/>
      <c r="AD1301" s="155"/>
    </row>
    <row r="1302" spans="27:30" x14ac:dyDescent="0.2">
      <c r="AA1302" s="155"/>
      <c r="AC1302" s="155"/>
      <c r="AD1302" s="155"/>
    </row>
    <row r="1303" spans="27:30" x14ac:dyDescent="0.2">
      <c r="AA1303" s="155"/>
      <c r="AC1303" s="155"/>
      <c r="AD1303" s="155"/>
    </row>
    <row r="1304" spans="27:30" x14ac:dyDescent="0.2">
      <c r="AA1304" s="155"/>
      <c r="AC1304" s="155"/>
      <c r="AD1304" s="155"/>
    </row>
    <row r="1305" spans="27:30" x14ac:dyDescent="0.2">
      <c r="AA1305" s="155"/>
      <c r="AC1305" s="155"/>
      <c r="AD1305" s="155"/>
    </row>
    <row r="1306" spans="27:30" x14ac:dyDescent="0.2">
      <c r="AA1306" s="155"/>
      <c r="AC1306" s="155"/>
      <c r="AD1306" s="155"/>
    </row>
    <row r="1307" spans="27:30" x14ac:dyDescent="0.2">
      <c r="AA1307" s="155"/>
      <c r="AC1307" s="155"/>
      <c r="AD1307" s="155"/>
    </row>
    <row r="1308" spans="27:30" x14ac:dyDescent="0.2">
      <c r="AA1308" s="155"/>
      <c r="AC1308" s="155"/>
      <c r="AD1308" s="155"/>
    </row>
    <row r="1309" spans="27:30" x14ac:dyDescent="0.2">
      <c r="AA1309" s="155"/>
      <c r="AC1309" s="155"/>
      <c r="AD1309" s="155"/>
    </row>
    <row r="1310" spans="27:30" x14ac:dyDescent="0.2">
      <c r="AA1310" s="155"/>
      <c r="AC1310" s="155"/>
      <c r="AD1310" s="155"/>
    </row>
    <row r="1311" spans="27:30" x14ac:dyDescent="0.2">
      <c r="AA1311" s="155"/>
      <c r="AC1311" s="155"/>
      <c r="AD1311" s="155"/>
    </row>
    <row r="1312" spans="27:30" x14ac:dyDescent="0.2">
      <c r="AA1312" s="155"/>
      <c r="AC1312" s="155"/>
      <c r="AD1312" s="155"/>
    </row>
    <row r="1313" spans="27:30" x14ac:dyDescent="0.2">
      <c r="AA1313" s="155"/>
      <c r="AC1313" s="155"/>
      <c r="AD1313" s="155"/>
    </row>
    <row r="1314" spans="27:30" x14ac:dyDescent="0.2">
      <c r="AA1314" s="155"/>
      <c r="AC1314" s="155"/>
      <c r="AD1314" s="155"/>
    </row>
    <row r="1315" spans="27:30" x14ac:dyDescent="0.2">
      <c r="AA1315" s="155"/>
      <c r="AC1315" s="155"/>
      <c r="AD1315" s="155"/>
    </row>
    <row r="1316" spans="27:30" x14ac:dyDescent="0.2">
      <c r="AA1316" s="155"/>
      <c r="AC1316" s="155"/>
      <c r="AD1316" s="155"/>
    </row>
    <row r="1317" spans="27:30" x14ac:dyDescent="0.2">
      <c r="AA1317" s="155"/>
      <c r="AC1317" s="155"/>
      <c r="AD1317" s="155"/>
    </row>
    <row r="1318" spans="27:30" x14ac:dyDescent="0.2">
      <c r="AA1318" s="155"/>
      <c r="AC1318" s="155"/>
      <c r="AD1318" s="155"/>
    </row>
    <row r="1319" spans="27:30" x14ac:dyDescent="0.2">
      <c r="AA1319" s="155"/>
      <c r="AC1319" s="155"/>
      <c r="AD1319" s="155"/>
    </row>
    <row r="1320" spans="27:30" x14ac:dyDescent="0.2">
      <c r="AA1320" s="155"/>
      <c r="AC1320" s="155"/>
      <c r="AD1320" s="155"/>
    </row>
    <row r="1321" spans="27:30" x14ac:dyDescent="0.2">
      <c r="AA1321" s="155"/>
      <c r="AC1321" s="155"/>
      <c r="AD1321" s="155"/>
    </row>
    <row r="1322" spans="27:30" x14ac:dyDescent="0.2">
      <c r="AA1322" s="155"/>
      <c r="AC1322" s="155"/>
      <c r="AD1322" s="155"/>
    </row>
    <row r="1323" spans="27:30" x14ac:dyDescent="0.2">
      <c r="AA1323" s="155"/>
      <c r="AC1323" s="155"/>
      <c r="AD1323" s="155"/>
    </row>
    <row r="1324" spans="27:30" x14ac:dyDescent="0.2">
      <c r="AA1324" s="155"/>
      <c r="AC1324" s="155"/>
      <c r="AD1324" s="155"/>
    </row>
    <row r="1325" spans="27:30" x14ac:dyDescent="0.2">
      <c r="AA1325" s="155"/>
      <c r="AC1325" s="155"/>
      <c r="AD1325" s="155"/>
    </row>
    <row r="1326" spans="27:30" x14ac:dyDescent="0.2">
      <c r="AA1326" s="155"/>
      <c r="AC1326" s="155"/>
      <c r="AD1326" s="155"/>
    </row>
    <row r="1327" spans="27:30" x14ac:dyDescent="0.2">
      <c r="AA1327" s="155"/>
      <c r="AC1327" s="155"/>
      <c r="AD1327" s="155"/>
    </row>
    <row r="1328" spans="27:30" x14ac:dyDescent="0.2">
      <c r="AA1328" s="155"/>
      <c r="AC1328" s="155"/>
      <c r="AD1328" s="155"/>
    </row>
    <row r="1329" spans="27:30" x14ac:dyDescent="0.2">
      <c r="AA1329" s="155"/>
      <c r="AC1329" s="155"/>
      <c r="AD1329" s="155"/>
    </row>
    <row r="1330" spans="27:30" x14ac:dyDescent="0.2">
      <c r="AA1330" s="155"/>
      <c r="AC1330" s="155"/>
      <c r="AD1330" s="155"/>
    </row>
    <row r="1331" spans="27:30" x14ac:dyDescent="0.2">
      <c r="AA1331" s="155"/>
      <c r="AC1331" s="155"/>
      <c r="AD1331" s="155"/>
    </row>
    <row r="1332" spans="27:30" x14ac:dyDescent="0.2">
      <c r="AA1332" s="155"/>
      <c r="AC1332" s="155"/>
      <c r="AD1332" s="155"/>
    </row>
    <row r="1333" spans="27:30" x14ac:dyDescent="0.2">
      <c r="AA1333" s="155"/>
      <c r="AC1333" s="155"/>
      <c r="AD1333" s="155"/>
    </row>
    <row r="1334" spans="27:30" x14ac:dyDescent="0.2">
      <c r="AA1334" s="155"/>
      <c r="AC1334" s="155"/>
      <c r="AD1334" s="155"/>
    </row>
    <row r="1335" spans="27:30" x14ac:dyDescent="0.2">
      <c r="AA1335" s="155"/>
      <c r="AC1335" s="155"/>
      <c r="AD1335" s="155"/>
    </row>
    <row r="1336" spans="27:30" x14ac:dyDescent="0.2">
      <c r="AA1336" s="155"/>
      <c r="AC1336" s="155"/>
      <c r="AD1336" s="155"/>
    </row>
    <row r="1337" spans="27:30" x14ac:dyDescent="0.2">
      <c r="AA1337" s="155"/>
      <c r="AC1337" s="155"/>
      <c r="AD1337" s="155"/>
    </row>
    <row r="1338" spans="27:30" x14ac:dyDescent="0.2">
      <c r="AA1338" s="155"/>
      <c r="AC1338" s="155"/>
      <c r="AD1338" s="155"/>
    </row>
    <row r="1339" spans="27:30" x14ac:dyDescent="0.2">
      <c r="AA1339" s="155"/>
      <c r="AC1339" s="155"/>
      <c r="AD1339" s="155"/>
    </row>
    <row r="1340" spans="27:30" x14ac:dyDescent="0.2">
      <c r="AA1340" s="155"/>
      <c r="AC1340" s="155"/>
      <c r="AD1340" s="155"/>
    </row>
    <row r="1341" spans="27:30" x14ac:dyDescent="0.2">
      <c r="AA1341" s="155"/>
      <c r="AC1341" s="155"/>
      <c r="AD1341" s="155"/>
    </row>
    <row r="1342" spans="27:30" x14ac:dyDescent="0.2">
      <c r="AA1342" s="155"/>
      <c r="AC1342" s="155"/>
      <c r="AD1342" s="155"/>
    </row>
    <row r="1343" spans="27:30" x14ac:dyDescent="0.2">
      <c r="AA1343" s="155"/>
      <c r="AC1343" s="155"/>
      <c r="AD1343" s="155"/>
    </row>
    <row r="1344" spans="27:30" x14ac:dyDescent="0.2">
      <c r="AA1344" s="155"/>
      <c r="AC1344" s="155"/>
      <c r="AD1344" s="155"/>
    </row>
    <row r="1345" spans="27:30" x14ac:dyDescent="0.2">
      <c r="AA1345" s="155"/>
      <c r="AC1345" s="155"/>
      <c r="AD1345" s="155"/>
    </row>
    <row r="1346" spans="27:30" x14ac:dyDescent="0.2">
      <c r="AA1346" s="155"/>
      <c r="AC1346" s="155"/>
      <c r="AD1346" s="155"/>
    </row>
    <row r="1347" spans="27:30" x14ac:dyDescent="0.2">
      <c r="AA1347" s="155"/>
      <c r="AC1347" s="155"/>
      <c r="AD1347" s="155"/>
    </row>
    <row r="1348" spans="27:30" x14ac:dyDescent="0.2">
      <c r="AA1348" s="155"/>
      <c r="AC1348" s="155"/>
      <c r="AD1348" s="155"/>
    </row>
    <row r="1349" spans="27:30" x14ac:dyDescent="0.2">
      <c r="AA1349" s="155"/>
      <c r="AC1349" s="155"/>
      <c r="AD1349" s="155"/>
    </row>
    <row r="1350" spans="27:30" x14ac:dyDescent="0.2">
      <c r="AA1350" s="155"/>
      <c r="AC1350" s="155"/>
      <c r="AD1350" s="155"/>
    </row>
    <row r="1351" spans="27:30" x14ac:dyDescent="0.2">
      <c r="AA1351" s="155"/>
      <c r="AC1351" s="155"/>
      <c r="AD1351" s="155"/>
    </row>
    <row r="1352" spans="27:30" x14ac:dyDescent="0.2">
      <c r="AA1352" s="155"/>
      <c r="AC1352" s="155"/>
      <c r="AD1352" s="155"/>
    </row>
    <row r="1353" spans="27:30" x14ac:dyDescent="0.2">
      <c r="AA1353" s="155"/>
      <c r="AC1353" s="155"/>
      <c r="AD1353" s="155"/>
    </row>
    <row r="1354" spans="27:30" x14ac:dyDescent="0.2">
      <c r="AA1354" s="155"/>
      <c r="AC1354" s="155"/>
      <c r="AD1354" s="155"/>
    </row>
    <row r="1355" spans="27:30" x14ac:dyDescent="0.2">
      <c r="AA1355" s="155"/>
      <c r="AC1355" s="155"/>
      <c r="AD1355" s="155"/>
    </row>
    <row r="1356" spans="27:30" x14ac:dyDescent="0.2">
      <c r="AA1356" s="155"/>
      <c r="AC1356" s="155"/>
      <c r="AD1356" s="155"/>
    </row>
    <row r="1357" spans="27:30" x14ac:dyDescent="0.2">
      <c r="AA1357" s="155"/>
      <c r="AC1357" s="155"/>
      <c r="AD1357" s="155"/>
    </row>
    <row r="1358" spans="27:30" x14ac:dyDescent="0.2">
      <c r="AA1358" s="155"/>
      <c r="AC1358" s="155"/>
      <c r="AD1358" s="155"/>
    </row>
    <row r="1359" spans="27:30" x14ac:dyDescent="0.2">
      <c r="AA1359" s="155"/>
      <c r="AC1359" s="155"/>
      <c r="AD1359" s="155"/>
    </row>
    <row r="1360" spans="27:30" x14ac:dyDescent="0.2">
      <c r="AA1360" s="155"/>
      <c r="AC1360" s="155"/>
      <c r="AD1360" s="155"/>
    </row>
    <row r="1361" spans="27:30" x14ac:dyDescent="0.2">
      <c r="AA1361" s="155"/>
      <c r="AC1361" s="155"/>
      <c r="AD1361" s="155"/>
    </row>
    <row r="1362" spans="27:30" x14ac:dyDescent="0.2">
      <c r="AA1362" s="155"/>
      <c r="AC1362" s="155"/>
      <c r="AD1362" s="155"/>
    </row>
    <row r="1363" spans="27:30" x14ac:dyDescent="0.2">
      <c r="AA1363" s="155"/>
      <c r="AC1363" s="155"/>
      <c r="AD1363" s="155"/>
    </row>
    <row r="1364" spans="27:30" x14ac:dyDescent="0.2">
      <c r="AA1364" s="155"/>
      <c r="AC1364" s="155"/>
      <c r="AD1364" s="155"/>
    </row>
    <row r="1365" spans="27:30" x14ac:dyDescent="0.2">
      <c r="AA1365" s="155"/>
      <c r="AC1365" s="155"/>
      <c r="AD1365" s="155"/>
    </row>
    <row r="1366" spans="27:30" x14ac:dyDescent="0.2">
      <c r="AA1366" s="155"/>
      <c r="AC1366" s="155"/>
      <c r="AD1366" s="155"/>
    </row>
    <row r="1367" spans="27:30" x14ac:dyDescent="0.2">
      <c r="AA1367" s="155"/>
      <c r="AC1367" s="155"/>
      <c r="AD1367" s="155"/>
    </row>
    <row r="1368" spans="27:30" x14ac:dyDescent="0.2">
      <c r="AA1368" s="155"/>
      <c r="AC1368" s="155"/>
      <c r="AD1368" s="155"/>
    </row>
    <row r="1369" spans="27:30" x14ac:dyDescent="0.2">
      <c r="AA1369" s="155"/>
      <c r="AC1369" s="155"/>
      <c r="AD1369" s="155"/>
    </row>
    <row r="1370" spans="27:30" x14ac:dyDescent="0.2">
      <c r="AA1370" s="155"/>
      <c r="AC1370" s="155"/>
      <c r="AD1370" s="155"/>
    </row>
    <row r="1371" spans="27:30" x14ac:dyDescent="0.2">
      <c r="AA1371" s="155"/>
      <c r="AC1371" s="155"/>
      <c r="AD1371" s="155"/>
    </row>
    <row r="1372" spans="27:30" x14ac:dyDescent="0.2">
      <c r="AA1372" s="155"/>
      <c r="AC1372" s="155"/>
      <c r="AD1372" s="155"/>
    </row>
    <row r="1373" spans="27:30" x14ac:dyDescent="0.2">
      <c r="AA1373" s="155"/>
      <c r="AC1373" s="155"/>
      <c r="AD1373" s="155"/>
    </row>
    <row r="1374" spans="27:30" x14ac:dyDescent="0.2">
      <c r="AA1374" s="155"/>
      <c r="AC1374" s="155"/>
      <c r="AD1374" s="155"/>
    </row>
    <row r="1375" spans="27:30" x14ac:dyDescent="0.2">
      <c r="AA1375" s="155"/>
      <c r="AC1375" s="155"/>
      <c r="AD1375" s="155"/>
    </row>
    <row r="1376" spans="27:30" x14ac:dyDescent="0.2">
      <c r="AA1376" s="155"/>
      <c r="AC1376" s="155"/>
      <c r="AD1376" s="155"/>
    </row>
    <row r="1377" spans="27:30" x14ac:dyDescent="0.2">
      <c r="AA1377" s="155"/>
      <c r="AC1377" s="155"/>
      <c r="AD1377" s="155"/>
    </row>
    <row r="1378" spans="27:30" x14ac:dyDescent="0.2">
      <c r="AA1378" s="155"/>
      <c r="AC1378" s="155"/>
      <c r="AD1378" s="155"/>
    </row>
    <row r="1379" spans="27:30" x14ac:dyDescent="0.2">
      <c r="AA1379" s="155"/>
      <c r="AC1379" s="155"/>
      <c r="AD1379" s="155"/>
    </row>
    <row r="1380" spans="27:30" x14ac:dyDescent="0.2">
      <c r="AA1380" s="155"/>
      <c r="AC1380" s="155"/>
      <c r="AD1380" s="155"/>
    </row>
    <row r="1381" spans="27:30" x14ac:dyDescent="0.2">
      <c r="AA1381" s="155"/>
      <c r="AC1381" s="155"/>
      <c r="AD1381" s="155"/>
    </row>
    <row r="1382" spans="27:30" x14ac:dyDescent="0.2">
      <c r="AA1382" s="155"/>
      <c r="AC1382" s="155"/>
      <c r="AD1382" s="155"/>
    </row>
    <row r="1383" spans="27:30" x14ac:dyDescent="0.2">
      <c r="AA1383" s="155"/>
      <c r="AC1383" s="155"/>
      <c r="AD1383" s="155"/>
    </row>
    <row r="1384" spans="27:30" x14ac:dyDescent="0.2">
      <c r="AA1384" s="155"/>
      <c r="AC1384" s="155"/>
      <c r="AD1384" s="155"/>
    </row>
    <row r="1385" spans="27:30" x14ac:dyDescent="0.2">
      <c r="AA1385" s="155"/>
      <c r="AC1385" s="155"/>
      <c r="AD1385" s="155"/>
    </row>
    <row r="1386" spans="27:30" x14ac:dyDescent="0.2">
      <c r="AA1386" s="155"/>
      <c r="AC1386" s="155"/>
      <c r="AD1386" s="155"/>
    </row>
    <row r="1387" spans="27:30" x14ac:dyDescent="0.2">
      <c r="AA1387" s="155"/>
      <c r="AC1387" s="155"/>
      <c r="AD1387" s="155"/>
    </row>
    <row r="1388" spans="27:30" x14ac:dyDescent="0.2">
      <c r="AA1388" s="155"/>
      <c r="AC1388" s="155"/>
      <c r="AD1388" s="155"/>
    </row>
    <row r="1389" spans="27:30" x14ac:dyDescent="0.2">
      <c r="AA1389" s="155"/>
      <c r="AC1389" s="155"/>
      <c r="AD1389" s="155"/>
    </row>
    <row r="1390" spans="27:30" x14ac:dyDescent="0.2">
      <c r="AA1390" s="155"/>
      <c r="AC1390" s="155"/>
      <c r="AD1390" s="155"/>
    </row>
    <row r="1391" spans="27:30" x14ac:dyDescent="0.2">
      <c r="AA1391" s="155"/>
      <c r="AC1391" s="155"/>
      <c r="AD1391" s="155"/>
    </row>
    <row r="1392" spans="27:30" x14ac:dyDescent="0.2">
      <c r="AA1392" s="155"/>
      <c r="AC1392" s="155"/>
      <c r="AD1392" s="155"/>
    </row>
    <row r="1393" spans="27:30" x14ac:dyDescent="0.2">
      <c r="AA1393" s="155"/>
      <c r="AC1393" s="155"/>
      <c r="AD1393" s="155"/>
    </row>
    <row r="1394" spans="27:30" x14ac:dyDescent="0.2">
      <c r="AA1394" s="155"/>
      <c r="AC1394" s="155"/>
      <c r="AD1394" s="155"/>
    </row>
    <row r="1395" spans="27:30" x14ac:dyDescent="0.2">
      <c r="AA1395" s="155"/>
      <c r="AC1395" s="155"/>
      <c r="AD1395" s="155"/>
    </row>
    <row r="1396" spans="27:30" x14ac:dyDescent="0.2">
      <c r="AA1396" s="155"/>
      <c r="AC1396" s="155"/>
      <c r="AD1396" s="155"/>
    </row>
    <row r="1397" spans="27:30" x14ac:dyDescent="0.2">
      <c r="AA1397" s="155"/>
      <c r="AC1397" s="155"/>
      <c r="AD1397" s="155"/>
    </row>
    <row r="1398" spans="27:30" x14ac:dyDescent="0.2">
      <c r="AA1398" s="155"/>
      <c r="AC1398" s="155"/>
      <c r="AD1398" s="155"/>
    </row>
    <row r="1399" spans="27:30" x14ac:dyDescent="0.2">
      <c r="AA1399" s="155"/>
      <c r="AC1399" s="155"/>
      <c r="AD1399" s="155"/>
    </row>
    <row r="1400" spans="27:30" x14ac:dyDescent="0.2">
      <c r="AA1400" s="155"/>
      <c r="AC1400" s="155"/>
      <c r="AD1400" s="155"/>
    </row>
    <row r="1401" spans="27:30" x14ac:dyDescent="0.2">
      <c r="AA1401" s="155"/>
      <c r="AC1401" s="155"/>
      <c r="AD1401" s="155"/>
    </row>
    <row r="1402" spans="27:30" x14ac:dyDescent="0.2">
      <c r="AA1402" s="155"/>
      <c r="AC1402" s="155"/>
      <c r="AD1402" s="155"/>
    </row>
    <row r="1403" spans="27:30" x14ac:dyDescent="0.2">
      <c r="AA1403" s="155"/>
      <c r="AC1403" s="155"/>
      <c r="AD1403" s="155"/>
    </row>
    <row r="1404" spans="27:30" x14ac:dyDescent="0.2">
      <c r="AA1404" s="155"/>
      <c r="AC1404" s="155"/>
      <c r="AD1404" s="155"/>
    </row>
    <row r="1405" spans="27:30" x14ac:dyDescent="0.2">
      <c r="AA1405" s="155"/>
      <c r="AC1405" s="155"/>
      <c r="AD1405" s="155"/>
    </row>
    <row r="1406" spans="27:30" x14ac:dyDescent="0.2">
      <c r="AA1406" s="155"/>
      <c r="AC1406" s="155"/>
      <c r="AD1406" s="155"/>
    </row>
    <row r="1407" spans="27:30" x14ac:dyDescent="0.2">
      <c r="AA1407" s="155"/>
      <c r="AC1407" s="155"/>
      <c r="AD1407" s="155"/>
    </row>
    <row r="1408" spans="27:30" x14ac:dyDescent="0.2">
      <c r="AA1408" s="155"/>
      <c r="AC1408" s="155"/>
      <c r="AD1408" s="155"/>
    </row>
    <row r="1409" spans="27:30" x14ac:dyDescent="0.2">
      <c r="AA1409" s="155"/>
      <c r="AC1409" s="155"/>
      <c r="AD1409" s="155"/>
    </row>
    <row r="1410" spans="27:30" x14ac:dyDescent="0.2">
      <c r="AA1410" s="155"/>
      <c r="AC1410" s="155"/>
      <c r="AD1410" s="155"/>
    </row>
    <row r="1411" spans="27:30" x14ac:dyDescent="0.2">
      <c r="AA1411" s="155"/>
      <c r="AC1411" s="155"/>
      <c r="AD1411" s="155"/>
    </row>
    <row r="1412" spans="27:30" x14ac:dyDescent="0.2">
      <c r="AA1412" s="155"/>
      <c r="AC1412" s="155"/>
      <c r="AD1412" s="155"/>
    </row>
    <row r="1413" spans="27:30" x14ac:dyDescent="0.2">
      <c r="AA1413" s="155"/>
      <c r="AC1413" s="155"/>
      <c r="AD1413" s="155"/>
    </row>
    <row r="1414" spans="27:30" x14ac:dyDescent="0.2">
      <c r="AA1414" s="155"/>
      <c r="AC1414" s="155"/>
      <c r="AD1414" s="155"/>
    </row>
    <row r="1415" spans="27:30" x14ac:dyDescent="0.2">
      <c r="AA1415" s="155"/>
      <c r="AC1415" s="155"/>
      <c r="AD1415" s="155"/>
    </row>
    <row r="1416" spans="27:30" x14ac:dyDescent="0.2">
      <c r="AA1416" s="155"/>
      <c r="AC1416" s="155"/>
      <c r="AD1416" s="155"/>
    </row>
    <row r="1417" spans="27:30" x14ac:dyDescent="0.2">
      <c r="AA1417" s="155"/>
      <c r="AC1417" s="155"/>
      <c r="AD1417" s="155"/>
    </row>
    <row r="1418" spans="27:30" x14ac:dyDescent="0.2">
      <c r="AA1418" s="155"/>
      <c r="AC1418" s="155"/>
      <c r="AD1418" s="155"/>
    </row>
    <row r="1419" spans="27:30" x14ac:dyDescent="0.2">
      <c r="AA1419" s="155"/>
      <c r="AC1419" s="155"/>
      <c r="AD1419" s="155"/>
    </row>
    <row r="1420" spans="27:30" x14ac:dyDescent="0.2">
      <c r="AA1420" s="155"/>
      <c r="AC1420" s="155"/>
      <c r="AD1420" s="155"/>
    </row>
    <row r="1421" spans="27:30" x14ac:dyDescent="0.2">
      <c r="AA1421" s="155"/>
      <c r="AC1421" s="155"/>
      <c r="AD1421" s="155"/>
    </row>
    <row r="1422" spans="27:30" x14ac:dyDescent="0.2">
      <c r="AA1422" s="155"/>
      <c r="AC1422" s="155"/>
      <c r="AD1422" s="155"/>
    </row>
    <row r="1423" spans="27:30" x14ac:dyDescent="0.2">
      <c r="AA1423" s="155"/>
      <c r="AC1423" s="155"/>
      <c r="AD1423" s="155"/>
    </row>
    <row r="1424" spans="27:30" x14ac:dyDescent="0.2">
      <c r="AA1424" s="155"/>
      <c r="AC1424" s="155"/>
      <c r="AD1424" s="155"/>
    </row>
    <row r="1425" spans="27:30" x14ac:dyDescent="0.2">
      <c r="AA1425" s="155"/>
      <c r="AC1425" s="155"/>
      <c r="AD1425" s="155"/>
    </row>
    <row r="1426" spans="27:30" x14ac:dyDescent="0.2">
      <c r="AA1426" s="155"/>
      <c r="AC1426" s="155"/>
      <c r="AD1426" s="155"/>
    </row>
    <row r="1427" spans="27:30" x14ac:dyDescent="0.2">
      <c r="AA1427" s="155"/>
      <c r="AC1427" s="155"/>
      <c r="AD1427" s="155"/>
    </row>
    <row r="1428" spans="27:30" x14ac:dyDescent="0.2">
      <c r="AA1428" s="155"/>
      <c r="AC1428" s="155"/>
      <c r="AD1428" s="155"/>
    </row>
    <row r="1429" spans="27:30" x14ac:dyDescent="0.2">
      <c r="AA1429" s="155"/>
      <c r="AC1429" s="155"/>
      <c r="AD1429" s="155"/>
    </row>
    <row r="1430" spans="27:30" x14ac:dyDescent="0.2">
      <c r="AA1430" s="155"/>
      <c r="AC1430" s="155"/>
      <c r="AD1430" s="155"/>
    </row>
    <row r="1431" spans="27:30" x14ac:dyDescent="0.2">
      <c r="AA1431" s="155"/>
      <c r="AC1431" s="155"/>
      <c r="AD1431" s="155"/>
    </row>
    <row r="1432" spans="27:30" x14ac:dyDescent="0.2">
      <c r="AA1432" s="155"/>
      <c r="AC1432" s="155"/>
      <c r="AD1432" s="155"/>
    </row>
    <row r="1433" spans="27:30" x14ac:dyDescent="0.2">
      <c r="AA1433" s="155"/>
      <c r="AC1433" s="155"/>
      <c r="AD1433" s="155"/>
    </row>
    <row r="1434" spans="27:30" x14ac:dyDescent="0.2">
      <c r="AA1434" s="155"/>
      <c r="AC1434" s="155"/>
      <c r="AD1434" s="155"/>
    </row>
    <row r="1435" spans="27:30" x14ac:dyDescent="0.2">
      <c r="AA1435" s="155"/>
      <c r="AC1435" s="155"/>
      <c r="AD1435" s="155"/>
    </row>
    <row r="1436" spans="27:30" x14ac:dyDescent="0.2">
      <c r="AA1436" s="155"/>
      <c r="AC1436" s="155"/>
      <c r="AD1436" s="155"/>
    </row>
    <row r="1437" spans="27:30" x14ac:dyDescent="0.2">
      <c r="AA1437" s="155"/>
      <c r="AC1437" s="155"/>
      <c r="AD1437" s="155"/>
    </row>
    <row r="1438" spans="27:30" x14ac:dyDescent="0.2">
      <c r="AA1438" s="155"/>
      <c r="AC1438" s="155"/>
      <c r="AD1438" s="155"/>
    </row>
    <row r="1439" spans="27:30" x14ac:dyDescent="0.2">
      <c r="AA1439" s="155"/>
      <c r="AC1439" s="155"/>
      <c r="AD1439" s="155"/>
    </row>
    <row r="1440" spans="27:30" x14ac:dyDescent="0.2">
      <c r="AA1440" s="155"/>
      <c r="AC1440" s="155"/>
      <c r="AD1440" s="155"/>
    </row>
    <row r="1441" spans="27:30" x14ac:dyDescent="0.2">
      <c r="AA1441" s="155"/>
      <c r="AC1441" s="155"/>
      <c r="AD1441" s="155"/>
    </row>
    <row r="1442" spans="27:30" x14ac:dyDescent="0.2">
      <c r="AA1442" s="155"/>
      <c r="AC1442" s="155"/>
      <c r="AD1442" s="155"/>
    </row>
    <row r="1443" spans="27:30" x14ac:dyDescent="0.2">
      <c r="AA1443" s="155"/>
      <c r="AC1443" s="155"/>
      <c r="AD1443" s="155"/>
    </row>
    <row r="1444" spans="27:30" x14ac:dyDescent="0.2">
      <c r="AA1444" s="155"/>
      <c r="AC1444" s="155"/>
      <c r="AD1444" s="155"/>
    </row>
    <row r="1445" spans="27:30" x14ac:dyDescent="0.2">
      <c r="AA1445" s="155"/>
      <c r="AC1445" s="155"/>
      <c r="AD1445" s="155"/>
    </row>
    <row r="1446" spans="27:30" x14ac:dyDescent="0.2">
      <c r="AA1446" s="155"/>
      <c r="AC1446" s="155"/>
      <c r="AD1446" s="155"/>
    </row>
    <row r="1447" spans="27:30" x14ac:dyDescent="0.2">
      <c r="AA1447" s="155"/>
      <c r="AC1447" s="155"/>
      <c r="AD1447" s="155"/>
    </row>
    <row r="1448" spans="27:30" x14ac:dyDescent="0.2">
      <c r="AA1448" s="155"/>
      <c r="AC1448" s="155"/>
      <c r="AD1448" s="155"/>
    </row>
    <row r="1449" spans="27:30" x14ac:dyDescent="0.2">
      <c r="AA1449" s="155"/>
      <c r="AC1449" s="155"/>
      <c r="AD1449" s="155"/>
    </row>
    <row r="1450" spans="27:30" x14ac:dyDescent="0.2">
      <c r="AA1450" s="155"/>
      <c r="AC1450" s="155"/>
      <c r="AD1450" s="155"/>
    </row>
    <row r="1451" spans="27:30" x14ac:dyDescent="0.2">
      <c r="AA1451" s="155"/>
      <c r="AC1451" s="155"/>
      <c r="AD1451" s="155"/>
    </row>
    <row r="1452" spans="27:30" x14ac:dyDescent="0.2">
      <c r="AA1452" s="155"/>
      <c r="AC1452" s="155"/>
      <c r="AD1452" s="155"/>
    </row>
    <row r="1453" spans="27:30" x14ac:dyDescent="0.2">
      <c r="AA1453" s="155"/>
      <c r="AC1453" s="155"/>
      <c r="AD1453" s="155"/>
    </row>
    <row r="1454" spans="27:30" x14ac:dyDescent="0.2">
      <c r="AA1454" s="155"/>
      <c r="AC1454" s="155"/>
      <c r="AD1454" s="155"/>
    </row>
    <row r="1455" spans="27:30" x14ac:dyDescent="0.2">
      <c r="AA1455" s="155"/>
      <c r="AC1455" s="155"/>
      <c r="AD1455" s="155"/>
    </row>
    <row r="1456" spans="27:30" x14ac:dyDescent="0.2">
      <c r="AA1456" s="155"/>
      <c r="AC1456" s="155"/>
      <c r="AD1456" s="155"/>
    </row>
    <row r="1457" spans="27:30" x14ac:dyDescent="0.2">
      <c r="AA1457" s="155"/>
      <c r="AC1457" s="155"/>
      <c r="AD1457" s="155"/>
    </row>
    <row r="1458" spans="27:30" x14ac:dyDescent="0.2">
      <c r="AA1458" s="155"/>
      <c r="AC1458" s="155"/>
      <c r="AD1458" s="155"/>
    </row>
    <row r="1459" spans="27:30" x14ac:dyDescent="0.2">
      <c r="AA1459" s="155"/>
      <c r="AC1459" s="155"/>
      <c r="AD1459" s="155"/>
    </row>
    <row r="1460" spans="27:30" x14ac:dyDescent="0.2">
      <c r="AA1460" s="155"/>
      <c r="AC1460" s="155"/>
      <c r="AD1460" s="155"/>
    </row>
    <row r="1461" spans="27:30" x14ac:dyDescent="0.2">
      <c r="AA1461" s="155"/>
      <c r="AC1461" s="155"/>
      <c r="AD1461" s="155"/>
    </row>
    <row r="1462" spans="27:30" x14ac:dyDescent="0.2">
      <c r="AA1462" s="155"/>
      <c r="AC1462" s="155"/>
      <c r="AD1462" s="155"/>
    </row>
    <row r="1463" spans="27:30" x14ac:dyDescent="0.2">
      <c r="AA1463" s="155"/>
      <c r="AC1463" s="155"/>
      <c r="AD1463" s="155"/>
    </row>
    <row r="1464" spans="27:30" x14ac:dyDescent="0.2">
      <c r="AA1464" s="155"/>
      <c r="AC1464" s="155"/>
      <c r="AD1464" s="155"/>
    </row>
    <row r="1465" spans="27:30" x14ac:dyDescent="0.2">
      <c r="AA1465" s="155"/>
      <c r="AC1465" s="155"/>
      <c r="AD1465" s="155"/>
    </row>
    <row r="1466" spans="27:30" x14ac:dyDescent="0.2">
      <c r="AA1466" s="155"/>
      <c r="AC1466" s="155"/>
      <c r="AD1466" s="155"/>
    </row>
    <row r="1467" spans="27:30" x14ac:dyDescent="0.2">
      <c r="AA1467" s="155"/>
      <c r="AC1467" s="155"/>
      <c r="AD1467" s="155"/>
    </row>
    <row r="1468" spans="27:30" x14ac:dyDescent="0.2">
      <c r="AA1468" s="155"/>
      <c r="AC1468" s="155"/>
      <c r="AD1468" s="155"/>
    </row>
    <row r="1469" spans="27:30" x14ac:dyDescent="0.2">
      <c r="AA1469" s="155"/>
      <c r="AC1469" s="155"/>
      <c r="AD1469" s="155"/>
    </row>
    <row r="1470" spans="27:30" x14ac:dyDescent="0.2">
      <c r="AA1470" s="155"/>
      <c r="AC1470" s="155"/>
      <c r="AD1470" s="155"/>
    </row>
    <row r="1471" spans="27:30" x14ac:dyDescent="0.2">
      <c r="AA1471" s="155"/>
      <c r="AC1471" s="155"/>
      <c r="AD1471" s="155"/>
    </row>
    <row r="1472" spans="27:30" x14ac:dyDescent="0.2">
      <c r="AA1472" s="155"/>
      <c r="AC1472" s="155"/>
      <c r="AD1472" s="155"/>
    </row>
    <row r="1473" spans="27:30" x14ac:dyDescent="0.2">
      <c r="AA1473" s="155"/>
      <c r="AC1473" s="155"/>
      <c r="AD1473" s="155"/>
    </row>
    <row r="1474" spans="27:30" x14ac:dyDescent="0.2">
      <c r="AA1474" s="155"/>
      <c r="AC1474" s="155"/>
      <c r="AD1474" s="155"/>
    </row>
    <row r="1475" spans="27:30" x14ac:dyDescent="0.2">
      <c r="AA1475" s="155"/>
      <c r="AC1475" s="155"/>
      <c r="AD1475" s="155"/>
    </row>
    <row r="1476" spans="27:30" x14ac:dyDescent="0.2">
      <c r="AA1476" s="155"/>
      <c r="AC1476" s="155"/>
      <c r="AD1476" s="155"/>
    </row>
    <row r="1477" spans="27:30" x14ac:dyDescent="0.2">
      <c r="AA1477" s="155"/>
      <c r="AC1477" s="155"/>
      <c r="AD1477" s="155"/>
    </row>
    <row r="1478" spans="27:30" x14ac:dyDescent="0.2">
      <c r="AA1478" s="155"/>
      <c r="AC1478" s="155"/>
      <c r="AD1478" s="155"/>
    </row>
    <row r="1479" spans="27:30" x14ac:dyDescent="0.2">
      <c r="AA1479" s="155"/>
      <c r="AC1479" s="155"/>
      <c r="AD1479" s="155"/>
    </row>
    <row r="1480" spans="27:30" x14ac:dyDescent="0.2">
      <c r="AA1480" s="155"/>
      <c r="AC1480" s="155"/>
      <c r="AD1480" s="155"/>
    </row>
    <row r="1481" spans="27:30" x14ac:dyDescent="0.2">
      <c r="AA1481" s="155"/>
      <c r="AC1481" s="155"/>
      <c r="AD1481" s="155"/>
    </row>
    <row r="1482" spans="27:30" x14ac:dyDescent="0.2">
      <c r="AA1482" s="155"/>
      <c r="AC1482" s="155"/>
      <c r="AD1482" s="155"/>
    </row>
    <row r="1483" spans="27:30" x14ac:dyDescent="0.2">
      <c r="AA1483" s="155"/>
      <c r="AC1483" s="155"/>
      <c r="AD1483" s="155"/>
    </row>
    <row r="1484" spans="27:30" x14ac:dyDescent="0.2">
      <c r="AA1484" s="155"/>
      <c r="AC1484" s="155"/>
      <c r="AD1484" s="155"/>
    </row>
    <row r="1485" spans="27:30" x14ac:dyDescent="0.2">
      <c r="AA1485" s="155"/>
      <c r="AC1485" s="155"/>
      <c r="AD1485" s="155"/>
    </row>
    <row r="1486" spans="27:30" x14ac:dyDescent="0.2">
      <c r="AA1486" s="155"/>
      <c r="AC1486" s="155"/>
      <c r="AD1486" s="155"/>
    </row>
    <row r="1487" spans="27:30" x14ac:dyDescent="0.2">
      <c r="AA1487" s="155"/>
      <c r="AC1487" s="155"/>
      <c r="AD1487" s="155"/>
    </row>
    <row r="1488" spans="27:30" x14ac:dyDescent="0.2">
      <c r="AA1488" s="155"/>
      <c r="AC1488" s="155"/>
      <c r="AD1488" s="155"/>
    </row>
    <row r="1489" spans="27:30" x14ac:dyDescent="0.2">
      <c r="AA1489" s="155"/>
      <c r="AC1489" s="155"/>
      <c r="AD1489" s="155"/>
    </row>
    <row r="1490" spans="27:30" x14ac:dyDescent="0.2">
      <c r="AA1490" s="155"/>
      <c r="AC1490" s="155"/>
      <c r="AD1490" s="155"/>
    </row>
    <row r="1491" spans="27:30" x14ac:dyDescent="0.2">
      <c r="AA1491" s="155"/>
      <c r="AC1491" s="155"/>
      <c r="AD1491" s="155"/>
    </row>
    <row r="1492" spans="27:30" x14ac:dyDescent="0.2">
      <c r="AA1492" s="155"/>
      <c r="AC1492" s="155"/>
      <c r="AD1492" s="155"/>
    </row>
    <row r="1493" spans="27:30" x14ac:dyDescent="0.2">
      <c r="AA1493" s="155"/>
      <c r="AC1493" s="155"/>
      <c r="AD1493" s="155"/>
    </row>
    <row r="1494" spans="27:30" x14ac:dyDescent="0.2">
      <c r="AA1494" s="155"/>
      <c r="AC1494" s="155"/>
      <c r="AD1494" s="155"/>
    </row>
    <row r="1495" spans="27:30" x14ac:dyDescent="0.2">
      <c r="AA1495" s="155"/>
      <c r="AC1495" s="155"/>
      <c r="AD1495" s="155"/>
    </row>
    <row r="1496" spans="27:30" x14ac:dyDescent="0.2">
      <c r="AA1496" s="155"/>
      <c r="AC1496" s="155"/>
      <c r="AD1496" s="155"/>
    </row>
    <row r="1497" spans="27:30" x14ac:dyDescent="0.2">
      <c r="AA1497" s="155"/>
      <c r="AC1497" s="155"/>
      <c r="AD1497" s="155"/>
    </row>
    <row r="1498" spans="27:30" x14ac:dyDescent="0.2">
      <c r="AA1498" s="155"/>
      <c r="AC1498" s="155"/>
      <c r="AD1498" s="155"/>
    </row>
    <row r="1499" spans="27:30" x14ac:dyDescent="0.2">
      <c r="AA1499" s="155"/>
      <c r="AC1499" s="155"/>
      <c r="AD1499" s="155"/>
    </row>
    <row r="1500" spans="27:30" x14ac:dyDescent="0.2">
      <c r="AA1500" s="155"/>
      <c r="AC1500" s="155"/>
      <c r="AD1500" s="155"/>
    </row>
    <row r="1501" spans="27:30" x14ac:dyDescent="0.2">
      <c r="AA1501" s="155"/>
      <c r="AC1501" s="155"/>
      <c r="AD1501" s="155"/>
    </row>
    <row r="1502" spans="27:30" x14ac:dyDescent="0.2">
      <c r="AA1502" s="155"/>
      <c r="AC1502" s="155"/>
      <c r="AD1502" s="155"/>
    </row>
    <row r="1503" spans="27:30" x14ac:dyDescent="0.2">
      <c r="AA1503" s="155"/>
      <c r="AC1503" s="155"/>
      <c r="AD1503" s="155"/>
    </row>
    <row r="1504" spans="27:30" x14ac:dyDescent="0.2">
      <c r="AA1504" s="155"/>
      <c r="AC1504" s="155"/>
      <c r="AD1504" s="155"/>
    </row>
    <row r="1505" spans="27:30" x14ac:dyDescent="0.2">
      <c r="AA1505" s="155"/>
      <c r="AC1505" s="155"/>
      <c r="AD1505" s="155"/>
    </row>
    <row r="1506" spans="27:30" x14ac:dyDescent="0.2">
      <c r="AA1506" s="155"/>
      <c r="AC1506" s="155"/>
      <c r="AD1506" s="155"/>
    </row>
    <row r="1507" spans="27:30" x14ac:dyDescent="0.2">
      <c r="AA1507" s="155"/>
      <c r="AC1507" s="155"/>
      <c r="AD1507" s="155"/>
    </row>
    <row r="1508" spans="27:30" x14ac:dyDescent="0.2">
      <c r="AA1508" s="155"/>
      <c r="AC1508" s="155"/>
      <c r="AD1508" s="155"/>
    </row>
    <row r="1509" spans="27:30" x14ac:dyDescent="0.2">
      <c r="AA1509" s="155"/>
      <c r="AC1509" s="155"/>
      <c r="AD1509" s="155"/>
    </row>
    <row r="1510" spans="27:30" x14ac:dyDescent="0.2">
      <c r="AA1510" s="155"/>
      <c r="AC1510" s="155"/>
      <c r="AD1510" s="155"/>
    </row>
    <row r="1511" spans="27:30" x14ac:dyDescent="0.2">
      <c r="AA1511" s="155"/>
      <c r="AC1511" s="155"/>
      <c r="AD1511" s="155"/>
    </row>
    <row r="1512" spans="27:30" x14ac:dyDescent="0.2">
      <c r="AA1512" s="155"/>
      <c r="AC1512" s="155"/>
      <c r="AD1512" s="155"/>
    </row>
    <row r="1513" spans="27:30" x14ac:dyDescent="0.2">
      <c r="AA1513" s="155"/>
      <c r="AC1513" s="155"/>
      <c r="AD1513" s="155"/>
    </row>
    <row r="1514" spans="27:30" x14ac:dyDescent="0.2">
      <c r="AA1514" s="155"/>
      <c r="AC1514" s="155"/>
      <c r="AD1514" s="155"/>
    </row>
    <row r="1515" spans="27:30" x14ac:dyDescent="0.2">
      <c r="AA1515" s="155"/>
      <c r="AC1515" s="155"/>
      <c r="AD1515" s="155"/>
    </row>
    <row r="1516" spans="27:30" x14ac:dyDescent="0.2">
      <c r="AA1516" s="155"/>
      <c r="AC1516" s="155"/>
      <c r="AD1516" s="155"/>
    </row>
    <row r="1517" spans="27:30" x14ac:dyDescent="0.2">
      <c r="AA1517" s="155"/>
      <c r="AC1517" s="155"/>
      <c r="AD1517" s="155"/>
    </row>
    <row r="1518" spans="27:30" x14ac:dyDescent="0.2">
      <c r="AA1518" s="155"/>
      <c r="AC1518" s="155"/>
      <c r="AD1518" s="155"/>
    </row>
    <row r="1519" spans="27:30" x14ac:dyDescent="0.2">
      <c r="AA1519" s="155"/>
      <c r="AC1519" s="155"/>
      <c r="AD1519" s="155"/>
    </row>
    <row r="1520" spans="27:30" x14ac:dyDescent="0.2">
      <c r="AA1520" s="155"/>
      <c r="AC1520" s="155"/>
      <c r="AD1520" s="155"/>
    </row>
    <row r="1521" spans="27:30" x14ac:dyDescent="0.2">
      <c r="AA1521" s="155"/>
      <c r="AC1521" s="155"/>
      <c r="AD1521" s="155"/>
    </row>
    <row r="1522" spans="27:30" x14ac:dyDescent="0.2">
      <c r="AA1522" s="155"/>
      <c r="AC1522" s="155"/>
      <c r="AD1522" s="155"/>
    </row>
    <row r="1523" spans="27:30" x14ac:dyDescent="0.2">
      <c r="AA1523" s="155"/>
      <c r="AC1523" s="155"/>
      <c r="AD1523" s="155"/>
    </row>
    <row r="1524" spans="27:30" x14ac:dyDescent="0.2">
      <c r="AA1524" s="155"/>
      <c r="AC1524" s="155"/>
      <c r="AD1524" s="155"/>
    </row>
    <row r="1525" spans="27:30" x14ac:dyDescent="0.2">
      <c r="AA1525" s="155"/>
      <c r="AC1525" s="155"/>
      <c r="AD1525" s="155"/>
    </row>
    <row r="1526" spans="27:30" x14ac:dyDescent="0.2">
      <c r="AA1526" s="155"/>
      <c r="AC1526" s="155"/>
      <c r="AD1526" s="155"/>
    </row>
    <row r="1527" spans="27:30" x14ac:dyDescent="0.2">
      <c r="AA1527" s="155"/>
      <c r="AC1527" s="155"/>
      <c r="AD1527" s="155"/>
    </row>
    <row r="1528" spans="27:30" x14ac:dyDescent="0.2">
      <c r="AA1528" s="155"/>
      <c r="AC1528" s="155"/>
      <c r="AD1528" s="155"/>
    </row>
    <row r="1529" spans="27:30" x14ac:dyDescent="0.2">
      <c r="AA1529" s="155"/>
      <c r="AC1529" s="155"/>
      <c r="AD1529" s="155"/>
    </row>
    <row r="1530" spans="27:30" x14ac:dyDescent="0.2">
      <c r="AA1530" s="155"/>
      <c r="AC1530" s="155"/>
      <c r="AD1530" s="155"/>
    </row>
    <row r="1531" spans="27:30" x14ac:dyDescent="0.2">
      <c r="AA1531" s="155"/>
      <c r="AC1531" s="155"/>
      <c r="AD1531" s="155"/>
    </row>
    <row r="1532" spans="27:30" x14ac:dyDescent="0.2">
      <c r="AA1532" s="155"/>
      <c r="AC1532" s="155"/>
      <c r="AD1532" s="155"/>
    </row>
    <row r="1533" spans="27:30" x14ac:dyDescent="0.2">
      <c r="AA1533" s="155"/>
      <c r="AC1533" s="155"/>
      <c r="AD1533" s="155"/>
    </row>
    <row r="1534" spans="27:30" x14ac:dyDescent="0.2">
      <c r="AA1534" s="155"/>
      <c r="AC1534" s="155"/>
      <c r="AD1534" s="155"/>
    </row>
    <row r="1535" spans="27:30" x14ac:dyDescent="0.2">
      <c r="AA1535" s="155"/>
      <c r="AC1535" s="155"/>
      <c r="AD1535" s="155"/>
    </row>
    <row r="1536" spans="27:30" x14ac:dyDescent="0.2">
      <c r="AA1536" s="155"/>
      <c r="AC1536" s="155"/>
      <c r="AD1536" s="155"/>
    </row>
    <row r="1537" spans="27:30" x14ac:dyDescent="0.2">
      <c r="AA1537" s="155"/>
      <c r="AC1537" s="155"/>
      <c r="AD1537" s="155"/>
    </row>
    <row r="1538" spans="27:30" x14ac:dyDescent="0.2">
      <c r="AA1538" s="155"/>
      <c r="AC1538" s="155"/>
      <c r="AD1538" s="155"/>
    </row>
    <row r="1539" spans="27:30" x14ac:dyDescent="0.2">
      <c r="AA1539" s="155"/>
      <c r="AC1539" s="155"/>
      <c r="AD1539" s="155"/>
    </row>
    <row r="1540" spans="27:30" x14ac:dyDescent="0.2">
      <c r="AA1540" s="155"/>
      <c r="AC1540" s="155"/>
      <c r="AD1540" s="155"/>
    </row>
    <row r="1541" spans="27:30" x14ac:dyDescent="0.2">
      <c r="AA1541" s="155"/>
      <c r="AC1541" s="155"/>
      <c r="AD1541" s="155"/>
    </row>
    <row r="1542" spans="27:30" x14ac:dyDescent="0.2">
      <c r="AA1542" s="155"/>
      <c r="AC1542" s="155"/>
      <c r="AD1542" s="155"/>
    </row>
    <row r="1543" spans="27:30" x14ac:dyDescent="0.2">
      <c r="AA1543" s="155"/>
      <c r="AC1543" s="155"/>
      <c r="AD1543" s="155"/>
    </row>
    <row r="1544" spans="27:30" x14ac:dyDescent="0.2">
      <c r="AA1544" s="155"/>
      <c r="AC1544" s="155"/>
      <c r="AD1544" s="155"/>
    </row>
    <row r="1545" spans="27:30" x14ac:dyDescent="0.2">
      <c r="AA1545" s="155"/>
      <c r="AC1545" s="155"/>
      <c r="AD1545" s="155"/>
    </row>
    <row r="1546" spans="27:30" x14ac:dyDescent="0.2">
      <c r="AA1546" s="155"/>
      <c r="AC1546" s="155"/>
      <c r="AD1546" s="155"/>
    </row>
    <row r="1547" spans="27:30" x14ac:dyDescent="0.2">
      <c r="AA1547" s="155"/>
      <c r="AC1547" s="155"/>
      <c r="AD1547" s="155"/>
    </row>
    <row r="1548" spans="27:30" x14ac:dyDescent="0.2">
      <c r="AA1548" s="155"/>
      <c r="AC1548" s="155"/>
      <c r="AD1548" s="155"/>
    </row>
    <row r="1549" spans="27:30" x14ac:dyDescent="0.2">
      <c r="AA1549" s="155"/>
      <c r="AC1549" s="155"/>
      <c r="AD1549" s="155"/>
    </row>
    <row r="1550" spans="27:30" x14ac:dyDescent="0.2">
      <c r="AA1550" s="155"/>
      <c r="AC1550" s="155"/>
      <c r="AD1550" s="155"/>
    </row>
    <row r="1551" spans="27:30" x14ac:dyDescent="0.2">
      <c r="AA1551" s="155"/>
      <c r="AC1551" s="155"/>
      <c r="AD1551" s="155"/>
    </row>
    <row r="1552" spans="27:30" x14ac:dyDescent="0.2">
      <c r="AA1552" s="155"/>
      <c r="AC1552" s="155"/>
      <c r="AD1552" s="155"/>
    </row>
    <row r="1553" spans="27:30" x14ac:dyDescent="0.2">
      <c r="AA1553" s="155"/>
      <c r="AC1553" s="155"/>
      <c r="AD1553" s="155"/>
    </row>
    <row r="1554" spans="27:30" x14ac:dyDescent="0.2">
      <c r="AA1554" s="155"/>
      <c r="AC1554" s="155"/>
      <c r="AD1554" s="155"/>
    </row>
    <row r="1555" spans="27:30" x14ac:dyDescent="0.2">
      <c r="AA1555" s="155"/>
      <c r="AC1555" s="155"/>
      <c r="AD1555" s="155"/>
    </row>
    <row r="1556" spans="27:30" x14ac:dyDescent="0.2">
      <c r="AA1556" s="155"/>
      <c r="AC1556" s="155"/>
      <c r="AD1556" s="155"/>
    </row>
    <row r="1557" spans="27:30" x14ac:dyDescent="0.2">
      <c r="AA1557" s="155"/>
      <c r="AC1557" s="155"/>
      <c r="AD1557" s="155"/>
    </row>
    <row r="1558" spans="27:30" x14ac:dyDescent="0.2">
      <c r="AA1558" s="155"/>
      <c r="AC1558" s="155"/>
      <c r="AD1558" s="155"/>
    </row>
    <row r="1559" spans="27:30" x14ac:dyDescent="0.2">
      <c r="AA1559" s="155"/>
      <c r="AC1559" s="155"/>
      <c r="AD1559" s="155"/>
    </row>
    <row r="1560" spans="27:30" x14ac:dyDescent="0.2">
      <c r="AA1560" s="155"/>
      <c r="AC1560" s="155"/>
      <c r="AD1560" s="155"/>
    </row>
    <row r="1561" spans="27:30" x14ac:dyDescent="0.2">
      <c r="AA1561" s="155"/>
      <c r="AC1561" s="155"/>
      <c r="AD1561" s="155"/>
    </row>
    <row r="1562" spans="27:30" x14ac:dyDescent="0.2">
      <c r="AA1562" s="155"/>
      <c r="AC1562" s="155"/>
      <c r="AD1562" s="155"/>
    </row>
    <row r="1563" spans="27:30" x14ac:dyDescent="0.2">
      <c r="AA1563" s="155"/>
      <c r="AC1563" s="155"/>
      <c r="AD1563" s="155"/>
    </row>
    <row r="1564" spans="27:30" x14ac:dyDescent="0.2">
      <c r="AA1564" s="155"/>
      <c r="AC1564" s="155"/>
      <c r="AD1564" s="155"/>
    </row>
    <row r="1565" spans="27:30" x14ac:dyDescent="0.2">
      <c r="AA1565" s="155"/>
      <c r="AC1565" s="155"/>
      <c r="AD1565" s="155"/>
    </row>
    <row r="1566" spans="27:30" x14ac:dyDescent="0.2">
      <c r="AA1566" s="155"/>
      <c r="AC1566" s="155"/>
      <c r="AD1566" s="155"/>
    </row>
    <row r="1567" spans="27:30" x14ac:dyDescent="0.2">
      <c r="AA1567" s="155"/>
      <c r="AC1567" s="155"/>
      <c r="AD1567" s="155"/>
    </row>
    <row r="1568" spans="27:30" x14ac:dyDescent="0.2">
      <c r="AA1568" s="155"/>
      <c r="AC1568" s="155"/>
      <c r="AD1568" s="155"/>
    </row>
    <row r="1569" spans="27:30" x14ac:dyDescent="0.2">
      <c r="AA1569" s="155"/>
      <c r="AC1569" s="155"/>
      <c r="AD1569" s="155"/>
    </row>
    <row r="1570" spans="27:30" x14ac:dyDescent="0.2">
      <c r="AA1570" s="155"/>
      <c r="AC1570" s="155"/>
      <c r="AD1570" s="155"/>
    </row>
    <row r="1571" spans="27:30" x14ac:dyDescent="0.2">
      <c r="AA1571" s="155"/>
      <c r="AC1571" s="155"/>
      <c r="AD1571" s="155"/>
    </row>
    <row r="1572" spans="27:30" x14ac:dyDescent="0.2">
      <c r="AA1572" s="155"/>
      <c r="AC1572" s="155"/>
      <c r="AD1572" s="155"/>
    </row>
    <row r="1573" spans="27:30" x14ac:dyDescent="0.2">
      <c r="AA1573" s="155"/>
      <c r="AC1573" s="155"/>
      <c r="AD1573" s="155"/>
    </row>
    <row r="1574" spans="27:30" x14ac:dyDescent="0.2">
      <c r="AA1574" s="155"/>
      <c r="AC1574" s="155"/>
      <c r="AD1574" s="155"/>
    </row>
    <row r="1575" spans="27:30" x14ac:dyDescent="0.2">
      <c r="AA1575" s="155"/>
      <c r="AC1575" s="155"/>
      <c r="AD1575" s="155"/>
    </row>
    <row r="1576" spans="27:30" x14ac:dyDescent="0.2">
      <c r="AA1576" s="155"/>
      <c r="AC1576" s="155"/>
      <c r="AD1576" s="155"/>
    </row>
    <row r="1577" spans="27:30" x14ac:dyDescent="0.2">
      <c r="AA1577" s="155"/>
      <c r="AC1577" s="155"/>
      <c r="AD1577" s="155"/>
    </row>
    <row r="1578" spans="27:30" x14ac:dyDescent="0.2">
      <c r="AA1578" s="155"/>
      <c r="AC1578" s="155"/>
      <c r="AD1578" s="155"/>
    </row>
    <row r="1579" spans="27:30" x14ac:dyDescent="0.2">
      <c r="AA1579" s="155"/>
      <c r="AC1579" s="155"/>
      <c r="AD1579" s="155"/>
    </row>
    <row r="1580" spans="27:30" x14ac:dyDescent="0.2">
      <c r="AA1580" s="155"/>
      <c r="AC1580" s="155"/>
      <c r="AD1580" s="155"/>
    </row>
    <row r="1581" spans="27:30" x14ac:dyDescent="0.2">
      <c r="AA1581" s="155"/>
      <c r="AC1581" s="155"/>
      <c r="AD1581" s="155"/>
    </row>
    <row r="1582" spans="27:30" x14ac:dyDescent="0.2">
      <c r="AA1582" s="155"/>
      <c r="AC1582" s="155"/>
      <c r="AD1582" s="155"/>
    </row>
    <row r="1583" spans="27:30" x14ac:dyDescent="0.2">
      <c r="AA1583" s="155"/>
      <c r="AC1583" s="155"/>
      <c r="AD1583" s="155"/>
    </row>
    <row r="1584" spans="27:30" x14ac:dyDescent="0.2">
      <c r="AA1584" s="155"/>
      <c r="AC1584" s="155"/>
      <c r="AD1584" s="155"/>
    </row>
    <row r="1585" spans="27:30" x14ac:dyDescent="0.2">
      <c r="AA1585" s="155"/>
      <c r="AC1585" s="155"/>
      <c r="AD1585" s="155"/>
    </row>
    <row r="1586" spans="27:30" x14ac:dyDescent="0.2">
      <c r="AA1586" s="155"/>
      <c r="AC1586" s="155"/>
      <c r="AD1586" s="155"/>
    </row>
    <row r="1587" spans="27:30" x14ac:dyDescent="0.2">
      <c r="AA1587" s="155"/>
      <c r="AC1587" s="155"/>
      <c r="AD1587" s="155"/>
    </row>
    <row r="1588" spans="27:30" x14ac:dyDescent="0.2">
      <c r="AA1588" s="155"/>
      <c r="AC1588" s="155"/>
      <c r="AD1588" s="155"/>
    </row>
    <row r="1589" spans="27:30" x14ac:dyDescent="0.2">
      <c r="AA1589" s="155"/>
      <c r="AC1589" s="155"/>
      <c r="AD1589" s="155"/>
    </row>
    <row r="1590" spans="27:30" x14ac:dyDescent="0.2">
      <c r="AA1590" s="155"/>
      <c r="AC1590" s="155"/>
      <c r="AD1590" s="155"/>
    </row>
    <row r="1591" spans="27:30" x14ac:dyDescent="0.2">
      <c r="AA1591" s="155"/>
      <c r="AC1591" s="155"/>
      <c r="AD1591" s="155"/>
    </row>
    <row r="1592" spans="27:30" x14ac:dyDescent="0.2">
      <c r="AA1592" s="155"/>
      <c r="AC1592" s="155"/>
      <c r="AD1592" s="155"/>
    </row>
    <row r="1593" spans="27:30" x14ac:dyDescent="0.2">
      <c r="AA1593" s="155"/>
      <c r="AC1593" s="155"/>
      <c r="AD1593" s="155"/>
    </row>
    <row r="1594" spans="27:30" x14ac:dyDescent="0.2">
      <c r="AA1594" s="155"/>
      <c r="AC1594" s="155"/>
      <c r="AD1594" s="155"/>
    </row>
    <row r="1595" spans="27:30" x14ac:dyDescent="0.2">
      <c r="AA1595" s="155"/>
      <c r="AC1595" s="155"/>
      <c r="AD1595" s="155"/>
    </row>
    <row r="1596" spans="27:30" x14ac:dyDescent="0.2">
      <c r="AA1596" s="155"/>
      <c r="AC1596" s="155"/>
      <c r="AD1596" s="155"/>
    </row>
    <row r="1597" spans="27:30" x14ac:dyDescent="0.2">
      <c r="AA1597" s="155"/>
      <c r="AC1597" s="155"/>
      <c r="AD1597" s="155"/>
    </row>
    <row r="1598" spans="27:30" x14ac:dyDescent="0.2">
      <c r="AA1598" s="155"/>
      <c r="AC1598" s="155"/>
      <c r="AD1598" s="155"/>
    </row>
    <row r="1599" spans="27:30" x14ac:dyDescent="0.2">
      <c r="AA1599" s="155"/>
      <c r="AC1599" s="155"/>
      <c r="AD1599" s="155"/>
    </row>
    <row r="1600" spans="27:30" x14ac:dyDescent="0.2">
      <c r="AA1600" s="155"/>
      <c r="AC1600" s="155"/>
      <c r="AD1600" s="155"/>
    </row>
    <row r="1601" spans="27:30" x14ac:dyDescent="0.2">
      <c r="AA1601" s="155"/>
      <c r="AC1601" s="155"/>
      <c r="AD1601" s="155"/>
    </row>
    <row r="1602" spans="27:30" x14ac:dyDescent="0.2">
      <c r="AA1602" s="155"/>
      <c r="AC1602" s="155"/>
      <c r="AD1602" s="155"/>
    </row>
    <row r="1603" spans="27:30" x14ac:dyDescent="0.2">
      <c r="AA1603" s="155"/>
      <c r="AC1603" s="155"/>
      <c r="AD1603" s="155"/>
    </row>
    <row r="1604" spans="27:30" x14ac:dyDescent="0.2">
      <c r="AA1604" s="155"/>
      <c r="AC1604" s="155"/>
      <c r="AD1604" s="155"/>
    </row>
    <row r="1605" spans="27:30" x14ac:dyDescent="0.2">
      <c r="AA1605" s="155"/>
      <c r="AC1605" s="155"/>
      <c r="AD1605" s="155"/>
    </row>
    <row r="1606" spans="27:30" x14ac:dyDescent="0.2">
      <c r="AA1606" s="155"/>
      <c r="AC1606" s="155"/>
      <c r="AD1606" s="155"/>
    </row>
    <row r="1607" spans="27:30" x14ac:dyDescent="0.2">
      <c r="AA1607" s="155"/>
      <c r="AC1607" s="155"/>
      <c r="AD1607" s="155"/>
    </row>
    <row r="1608" spans="27:30" x14ac:dyDescent="0.2">
      <c r="AA1608" s="155"/>
      <c r="AC1608" s="155"/>
      <c r="AD1608" s="155"/>
    </row>
    <row r="1609" spans="27:30" x14ac:dyDescent="0.2">
      <c r="AA1609" s="155"/>
      <c r="AC1609" s="155"/>
      <c r="AD1609" s="155"/>
    </row>
    <row r="1610" spans="27:30" x14ac:dyDescent="0.2">
      <c r="AA1610" s="155"/>
      <c r="AC1610" s="155"/>
      <c r="AD1610" s="155"/>
    </row>
    <row r="1611" spans="27:30" x14ac:dyDescent="0.2">
      <c r="AA1611" s="155"/>
      <c r="AC1611" s="155"/>
      <c r="AD1611" s="155"/>
    </row>
    <row r="1612" spans="27:30" x14ac:dyDescent="0.2">
      <c r="AA1612" s="155"/>
      <c r="AC1612" s="155"/>
      <c r="AD1612" s="155"/>
    </row>
    <row r="1613" spans="27:30" x14ac:dyDescent="0.2">
      <c r="AA1613" s="155"/>
      <c r="AC1613" s="155"/>
      <c r="AD1613" s="155"/>
    </row>
    <row r="1614" spans="27:30" x14ac:dyDescent="0.2">
      <c r="AA1614" s="155"/>
      <c r="AC1614" s="155"/>
      <c r="AD1614" s="155"/>
    </row>
    <row r="1615" spans="27:30" x14ac:dyDescent="0.2">
      <c r="AA1615" s="155"/>
      <c r="AC1615" s="155"/>
      <c r="AD1615" s="155"/>
    </row>
    <row r="1616" spans="27:30" x14ac:dyDescent="0.2">
      <c r="AA1616" s="155"/>
      <c r="AC1616" s="155"/>
      <c r="AD1616" s="155"/>
    </row>
    <row r="1617" spans="27:30" x14ac:dyDescent="0.2">
      <c r="AA1617" s="155"/>
      <c r="AC1617" s="155"/>
      <c r="AD1617" s="155"/>
    </row>
    <row r="1618" spans="27:30" x14ac:dyDescent="0.2">
      <c r="AA1618" s="155"/>
      <c r="AC1618" s="155"/>
      <c r="AD1618" s="155"/>
    </row>
    <row r="1619" spans="27:30" x14ac:dyDescent="0.2">
      <c r="AA1619" s="155"/>
      <c r="AC1619" s="155"/>
      <c r="AD1619" s="155"/>
    </row>
    <row r="1620" spans="27:30" x14ac:dyDescent="0.2">
      <c r="AA1620" s="155"/>
      <c r="AC1620" s="155"/>
      <c r="AD1620" s="155"/>
    </row>
    <row r="1621" spans="27:30" x14ac:dyDescent="0.2">
      <c r="AA1621" s="155"/>
      <c r="AC1621" s="155"/>
      <c r="AD1621" s="155"/>
    </row>
    <row r="1622" spans="27:30" x14ac:dyDescent="0.2">
      <c r="AA1622" s="155"/>
      <c r="AC1622" s="155"/>
      <c r="AD1622" s="155"/>
    </row>
    <row r="1623" spans="27:30" x14ac:dyDescent="0.2">
      <c r="AA1623" s="155"/>
      <c r="AC1623" s="155"/>
      <c r="AD1623" s="155"/>
    </row>
    <row r="1624" spans="27:30" x14ac:dyDescent="0.2">
      <c r="AA1624" s="155"/>
      <c r="AC1624" s="155"/>
      <c r="AD1624" s="155"/>
    </row>
    <row r="1625" spans="27:30" x14ac:dyDescent="0.2">
      <c r="AA1625" s="155"/>
      <c r="AC1625" s="155"/>
      <c r="AD1625" s="155"/>
    </row>
    <row r="1626" spans="27:30" x14ac:dyDescent="0.2">
      <c r="AA1626" s="155"/>
      <c r="AC1626" s="155"/>
      <c r="AD1626" s="155"/>
    </row>
    <row r="1627" spans="27:30" x14ac:dyDescent="0.2">
      <c r="AA1627" s="155"/>
      <c r="AC1627" s="155"/>
      <c r="AD1627" s="155"/>
    </row>
    <row r="1628" spans="27:30" x14ac:dyDescent="0.2">
      <c r="AA1628" s="155"/>
      <c r="AC1628" s="155"/>
      <c r="AD1628" s="155"/>
    </row>
    <row r="1629" spans="27:30" x14ac:dyDescent="0.2">
      <c r="AA1629" s="155"/>
      <c r="AC1629" s="155"/>
      <c r="AD1629" s="155"/>
    </row>
    <row r="1630" spans="27:30" x14ac:dyDescent="0.2">
      <c r="AA1630" s="155"/>
      <c r="AC1630" s="155"/>
      <c r="AD1630" s="155"/>
    </row>
    <row r="1631" spans="27:30" x14ac:dyDescent="0.2">
      <c r="AA1631" s="155"/>
      <c r="AC1631" s="155"/>
      <c r="AD1631" s="155"/>
    </row>
    <row r="1632" spans="27:30" x14ac:dyDescent="0.2">
      <c r="AA1632" s="155"/>
      <c r="AC1632" s="155"/>
      <c r="AD1632" s="155"/>
    </row>
    <row r="1633" spans="27:30" x14ac:dyDescent="0.2">
      <c r="AA1633" s="155"/>
      <c r="AC1633" s="155"/>
      <c r="AD1633" s="155"/>
    </row>
    <row r="1634" spans="27:30" x14ac:dyDescent="0.2">
      <c r="AA1634" s="155"/>
      <c r="AC1634" s="155"/>
      <c r="AD1634" s="155"/>
    </row>
    <row r="1635" spans="27:30" x14ac:dyDescent="0.2">
      <c r="AA1635" s="155"/>
      <c r="AC1635" s="155"/>
      <c r="AD1635" s="155"/>
    </row>
    <row r="1636" spans="27:30" x14ac:dyDescent="0.2">
      <c r="AA1636" s="155"/>
      <c r="AC1636" s="155"/>
      <c r="AD1636" s="155"/>
    </row>
    <row r="1637" spans="27:30" x14ac:dyDescent="0.2">
      <c r="AA1637" s="155"/>
      <c r="AC1637" s="155"/>
      <c r="AD1637" s="155"/>
    </row>
    <row r="1638" spans="27:30" x14ac:dyDescent="0.2">
      <c r="AA1638" s="155"/>
      <c r="AC1638" s="155"/>
      <c r="AD1638" s="155"/>
    </row>
    <row r="1639" spans="27:30" x14ac:dyDescent="0.2">
      <c r="AA1639" s="155"/>
      <c r="AC1639" s="155"/>
      <c r="AD1639" s="155"/>
    </row>
    <row r="1640" spans="27:30" x14ac:dyDescent="0.2">
      <c r="AA1640" s="155"/>
      <c r="AC1640" s="155"/>
      <c r="AD1640" s="155"/>
    </row>
    <row r="1641" spans="27:30" x14ac:dyDescent="0.2">
      <c r="AA1641" s="155"/>
      <c r="AC1641" s="155"/>
      <c r="AD1641" s="155"/>
    </row>
    <row r="1642" spans="27:30" x14ac:dyDescent="0.2">
      <c r="AA1642" s="155"/>
      <c r="AC1642" s="155"/>
      <c r="AD1642" s="155"/>
    </row>
    <row r="1643" spans="27:30" x14ac:dyDescent="0.2">
      <c r="AA1643" s="155"/>
      <c r="AC1643" s="155"/>
      <c r="AD1643" s="155"/>
    </row>
    <row r="1644" spans="27:30" x14ac:dyDescent="0.2">
      <c r="AA1644" s="155"/>
      <c r="AC1644" s="155"/>
      <c r="AD1644" s="155"/>
    </row>
    <row r="1645" spans="27:30" x14ac:dyDescent="0.2">
      <c r="AA1645" s="155"/>
      <c r="AC1645" s="155"/>
      <c r="AD1645" s="155"/>
    </row>
    <row r="1646" spans="27:30" x14ac:dyDescent="0.2">
      <c r="AA1646" s="155"/>
      <c r="AC1646" s="155"/>
      <c r="AD1646" s="155"/>
    </row>
    <row r="1647" spans="27:30" x14ac:dyDescent="0.2">
      <c r="AA1647" s="155"/>
      <c r="AC1647" s="155"/>
      <c r="AD1647" s="155"/>
    </row>
    <row r="1648" spans="27:30" x14ac:dyDescent="0.2">
      <c r="AA1648" s="155"/>
      <c r="AC1648" s="155"/>
      <c r="AD1648" s="155"/>
    </row>
    <row r="1649" spans="27:30" x14ac:dyDescent="0.2">
      <c r="AA1649" s="155"/>
      <c r="AC1649" s="155"/>
      <c r="AD1649" s="155"/>
    </row>
    <row r="1650" spans="27:30" x14ac:dyDescent="0.2">
      <c r="AA1650" s="155"/>
      <c r="AC1650" s="155"/>
      <c r="AD1650" s="155"/>
    </row>
    <row r="1651" spans="27:30" x14ac:dyDescent="0.2">
      <c r="AA1651" s="155"/>
      <c r="AC1651" s="155"/>
      <c r="AD1651" s="155"/>
    </row>
    <row r="1652" spans="27:30" x14ac:dyDescent="0.2">
      <c r="AA1652" s="155"/>
      <c r="AC1652" s="155"/>
      <c r="AD1652" s="155"/>
    </row>
    <row r="1653" spans="27:30" x14ac:dyDescent="0.2">
      <c r="AA1653" s="155"/>
      <c r="AC1653" s="155"/>
      <c r="AD1653" s="155"/>
    </row>
    <row r="1654" spans="27:30" x14ac:dyDescent="0.2">
      <c r="AA1654" s="155"/>
      <c r="AC1654" s="155"/>
      <c r="AD1654" s="155"/>
    </row>
    <row r="1655" spans="27:30" x14ac:dyDescent="0.2">
      <c r="AA1655" s="155"/>
      <c r="AC1655" s="155"/>
      <c r="AD1655" s="155"/>
    </row>
    <row r="1656" spans="27:30" x14ac:dyDescent="0.2">
      <c r="AA1656" s="155"/>
      <c r="AC1656" s="155"/>
      <c r="AD1656" s="155"/>
    </row>
    <row r="1657" spans="27:30" x14ac:dyDescent="0.2">
      <c r="AA1657" s="155"/>
      <c r="AC1657" s="155"/>
      <c r="AD1657" s="155"/>
    </row>
    <row r="1658" spans="27:30" x14ac:dyDescent="0.2">
      <c r="AA1658" s="155"/>
      <c r="AC1658" s="155"/>
      <c r="AD1658" s="155"/>
    </row>
    <row r="1659" spans="27:30" x14ac:dyDescent="0.2">
      <c r="AA1659" s="155"/>
      <c r="AC1659" s="155"/>
      <c r="AD1659" s="155"/>
    </row>
    <row r="1660" spans="27:30" x14ac:dyDescent="0.2">
      <c r="AA1660" s="155"/>
      <c r="AC1660" s="155"/>
      <c r="AD1660" s="155"/>
    </row>
    <row r="1661" spans="27:30" x14ac:dyDescent="0.2">
      <c r="AA1661" s="155"/>
      <c r="AC1661" s="155"/>
      <c r="AD1661" s="155"/>
    </row>
    <row r="1662" spans="27:30" x14ac:dyDescent="0.2">
      <c r="AA1662" s="155"/>
      <c r="AC1662" s="155"/>
      <c r="AD1662" s="155"/>
    </row>
    <row r="1663" spans="27:30" x14ac:dyDescent="0.2">
      <c r="AA1663" s="155"/>
      <c r="AC1663" s="155"/>
      <c r="AD1663" s="155"/>
    </row>
    <row r="1664" spans="27:30" x14ac:dyDescent="0.2">
      <c r="AA1664" s="155"/>
      <c r="AC1664" s="155"/>
      <c r="AD1664" s="155"/>
    </row>
    <row r="1665" spans="27:30" x14ac:dyDescent="0.2">
      <c r="AA1665" s="155"/>
      <c r="AC1665" s="155"/>
      <c r="AD1665" s="155"/>
    </row>
    <row r="1666" spans="27:30" x14ac:dyDescent="0.2">
      <c r="AA1666" s="155"/>
      <c r="AC1666" s="155"/>
      <c r="AD1666" s="155"/>
    </row>
    <row r="1667" spans="27:30" x14ac:dyDescent="0.2">
      <c r="AA1667" s="155"/>
      <c r="AC1667" s="155"/>
      <c r="AD1667" s="155"/>
    </row>
    <row r="1668" spans="27:30" x14ac:dyDescent="0.2">
      <c r="AA1668" s="155"/>
      <c r="AC1668" s="155"/>
      <c r="AD1668" s="155"/>
    </row>
    <row r="1669" spans="27:30" x14ac:dyDescent="0.2">
      <c r="AA1669" s="155"/>
      <c r="AC1669" s="155"/>
      <c r="AD1669" s="155"/>
    </row>
    <row r="1670" spans="27:30" x14ac:dyDescent="0.2">
      <c r="AA1670" s="155"/>
      <c r="AC1670" s="155"/>
      <c r="AD1670" s="155"/>
    </row>
    <row r="1671" spans="27:30" x14ac:dyDescent="0.2">
      <c r="AA1671" s="155"/>
      <c r="AC1671" s="155"/>
      <c r="AD1671" s="155"/>
    </row>
    <row r="1672" spans="27:30" x14ac:dyDescent="0.2">
      <c r="AA1672" s="155"/>
      <c r="AC1672" s="155"/>
      <c r="AD1672" s="155"/>
    </row>
    <row r="1673" spans="27:30" x14ac:dyDescent="0.2">
      <c r="AA1673" s="155"/>
      <c r="AC1673" s="155"/>
      <c r="AD1673" s="155"/>
    </row>
    <row r="1674" spans="27:30" x14ac:dyDescent="0.2">
      <c r="AA1674" s="155"/>
      <c r="AC1674" s="155"/>
      <c r="AD1674" s="155"/>
    </row>
    <row r="1675" spans="27:30" x14ac:dyDescent="0.2">
      <c r="AA1675" s="155"/>
      <c r="AC1675" s="155"/>
      <c r="AD1675" s="155"/>
    </row>
    <row r="1676" spans="27:30" x14ac:dyDescent="0.2">
      <c r="AA1676" s="155"/>
      <c r="AC1676" s="155"/>
      <c r="AD1676" s="155"/>
    </row>
    <row r="1677" spans="27:30" x14ac:dyDescent="0.2">
      <c r="AA1677" s="155"/>
      <c r="AC1677" s="155"/>
      <c r="AD1677" s="155"/>
    </row>
    <row r="1678" spans="27:30" x14ac:dyDescent="0.2">
      <c r="AA1678" s="155"/>
      <c r="AC1678" s="155"/>
      <c r="AD1678" s="155"/>
    </row>
    <row r="1679" spans="27:30" x14ac:dyDescent="0.2">
      <c r="AA1679" s="155"/>
      <c r="AC1679" s="155"/>
      <c r="AD1679" s="155"/>
    </row>
    <row r="1680" spans="27:30" x14ac:dyDescent="0.2">
      <c r="AA1680" s="155"/>
      <c r="AC1680" s="155"/>
      <c r="AD1680" s="155"/>
    </row>
    <row r="1681" spans="27:30" x14ac:dyDescent="0.2">
      <c r="AA1681" s="155"/>
      <c r="AC1681" s="155"/>
      <c r="AD1681" s="155"/>
    </row>
    <row r="1682" spans="27:30" x14ac:dyDescent="0.2">
      <c r="AA1682" s="155"/>
      <c r="AC1682" s="155"/>
      <c r="AD1682" s="155"/>
    </row>
    <row r="1683" spans="27:30" x14ac:dyDescent="0.2">
      <c r="AA1683" s="155"/>
      <c r="AC1683" s="155"/>
      <c r="AD1683" s="155"/>
    </row>
    <row r="1684" spans="27:30" x14ac:dyDescent="0.2">
      <c r="AA1684" s="155"/>
      <c r="AC1684" s="155"/>
      <c r="AD1684" s="155"/>
    </row>
    <row r="1685" spans="27:30" x14ac:dyDescent="0.2">
      <c r="AA1685" s="155"/>
      <c r="AC1685" s="155"/>
      <c r="AD1685" s="155"/>
    </row>
    <row r="1686" spans="27:30" x14ac:dyDescent="0.2">
      <c r="AA1686" s="155"/>
      <c r="AC1686" s="155"/>
      <c r="AD1686" s="155"/>
    </row>
    <row r="1687" spans="27:30" x14ac:dyDescent="0.2">
      <c r="AA1687" s="155"/>
      <c r="AC1687" s="155"/>
      <c r="AD1687" s="155"/>
    </row>
    <row r="1688" spans="27:30" x14ac:dyDescent="0.2">
      <c r="AA1688" s="155"/>
      <c r="AC1688" s="155"/>
      <c r="AD1688" s="155"/>
    </row>
    <row r="1689" spans="27:30" x14ac:dyDescent="0.2">
      <c r="AA1689" s="155"/>
      <c r="AC1689" s="155"/>
      <c r="AD1689" s="155"/>
    </row>
    <row r="1690" spans="27:30" x14ac:dyDescent="0.2">
      <c r="AA1690" s="155"/>
      <c r="AC1690" s="155"/>
      <c r="AD1690" s="155"/>
    </row>
    <row r="1691" spans="27:30" x14ac:dyDescent="0.2">
      <c r="AA1691" s="155"/>
      <c r="AC1691" s="155"/>
      <c r="AD1691" s="155"/>
    </row>
    <row r="1692" spans="27:30" x14ac:dyDescent="0.2">
      <c r="AA1692" s="155"/>
      <c r="AC1692" s="155"/>
      <c r="AD1692" s="155"/>
    </row>
    <row r="1693" spans="27:30" x14ac:dyDescent="0.2">
      <c r="AA1693" s="155"/>
      <c r="AC1693" s="155"/>
      <c r="AD1693" s="155"/>
    </row>
    <row r="1694" spans="27:30" x14ac:dyDescent="0.2">
      <c r="AA1694" s="155"/>
      <c r="AC1694" s="155"/>
      <c r="AD1694" s="155"/>
    </row>
    <row r="1695" spans="27:30" x14ac:dyDescent="0.2">
      <c r="AA1695" s="155"/>
      <c r="AC1695" s="155"/>
      <c r="AD1695" s="155"/>
    </row>
    <row r="1696" spans="27:30" x14ac:dyDescent="0.2">
      <c r="AA1696" s="155"/>
      <c r="AC1696" s="155"/>
      <c r="AD1696" s="155"/>
    </row>
    <row r="1697" spans="27:30" x14ac:dyDescent="0.2">
      <c r="AA1697" s="155"/>
      <c r="AC1697" s="155"/>
      <c r="AD1697" s="155"/>
    </row>
    <row r="1698" spans="27:30" x14ac:dyDescent="0.2">
      <c r="AA1698" s="155"/>
      <c r="AC1698" s="155"/>
      <c r="AD1698" s="155"/>
    </row>
    <row r="1699" spans="27:30" x14ac:dyDescent="0.2">
      <c r="AA1699" s="155"/>
      <c r="AC1699" s="155"/>
      <c r="AD1699" s="155"/>
    </row>
    <row r="1700" spans="27:30" x14ac:dyDescent="0.2">
      <c r="AA1700" s="155"/>
      <c r="AC1700" s="155"/>
      <c r="AD1700" s="155"/>
    </row>
    <row r="1701" spans="27:30" x14ac:dyDescent="0.2">
      <c r="AA1701" s="155"/>
      <c r="AC1701" s="155"/>
      <c r="AD1701" s="155"/>
    </row>
    <row r="1702" spans="27:30" x14ac:dyDescent="0.2">
      <c r="AA1702" s="155"/>
      <c r="AC1702" s="155"/>
      <c r="AD1702" s="155"/>
    </row>
    <row r="1703" spans="27:30" x14ac:dyDescent="0.2">
      <c r="AA1703" s="155"/>
      <c r="AC1703" s="155"/>
      <c r="AD1703" s="155"/>
    </row>
    <row r="1704" spans="27:30" x14ac:dyDescent="0.2">
      <c r="AA1704" s="155"/>
      <c r="AC1704" s="155"/>
      <c r="AD1704" s="155"/>
    </row>
    <row r="1705" spans="27:30" x14ac:dyDescent="0.2">
      <c r="AA1705" s="155"/>
      <c r="AC1705" s="155"/>
      <c r="AD1705" s="155"/>
    </row>
    <row r="1706" spans="27:30" x14ac:dyDescent="0.2">
      <c r="AA1706" s="155"/>
      <c r="AC1706" s="155"/>
      <c r="AD1706" s="155"/>
    </row>
    <row r="1707" spans="27:30" x14ac:dyDescent="0.2">
      <c r="AA1707" s="155"/>
      <c r="AC1707" s="155"/>
      <c r="AD1707" s="155"/>
    </row>
    <row r="1708" spans="27:30" x14ac:dyDescent="0.2">
      <c r="AA1708" s="155"/>
      <c r="AC1708" s="155"/>
      <c r="AD1708" s="155"/>
    </row>
    <row r="1709" spans="27:30" x14ac:dyDescent="0.2">
      <c r="AA1709" s="155"/>
      <c r="AC1709" s="155"/>
      <c r="AD1709" s="155"/>
    </row>
    <row r="1710" spans="27:30" x14ac:dyDescent="0.2">
      <c r="AA1710" s="155"/>
      <c r="AC1710" s="155"/>
      <c r="AD1710" s="155"/>
    </row>
    <row r="1711" spans="27:30" x14ac:dyDescent="0.2">
      <c r="AA1711" s="155"/>
      <c r="AC1711" s="155"/>
      <c r="AD1711" s="155"/>
    </row>
    <row r="1712" spans="27:30" x14ac:dyDescent="0.2">
      <c r="AA1712" s="155"/>
      <c r="AC1712" s="155"/>
      <c r="AD1712" s="155"/>
    </row>
    <row r="1713" spans="27:30" x14ac:dyDescent="0.2">
      <c r="AA1713" s="155"/>
      <c r="AC1713" s="155"/>
      <c r="AD1713" s="155"/>
    </row>
    <row r="1714" spans="27:30" x14ac:dyDescent="0.2">
      <c r="AA1714" s="155"/>
      <c r="AC1714" s="155"/>
      <c r="AD1714" s="155"/>
    </row>
    <row r="1715" spans="27:30" x14ac:dyDescent="0.2">
      <c r="AA1715" s="155"/>
      <c r="AC1715" s="155"/>
      <c r="AD1715" s="155"/>
    </row>
    <row r="1716" spans="27:30" x14ac:dyDescent="0.2">
      <c r="AA1716" s="155"/>
      <c r="AC1716" s="155"/>
      <c r="AD1716" s="155"/>
    </row>
    <row r="1717" spans="27:30" x14ac:dyDescent="0.2">
      <c r="AA1717" s="155"/>
      <c r="AC1717" s="155"/>
      <c r="AD1717" s="155"/>
    </row>
    <row r="1718" spans="27:30" x14ac:dyDescent="0.2">
      <c r="AA1718" s="155"/>
      <c r="AC1718" s="155"/>
      <c r="AD1718" s="155"/>
    </row>
    <row r="1719" spans="27:30" x14ac:dyDescent="0.2">
      <c r="AA1719" s="155"/>
      <c r="AC1719" s="155"/>
      <c r="AD1719" s="155"/>
    </row>
    <row r="1720" spans="27:30" x14ac:dyDescent="0.2">
      <c r="AA1720" s="155"/>
      <c r="AC1720" s="155"/>
      <c r="AD1720" s="155"/>
    </row>
    <row r="1721" spans="27:30" x14ac:dyDescent="0.2">
      <c r="AA1721" s="155"/>
      <c r="AC1721" s="155"/>
      <c r="AD1721" s="155"/>
    </row>
    <row r="1722" spans="27:30" x14ac:dyDescent="0.2">
      <c r="AA1722" s="155"/>
      <c r="AC1722" s="155"/>
      <c r="AD1722" s="155"/>
    </row>
    <row r="1723" spans="27:30" x14ac:dyDescent="0.2">
      <c r="AA1723" s="155"/>
      <c r="AC1723" s="155"/>
      <c r="AD1723" s="155"/>
    </row>
    <row r="1724" spans="27:30" x14ac:dyDescent="0.2">
      <c r="AA1724" s="155"/>
      <c r="AC1724" s="155"/>
      <c r="AD1724" s="155"/>
    </row>
    <row r="1725" spans="27:30" x14ac:dyDescent="0.2">
      <c r="AA1725" s="155"/>
      <c r="AC1725" s="155"/>
      <c r="AD1725" s="155"/>
    </row>
    <row r="1726" spans="27:30" x14ac:dyDescent="0.2">
      <c r="AA1726" s="155"/>
      <c r="AC1726" s="155"/>
      <c r="AD1726" s="155"/>
    </row>
    <row r="1727" spans="27:30" x14ac:dyDescent="0.2">
      <c r="AA1727" s="155"/>
      <c r="AC1727" s="155"/>
      <c r="AD1727" s="155"/>
    </row>
    <row r="1728" spans="27:30" x14ac:dyDescent="0.2">
      <c r="AA1728" s="155"/>
      <c r="AC1728" s="155"/>
      <c r="AD1728" s="155"/>
    </row>
    <row r="1729" spans="27:30" x14ac:dyDescent="0.2">
      <c r="AA1729" s="155"/>
      <c r="AC1729" s="155"/>
      <c r="AD1729" s="155"/>
    </row>
    <row r="1730" spans="27:30" x14ac:dyDescent="0.2">
      <c r="AA1730" s="155"/>
      <c r="AC1730" s="155"/>
      <c r="AD1730" s="155"/>
    </row>
    <row r="1731" spans="27:30" x14ac:dyDescent="0.2">
      <c r="AA1731" s="155"/>
      <c r="AC1731" s="155"/>
      <c r="AD1731" s="155"/>
    </row>
    <row r="1732" spans="27:30" x14ac:dyDescent="0.2">
      <c r="AA1732" s="155"/>
      <c r="AC1732" s="155"/>
      <c r="AD1732" s="155"/>
    </row>
    <row r="1733" spans="27:30" x14ac:dyDescent="0.2">
      <c r="AA1733" s="155"/>
      <c r="AC1733" s="155"/>
      <c r="AD1733" s="155"/>
    </row>
    <row r="1734" spans="27:30" x14ac:dyDescent="0.2">
      <c r="AA1734" s="155"/>
      <c r="AC1734" s="155"/>
      <c r="AD1734" s="155"/>
    </row>
    <row r="1735" spans="27:30" x14ac:dyDescent="0.2">
      <c r="AA1735" s="155"/>
      <c r="AC1735" s="155"/>
      <c r="AD1735" s="155"/>
    </row>
    <row r="1736" spans="27:30" x14ac:dyDescent="0.2">
      <c r="AA1736" s="155"/>
      <c r="AC1736" s="155"/>
      <c r="AD1736" s="155"/>
    </row>
    <row r="1737" spans="27:30" x14ac:dyDescent="0.2">
      <c r="AA1737" s="155"/>
      <c r="AC1737" s="155"/>
      <c r="AD1737" s="155"/>
    </row>
    <row r="1738" spans="27:30" x14ac:dyDescent="0.2">
      <c r="AA1738" s="155"/>
      <c r="AC1738" s="155"/>
      <c r="AD1738" s="155"/>
    </row>
    <row r="1739" spans="27:30" x14ac:dyDescent="0.2">
      <c r="AA1739" s="155"/>
      <c r="AC1739" s="155"/>
      <c r="AD1739" s="155"/>
    </row>
    <row r="1740" spans="27:30" x14ac:dyDescent="0.2">
      <c r="AA1740" s="155"/>
      <c r="AC1740" s="155"/>
      <c r="AD1740" s="155"/>
    </row>
    <row r="1741" spans="27:30" x14ac:dyDescent="0.2">
      <c r="AA1741" s="155"/>
      <c r="AC1741" s="155"/>
      <c r="AD1741" s="155"/>
    </row>
    <row r="1742" spans="27:30" x14ac:dyDescent="0.2">
      <c r="AA1742" s="155"/>
      <c r="AC1742" s="155"/>
      <c r="AD1742" s="155"/>
    </row>
    <row r="1743" spans="27:30" x14ac:dyDescent="0.2">
      <c r="AA1743" s="155"/>
      <c r="AC1743" s="155"/>
      <c r="AD1743" s="155"/>
    </row>
    <row r="1744" spans="27:30" x14ac:dyDescent="0.2">
      <c r="AA1744" s="155"/>
      <c r="AC1744" s="155"/>
      <c r="AD1744" s="155"/>
    </row>
    <row r="1745" spans="27:30" x14ac:dyDescent="0.2">
      <c r="AA1745" s="155"/>
      <c r="AC1745" s="155"/>
      <c r="AD1745" s="155"/>
    </row>
    <row r="1746" spans="27:30" x14ac:dyDescent="0.2">
      <c r="AA1746" s="155"/>
      <c r="AC1746" s="155"/>
      <c r="AD1746" s="155"/>
    </row>
    <row r="1747" spans="27:30" x14ac:dyDescent="0.2">
      <c r="AA1747" s="155"/>
      <c r="AC1747" s="155"/>
      <c r="AD1747" s="155"/>
    </row>
    <row r="1748" spans="27:30" x14ac:dyDescent="0.2">
      <c r="AA1748" s="155"/>
      <c r="AC1748" s="155"/>
      <c r="AD1748" s="155"/>
    </row>
    <row r="1749" spans="27:30" x14ac:dyDescent="0.2">
      <c r="AA1749" s="155"/>
      <c r="AC1749" s="155"/>
      <c r="AD1749" s="155"/>
    </row>
    <row r="1750" spans="27:30" x14ac:dyDescent="0.2">
      <c r="AA1750" s="155"/>
      <c r="AC1750" s="155"/>
      <c r="AD1750" s="155"/>
    </row>
    <row r="1751" spans="27:30" x14ac:dyDescent="0.2">
      <c r="AA1751" s="155"/>
      <c r="AC1751" s="155"/>
      <c r="AD1751" s="155"/>
    </row>
    <row r="1752" spans="27:30" x14ac:dyDescent="0.2">
      <c r="AA1752" s="155"/>
      <c r="AC1752" s="155"/>
      <c r="AD1752" s="155"/>
    </row>
    <row r="1753" spans="27:30" x14ac:dyDescent="0.2">
      <c r="AA1753" s="155"/>
      <c r="AC1753" s="155"/>
      <c r="AD1753" s="155"/>
    </row>
    <row r="1754" spans="27:30" x14ac:dyDescent="0.2">
      <c r="AA1754" s="155"/>
      <c r="AC1754" s="155"/>
      <c r="AD1754" s="155"/>
    </row>
    <row r="1755" spans="27:30" x14ac:dyDescent="0.2">
      <c r="AA1755" s="155"/>
      <c r="AC1755" s="155"/>
      <c r="AD1755" s="155"/>
    </row>
    <row r="1756" spans="27:30" x14ac:dyDescent="0.2">
      <c r="AA1756" s="155"/>
      <c r="AC1756" s="155"/>
      <c r="AD1756" s="155"/>
    </row>
    <row r="1757" spans="27:30" x14ac:dyDescent="0.2">
      <c r="AA1757" s="155"/>
      <c r="AC1757" s="155"/>
      <c r="AD1757" s="155"/>
    </row>
    <row r="1758" spans="27:30" x14ac:dyDescent="0.2">
      <c r="AA1758" s="155"/>
      <c r="AC1758" s="155"/>
      <c r="AD1758" s="155"/>
    </row>
    <row r="1759" spans="27:30" x14ac:dyDescent="0.2">
      <c r="AA1759" s="155"/>
      <c r="AC1759" s="155"/>
      <c r="AD1759" s="155"/>
    </row>
    <row r="1760" spans="27:30" x14ac:dyDescent="0.2">
      <c r="AA1760" s="155"/>
      <c r="AC1760" s="155"/>
      <c r="AD1760" s="155"/>
    </row>
    <row r="1761" spans="27:30" x14ac:dyDescent="0.2">
      <c r="AA1761" s="155"/>
      <c r="AC1761" s="155"/>
      <c r="AD1761" s="155"/>
    </row>
    <row r="1762" spans="27:30" x14ac:dyDescent="0.2">
      <c r="AA1762" s="155"/>
      <c r="AC1762" s="155"/>
      <c r="AD1762" s="155"/>
    </row>
    <row r="1763" spans="27:30" x14ac:dyDescent="0.2">
      <c r="AA1763" s="155"/>
      <c r="AC1763" s="155"/>
      <c r="AD1763" s="155"/>
    </row>
    <row r="1764" spans="27:30" x14ac:dyDescent="0.2">
      <c r="AA1764" s="155"/>
      <c r="AC1764" s="155"/>
      <c r="AD1764" s="155"/>
    </row>
    <row r="1765" spans="27:30" x14ac:dyDescent="0.2">
      <c r="AA1765" s="155"/>
      <c r="AC1765" s="155"/>
      <c r="AD1765" s="155"/>
    </row>
    <row r="1766" spans="27:30" x14ac:dyDescent="0.2">
      <c r="AA1766" s="155"/>
      <c r="AC1766" s="155"/>
      <c r="AD1766" s="155"/>
    </row>
    <row r="1767" spans="27:30" x14ac:dyDescent="0.2">
      <c r="AA1767" s="155"/>
      <c r="AC1767" s="155"/>
      <c r="AD1767" s="155"/>
    </row>
    <row r="1768" spans="27:30" x14ac:dyDescent="0.2">
      <c r="AA1768" s="155"/>
      <c r="AC1768" s="155"/>
      <c r="AD1768" s="155"/>
    </row>
    <row r="1769" spans="27:30" x14ac:dyDescent="0.2">
      <c r="AA1769" s="155"/>
      <c r="AC1769" s="155"/>
      <c r="AD1769" s="155"/>
    </row>
    <row r="1770" spans="27:30" x14ac:dyDescent="0.2">
      <c r="AA1770" s="155"/>
      <c r="AC1770" s="155"/>
      <c r="AD1770" s="155"/>
    </row>
    <row r="1771" spans="27:30" x14ac:dyDescent="0.2">
      <c r="AA1771" s="155"/>
      <c r="AC1771" s="155"/>
      <c r="AD1771" s="155"/>
    </row>
    <row r="1772" spans="27:30" x14ac:dyDescent="0.2">
      <c r="AA1772" s="155"/>
      <c r="AC1772" s="155"/>
      <c r="AD1772" s="155"/>
    </row>
    <row r="1773" spans="27:30" x14ac:dyDescent="0.2">
      <c r="AA1773" s="155"/>
      <c r="AC1773" s="155"/>
      <c r="AD1773" s="155"/>
    </row>
    <row r="1774" spans="27:30" x14ac:dyDescent="0.2">
      <c r="AA1774" s="155"/>
      <c r="AC1774" s="155"/>
      <c r="AD1774" s="155"/>
    </row>
    <row r="1775" spans="27:30" x14ac:dyDescent="0.2">
      <c r="AA1775" s="155"/>
      <c r="AC1775" s="155"/>
      <c r="AD1775" s="155"/>
    </row>
    <row r="1776" spans="27:30" x14ac:dyDescent="0.2">
      <c r="AA1776" s="155"/>
      <c r="AC1776" s="155"/>
      <c r="AD1776" s="155"/>
    </row>
    <row r="1777" spans="27:30" x14ac:dyDescent="0.2">
      <c r="AA1777" s="155"/>
      <c r="AC1777" s="155"/>
      <c r="AD1777" s="155"/>
    </row>
    <row r="1778" spans="27:30" x14ac:dyDescent="0.2">
      <c r="AA1778" s="155"/>
      <c r="AC1778" s="155"/>
      <c r="AD1778" s="155"/>
    </row>
    <row r="1779" spans="27:30" x14ac:dyDescent="0.2">
      <c r="AA1779" s="155"/>
      <c r="AC1779" s="155"/>
      <c r="AD1779" s="155"/>
    </row>
    <row r="1780" spans="27:30" x14ac:dyDescent="0.2">
      <c r="AA1780" s="155"/>
      <c r="AC1780" s="155"/>
      <c r="AD1780" s="155"/>
    </row>
    <row r="1781" spans="27:30" x14ac:dyDescent="0.2">
      <c r="AA1781" s="155"/>
      <c r="AC1781" s="155"/>
      <c r="AD1781" s="155"/>
    </row>
    <row r="1782" spans="27:30" x14ac:dyDescent="0.2">
      <c r="AA1782" s="155"/>
      <c r="AC1782" s="155"/>
      <c r="AD1782" s="155"/>
    </row>
    <row r="1783" spans="27:30" x14ac:dyDescent="0.2">
      <c r="AA1783" s="155"/>
      <c r="AC1783" s="155"/>
      <c r="AD1783" s="155"/>
    </row>
    <row r="1784" spans="27:30" x14ac:dyDescent="0.2">
      <c r="AA1784" s="155"/>
      <c r="AC1784" s="155"/>
      <c r="AD1784" s="155"/>
    </row>
    <row r="1785" spans="27:30" x14ac:dyDescent="0.2">
      <c r="AA1785" s="155"/>
      <c r="AC1785" s="155"/>
      <c r="AD1785" s="155"/>
    </row>
    <row r="1786" spans="27:30" x14ac:dyDescent="0.2">
      <c r="AA1786" s="155"/>
      <c r="AC1786" s="155"/>
      <c r="AD1786" s="155"/>
    </row>
    <row r="1787" spans="27:30" x14ac:dyDescent="0.2">
      <c r="AA1787" s="155"/>
      <c r="AC1787" s="155"/>
      <c r="AD1787" s="155"/>
    </row>
    <row r="1788" spans="27:30" x14ac:dyDescent="0.2">
      <c r="AA1788" s="155"/>
      <c r="AC1788" s="155"/>
      <c r="AD1788" s="155"/>
    </row>
    <row r="1789" spans="27:30" x14ac:dyDescent="0.2">
      <c r="AA1789" s="155"/>
      <c r="AC1789" s="155"/>
      <c r="AD1789" s="155"/>
    </row>
    <row r="1790" spans="27:30" x14ac:dyDescent="0.2">
      <c r="AA1790" s="155"/>
      <c r="AC1790" s="155"/>
      <c r="AD1790" s="155"/>
    </row>
    <row r="1791" spans="27:30" x14ac:dyDescent="0.2">
      <c r="AA1791" s="155"/>
      <c r="AC1791" s="155"/>
      <c r="AD1791" s="155"/>
    </row>
    <row r="1792" spans="27:30" x14ac:dyDescent="0.2">
      <c r="AA1792" s="155"/>
      <c r="AC1792" s="155"/>
      <c r="AD1792" s="155"/>
    </row>
    <row r="1793" spans="27:30" x14ac:dyDescent="0.2">
      <c r="AA1793" s="155"/>
      <c r="AC1793" s="155"/>
      <c r="AD1793" s="155"/>
    </row>
    <row r="1794" spans="27:30" x14ac:dyDescent="0.2">
      <c r="AA1794" s="155"/>
      <c r="AC1794" s="155"/>
      <c r="AD1794" s="155"/>
    </row>
    <row r="1795" spans="27:30" x14ac:dyDescent="0.2">
      <c r="AA1795" s="155"/>
      <c r="AC1795" s="155"/>
      <c r="AD1795" s="155"/>
    </row>
    <row r="1796" spans="27:30" x14ac:dyDescent="0.2">
      <c r="AA1796" s="155"/>
      <c r="AC1796" s="155"/>
      <c r="AD1796" s="155"/>
    </row>
    <row r="1797" spans="27:30" x14ac:dyDescent="0.2">
      <c r="AA1797" s="155"/>
      <c r="AC1797" s="155"/>
      <c r="AD1797" s="155"/>
    </row>
    <row r="1798" spans="27:30" x14ac:dyDescent="0.2">
      <c r="AA1798" s="155"/>
      <c r="AC1798" s="155"/>
      <c r="AD1798" s="155"/>
    </row>
    <row r="1799" spans="27:30" x14ac:dyDescent="0.2">
      <c r="AA1799" s="155"/>
      <c r="AC1799" s="155"/>
      <c r="AD1799" s="155"/>
    </row>
    <row r="1800" spans="27:30" x14ac:dyDescent="0.2">
      <c r="AA1800" s="155"/>
      <c r="AC1800" s="155"/>
      <c r="AD1800" s="155"/>
    </row>
    <row r="1801" spans="27:30" x14ac:dyDescent="0.2">
      <c r="AA1801" s="155"/>
      <c r="AC1801" s="155"/>
      <c r="AD1801" s="155"/>
    </row>
    <row r="1802" spans="27:30" x14ac:dyDescent="0.2">
      <c r="AA1802" s="155"/>
      <c r="AC1802" s="155"/>
      <c r="AD1802" s="155"/>
    </row>
    <row r="1803" spans="27:30" x14ac:dyDescent="0.2">
      <c r="AA1803" s="155"/>
      <c r="AC1803" s="155"/>
      <c r="AD1803" s="155"/>
    </row>
    <row r="1804" spans="27:30" x14ac:dyDescent="0.2">
      <c r="AA1804" s="155"/>
      <c r="AC1804" s="155"/>
      <c r="AD1804" s="155"/>
    </row>
    <row r="1805" spans="27:30" x14ac:dyDescent="0.2">
      <c r="AA1805" s="155"/>
      <c r="AC1805" s="155"/>
      <c r="AD1805" s="155"/>
    </row>
    <row r="1806" spans="27:30" x14ac:dyDescent="0.2">
      <c r="AA1806" s="155"/>
      <c r="AC1806" s="155"/>
      <c r="AD1806" s="155"/>
    </row>
    <row r="1807" spans="27:30" x14ac:dyDescent="0.2">
      <c r="AA1807" s="155"/>
      <c r="AC1807" s="155"/>
      <c r="AD1807" s="155"/>
    </row>
    <row r="1808" spans="27:30" x14ac:dyDescent="0.2">
      <c r="AA1808" s="155"/>
      <c r="AC1808" s="155"/>
      <c r="AD1808" s="155"/>
    </row>
    <row r="1809" spans="27:30" x14ac:dyDescent="0.2">
      <c r="AA1809" s="155"/>
      <c r="AC1809" s="155"/>
      <c r="AD1809" s="155"/>
    </row>
    <row r="1810" spans="27:30" x14ac:dyDescent="0.2">
      <c r="AA1810" s="155"/>
      <c r="AC1810" s="155"/>
      <c r="AD1810" s="155"/>
    </row>
    <row r="1811" spans="27:30" x14ac:dyDescent="0.2">
      <c r="AA1811" s="155"/>
      <c r="AC1811" s="155"/>
      <c r="AD1811" s="155"/>
    </row>
    <row r="1812" spans="27:30" x14ac:dyDescent="0.2">
      <c r="AA1812" s="155"/>
      <c r="AC1812" s="155"/>
      <c r="AD1812" s="155"/>
    </row>
    <row r="1813" spans="27:30" x14ac:dyDescent="0.2">
      <c r="AA1813" s="155"/>
      <c r="AC1813" s="155"/>
      <c r="AD1813" s="155"/>
    </row>
    <row r="1814" spans="27:30" x14ac:dyDescent="0.2">
      <c r="AA1814" s="155"/>
      <c r="AC1814" s="155"/>
      <c r="AD1814" s="155"/>
    </row>
    <row r="1815" spans="27:30" x14ac:dyDescent="0.2">
      <c r="AA1815" s="155"/>
      <c r="AC1815" s="155"/>
      <c r="AD1815" s="155"/>
    </row>
    <row r="1816" spans="27:30" x14ac:dyDescent="0.2">
      <c r="AA1816" s="155"/>
      <c r="AC1816" s="155"/>
      <c r="AD1816" s="155"/>
    </row>
    <row r="1817" spans="27:30" x14ac:dyDescent="0.2">
      <c r="AA1817" s="155"/>
      <c r="AC1817" s="155"/>
      <c r="AD1817" s="155"/>
    </row>
    <row r="1818" spans="27:30" x14ac:dyDescent="0.2">
      <c r="AA1818" s="155"/>
      <c r="AC1818" s="155"/>
      <c r="AD1818" s="155"/>
    </row>
    <row r="1819" spans="27:30" x14ac:dyDescent="0.2">
      <c r="AA1819" s="155"/>
      <c r="AC1819" s="155"/>
      <c r="AD1819" s="155"/>
    </row>
    <row r="1820" spans="27:30" x14ac:dyDescent="0.2">
      <c r="AA1820" s="155"/>
      <c r="AC1820" s="155"/>
      <c r="AD1820" s="155"/>
    </row>
    <row r="1821" spans="27:30" x14ac:dyDescent="0.2">
      <c r="AA1821" s="155"/>
      <c r="AC1821" s="155"/>
      <c r="AD1821" s="155"/>
    </row>
    <row r="1822" spans="27:30" x14ac:dyDescent="0.2">
      <c r="AA1822" s="155"/>
      <c r="AC1822" s="155"/>
      <c r="AD1822" s="155"/>
    </row>
    <row r="1823" spans="27:30" x14ac:dyDescent="0.2">
      <c r="AA1823" s="155"/>
      <c r="AC1823" s="155"/>
      <c r="AD1823" s="155"/>
    </row>
    <row r="1824" spans="27:30" x14ac:dyDescent="0.2">
      <c r="AA1824" s="155"/>
      <c r="AC1824" s="155"/>
      <c r="AD1824" s="155"/>
    </row>
    <row r="1825" spans="27:30" x14ac:dyDescent="0.2">
      <c r="AA1825" s="155"/>
      <c r="AC1825" s="155"/>
      <c r="AD1825" s="155"/>
    </row>
    <row r="1826" spans="27:30" x14ac:dyDescent="0.2">
      <c r="AA1826" s="155"/>
      <c r="AC1826" s="155"/>
      <c r="AD1826" s="155"/>
    </row>
    <row r="1827" spans="27:30" x14ac:dyDescent="0.2">
      <c r="AA1827" s="155"/>
      <c r="AC1827" s="155"/>
      <c r="AD1827" s="155"/>
    </row>
    <row r="1828" spans="27:30" x14ac:dyDescent="0.2">
      <c r="AA1828" s="155"/>
      <c r="AC1828" s="155"/>
      <c r="AD1828" s="155"/>
    </row>
    <row r="1829" spans="27:30" x14ac:dyDescent="0.2">
      <c r="AA1829" s="155"/>
      <c r="AC1829" s="155"/>
      <c r="AD1829" s="155"/>
    </row>
    <row r="1830" spans="27:30" x14ac:dyDescent="0.2">
      <c r="AA1830" s="155"/>
      <c r="AC1830" s="155"/>
      <c r="AD1830" s="155"/>
    </row>
    <row r="1831" spans="27:30" x14ac:dyDescent="0.2">
      <c r="AA1831" s="155"/>
      <c r="AC1831" s="155"/>
      <c r="AD1831" s="155"/>
    </row>
    <row r="1832" spans="27:30" x14ac:dyDescent="0.2">
      <c r="AA1832" s="155"/>
      <c r="AC1832" s="155"/>
      <c r="AD1832" s="155"/>
    </row>
    <row r="1833" spans="27:30" x14ac:dyDescent="0.2">
      <c r="AA1833" s="155"/>
      <c r="AC1833" s="155"/>
      <c r="AD1833" s="155"/>
    </row>
    <row r="1834" spans="27:30" x14ac:dyDescent="0.2">
      <c r="AA1834" s="155"/>
      <c r="AC1834" s="155"/>
      <c r="AD1834" s="155"/>
    </row>
    <row r="1835" spans="27:30" x14ac:dyDescent="0.2">
      <c r="AA1835" s="155"/>
      <c r="AC1835" s="155"/>
      <c r="AD1835" s="155"/>
    </row>
    <row r="1836" spans="27:30" x14ac:dyDescent="0.2">
      <c r="AA1836" s="155"/>
      <c r="AC1836" s="155"/>
      <c r="AD1836" s="155"/>
    </row>
    <row r="1837" spans="27:30" x14ac:dyDescent="0.2">
      <c r="AA1837" s="155"/>
      <c r="AC1837" s="155"/>
      <c r="AD1837" s="155"/>
    </row>
    <row r="1838" spans="27:30" x14ac:dyDescent="0.2">
      <c r="AA1838" s="155"/>
      <c r="AC1838" s="155"/>
      <c r="AD1838" s="155"/>
    </row>
    <row r="1839" spans="27:30" x14ac:dyDescent="0.2">
      <c r="AA1839" s="155"/>
      <c r="AC1839" s="155"/>
      <c r="AD1839" s="155"/>
    </row>
    <row r="1840" spans="27:30" x14ac:dyDescent="0.2">
      <c r="AA1840" s="155"/>
      <c r="AC1840" s="155"/>
      <c r="AD1840" s="155"/>
    </row>
    <row r="1841" spans="27:30" x14ac:dyDescent="0.2">
      <c r="AA1841" s="155"/>
      <c r="AC1841" s="155"/>
      <c r="AD1841" s="155"/>
    </row>
    <row r="1842" spans="27:30" x14ac:dyDescent="0.2">
      <c r="AA1842" s="155"/>
      <c r="AC1842" s="155"/>
      <c r="AD1842" s="155"/>
    </row>
    <row r="1843" spans="27:30" x14ac:dyDescent="0.2">
      <c r="AA1843" s="155"/>
      <c r="AC1843" s="155"/>
      <c r="AD1843" s="155"/>
    </row>
    <row r="1844" spans="27:30" x14ac:dyDescent="0.2">
      <c r="AA1844" s="155"/>
      <c r="AC1844" s="155"/>
      <c r="AD1844" s="155"/>
    </row>
    <row r="1845" spans="27:30" x14ac:dyDescent="0.2">
      <c r="AA1845" s="155"/>
      <c r="AC1845" s="155"/>
      <c r="AD1845" s="155"/>
    </row>
    <row r="1846" spans="27:30" x14ac:dyDescent="0.2">
      <c r="AA1846" s="155"/>
      <c r="AC1846" s="155"/>
      <c r="AD1846" s="155"/>
    </row>
    <row r="1847" spans="27:30" x14ac:dyDescent="0.2">
      <c r="AA1847" s="155"/>
      <c r="AC1847" s="155"/>
      <c r="AD1847" s="155"/>
    </row>
    <row r="1848" spans="27:30" x14ac:dyDescent="0.2">
      <c r="AA1848" s="155"/>
      <c r="AC1848" s="155"/>
      <c r="AD1848" s="155"/>
    </row>
    <row r="1849" spans="27:30" x14ac:dyDescent="0.2">
      <c r="AA1849" s="155"/>
      <c r="AC1849" s="155"/>
      <c r="AD1849" s="155"/>
    </row>
    <row r="1850" spans="27:30" x14ac:dyDescent="0.2">
      <c r="AA1850" s="155"/>
      <c r="AC1850" s="155"/>
      <c r="AD1850" s="155"/>
    </row>
    <row r="1851" spans="27:30" x14ac:dyDescent="0.2">
      <c r="AA1851" s="155"/>
      <c r="AC1851" s="155"/>
      <c r="AD1851" s="155"/>
    </row>
    <row r="1852" spans="27:30" x14ac:dyDescent="0.2">
      <c r="AA1852" s="155"/>
      <c r="AC1852" s="155"/>
      <c r="AD1852" s="155"/>
    </row>
    <row r="1853" spans="27:30" x14ac:dyDescent="0.2">
      <c r="AA1853" s="155"/>
      <c r="AC1853" s="155"/>
      <c r="AD1853" s="155"/>
    </row>
    <row r="1854" spans="27:30" x14ac:dyDescent="0.2">
      <c r="AA1854" s="155"/>
      <c r="AC1854" s="155"/>
      <c r="AD1854" s="155"/>
    </row>
    <row r="1855" spans="27:30" x14ac:dyDescent="0.2">
      <c r="AA1855" s="155"/>
      <c r="AC1855" s="155"/>
      <c r="AD1855" s="155"/>
    </row>
    <row r="1856" spans="27:30" x14ac:dyDescent="0.2">
      <c r="AA1856" s="155"/>
      <c r="AC1856" s="155"/>
      <c r="AD1856" s="155"/>
    </row>
    <row r="1857" spans="27:30" x14ac:dyDescent="0.2">
      <c r="AA1857" s="155"/>
      <c r="AC1857" s="155"/>
      <c r="AD1857" s="155"/>
    </row>
    <row r="1858" spans="27:30" x14ac:dyDescent="0.2">
      <c r="AA1858" s="155"/>
      <c r="AC1858" s="155"/>
      <c r="AD1858" s="155"/>
    </row>
    <row r="1859" spans="27:30" x14ac:dyDescent="0.2">
      <c r="AA1859" s="155"/>
      <c r="AC1859" s="155"/>
      <c r="AD1859" s="155"/>
    </row>
    <row r="1860" spans="27:30" x14ac:dyDescent="0.2">
      <c r="AA1860" s="155"/>
      <c r="AC1860" s="155"/>
      <c r="AD1860" s="155"/>
    </row>
    <row r="1861" spans="27:30" x14ac:dyDescent="0.2">
      <c r="AA1861" s="155"/>
      <c r="AC1861" s="155"/>
      <c r="AD1861" s="155"/>
    </row>
    <row r="1862" spans="27:30" x14ac:dyDescent="0.2">
      <c r="AA1862" s="155"/>
      <c r="AC1862" s="155"/>
      <c r="AD1862" s="155"/>
    </row>
    <row r="1863" spans="27:30" x14ac:dyDescent="0.2">
      <c r="AA1863" s="155"/>
      <c r="AC1863" s="155"/>
      <c r="AD1863" s="155"/>
    </row>
    <row r="1864" spans="27:30" x14ac:dyDescent="0.2">
      <c r="AA1864" s="155"/>
      <c r="AC1864" s="155"/>
      <c r="AD1864" s="155"/>
    </row>
    <row r="1865" spans="27:30" x14ac:dyDescent="0.2">
      <c r="AA1865" s="155"/>
      <c r="AC1865" s="155"/>
      <c r="AD1865" s="155"/>
    </row>
    <row r="1866" spans="27:30" x14ac:dyDescent="0.2">
      <c r="AA1866" s="155"/>
      <c r="AC1866" s="155"/>
      <c r="AD1866" s="155"/>
    </row>
    <row r="1867" spans="27:30" x14ac:dyDescent="0.2">
      <c r="AA1867" s="155"/>
      <c r="AC1867" s="155"/>
      <c r="AD1867" s="155"/>
    </row>
    <row r="1868" spans="27:30" x14ac:dyDescent="0.2">
      <c r="AA1868" s="155"/>
      <c r="AC1868" s="155"/>
      <c r="AD1868" s="155"/>
    </row>
    <row r="1869" spans="27:30" x14ac:dyDescent="0.2">
      <c r="AA1869" s="155"/>
      <c r="AC1869" s="155"/>
      <c r="AD1869" s="155"/>
    </row>
    <row r="1870" spans="27:30" x14ac:dyDescent="0.2">
      <c r="AA1870" s="155"/>
      <c r="AC1870" s="155"/>
      <c r="AD1870" s="155"/>
    </row>
    <row r="1871" spans="27:30" x14ac:dyDescent="0.2">
      <c r="AA1871" s="155"/>
      <c r="AC1871" s="155"/>
      <c r="AD1871" s="155"/>
    </row>
    <row r="1872" spans="27:30" x14ac:dyDescent="0.2">
      <c r="AA1872" s="155"/>
      <c r="AC1872" s="155"/>
      <c r="AD1872" s="155"/>
    </row>
    <row r="1873" spans="27:30" x14ac:dyDescent="0.2">
      <c r="AA1873" s="155"/>
      <c r="AC1873" s="155"/>
      <c r="AD1873" s="155"/>
    </row>
    <row r="1874" spans="27:30" x14ac:dyDescent="0.2">
      <c r="AA1874" s="155"/>
      <c r="AC1874" s="155"/>
      <c r="AD1874" s="155"/>
    </row>
    <row r="1875" spans="27:30" x14ac:dyDescent="0.2">
      <c r="AA1875" s="155"/>
      <c r="AC1875" s="155"/>
      <c r="AD1875" s="155"/>
    </row>
    <row r="1876" spans="27:30" x14ac:dyDescent="0.2">
      <c r="AA1876" s="155"/>
      <c r="AC1876" s="155"/>
      <c r="AD1876" s="155"/>
    </row>
    <row r="1877" spans="27:30" x14ac:dyDescent="0.2">
      <c r="AA1877" s="155"/>
      <c r="AC1877" s="155"/>
      <c r="AD1877" s="155"/>
    </row>
    <row r="1878" spans="27:30" x14ac:dyDescent="0.2">
      <c r="AA1878" s="155"/>
      <c r="AC1878" s="155"/>
      <c r="AD1878" s="155"/>
    </row>
    <row r="1879" spans="27:30" x14ac:dyDescent="0.2">
      <c r="AA1879" s="155"/>
      <c r="AC1879" s="155"/>
      <c r="AD1879" s="155"/>
    </row>
    <row r="1880" spans="27:30" x14ac:dyDescent="0.2">
      <c r="AA1880" s="155"/>
      <c r="AC1880" s="155"/>
      <c r="AD1880" s="155"/>
    </row>
    <row r="1881" spans="27:30" x14ac:dyDescent="0.2">
      <c r="AA1881" s="155"/>
      <c r="AC1881" s="155"/>
      <c r="AD1881" s="155"/>
    </row>
    <row r="1882" spans="27:30" x14ac:dyDescent="0.2">
      <c r="AA1882" s="155"/>
      <c r="AC1882" s="155"/>
      <c r="AD1882" s="155"/>
    </row>
    <row r="1883" spans="27:30" x14ac:dyDescent="0.2">
      <c r="AA1883" s="155"/>
      <c r="AC1883" s="155"/>
      <c r="AD1883" s="155"/>
    </row>
    <row r="1884" spans="27:30" x14ac:dyDescent="0.2">
      <c r="AA1884" s="155"/>
      <c r="AC1884" s="155"/>
      <c r="AD1884" s="155"/>
    </row>
    <row r="1885" spans="27:30" x14ac:dyDescent="0.2">
      <c r="AA1885" s="155"/>
      <c r="AC1885" s="155"/>
      <c r="AD1885" s="155"/>
    </row>
    <row r="1886" spans="27:30" x14ac:dyDescent="0.2">
      <c r="AA1886" s="155"/>
      <c r="AC1886" s="155"/>
      <c r="AD1886" s="155"/>
    </row>
    <row r="1887" spans="27:30" x14ac:dyDescent="0.2">
      <c r="AA1887" s="155"/>
      <c r="AC1887" s="155"/>
      <c r="AD1887" s="155"/>
    </row>
    <row r="1888" spans="27:30" x14ac:dyDescent="0.2">
      <c r="AA1888" s="155"/>
      <c r="AC1888" s="155"/>
      <c r="AD1888" s="155"/>
    </row>
    <row r="1889" spans="27:30" x14ac:dyDescent="0.2">
      <c r="AA1889" s="155"/>
      <c r="AC1889" s="155"/>
      <c r="AD1889" s="155"/>
    </row>
    <row r="1890" spans="27:30" x14ac:dyDescent="0.2">
      <c r="AA1890" s="155"/>
      <c r="AC1890" s="155"/>
      <c r="AD1890" s="155"/>
    </row>
    <row r="1891" spans="27:30" x14ac:dyDescent="0.2">
      <c r="AA1891" s="155"/>
      <c r="AC1891" s="155"/>
      <c r="AD1891" s="155"/>
    </row>
    <row r="1892" spans="27:30" x14ac:dyDescent="0.2">
      <c r="AA1892" s="155"/>
      <c r="AC1892" s="155"/>
      <c r="AD1892" s="155"/>
    </row>
    <row r="1893" spans="27:30" x14ac:dyDescent="0.2">
      <c r="AA1893" s="155"/>
      <c r="AC1893" s="155"/>
      <c r="AD1893" s="155"/>
    </row>
    <row r="1894" spans="27:30" x14ac:dyDescent="0.2">
      <c r="AA1894" s="155"/>
      <c r="AC1894" s="155"/>
      <c r="AD1894" s="155"/>
    </row>
    <row r="1895" spans="27:30" x14ac:dyDescent="0.2">
      <c r="AA1895" s="155"/>
      <c r="AC1895" s="155"/>
      <c r="AD1895" s="155"/>
    </row>
    <row r="1896" spans="27:30" x14ac:dyDescent="0.2">
      <c r="AA1896" s="155"/>
      <c r="AC1896" s="155"/>
      <c r="AD1896" s="155"/>
    </row>
    <row r="1897" spans="27:30" x14ac:dyDescent="0.2">
      <c r="AA1897" s="155"/>
      <c r="AC1897" s="155"/>
      <c r="AD1897" s="155"/>
    </row>
    <row r="1898" spans="27:30" x14ac:dyDescent="0.2">
      <c r="AA1898" s="155"/>
      <c r="AC1898" s="155"/>
      <c r="AD1898" s="155"/>
    </row>
    <row r="1899" spans="27:30" x14ac:dyDescent="0.2">
      <c r="AA1899" s="155"/>
      <c r="AC1899" s="155"/>
      <c r="AD1899" s="155"/>
    </row>
    <row r="1900" spans="27:30" x14ac:dyDescent="0.2">
      <c r="AA1900" s="155"/>
      <c r="AC1900" s="155"/>
      <c r="AD1900" s="155"/>
    </row>
    <row r="1901" spans="27:30" x14ac:dyDescent="0.2">
      <c r="AA1901" s="155"/>
      <c r="AC1901" s="155"/>
      <c r="AD1901" s="155"/>
    </row>
    <row r="1902" spans="27:30" x14ac:dyDescent="0.2">
      <c r="AA1902" s="155"/>
      <c r="AC1902" s="155"/>
      <c r="AD1902" s="155"/>
    </row>
    <row r="1903" spans="27:30" x14ac:dyDescent="0.2">
      <c r="AA1903" s="155"/>
      <c r="AC1903" s="155"/>
      <c r="AD1903" s="155"/>
    </row>
    <row r="1904" spans="27:30" x14ac:dyDescent="0.2">
      <c r="AA1904" s="155"/>
      <c r="AC1904" s="155"/>
      <c r="AD1904" s="155"/>
    </row>
    <row r="1905" spans="27:30" x14ac:dyDescent="0.2">
      <c r="AA1905" s="155"/>
      <c r="AC1905" s="155"/>
      <c r="AD1905" s="155"/>
    </row>
    <row r="1906" spans="27:30" x14ac:dyDescent="0.2">
      <c r="AA1906" s="155"/>
      <c r="AC1906" s="155"/>
      <c r="AD1906" s="155"/>
    </row>
    <row r="1907" spans="27:30" x14ac:dyDescent="0.2">
      <c r="AA1907" s="155"/>
      <c r="AC1907" s="155"/>
      <c r="AD1907" s="155"/>
    </row>
    <row r="1908" spans="27:30" x14ac:dyDescent="0.2">
      <c r="AA1908" s="155"/>
      <c r="AC1908" s="155"/>
      <c r="AD1908" s="155"/>
    </row>
    <row r="1909" spans="27:30" x14ac:dyDescent="0.2">
      <c r="AA1909" s="155"/>
      <c r="AC1909" s="155"/>
      <c r="AD1909" s="155"/>
    </row>
    <row r="1910" spans="27:30" x14ac:dyDescent="0.2">
      <c r="AA1910" s="155"/>
      <c r="AC1910" s="155"/>
      <c r="AD1910" s="155"/>
    </row>
    <row r="1911" spans="27:30" x14ac:dyDescent="0.2">
      <c r="AA1911" s="155"/>
      <c r="AC1911" s="155"/>
      <c r="AD1911" s="155"/>
    </row>
    <row r="1912" spans="27:30" x14ac:dyDescent="0.2">
      <c r="AA1912" s="155"/>
      <c r="AC1912" s="155"/>
      <c r="AD1912" s="155"/>
    </row>
    <row r="1913" spans="27:30" x14ac:dyDescent="0.2">
      <c r="AA1913" s="155"/>
      <c r="AC1913" s="155"/>
      <c r="AD1913" s="155"/>
    </row>
    <row r="1914" spans="27:30" x14ac:dyDescent="0.2">
      <c r="AA1914" s="155"/>
      <c r="AC1914" s="155"/>
      <c r="AD1914" s="155"/>
    </row>
    <row r="1915" spans="27:30" x14ac:dyDescent="0.2">
      <c r="AA1915" s="155"/>
      <c r="AC1915" s="155"/>
      <c r="AD1915" s="155"/>
    </row>
    <row r="1916" spans="27:30" x14ac:dyDescent="0.2">
      <c r="AA1916" s="155"/>
      <c r="AC1916" s="155"/>
      <c r="AD1916" s="155"/>
    </row>
    <row r="1917" spans="27:30" x14ac:dyDescent="0.2">
      <c r="AA1917" s="155"/>
      <c r="AC1917" s="155"/>
      <c r="AD1917" s="155"/>
    </row>
    <row r="1918" spans="27:30" x14ac:dyDescent="0.2">
      <c r="AA1918" s="155"/>
      <c r="AC1918" s="155"/>
      <c r="AD1918" s="155"/>
    </row>
    <row r="1919" spans="27:30" x14ac:dyDescent="0.2">
      <c r="AA1919" s="155"/>
      <c r="AC1919" s="155"/>
      <c r="AD1919" s="155"/>
    </row>
    <row r="1920" spans="27:30" x14ac:dyDescent="0.2">
      <c r="AA1920" s="155"/>
      <c r="AC1920" s="155"/>
      <c r="AD1920" s="155"/>
    </row>
    <row r="1921" spans="27:30" x14ac:dyDescent="0.2">
      <c r="AA1921" s="155"/>
      <c r="AC1921" s="155"/>
      <c r="AD1921" s="155"/>
    </row>
    <row r="1922" spans="27:30" x14ac:dyDescent="0.2">
      <c r="AA1922" s="155"/>
      <c r="AC1922" s="155"/>
      <c r="AD1922" s="155"/>
    </row>
    <row r="1923" spans="27:30" x14ac:dyDescent="0.2">
      <c r="AA1923" s="155"/>
      <c r="AC1923" s="155"/>
      <c r="AD1923" s="155"/>
    </row>
    <row r="1924" spans="27:30" x14ac:dyDescent="0.2">
      <c r="AA1924" s="155"/>
      <c r="AC1924" s="155"/>
      <c r="AD1924" s="155"/>
    </row>
    <row r="1925" spans="27:30" x14ac:dyDescent="0.2">
      <c r="AA1925" s="155"/>
      <c r="AC1925" s="155"/>
      <c r="AD1925" s="155"/>
    </row>
    <row r="1926" spans="27:30" x14ac:dyDescent="0.2">
      <c r="AA1926" s="155"/>
      <c r="AC1926" s="155"/>
      <c r="AD1926" s="155"/>
    </row>
    <row r="1927" spans="27:30" x14ac:dyDescent="0.2">
      <c r="AA1927" s="155"/>
      <c r="AC1927" s="155"/>
      <c r="AD1927" s="155"/>
    </row>
    <row r="1928" spans="27:30" x14ac:dyDescent="0.2">
      <c r="AA1928" s="155"/>
      <c r="AC1928" s="155"/>
      <c r="AD1928" s="155"/>
    </row>
    <row r="1929" spans="27:30" x14ac:dyDescent="0.2">
      <c r="AA1929" s="155"/>
      <c r="AC1929" s="155"/>
      <c r="AD1929" s="155"/>
    </row>
    <row r="1930" spans="27:30" x14ac:dyDescent="0.2">
      <c r="AA1930" s="155"/>
      <c r="AC1930" s="155"/>
      <c r="AD1930" s="155"/>
    </row>
    <row r="1931" spans="27:30" x14ac:dyDescent="0.2">
      <c r="AA1931" s="155"/>
      <c r="AC1931" s="155"/>
      <c r="AD1931" s="155"/>
    </row>
    <row r="1932" spans="27:30" x14ac:dyDescent="0.2">
      <c r="AA1932" s="155"/>
      <c r="AC1932" s="155"/>
      <c r="AD1932" s="155"/>
    </row>
    <row r="1933" spans="27:30" x14ac:dyDescent="0.2">
      <c r="AA1933" s="155"/>
      <c r="AC1933" s="155"/>
      <c r="AD1933" s="155"/>
    </row>
    <row r="1934" spans="27:30" x14ac:dyDescent="0.2">
      <c r="AA1934" s="155"/>
      <c r="AC1934" s="155"/>
      <c r="AD1934" s="155"/>
    </row>
    <row r="1935" spans="27:30" x14ac:dyDescent="0.2">
      <c r="AA1935" s="155"/>
      <c r="AC1935" s="155"/>
      <c r="AD1935" s="155"/>
    </row>
    <row r="1936" spans="27:30" x14ac:dyDescent="0.2">
      <c r="AA1936" s="155"/>
      <c r="AC1936" s="155"/>
      <c r="AD1936" s="155"/>
    </row>
    <row r="1937" spans="27:30" x14ac:dyDescent="0.2">
      <c r="AA1937" s="155"/>
      <c r="AC1937" s="155"/>
      <c r="AD1937" s="155"/>
    </row>
    <row r="1938" spans="27:30" x14ac:dyDescent="0.2">
      <c r="AA1938" s="155"/>
      <c r="AC1938" s="155"/>
      <c r="AD1938" s="155"/>
    </row>
    <row r="1939" spans="27:30" x14ac:dyDescent="0.2">
      <c r="AA1939" s="155"/>
      <c r="AC1939" s="155"/>
      <c r="AD1939" s="155"/>
    </row>
    <row r="1940" spans="27:30" x14ac:dyDescent="0.2">
      <c r="AA1940" s="155"/>
      <c r="AC1940" s="155"/>
      <c r="AD1940" s="155"/>
    </row>
    <row r="1941" spans="27:30" x14ac:dyDescent="0.2">
      <c r="AA1941" s="155"/>
      <c r="AC1941" s="155"/>
      <c r="AD1941" s="155"/>
    </row>
    <row r="1942" spans="27:30" x14ac:dyDescent="0.2">
      <c r="AA1942" s="155"/>
      <c r="AC1942" s="155"/>
      <c r="AD1942" s="155"/>
    </row>
    <row r="1943" spans="27:30" x14ac:dyDescent="0.2">
      <c r="AA1943" s="155"/>
      <c r="AC1943" s="155"/>
      <c r="AD1943" s="155"/>
    </row>
    <row r="1944" spans="27:30" x14ac:dyDescent="0.2">
      <c r="AA1944" s="155"/>
      <c r="AC1944" s="155"/>
      <c r="AD1944" s="155"/>
    </row>
    <row r="1945" spans="27:30" x14ac:dyDescent="0.2">
      <c r="AA1945" s="155"/>
      <c r="AC1945" s="155"/>
      <c r="AD1945" s="155"/>
    </row>
    <row r="1946" spans="27:30" x14ac:dyDescent="0.2">
      <c r="AA1946" s="155"/>
      <c r="AC1946" s="155"/>
      <c r="AD1946" s="155"/>
    </row>
    <row r="1947" spans="27:30" x14ac:dyDescent="0.2">
      <c r="AA1947" s="155"/>
      <c r="AC1947" s="155"/>
      <c r="AD1947" s="155"/>
    </row>
    <row r="1948" spans="27:30" x14ac:dyDescent="0.2">
      <c r="AA1948" s="155"/>
      <c r="AC1948" s="155"/>
      <c r="AD1948" s="155"/>
    </row>
    <row r="1949" spans="27:30" x14ac:dyDescent="0.2">
      <c r="AA1949" s="155"/>
      <c r="AC1949" s="155"/>
      <c r="AD1949" s="155"/>
    </row>
    <row r="1950" spans="27:30" x14ac:dyDescent="0.2">
      <c r="AA1950" s="155"/>
      <c r="AC1950" s="155"/>
      <c r="AD1950" s="155"/>
    </row>
    <row r="1951" spans="27:30" x14ac:dyDescent="0.2">
      <c r="AA1951" s="155"/>
      <c r="AC1951" s="155"/>
      <c r="AD1951" s="155"/>
    </row>
    <row r="1952" spans="27:30" x14ac:dyDescent="0.2">
      <c r="AA1952" s="155"/>
      <c r="AC1952" s="155"/>
      <c r="AD1952" s="155"/>
    </row>
    <row r="1953" spans="27:30" x14ac:dyDescent="0.2">
      <c r="AA1953" s="155"/>
      <c r="AC1953" s="155"/>
      <c r="AD1953" s="155"/>
    </row>
    <row r="1954" spans="27:30" x14ac:dyDescent="0.2">
      <c r="AA1954" s="155"/>
      <c r="AC1954" s="155"/>
      <c r="AD1954" s="155"/>
    </row>
    <row r="1955" spans="27:30" x14ac:dyDescent="0.2">
      <c r="AA1955" s="155"/>
      <c r="AC1955" s="155"/>
      <c r="AD1955" s="155"/>
    </row>
    <row r="1956" spans="27:30" x14ac:dyDescent="0.2">
      <c r="AA1956" s="155"/>
      <c r="AC1956" s="155"/>
      <c r="AD1956" s="155"/>
    </row>
    <row r="1957" spans="27:30" x14ac:dyDescent="0.2">
      <c r="AA1957" s="155"/>
      <c r="AC1957" s="155"/>
      <c r="AD1957" s="155"/>
    </row>
    <row r="1958" spans="27:30" x14ac:dyDescent="0.2">
      <c r="AA1958" s="155"/>
      <c r="AC1958" s="155"/>
      <c r="AD1958" s="155"/>
    </row>
    <row r="1959" spans="27:30" x14ac:dyDescent="0.2">
      <c r="AA1959" s="155"/>
      <c r="AC1959" s="155"/>
      <c r="AD1959" s="155"/>
    </row>
    <row r="1960" spans="27:30" x14ac:dyDescent="0.2">
      <c r="AA1960" s="155"/>
      <c r="AC1960" s="155"/>
      <c r="AD1960" s="155"/>
    </row>
    <row r="1961" spans="27:30" x14ac:dyDescent="0.2">
      <c r="AA1961" s="155"/>
      <c r="AC1961" s="155"/>
      <c r="AD1961" s="155"/>
    </row>
    <row r="1962" spans="27:30" x14ac:dyDescent="0.2">
      <c r="AA1962" s="155"/>
      <c r="AC1962" s="155"/>
      <c r="AD1962" s="155"/>
    </row>
    <row r="1963" spans="27:30" x14ac:dyDescent="0.2">
      <c r="AA1963" s="155"/>
      <c r="AC1963" s="155"/>
      <c r="AD1963" s="155"/>
    </row>
    <row r="1964" spans="27:30" x14ac:dyDescent="0.2">
      <c r="AA1964" s="155"/>
      <c r="AC1964" s="155"/>
      <c r="AD1964" s="155"/>
    </row>
    <row r="1965" spans="27:30" x14ac:dyDescent="0.2">
      <c r="AA1965" s="155"/>
      <c r="AC1965" s="155"/>
      <c r="AD1965" s="155"/>
    </row>
    <row r="1966" spans="27:30" x14ac:dyDescent="0.2">
      <c r="AA1966" s="155"/>
      <c r="AC1966" s="155"/>
      <c r="AD1966" s="155"/>
    </row>
    <row r="1967" spans="27:30" x14ac:dyDescent="0.2">
      <c r="AA1967" s="155"/>
      <c r="AC1967" s="155"/>
      <c r="AD1967" s="155"/>
    </row>
    <row r="1968" spans="27:30" x14ac:dyDescent="0.2">
      <c r="AA1968" s="155"/>
      <c r="AC1968" s="155"/>
      <c r="AD1968" s="155"/>
    </row>
    <row r="1969" spans="27:30" x14ac:dyDescent="0.2">
      <c r="AA1969" s="155"/>
      <c r="AC1969" s="155"/>
      <c r="AD1969" s="155"/>
    </row>
    <row r="1970" spans="27:30" x14ac:dyDescent="0.2">
      <c r="AA1970" s="155"/>
      <c r="AC1970" s="155"/>
      <c r="AD1970" s="155"/>
    </row>
    <row r="1971" spans="27:30" x14ac:dyDescent="0.2">
      <c r="AA1971" s="155"/>
      <c r="AC1971" s="155"/>
      <c r="AD1971" s="155"/>
    </row>
    <row r="1972" spans="27:30" x14ac:dyDescent="0.2">
      <c r="AA1972" s="155"/>
      <c r="AC1972" s="155"/>
      <c r="AD1972" s="155"/>
    </row>
    <row r="1973" spans="27:30" x14ac:dyDescent="0.2">
      <c r="AA1973" s="155"/>
      <c r="AC1973" s="155"/>
      <c r="AD1973" s="155"/>
    </row>
    <row r="1974" spans="27:30" x14ac:dyDescent="0.2">
      <c r="AA1974" s="155"/>
      <c r="AC1974" s="155"/>
      <c r="AD1974" s="155"/>
    </row>
    <row r="1975" spans="27:30" x14ac:dyDescent="0.2">
      <c r="AA1975" s="155"/>
      <c r="AC1975" s="155"/>
      <c r="AD1975" s="155"/>
    </row>
    <row r="1976" spans="27:30" x14ac:dyDescent="0.2">
      <c r="AA1976" s="155"/>
      <c r="AC1976" s="155"/>
      <c r="AD1976" s="155"/>
    </row>
    <row r="1977" spans="27:30" x14ac:dyDescent="0.2">
      <c r="AA1977" s="155"/>
      <c r="AC1977" s="155"/>
      <c r="AD1977" s="155"/>
    </row>
    <row r="1978" spans="27:30" x14ac:dyDescent="0.2">
      <c r="AA1978" s="155"/>
      <c r="AC1978" s="155"/>
      <c r="AD1978" s="155"/>
    </row>
    <row r="1979" spans="27:30" x14ac:dyDescent="0.2">
      <c r="AA1979" s="155"/>
      <c r="AC1979" s="155"/>
      <c r="AD1979" s="155"/>
    </row>
    <row r="1980" spans="27:30" x14ac:dyDescent="0.2">
      <c r="AA1980" s="155"/>
      <c r="AC1980" s="155"/>
      <c r="AD1980" s="155"/>
    </row>
    <row r="1981" spans="27:30" x14ac:dyDescent="0.2">
      <c r="AA1981" s="155"/>
      <c r="AC1981" s="155"/>
      <c r="AD1981" s="155"/>
    </row>
    <row r="1982" spans="27:30" x14ac:dyDescent="0.2">
      <c r="AA1982" s="155"/>
      <c r="AC1982" s="155"/>
      <c r="AD1982" s="155"/>
    </row>
    <row r="1983" spans="27:30" x14ac:dyDescent="0.2">
      <c r="AA1983" s="155"/>
      <c r="AC1983" s="155"/>
      <c r="AD1983" s="155"/>
    </row>
    <row r="1984" spans="27:30" x14ac:dyDescent="0.2">
      <c r="AA1984" s="155"/>
      <c r="AC1984" s="155"/>
      <c r="AD1984" s="155"/>
    </row>
    <row r="1985" spans="27:30" x14ac:dyDescent="0.2">
      <c r="AA1985" s="155"/>
      <c r="AC1985" s="155"/>
      <c r="AD1985" s="155"/>
    </row>
    <row r="1986" spans="27:30" x14ac:dyDescent="0.2">
      <c r="AA1986" s="155"/>
      <c r="AC1986" s="155"/>
      <c r="AD1986" s="155"/>
    </row>
    <row r="1987" spans="27:30" x14ac:dyDescent="0.2">
      <c r="AA1987" s="155"/>
      <c r="AC1987" s="155"/>
      <c r="AD1987" s="155"/>
    </row>
    <row r="1988" spans="27:30" x14ac:dyDescent="0.2">
      <c r="AA1988" s="155"/>
      <c r="AC1988" s="155"/>
      <c r="AD1988" s="155"/>
    </row>
    <row r="1989" spans="27:30" x14ac:dyDescent="0.2">
      <c r="AA1989" s="155"/>
      <c r="AC1989" s="155"/>
      <c r="AD1989" s="155"/>
    </row>
    <row r="1990" spans="27:30" x14ac:dyDescent="0.2">
      <c r="AA1990" s="155"/>
      <c r="AC1990" s="155"/>
      <c r="AD1990" s="155"/>
    </row>
    <row r="1991" spans="27:30" x14ac:dyDescent="0.2">
      <c r="AA1991" s="155"/>
      <c r="AC1991" s="155"/>
      <c r="AD1991" s="155"/>
    </row>
    <row r="1992" spans="27:30" x14ac:dyDescent="0.2">
      <c r="AA1992" s="155"/>
      <c r="AC1992" s="155"/>
      <c r="AD1992" s="155"/>
    </row>
    <row r="1993" spans="27:30" x14ac:dyDescent="0.2">
      <c r="AA1993" s="155"/>
      <c r="AC1993" s="155"/>
      <c r="AD1993" s="155"/>
    </row>
    <row r="1994" spans="27:30" x14ac:dyDescent="0.2">
      <c r="AA1994" s="155"/>
      <c r="AC1994" s="155"/>
      <c r="AD1994" s="155"/>
    </row>
    <row r="1995" spans="27:30" x14ac:dyDescent="0.2">
      <c r="AA1995" s="155"/>
      <c r="AC1995" s="155"/>
      <c r="AD1995" s="155"/>
    </row>
    <row r="1996" spans="27:30" x14ac:dyDescent="0.2">
      <c r="AA1996" s="155"/>
      <c r="AC1996" s="155"/>
      <c r="AD1996" s="155"/>
    </row>
    <row r="1997" spans="27:30" x14ac:dyDescent="0.2">
      <c r="AA1997" s="155"/>
      <c r="AC1997" s="155"/>
      <c r="AD1997" s="155"/>
    </row>
    <row r="1998" spans="27:30" x14ac:dyDescent="0.2">
      <c r="AA1998" s="155"/>
      <c r="AC1998" s="155"/>
      <c r="AD1998" s="155"/>
    </row>
    <row r="1999" spans="27:30" x14ac:dyDescent="0.2">
      <c r="AA1999" s="155"/>
      <c r="AC1999" s="155"/>
      <c r="AD1999" s="155"/>
    </row>
    <row r="2000" spans="27:30" x14ac:dyDescent="0.2">
      <c r="AA2000" s="155"/>
      <c r="AC2000" s="155"/>
      <c r="AD2000" s="155"/>
    </row>
    <row r="2001" spans="27:30" x14ac:dyDescent="0.2">
      <c r="AA2001" s="155"/>
      <c r="AC2001" s="155"/>
      <c r="AD2001" s="155"/>
    </row>
    <row r="2002" spans="27:30" x14ac:dyDescent="0.2">
      <c r="AA2002" s="155"/>
      <c r="AC2002" s="155"/>
      <c r="AD2002" s="155"/>
    </row>
    <row r="2003" spans="27:30" x14ac:dyDescent="0.2">
      <c r="AA2003" s="155"/>
      <c r="AC2003" s="155"/>
      <c r="AD2003" s="155"/>
    </row>
    <row r="2004" spans="27:30" x14ac:dyDescent="0.2">
      <c r="AA2004" s="155"/>
      <c r="AC2004" s="155"/>
      <c r="AD2004" s="155"/>
    </row>
    <row r="2005" spans="27:30" x14ac:dyDescent="0.2">
      <c r="AA2005" s="155"/>
      <c r="AC2005" s="155"/>
      <c r="AD2005" s="155"/>
    </row>
    <row r="2006" spans="27:30" x14ac:dyDescent="0.2">
      <c r="AA2006" s="155"/>
      <c r="AC2006" s="155"/>
      <c r="AD2006" s="155"/>
    </row>
    <row r="2007" spans="27:30" x14ac:dyDescent="0.2">
      <c r="AA2007" s="155"/>
      <c r="AC2007" s="155"/>
      <c r="AD2007" s="155"/>
    </row>
    <row r="2008" spans="27:30" x14ac:dyDescent="0.2">
      <c r="AA2008" s="155"/>
      <c r="AC2008" s="155"/>
      <c r="AD2008" s="155"/>
    </row>
    <row r="2009" spans="27:30" x14ac:dyDescent="0.2">
      <c r="AA2009" s="155"/>
      <c r="AC2009" s="155"/>
      <c r="AD2009" s="155"/>
    </row>
    <row r="2010" spans="27:30" x14ac:dyDescent="0.2">
      <c r="AA2010" s="155"/>
      <c r="AC2010" s="155"/>
      <c r="AD2010" s="155"/>
    </row>
    <row r="2011" spans="27:30" x14ac:dyDescent="0.2">
      <c r="AA2011" s="155"/>
      <c r="AC2011" s="155"/>
      <c r="AD2011" s="155"/>
    </row>
    <row r="2012" spans="27:30" x14ac:dyDescent="0.2">
      <c r="AA2012" s="155"/>
      <c r="AC2012" s="155"/>
      <c r="AD2012" s="155"/>
    </row>
    <row r="2013" spans="27:30" x14ac:dyDescent="0.2">
      <c r="AA2013" s="155"/>
      <c r="AC2013" s="155"/>
      <c r="AD2013" s="155"/>
    </row>
    <row r="2014" spans="27:30" x14ac:dyDescent="0.2">
      <c r="AA2014" s="155"/>
      <c r="AC2014" s="155"/>
      <c r="AD2014" s="155"/>
    </row>
    <row r="2015" spans="27:30" x14ac:dyDescent="0.2">
      <c r="AA2015" s="155"/>
      <c r="AC2015" s="155"/>
      <c r="AD2015" s="155"/>
    </row>
    <row r="2016" spans="27:30" x14ac:dyDescent="0.2">
      <c r="AA2016" s="155"/>
      <c r="AC2016" s="155"/>
      <c r="AD2016" s="155"/>
    </row>
    <row r="2017" spans="27:30" x14ac:dyDescent="0.2">
      <c r="AA2017" s="155"/>
      <c r="AC2017" s="155"/>
      <c r="AD2017" s="155"/>
    </row>
    <row r="2018" spans="27:30" x14ac:dyDescent="0.2">
      <c r="AA2018" s="155"/>
      <c r="AC2018" s="155"/>
      <c r="AD2018" s="155"/>
    </row>
    <row r="2019" spans="27:30" x14ac:dyDescent="0.2">
      <c r="AA2019" s="155"/>
      <c r="AC2019" s="155"/>
      <c r="AD2019" s="155"/>
    </row>
    <row r="2020" spans="27:30" x14ac:dyDescent="0.2">
      <c r="AA2020" s="155"/>
      <c r="AC2020" s="155"/>
      <c r="AD2020" s="155"/>
    </row>
    <row r="2021" spans="27:30" x14ac:dyDescent="0.2">
      <c r="AA2021" s="155"/>
      <c r="AC2021" s="155"/>
      <c r="AD2021" s="155"/>
    </row>
    <row r="2022" spans="27:30" x14ac:dyDescent="0.2">
      <c r="AA2022" s="155"/>
      <c r="AC2022" s="155"/>
      <c r="AD2022" s="155"/>
    </row>
    <row r="2023" spans="27:30" x14ac:dyDescent="0.2">
      <c r="AA2023" s="155"/>
      <c r="AC2023" s="155"/>
      <c r="AD2023" s="155"/>
    </row>
    <row r="2024" spans="27:30" x14ac:dyDescent="0.2">
      <c r="AA2024" s="155"/>
      <c r="AC2024" s="155"/>
      <c r="AD2024" s="155"/>
    </row>
    <row r="2025" spans="27:30" x14ac:dyDescent="0.2">
      <c r="AA2025" s="155"/>
      <c r="AC2025" s="155"/>
      <c r="AD2025" s="155"/>
    </row>
    <row r="2026" spans="27:30" x14ac:dyDescent="0.2">
      <c r="AA2026" s="155"/>
      <c r="AC2026" s="155"/>
      <c r="AD2026" s="155"/>
    </row>
    <row r="2027" spans="27:30" x14ac:dyDescent="0.2">
      <c r="AA2027" s="155"/>
      <c r="AC2027" s="155"/>
      <c r="AD2027" s="155"/>
    </row>
    <row r="2028" spans="27:30" x14ac:dyDescent="0.2">
      <c r="AA2028" s="155"/>
      <c r="AC2028" s="155"/>
      <c r="AD2028" s="155"/>
    </row>
    <row r="2029" spans="27:30" x14ac:dyDescent="0.2">
      <c r="AA2029" s="155"/>
      <c r="AC2029" s="155"/>
      <c r="AD2029" s="155"/>
    </row>
    <row r="2030" spans="27:30" x14ac:dyDescent="0.2">
      <c r="AA2030" s="155"/>
      <c r="AC2030" s="155"/>
      <c r="AD2030" s="155"/>
    </row>
    <row r="2031" spans="27:30" x14ac:dyDescent="0.2">
      <c r="AA2031" s="155"/>
      <c r="AC2031" s="155"/>
      <c r="AD2031" s="155"/>
    </row>
    <row r="2032" spans="27:30" x14ac:dyDescent="0.2">
      <c r="AA2032" s="155"/>
      <c r="AC2032" s="155"/>
      <c r="AD2032" s="155"/>
    </row>
    <row r="2033" spans="27:30" x14ac:dyDescent="0.2">
      <c r="AA2033" s="155"/>
      <c r="AC2033" s="155"/>
      <c r="AD2033" s="155"/>
    </row>
    <row r="2034" spans="27:30" x14ac:dyDescent="0.2">
      <c r="AA2034" s="155"/>
      <c r="AC2034" s="155"/>
      <c r="AD2034" s="155"/>
    </row>
    <row r="2035" spans="27:30" x14ac:dyDescent="0.2">
      <c r="AA2035" s="155"/>
      <c r="AC2035" s="155"/>
      <c r="AD2035" s="155"/>
    </row>
    <row r="2036" spans="27:30" x14ac:dyDescent="0.2">
      <c r="AA2036" s="155"/>
      <c r="AC2036" s="155"/>
      <c r="AD2036" s="155"/>
    </row>
    <row r="2037" spans="27:30" x14ac:dyDescent="0.2">
      <c r="AA2037" s="155"/>
      <c r="AC2037" s="155"/>
      <c r="AD2037" s="155"/>
    </row>
    <row r="2038" spans="27:30" x14ac:dyDescent="0.2">
      <c r="AA2038" s="155"/>
      <c r="AC2038" s="155"/>
      <c r="AD2038" s="155"/>
    </row>
    <row r="2039" spans="27:30" x14ac:dyDescent="0.2">
      <c r="AA2039" s="155"/>
      <c r="AC2039" s="155"/>
      <c r="AD2039" s="155"/>
    </row>
    <row r="2040" spans="27:30" x14ac:dyDescent="0.2">
      <c r="AA2040" s="155"/>
      <c r="AC2040" s="155"/>
      <c r="AD2040" s="155"/>
    </row>
    <row r="2041" spans="27:30" x14ac:dyDescent="0.2">
      <c r="AA2041" s="155"/>
      <c r="AC2041" s="155"/>
      <c r="AD2041" s="155"/>
    </row>
    <row r="2042" spans="27:30" x14ac:dyDescent="0.2">
      <c r="AA2042" s="155"/>
      <c r="AC2042" s="155"/>
      <c r="AD2042" s="155"/>
    </row>
    <row r="2043" spans="27:30" x14ac:dyDescent="0.2">
      <c r="AA2043" s="155"/>
      <c r="AC2043" s="155"/>
      <c r="AD2043" s="155"/>
    </row>
    <row r="2044" spans="27:30" x14ac:dyDescent="0.2">
      <c r="AA2044" s="155"/>
      <c r="AC2044" s="155"/>
      <c r="AD2044" s="155"/>
    </row>
    <row r="2045" spans="27:30" x14ac:dyDescent="0.2">
      <c r="AA2045" s="155"/>
      <c r="AC2045" s="155"/>
      <c r="AD2045" s="155"/>
    </row>
    <row r="2046" spans="27:30" x14ac:dyDescent="0.2">
      <c r="AA2046" s="155"/>
      <c r="AC2046" s="155"/>
      <c r="AD2046" s="155"/>
    </row>
    <row r="2047" spans="27:30" x14ac:dyDescent="0.2">
      <c r="AA2047" s="155"/>
      <c r="AC2047" s="155"/>
      <c r="AD2047" s="155"/>
    </row>
    <row r="2048" spans="27:30" x14ac:dyDescent="0.2">
      <c r="AA2048" s="155"/>
      <c r="AC2048" s="155"/>
      <c r="AD2048" s="155"/>
    </row>
    <row r="2049" spans="27:30" x14ac:dyDescent="0.2">
      <c r="AA2049" s="155"/>
      <c r="AC2049" s="155"/>
      <c r="AD2049" s="155"/>
    </row>
    <row r="2050" spans="27:30" x14ac:dyDescent="0.2">
      <c r="AA2050" s="155"/>
      <c r="AC2050" s="155"/>
      <c r="AD2050" s="155"/>
    </row>
    <row r="2051" spans="27:30" x14ac:dyDescent="0.2">
      <c r="AA2051" s="155"/>
      <c r="AC2051" s="155"/>
      <c r="AD2051" s="155"/>
    </row>
    <row r="2052" spans="27:30" x14ac:dyDescent="0.2">
      <c r="AA2052" s="155"/>
      <c r="AC2052" s="155"/>
      <c r="AD2052" s="155"/>
    </row>
    <row r="2053" spans="27:30" x14ac:dyDescent="0.2">
      <c r="AA2053" s="155"/>
      <c r="AC2053" s="155"/>
      <c r="AD2053" s="155"/>
    </row>
    <row r="2054" spans="27:30" x14ac:dyDescent="0.2">
      <c r="AA2054" s="155"/>
      <c r="AC2054" s="155"/>
      <c r="AD2054" s="155"/>
    </row>
    <row r="2055" spans="27:30" x14ac:dyDescent="0.2">
      <c r="AA2055" s="155"/>
      <c r="AC2055" s="155"/>
      <c r="AD2055" s="155"/>
    </row>
    <row r="2056" spans="27:30" x14ac:dyDescent="0.2">
      <c r="AA2056" s="155"/>
      <c r="AC2056" s="155"/>
      <c r="AD2056" s="155"/>
    </row>
    <row r="2057" spans="27:30" x14ac:dyDescent="0.2">
      <c r="AA2057" s="155"/>
      <c r="AC2057" s="155"/>
      <c r="AD2057" s="155"/>
    </row>
    <row r="2058" spans="27:30" x14ac:dyDescent="0.2">
      <c r="AA2058" s="155"/>
      <c r="AC2058" s="155"/>
      <c r="AD2058" s="155"/>
    </row>
    <row r="2059" spans="27:30" x14ac:dyDescent="0.2">
      <c r="AA2059" s="155"/>
      <c r="AC2059" s="155"/>
      <c r="AD2059" s="155"/>
    </row>
    <row r="2060" spans="27:30" x14ac:dyDescent="0.2">
      <c r="AA2060" s="155"/>
      <c r="AC2060" s="155"/>
      <c r="AD2060" s="155"/>
    </row>
    <row r="2061" spans="27:30" x14ac:dyDescent="0.2">
      <c r="AA2061" s="155"/>
      <c r="AC2061" s="155"/>
      <c r="AD2061" s="155"/>
    </row>
    <row r="2062" spans="27:30" x14ac:dyDescent="0.2">
      <c r="AA2062" s="155"/>
      <c r="AC2062" s="155"/>
      <c r="AD2062" s="155"/>
    </row>
    <row r="2063" spans="27:30" x14ac:dyDescent="0.2">
      <c r="AA2063" s="155"/>
      <c r="AC2063" s="155"/>
      <c r="AD2063" s="155"/>
    </row>
    <row r="2064" spans="27:30" x14ac:dyDescent="0.2">
      <c r="AA2064" s="155"/>
      <c r="AC2064" s="155"/>
      <c r="AD2064" s="155"/>
    </row>
    <row r="2065" spans="27:30" x14ac:dyDescent="0.2">
      <c r="AA2065" s="155"/>
      <c r="AC2065" s="155"/>
      <c r="AD2065" s="155"/>
    </row>
    <row r="2066" spans="27:30" x14ac:dyDescent="0.2">
      <c r="AA2066" s="155"/>
      <c r="AC2066" s="155"/>
      <c r="AD2066" s="155"/>
    </row>
    <row r="2067" spans="27:30" x14ac:dyDescent="0.2">
      <c r="AA2067" s="155"/>
      <c r="AC2067" s="155"/>
      <c r="AD2067" s="155"/>
    </row>
    <row r="2068" spans="27:30" x14ac:dyDescent="0.2">
      <c r="AA2068" s="155"/>
      <c r="AC2068" s="155"/>
      <c r="AD2068" s="155"/>
    </row>
    <row r="2069" spans="27:30" x14ac:dyDescent="0.2">
      <c r="AA2069" s="155"/>
      <c r="AC2069" s="155"/>
      <c r="AD2069" s="155"/>
    </row>
    <row r="2070" spans="27:30" x14ac:dyDescent="0.2">
      <c r="AA2070" s="155"/>
      <c r="AC2070" s="155"/>
      <c r="AD2070" s="155"/>
    </row>
    <row r="2071" spans="27:30" x14ac:dyDescent="0.2">
      <c r="AA2071" s="155"/>
      <c r="AC2071" s="155"/>
      <c r="AD2071" s="155"/>
    </row>
    <row r="2072" spans="27:30" x14ac:dyDescent="0.2">
      <c r="AA2072" s="155"/>
      <c r="AC2072" s="155"/>
      <c r="AD2072" s="155"/>
    </row>
    <row r="2073" spans="27:30" x14ac:dyDescent="0.2">
      <c r="AA2073" s="155"/>
      <c r="AC2073" s="155"/>
      <c r="AD2073" s="155"/>
    </row>
    <row r="2074" spans="27:30" x14ac:dyDescent="0.2">
      <c r="AA2074" s="155"/>
      <c r="AC2074" s="155"/>
      <c r="AD2074" s="155"/>
    </row>
    <row r="2075" spans="27:30" x14ac:dyDescent="0.2">
      <c r="AA2075" s="155"/>
      <c r="AC2075" s="155"/>
      <c r="AD2075" s="155"/>
    </row>
    <row r="2076" spans="27:30" x14ac:dyDescent="0.2">
      <c r="AA2076" s="155"/>
      <c r="AC2076" s="155"/>
      <c r="AD2076" s="155"/>
    </row>
    <row r="2077" spans="27:30" x14ac:dyDescent="0.2">
      <c r="AA2077" s="155"/>
      <c r="AC2077" s="155"/>
      <c r="AD2077" s="155"/>
    </row>
    <row r="2078" spans="27:30" x14ac:dyDescent="0.2">
      <c r="AA2078" s="155"/>
      <c r="AC2078" s="155"/>
      <c r="AD2078" s="155"/>
    </row>
    <row r="2079" spans="27:30" x14ac:dyDescent="0.2">
      <c r="AA2079" s="155"/>
      <c r="AC2079" s="155"/>
      <c r="AD2079" s="155"/>
    </row>
    <row r="2080" spans="27:30" x14ac:dyDescent="0.2">
      <c r="AA2080" s="155"/>
      <c r="AC2080" s="155"/>
      <c r="AD2080" s="155"/>
    </row>
    <row r="2081" spans="27:30" x14ac:dyDescent="0.2">
      <c r="AA2081" s="155"/>
      <c r="AC2081" s="155"/>
      <c r="AD2081" s="155"/>
    </row>
    <row r="2082" spans="27:30" x14ac:dyDescent="0.2">
      <c r="AA2082" s="155"/>
      <c r="AC2082" s="155"/>
      <c r="AD2082" s="155"/>
    </row>
    <row r="2083" spans="27:30" x14ac:dyDescent="0.2">
      <c r="AA2083" s="155"/>
      <c r="AC2083" s="155"/>
      <c r="AD2083" s="155"/>
    </row>
    <row r="2084" spans="27:30" x14ac:dyDescent="0.2">
      <c r="AA2084" s="155"/>
      <c r="AC2084" s="155"/>
      <c r="AD2084" s="155"/>
    </row>
    <row r="2085" spans="27:30" x14ac:dyDescent="0.2">
      <c r="AA2085" s="155"/>
      <c r="AC2085" s="155"/>
      <c r="AD2085" s="155"/>
    </row>
    <row r="2086" spans="27:30" x14ac:dyDescent="0.2">
      <c r="AA2086" s="155"/>
      <c r="AC2086" s="155"/>
      <c r="AD2086" s="155"/>
    </row>
    <row r="2087" spans="27:30" x14ac:dyDescent="0.2">
      <c r="AA2087" s="155"/>
      <c r="AC2087" s="155"/>
      <c r="AD2087" s="155"/>
    </row>
    <row r="2088" spans="27:30" x14ac:dyDescent="0.2">
      <c r="AA2088" s="155"/>
      <c r="AC2088" s="155"/>
      <c r="AD2088" s="155"/>
    </row>
    <row r="2089" spans="27:30" x14ac:dyDescent="0.2">
      <c r="AA2089" s="155"/>
      <c r="AC2089" s="155"/>
      <c r="AD2089" s="155"/>
    </row>
    <row r="2090" spans="27:30" x14ac:dyDescent="0.2">
      <c r="AA2090" s="155"/>
      <c r="AC2090" s="155"/>
      <c r="AD2090" s="155"/>
    </row>
    <row r="2091" spans="27:30" x14ac:dyDescent="0.2">
      <c r="AA2091" s="155"/>
      <c r="AC2091" s="155"/>
      <c r="AD2091" s="155"/>
    </row>
    <row r="2092" spans="27:30" x14ac:dyDescent="0.2">
      <c r="AA2092" s="155"/>
      <c r="AC2092" s="155"/>
      <c r="AD2092" s="155"/>
    </row>
    <row r="2093" spans="27:30" x14ac:dyDescent="0.2">
      <c r="AA2093" s="155"/>
      <c r="AC2093" s="155"/>
      <c r="AD2093" s="155"/>
    </row>
    <row r="2094" spans="27:30" x14ac:dyDescent="0.2">
      <c r="AA2094" s="155"/>
      <c r="AC2094" s="155"/>
      <c r="AD2094" s="155"/>
    </row>
    <row r="2095" spans="27:30" x14ac:dyDescent="0.2">
      <c r="AA2095" s="155"/>
      <c r="AC2095" s="155"/>
      <c r="AD2095" s="155"/>
    </row>
    <row r="2096" spans="27:30" x14ac:dyDescent="0.2">
      <c r="AA2096" s="155"/>
      <c r="AC2096" s="155"/>
      <c r="AD2096" s="155"/>
    </row>
    <row r="2097" spans="27:30" x14ac:dyDescent="0.2">
      <c r="AA2097" s="155"/>
      <c r="AC2097" s="155"/>
      <c r="AD2097" s="155"/>
    </row>
    <row r="2098" spans="27:30" x14ac:dyDescent="0.2">
      <c r="AA2098" s="155"/>
      <c r="AC2098" s="155"/>
      <c r="AD2098" s="155"/>
    </row>
    <row r="2099" spans="27:30" x14ac:dyDescent="0.2">
      <c r="AA2099" s="155"/>
      <c r="AC2099" s="155"/>
      <c r="AD2099" s="155"/>
    </row>
    <row r="2100" spans="27:30" x14ac:dyDescent="0.2">
      <c r="AA2100" s="155"/>
      <c r="AC2100" s="155"/>
      <c r="AD2100" s="155"/>
    </row>
    <row r="2101" spans="27:30" x14ac:dyDescent="0.2">
      <c r="AA2101" s="155"/>
      <c r="AC2101" s="155"/>
      <c r="AD2101" s="155"/>
    </row>
    <row r="2102" spans="27:30" x14ac:dyDescent="0.2">
      <c r="AA2102" s="155"/>
      <c r="AC2102" s="155"/>
      <c r="AD2102" s="155"/>
    </row>
    <row r="2103" spans="27:30" x14ac:dyDescent="0.2">
      <c r="AA2103" s="155"/>
      <c r="AC2103" s="155"/>
      <c r="AD2103" s="155"/>
    </row>
    <row r="2104" spans="27:30" x14ac:dyDescent="0.2">
      <c r="AA2104" s="155"/>
      <c r="AC2104" s="155"/>
      <c r="AD2104" s="155"/>
    </row>
    <row r="2105" spans="27:30" x14ac:dyDescent="0.2">
      <c r="AA2105" s="155"/>
      <c r="AC2105" s="155"/>
      <c r="AD2105" s="155"/>
    </row>
    <row r="2106" spans="27:30" x14ac:dyDescent="0.2">
      <c r="AA2106" s="155"/>
      <c r="AC2106" s="155"/>
      <c r="AD2106" s="155"/>
    </row>
    <row r="2107" spans="27:30" x14ac:dyDescent="0.2">
      <c r="AA2107" s="155"/>
      <c r="AC2107" s="155"/>
      <c r="AD2107" s="155"/>
    </row>
    <row r="2108" spans="27:30" x14ac:dyDescent="0.2">
      <c r="AA2108" s="155"/>
      <c r="AC2108" s="155"/>
      <c r="AD2108" s="155"/>
    </row>
    <row r="2109" spans="27:30" x14ac:dyDescent="0.2">
      <c r="AA2109" s="155"/>
      <c r="AC2109" s="155"/>
      <c r="AD2109" s="155"/>
    </row>
    <row r="2110" spans="27:30" x14ac:dyDescent="0.2">
      <c r="AA2110" s="155"/>
      <c r="AC2110" s="155"/>
      <c r="AD2110" s="155"/>
    </row>
    <row r="2111" spans="27:30" x14ac:dyDescent="0.2">
      <c r="AA2111" s="155"/>
      <c r="AC2111" s="155"/>
      <c r="AD2111" s="155"/>
    </row>
    <row r="2112" spans="27:30" x14ac:dyDescent="0.2">
      <c r="AA2112" s="155"/>
      <c r="AC2112" s="155"/>
      <c r="AD2112" s="155"/>
    </row>
    <row r="2113" spans="27:30" x14ac:dyDescent="0.2">
      <c r="AA2113" s="155"/>
      <c r="AC2113" s="155"/>
      <c r="AD2113" s="155"/>
    </row>
    <row r="2114" spans="27:30" x14ac:dyDescent="0.2">
      <c r="AA2114" s="155"/>
      <c r="AC2114" s="155"/>
      <c r="AD2114" s="155"/>
    </row>
    <row r="2115" spans="27:30" x14ac:dyDescent="0.2">
      <c r="AA2115" s="155"/>
      <c r="AC2115" s="155"/>
      <c r="AD2115" s="155"/>
    </row>
    <row r="2116" spans="27:30" x14ac:dyDescent="0.2">
      <c r="AA2116" s="155"/>
      <c r="AC2116" s="155"/>
      <c r="AD2116" s="155"/>
    </row>
    <row r="2117" spans="27:30" x14ac:dyDescent="0.2">
      <c r="AA2117" s="155"/>
      <c r="AC2117" s="155"/>
      <c r="AD2117" s="155"/>
    </row>
    <row r="2118" spans="27:30" x14ac:dyDescent="0.2">
      <c r="AA2118" s="155"/>
      <c r="AC2118" s="155"/>
      <c r="AD2118" s="155"/>
    </row>
    <row r="2119" spans="27:30" x14ac:dyDescent="0.2">
      <c r="AA2119" s="155"/>
      <c r="AC2119" s="155"/>
      <c r="AD2119" s="155"/>
    </row>
    <row r="2120" spans="27:30" x14ac:dyDescent="0.2">
      <c r="AA2120" s="155"/>
      <c r="AC2120" s="155"/>
      <c r="AD2120" s="155"/>
    </row>
    <row r="2121" spans="27:30" x14ac:dyDescent="0.2">
      <c r="AA2121" s="155"/>
      <c r="AC2121" s="155"/>
      <c r="AD2121" s="155"/>
    </row>
    <row r="2122" spans="27:30" x14ac:dyDescent="0.2">
      <c r="AA2122" s="155"/>
      <c r="AC2122" s="155"/>
      <c r="AD2122" s="155"/>
    </row>
    <row r="2123" spans="27:30" x14ac:dyDescent="0.2">
      <c r="AA2123" s="155"/>
      <c r="AC2123" s="155"/>
      <c r="AD2123" s="155"/>
    </row>
    <row r="2124" spans="27:30" x14ac:dyDescent="0.2">
      <c r="AA2124" s="155"/>
      <c r="AC2124" s="155"/>
      <c r="AD2124" s="155"/>
    </row>
    <row r="2125" spans="27:30" x14ac:dyDescent="0.2">
      <c r="AA2125" s="155"/>
      <c r="AC2125" s="155"/>
      <c r="AD2125" s="155"/>
    </row>
    <row r="2126" spans="27:30" x14ac:dyDescent="0.2">
      <c r="AA2126" s="155"/>
      <c r="AC2126" s="155"/>
      <c r="AD2126" s="155"/>
    </row>
    <row r="2127" spans="27:30" x14ac:dyDescent="0.2">
      <c r="AA2127" s="155"/>
      <c r="AC2127" s="155"/>
      <c r="AD2127" s="155"/>
    </row>
    <row r="2128" spans="27:30" x14ac:dyDescent="0.2">
      <c r="AA2128" s="155"/>
      <c r="AC2128" s="155"/>
      <c r="AD2128" s="155"/>
    </row>
    <row r="2129" spans="27:30" x14ac:dyDescent="0.2">
      <c r="AA2129" s="155"/>
      <c r="AC2129" s="155"/>
      <c r="AD2129" s="155"/>
    </row>
    <row r="2130" spans="27:30" x14ac:dyDescent="0.2">
      <c r="AA2130" s="155"/>
      <c r="AC2130" s="155"/>
      <c r="AD2130" s="155"/>
    </row>
    <row r="2131" spans="27:30" x14ac:dyDescent="0.2">
      <c r="AA2131" s="155"/>
      <c r="AC2131" s="155"/>
      <c r="AD2131" s="155"/>
    </row>
    <row r="2132" spans="27:30" x14ac:dyDescent="0.2">
      <c r="AA2132" s="155"/>
      <c r="AC2132" s="155"/>
      <c r="AD2132" s="155"/>
    </row>
    <row r="2133" spans="27:30" x14ac:dyDescent="0.2">
      <c r="AA2133" s="155"/>
      <c r="AC2133" s="155"/>
      <c r="AD2133" s="155"/>
    </row>
    <row r="2134" spans="27:30" x14ac:dyDescent="0.2">
      <c r="AA2134" s="155"/>
      <c r="AC2134" s="155"/>
      <c r="AD2134" s="155"/>
    </row>
    <row r="2135" spans="27:30" x14ac:dyDescent="0.2">
      <c r="AA2135" s="155"/>
      <c r="AC2135" s="155"/>
      <c r="AD2135" s="155"/>
    </row>
    <row r="2136" spans="27:30" x14ac:dyDescent="0.2">
      <c r="AA2136" s="155"/>
      <c r="AC2136" s="155"/>
      <c r="AD2136" s="155"/>
    </row>
    <row r="2137" spans="27:30" x14ac:dyDescent="0.2">
      <c r="AA2137" s="155"/>
      <c r="AC2137" s="155"/>
      <c r="AD2137" s="155"/>
    </row>
    <row r="2138" spans="27:30" x14ac:dyDescent="0.2">
      <c r="AA2138" s="155"/>
      <c r="AC2138" s="155"/>
      <c r="AD2138" s="155"/>
    </row>
    <row r="2139" spans="27:30" x14ac:dyDescent="0.2">
      <c r="AA2139" s="155"/>
      <c r="AC2139" s="155"/>
      <c r="AD2139" s="155"/>
    </row>
    <row r="2140" spans="27:30" x14ac:dyDescent="0.2">
      <c r="AA2140" s="155"/>
      <c r="AC2140" s="155"/>
      <c r="AD2140" s="155"/>
    </row>
    <row r="2141" spans="27:30" x14ac:dyDescent="0.2">
      <c r="AA2141" s="155"/>
      <c r="AC2141" s="155"/>
      <c r="AD2141" s="155"/>
    </row>
    <row r="2142" spans="27:30" x14ac:dyDescent="0.2">
      <c r="AA2142" s="155"/>
      <c r="AC2142" s="155"/>
      <c r="AD2142" s="155"/>
    </row>
    <row r="2143" spans="27:30" x14ac:dyDescent="0.2">
      <c r="AA2143" s="155"/>
      <c r="AC2143" s="155"/>
      <c r="AD2143" s="155"/>
    </row>
    <row r="2144" spans="27:30" x14ac:dyDescent="0.2">
      <c r="AA2144" s="155"/>
      <c r="AC2144" s="155"/>
      <c r="AD2144" s="155"/>
    </row>
    <row r="2145" spans="27:30" x14ac:dyDescent="0.2">
      <c r="AA2145" s="155"/>
      <c r="AC2145" s="155"/>
      <c r="AD2145" s="155"/>
    </row>
    <row r="2146" spans="27:30" x14ac:dyDescent="0.2">
      <c r="AA2146" s="155"/>
      <c r="AC2146" s="155"/>
      <c r="AD2146" s="155"/>
    </row>
    <row r="2147" spans="27:30" x14ac:dyDescent="0.2">
      <c r="AA2147" s="155"/>
      <c r="AC2147" s="155"/>
      <c r="AD2147" s="155"/>
    </row>
    <row r="2148" spans="27:30" x14ac:dyDescent="0.2">
      <c r="AA2148" s="155"/>
      <c r="AC2148" s="155"/>
      <c r="AD2148" s="155"/>
    </row>
    <row r="2149" spans="27:30" x14ac:dyDescent="0.2">
      <c r="AA2149" s="155"/>
      <c r="AC2149" s="155"/>
      <c r="AD2149" s="155"/>
    </row>
    <row r="2150" spans="27:30" x14ac:dyDescent="0.2">
      <c r="AA2150" s="155"/>
      <c r="AC2150" s="155"/>
      <c r="AD2150" s="155"/>
    </row>
    <row r="2151" spans="27:30" x14ac:dyDescent="0.2">
      <c r="AA2151" s="155"/>
      <c r="AC2151" s="155"/>
      <c r="AD2151" s="155"/>
    </row>
    <row r="2152" spans="27:30" x14ac:dyDescent="0.2">
      <c r="AA2152" s="155"/>
      <c r="AC2152" s="155"/>
      <c r="AD2152" s="155"/>
    </row>
    <row r="2153" spans="27:30" x14ac:dyDescent="0.2">
      <c r="AA2153" s="155"/>
      <c r="AC2153" s="155"/>
      <c r="AD2153" s="155"/>
    </row>
    <row r="2154" spans="27:30" x14ac:dyDescent="0.2">
      <c r="AA2154" s="155"/>
      <c r="AC2154" s="155"/>
      <c r="AD2154" s="155"/>
    </row>
    <row r="2155" spans="27:30" x14ac:dyDescent="0.2">
      <c r="AA2155" s="155"/>
      <c r="AC2155" s="155"/>
      <c r="AD2155" s="155"/>
    </row>
    <row r="2156" spans="27:30" x14ac:dyDescent="0.2">
      <c r="AA2156" s="155"/>
      <c r="AC2156" s="155"/>
      <c r="AD2156" s="155"/>
    </row>
    <row r="2157" spans="27:30" x14ac:dyDescent="0.2">
      <c r="AA2157" s="155"/>
      <c r="AC2157" s="155"/>
      <c r="AD2157" s="155"/>
    </row>
    <row r="2158" spans="27:30" x14ac:dyDescent="0.2">
      <c r="AA2158" s="155"/>
      <c r="AC2158" s="155"/>
      <c r="AD2158" s="155"/>
    </row>
    <row r="2159" spans="27:30" x14ac:dyDescent="0.2">
      <c r="AA2159" s="155"/>
      <c r="AC2159" s="155"/>
      <c r="AD2159" s="155"/>
    </row>
    <row r="2160" spans="27:30" x14ac:dyDescent="0.2">
      <c r="AA2160" s="155"/>
      <c r="AC2160" s="155"/>
      <c r="AD2160" s="155"/>
    </row>
    <row r="2161" spans="27:30" x14ac:dyDescent="0.2">
      <c r="AA2161" s="155"/>
      <c r="AC2161" s="155"/>
      <c r="AD2161" s="155"/>
    </row>
    <row r="2162" spans="27:30" x14ac:dyDescent="0.2">
      <c r="AA2162" s="155"/>
      <c r="AC2162" s="155"/>
      <c r="AD2162" s="155"/>
    </row>
    <row r="2163" spans="27:30" x14ac:dyDescent="0.2">
      <c r="AA2163" s="155"/>
      <c r="AC2163" s="155"/>
      <c r="AD2163" s="155"/>
    </row>
    <row r="2164" spans="27:30" x14ac:dyDescent="0.2">
      <c r="AA2164" s="155"/>
      <c r="AC2164" s="155"/>
      <c r="AD2164" s="155"/>
    </row>
    <row r="2165" spans="27:30" x14ac:dyDescent="0.2">
      <c r="AA2165" s="155"/>
      <c r="AC2165" s="155"/>
      <c r="AD2165" s="155"/>
    </row>
    <row r="2166" spans="27:30" x14ac:dyDescent="0.2">
      <c r="AA2166" s="155"/>
      <c r="AC2166" s="155"/>
      <c r="AD2166" s="155"/>
    </row>
    <row r="2167" spans="27:30" x14ac:dyDescent="0.2">
      <c r="AA2167" s="155"/>
      <c r="AC2167" s="155"/>
      <c r="AD2167" s="155"/>
    </row>
    <row r="2168" spans="27:30" x14ac:dyDescent="0.2">
      <c r="AA2168" s="155"/>
      <c r="AC2168" s="155"/>
      <c r="AD2168" s="155"/>
    </row>
    <row r="2169" spans="27:30" x14ac:dyDescent="0.2">
      <c r="AA2169" s="155"/>
      <c r="AC2169" s="155"/>
      <c r="AD2169" s="155"/>
    </row>
    <row r="2170" spans="27:30" x14ac:dyDescent="0.2">
      <c r="AA2170" s="155"/>
      <c r="AC2170" s="155"/>
      <c r="AD2170" s="155"/>
    </row>
    <row r="2171" spans="27:30" x14ac:dyDescent="0.2">
      <c r="AA2171" s="155"/>
      <c r="AC2171" s="155"/>
      <c r="AD2171" s="155"/>
    </row>
    <row r="2172" spans="27:30" x14ac:dyDescent="0.2">
      <c r="AA2172" s="155"/>
      <c r="AC2172" s="155"/>
      <c r="AD2172" s="155"/>
    </row>
    <row r="2173" spans="27:30" x14ac:dyDescent="0.2">
      <c r="AA2173" s="155"/>
      <c r="AC2173" s="155"/>
      <c r="AD2173" s="155"/>
    </row>
    <row r="2174" spans="27:30" x14ac:dyDescent="0.2">
      <c r="AA2174" s="155"/>
      <c r="AC2174" s="155"/>
      <c r="AD2174" s="155"/>
    </row>
    <row r="2175" spans="27:30" x14ac:dyDescent="0.2">
      <c r="AA2175" s="155"/>
      <c r="AC2175" s="155"/>
      <c r="AD2175" s="155"/>
    </row>
    <row r="2176" spans="27:30" x14ac:dyDescent="0.2">
      <c r="AA2176" s="155"/>
      <c r="AC2176" s="155"/>
      <c r="AD2176" s="155"/>
    </row>
    <row r="2177" spans="27:30" x14ac:dyDescent="0.2">
      <c r="AA2177" s="155"/>
      <c r="AC2177" s="155"/>
      <c r="AD2177" s="155"/>
    </row>
    <row r="2178" spans="27:30" x14ac:dyDescent="0.2">
      <c r="AA2178" s="155"/>
      <c r="AC2178" s="155"/>
      <c r="AD2178" s="155"/>
    </row>
    <row r="2179" spans="27:30" x14ac:dyDescent="0.2">
      <c r="AA2179" s="155"/>
      <c r="AC2179" s="155"/>
      <c r="AD2179" s="155"/>
    </row>
    <row r="2180" spans="27:30" x14ac:dyDescent="0.2">
      <c r="AA2180" s="155"/>
      <c r="AC2180" s="155"/>
      <c r="AD2180" s="155"/>
    </row>
    <row r="2181" spans="27:30" x14ac:dyDescent="0.2">
      <c r="AA2181" s="155"/>
      <c r="AC2181" s="155"/>
      <c r="AD2181" s="155"/>
    </row>
    <row r="2182" spans="27:30" x14ac:dyDescent="0.2">
      <c r="AA2182" s="155"/>
      <c r="AC2182" s="155"/>
      <c r="AD2182" s="155"/>
    </row>
    <row r="2183" spans="27:30" x14ac:dyDescent="0.2">
      <c r="AA2183" s="155"/>
      <c r="AC2183" s="155"/>
      <c r="AD2183" s="155"/>
    </row>
    <row r="2184" spans="27:30" x14ac:dyDescent="0.2">
      <c r="AA2184" s="155"/>
      <c r="AC2184" s="155"/>
      <c r="AD2184" s="155"/>
    </row>
    <row r="2185" spans="27:30" x14ac:dyDescent="0.2">
      <c r="AA2185" s="155"/>
      <c r="AC2185" s="155"/>
      <c r="AD2185" s="155"/>
    </row>
    <row r="2186" spans="27:30" x14ac:dyDescent="0.2">
      <c r="AA2186" s="155"/>
      <c r="AC2186" s="155"/>
      <c r="AD2186" s="155"/>
    </row>
    <row r="2187" spans="27:30" x14ac:dyDescent="0.2">
      <c r="AA2187" s="155"/>
      <c r="AC2187" s="155"/>
      <c r="AD2187" s="155"/>
    </row>
    <row r="2188" spans="27:30" x14ac:dyDescent="0.2">
      <c r="AA2188" s="155"/>
      <c r="AC2188" s="155"/>
      <c r="AD2188" s="155"/>
    </row>
    <row r="2189" spans="27:30" x14ac:dyDescent="0.2">
      <c r="AA2189" s="155"/>
      <c r="AC2189" s="155"/>
      <c r="AD2189" s="155"/>
    </row>
    <row r="2190" spans="27:30" x14ac:dyDescent="0.2">
      <c r="AA2190" s="155"/>
      <c r="AC2190" s="155"/>
      <c r="AD2190" s="155"/>
    </row>
    <row r="2191" spans="27:30" x14ac:dyDescent="0.2">
      <c r="AA2191" s="155"/>
      <c r="AC2191" s="155"/>
      <c r="AD2191" s="155"/>
    </row>
    <row r="2192" spans="27:30" x14ac:dyDescent="0.2">
      <c r="AA2192" s="155"/>
      <c r="AC2192" s="155"/>
      <c r="AD2192" s="155"/>
    </row>
    <row r="2193" spans="27:30" x14ac:dyDescent="0.2">
      <c r="AA2193" s="155"/>
      <c r="AC2193" s="155"/>
      <c r="AD2193" s="155"/>
    </row>
    <row r="2194" spans="27:30" x14ac:dyDescent="0.2">
      <c r="AA2194" s="155"/>
      <c r="AC2194" s="155"/>
      <c r="AD2194" s="155"/>
    </row>
    <row r="2195" spans="27:30" x14ac:dyDescent="0.2">
      <c r="AA2195" s="155"/>
      <c r="AC2195" s="155"/>
      <c r="AD2195" s="155"/>
    </row>
    <row r="2196" spans="27:30" x14ac:dyDescent="0.2">
      <c r="AA2196" s="155"/>
      <c r="AC2196" s="155"/>
      <c r="AD2196" s="155"/>
    </row>
    <row r="2197" spans="27:30" x14ac:dyDescent="0.2">
      <c r="AA2197" s="155"/>
      <c r="AC2197" s="155"/>
      <c r="AD2197" s="155"/>
    </row>
    <row r="2198" spans="27:30" x14ac:dyDescent="0.2">
      <c r="AA2198" s="155"/>
      <c r="AC2198" s="155"/>
      <c r="AD2198" s="155"/>
    </row>
    <row r="2199" spans="27:30" x14ac:dyDescent="0.2">
      <c r="AA2199" s="155"/>
      <c r="AC2199" s="155"/>
      <c r="AD2199" s="155"/>
    </row>
    <row r="2200" spans="27:30" x14ac:dyDescent="0.2">
      <c r="AA2200" s="155"/>
      <c r="AC2200" s="155"/>
      <c r="AD2200" s="155"/>
    </row>
    <row r="2201" spans="27:30" x14ac:dyDescent="0.2">
      <c r="AA2201" s="155"/>
      <c r="AC2201" s="155"/>
      <c r="AD2201" s="155"/>
    </row>
    <row r="2202" spans="27:30" x14ac:dyDescent="0.2">
      <c r="AA2202" s="155"/>
      <c r="AC2202" s="155"/>
      <c r="AD2202" s="155"/>
    </row>
    <row r="2203" spans="27:30" x14ac:dyDescent="0.2">
      <c r="AA2203" s="155"/>
      <c r="AC2203" s="155"/>
      <c r="AD2203" s="155"/>
    </row>
    <row r="2204" spans="27:30" x14ac:dyDescent="0.2">
      <c r="AA2204" s="155"/>
      <c r="AC2204" s="155"/>
      <c r="AD2204" s="155"/>
    </row>
    <row r="2205" spans="27:30" x14ac:dyDescent="0.2">
      <c r="AA2205" s="155"/>
      <c r="AC2205" s="155"/>
      <c r="AD2205" s="155"/>
    </row>
    <row r="2206" spans="27:30" x14ac:dyDescent="0.2">
      <c r="AA2206" s="155"/>
      <c r="AC2206" s="155"/>
      <c r="AD2206" s="155"/>
    </row>
    <row r="2207" spans="27:30" x14ac:dyDescent="0.2">
      <c r="AA2207" s="155"/>
      <c r="AC2207" s="155"/>
      <c r="AD2207" s="155"/>
    </row>
    <row r="2208" spans="27:30" x14ac:dyDescent="0.2">
      <c r="AA2208" s="155"/>
      <c r="AC2208" s="155"/>
      <c r="AD2208" s="155"/>
    </row>
    <row r="2209" spans="27:30" x14ac:dyDescent="0.2">
      <c r="AA2209" s="155"/>
      <c r="AC2209" s="155"/>
      <c r="AD2209" s="155"/>
    </row>
    <row r="2210" spans="27:30" x14ac:dyDescent="0.2">
      <c r="AA2210" s="155"/>
      <c r="AC2210" s="155"/>
      <c r="AD2210" s="155"/>
    </row>
    <row r="2211" spans="27:30" x14ac:dyDescent="0.2">
      <c r="AA2211" s="155"/>
      <c r="AC2211" s="155"/>
      <c r="AD2211" s="155"/>
    </row>
    <row r="2212" spans="27:30" x14ac:dyDescent="0.2">
      <c r="AA2212" s="155"/>
      <c r="AC2212" s="155"/>
      <c r="AD2212" s="155"/>
    </row>
    <row r="2213" spans="27:30" x14ac:dyDescent="0.2">
      <c r="AA2213" s="155"/>
      <c r="AC2213" s="155"/>
      <c r="AD2213" s="155"/>
    </row>
    <row r="2214" spans="27:30" x14ac:dyDescent="0.2">
      <c r="AA2214" s="155"/>
      <c r="AC2214" s="155"/>
      <c r="AD2214" s="155"/>
    </row>
    <row r="2215" spans="27:30" x14ac:dyDescent="0.2">
      <c r="AA2215" s="155"/>
      <c r="AC2215" s="155"/>
      <c r="AD2215" s="155"/>
    </row>
    <row r="2216" spans="27:30" x14ac:dyDescent="0.2">
      <c r="AA2216" s="155"/>
      <c r="AC2216" s="155"/>
      <c r="AD2216" s="155"/>
    </row>
    <row r="2217" spans="27:30" x14ac:dyDescent="0.2">
      <c r="AA2217" s="155"/>
      <c r="AC2217" s="155"/>
      <c r="AD2217" s="155"/>
    </row>
    <row r="2218" spans="27:30" x14ac:dyDescent="0.2">
      <c r="AA2218" s="155"/>
      <c r="AC2218" s="155"/>
      <c r="AD2218" s="155"/>
    </row>
    <row r="2219" spans="27:30" x14ac:dyDescent="0.2">
      <c r="AA2219" s="155"/>
      <c r="AC2219" s="155"/>
      <c r="AD2219" s="155"/>
    </row>
    <row r="2220" spans="27:30" x14ac:dyDescent="0.2">
      <c r="AA2220" s="155"/>
      <c r="AC2220" s="155"/>
      <c r="AD2220" s="155"/>
    </row>
    <row r="2221" spans="27:30" x14ac:dyDescent="0.2">
      <c r="AA2221" s="155"/>
      <c r="AC2221" s="155"/>
      <c r="AD2221" s="155"/>
    </row>
    <row r="2222" spans="27:30" x14ac:dyDescent="0.2">
      <c r="AA2222" s="155"/>
      <c r="AC2222" s="155"/>
      <c r="AD2222" s="155"/>
    </row>
    <row r="2223" spans="27:30" x14ac:dyDescent="0.2">
      <c r="AA2223" s="155"/>
      <c r="AC2223" s="155"/>
      <c r="AD2223" s="155"/>
    </row>
    <row r="2224" spans="27:30" x14ac:dyDescent="0.2">
      <c r="AA2224" s="155"/>
      <c r="AC2224" s="155"/>
      <c r="AD2224" s="155"/>
    </row>
    <row r="2225" spans="27:30" x14ac:dyDescent="0.2">
      <c r="AA2225" s="155"/>
      <c r="AC2225" s="155"/>
      <c r="AD2225" s="155"/>
    </row>
    <row r="2226" spans="27:30" x14ac:dyDescent="0.2">
      <c r="AA2226" s="155"/>
      <c r="AC2226" s="155"/>
      <c r="AD2226" s="155"/>
    </row>
    <row r="2227" spans="27:30" x14ac:dyDescent="0.2">
      <c r="AA2227" s="155"/>
      <c r="AC2227" s="155"/>
      <c r="AD2227" s="155"/>
    </row>
    <row r="2228" spans="27:30" x14ac:dyDescent="0.2">
      <c r="AA2228" s="155"/>
      <c r="AC2228" s="155"/>
      <c r="AD2228" s="155"/>
    </row>
    <row r="2229" spans="27:30" x14ac:dyDescent="0.2">
      <c r="AA2229" s="155"/>
      <c r="AC2229" s="155"/>
      <c r="AD2229" s="155"/>
    </row>
    <row r="2230" spans="27:30" x14ac:dyDescent="0.2">
      <c r="AA2230" s="155"/>
      <c r="AC2230" s="155"/>
      <c r="AD2230" s="155"/>
    </row>
    <row r="2231" spans="27:30" x14ac:dyDescent="0.2">
      <c r="AA2231" s="155"/>
      <c r="AC2231" s="155"/>
      <c r="AD2231" s="155"/>
    </row>
    <row r="2232" spans="27:30" x14ac:dyDescent="0.2">
      <c r="AA2232" s="155"/>
      <c r="AC2232" s="155"/>
      <c r="AD2232" s="155"/>
    </row>
    <row r="2233" spans="27:30" x14ac:dyDescent="0.2">
      <c r="AA2233" s="155"/>
      <c r="AC2233" s="155"/>
      <c r="AD2233" s="155"/>
    </row>
    <row r="2234" spans="27:30" x14ac:dyDescent="0.2">
      <c r="AA2234" s="155"/>
      <c r="AC2234" s="155"/>
      <c r="AD2234" s="155"/>
    </row>
    <row r="2235" spans="27:30" x14ac:dyDescent="0.2">
      <c r="AA2235" s="155"/>
      <c r="AC2235" s="155"/>
      <c r="AD2235" s="155"/>
    </row>
    <row r="2236" spans="27:30" x14ac:dyDescent="0.2">
      <c r="AA2236" s="155"/>
      <c r="AC2236" s="155"/>
      <c r="AD2236" s="155"/>
    </row>
    <row r="2237" spans="27:30" x14ac:dyDescent="0.2">
      <c r="AA2237" s="155"/>
      <c r="AC2237" s="155"/>
      <c r="AD2237" s="155"/>
    </row>
    <row r="2238" spans="27:30" x14ac:dyDescent="0.2">
      <c r="AA2238" s="155"/>
      <c r="AC2238" s="155"/>
      <c r="AD2238" s="155"/>
    </row>
    <row r="2239" spans="27:30" x14ac:dyDescent="0.2">
      <c r="AA2239" s="155"/>
      <c r="AC2239" s="155"/>
      <c r="AD2239" s="155"/>
    </row>
    <row r="2240" spans="27:30" x14ac:dyDescent="0.2">
      <c r="AA2240" s="155"/>
      <c r="AC2240" s="155"/>
      <c r="AD2240" s="155"/>
    </row>
    <row r="2241" spans="27:30" x14ac:dyDescent="0.2">
      <c r="AA2241" s="155"/>
      <c r="AC2241" s="155"/>
      <c r="AD2241" s="155"/>
    </row>
    <row r="2242" spans="27:30" x14ac:dyDescent="0.2">
      <c r="AA2242" s="155"/>
      <c r="AC2242" s="155"/>
      <c r="AD2242" s="155"/>
    </row>
    <row r="2243" spans="27:30" x14ac:dyDescent="0.2">
      <c r="AA2243" s="155"/>
      <c r="AC2243" s="155"/>
      <c r="AD2243" s="155"/>
    </row>
    <row r="2244" spans="27:30" x14ac:dyDescent="0.2">
      <c r="AA2244" s="155"/>
      <c r="AC2244" s="155"/>
      <c r="AD2244" s="155"/>
    </row>
    <row r="2245" spans="27:30" x14ac:dyDescent="0.2">
      <c r="AA2245" s="155"/>
      <c r="AC2245" s="155"/>
      <c r="AD2245" s="155"/>
    </row>
    <row r="2246" spans="27:30" x14ac:dyDescent="0.2">
      <c r="AA2246" s="155"/>
      <c r="AC2246" s="155"/>
      <c r="AD2246" s="155"/>
    </row>
    <row r="2247" spans="27:30" x14ac:dyDescent="0.2">
      <c r="AA2247" s="155"/>
      <c r="AC2247" s="155"/>
      <c r="AD2247" s="155"/>
    </row>
    <row r="2248" spans="27:30" x14ac:dyDescent="0.2">
      <c r="AA2248" s="155"/>
      <c r="AC2248" s="155"/>
      <c r="AD2248" s="155"/>
    </row>
    <row r="2249" spans="27:30" x14ac:dyDescent="0.2">
      <c r="AA2249" s="155"/>
      <c r="AC2249" s="155"/>
      <c r="AD2249" s="155"/>
    </row>
    <row r="2250" spans="27:30" x14ac:dyDescent="0.2">
      <c r="AA2250" s="155"/>
      <c r="AC2250" s="155"/>
      <c r="AD2250" s="155"/>
    </row>
    <row r="2251" spans="27:30" x14ac:dyDescent="0.2">
      <c r="AA2251" s="155"/>
      <c r="AC2251" s="155"/>
      <c r="AD2251" s="155"/>
    </row>
    <row r="2252" spans="27:30" x14ac:dyDescent="0.2">
      <c r="AA2252" s="155"/>
      <c r="AC2252" s="155"/>
      <c r="AD2252" s="155"/>
    </row>
    <row r="2253" spans="27:30" x14ac:dyDescent="0.2">
      <c r="AA2253" s="155"/>
      <c r="AC2253" s="155"/>
      <c r="AD2253" s="155"/>
    </row>
    <row r="2254" spans="27:30" x14ac:dyDescent="0.2">
      <c r="AA2254" s="155"/>
      <c r="AC2254" s="155"/>
      <c r="AD2254" s="155"/>
    </row>
    <row r="2255" spans="27:30" x14ac:dyDescent="0.2">
      <c r="AA2255" s="155"/>
      <c r="AC2255" s="155"/>
      <c r="AD2255" s="155"/>
    </row>
    <row r="2256" spans="27:30" x14ac:dyDescent="0.2">
      <c r="AA2256" s="155"/>
      <c r="AC2256" s="155"/>
      <c r="AD2256" s="155"/>
    </row>
    <row r="2257" spans="27:30" x14ac:dyDescent="0.2">
      <c r="AA2257" s="155"/>
      <c r="AC2257" s="155"/>
      <c r="AD2257" s="155"/>
    </row>
    <row r="2258" spans="27:30" x14ac:dyDescent="0.2">
      <c r="AA2258" s="155"/>
      <c r="AC2258" s="155"/>
      <c r="AD2258" s="155"/>
    </row>
    <row r="2259" spans="27:30" x14ac:dyDescent="0.2">
      <c r="AA2259" s="155"/>
      <c r="AC2259" s="155"/>
      <c r="AD2259" s="155"/>
    </row>
    <row r="2260" spans="27:30" x14ac:dyDescent="0.2">
      <c r="AA2260" s="155"/>
      <c r="AC2260" s="155"/>
      <c r="AD2260" s="155"/>
    </row>
    <row r="2261" spans="27:30" x14ac:dyDescent="0.2">
      <c r="AA2261" s="155"/>
      <c r="AC2261" s="155"/>
      <c r="AD2261" s="155"/>
    </row>
    <row r="2262" spans="27:30" x14ac:dyDescent="0.2">
      <c r="AA2262" s="155"/>
      <c r="AC2262" s="155"/>
      <c r="AD2262" s="155"/>
    </row>
    <row r="2263" spans="27:30" x14ac:dyDescent="0.2">
      <c r="AA2263" s="155"/>
      <c r="AC2263" s="155"/>
      <c r="AD2263" s="155"/>
    </row>
    <row r="2264" spans="27:30" x14ac:dyDescent="0.2">
      <c r="AA2264" s="155"/>
      <c r="AC2264" s="155"/>
      <c r="AD2264" s="155"/>
    </row>
    <row r="2265" spans="27:30" x14ac:dyDescent="0.2">
      <c r="AA2265" s="155"/>
      <c r="AC2265" s="155"/>
      <c r="AD2265" s="155"/>
    </row>
    <row r="2266" spans="27:30" x14ac:dyDescent="0.2">
      <c r="AA2266" s="155"/>
      <c r="AC2266" s="155"/>
      <c r="AD2266" s="155"/>
    </row>
    <row r="2267" spans="27:30" x14ac:dyDescent="0.2">
      <c r="AA2267" s="155"/>
      <c r="AC2267" s="155"/>
      <c r="AD2267" s="155"/>
    </row>
    <row r="2268" spans="27:30" x14ac:dyDescent="0.2">
      <c r="AA2268" s="155"/>
      <c r="AC2268" s="155"/>
      <c r="AD2268" s="155"/>
    </row>
    <row r="2269" spans="27:30" x14ac:dyDescent="0.2">
      <c r="AA2269" s="155"/>
      <c r="AC2269" s="155"/>
      <c r="AD2269" s="155"/>
    </row>
    <row r="2270" spans="27:30" x14ac:dyDescent="0.2">
      <c r="AA2270" s="155"/>
      <c r="AC2270" s="155"/>
      <c r="AD2270" s="155"/>
    </row>
    <row r="2271" spans="27:30" x14ac:dyDescent="0.2">
      <c r="AA2271" s="155"/>
      <c r="AC2271" s="155"/>
      <c r="AD2271" s="155"/>
    </row>
    <row r="2272" spans="27:30" x14ac:dyDescent="0.2">
      <c r="AA2272" s="155"/>
      <c r="AC2272" s="155"/>
      <c r="AD2272" s="155"/>
    </row>
    <row r="2273" spans="27:30" x14ac:dyDescent="0.2">
      <c r="AA2273" s="155"/>
      <c r="AC2273" s="155"/>
      <c r="AD2273" s="155"/>
    </row>
    <row r="2274" spans="27:30" x14ac:dyDescent="0.2">
      <c r="AA2274" s="155"/>
      <c r="AC2274" s="155"/>
      <c r="AD2274" s="155"/>
    </row>
    <row r="2275" spans="27:30" x14ac:dyDescent="0.2">
      <c r="AA2275" s="155"/>
      <c r="AC2275" s="155"/>
      <c r="AD2275" s="155"/>
    </row>
    <row r="2276" spans="27:30" x14ac:dyDescent="0.2">
      <c r="AA2276" s="155"/>
      <c r="AC2276" s="155"/>
      <c r="AD2276" s="155"/>
    </row>
    <row r="2277" spans="27:30" x14ac:dyDescent="0.2">
      <c r="AA2277" s="155"/>
      <c r="AC2277" s="155"/>
      <c r="AD2277" s="155"/>
    </row>
    <row r="2278" spans="27:30" x14ac:dyDescent="0.2">
      <c r="AA2278" s="155"/>
      <c r="AC2278" s="155"/>
      <c r="AD2278" s="155"/>
    </row>
    <row r="2279" spans="27:30" x14ac:dyDescent="0.2">
      <c r="AA2279" s="155"/>
      <c r="AC2279" s="155"/>
      <c r="AD2279" s="155"/>
    </row>
    <row r="2280" spans="27:30" x14ac:dyDescent="0.2">
      <c r="AA2280" s="155"/>
      <c r="AC2280" s="155"/>
      <c r="AD2280" s="155"/>
    </row>
    <row r="2281" spans="27:30" x14ac:dyDescent="0.2">
      <c r="AA2281" s="155"/>
      <c r="AC2281" s="155"/>
      <c r="AD2281" s="155"/>
    </row>
    <row r="2282" spans="27:30" x14ac:dyDescent="0.2">
      <c r="AA2282" s="155"/>
      <c r="AC2282" s="155"/>
      <c r="AD2282" s="155"/>
    </row>
    <row r="2283" spans="27:30" x14ac:dyDescent="0.2">
      <c r="AA2283" s="155"/>
      <c r="AC2283" s="155"/>
      <c r="AD2283" s="155"/>
    </row>
    <row r="2284" spans="27:30" x14ac:dyDescent="0.2">
      <c r="AA2284" s="155"/>
      <c r="AC2284" s="155"/>
      <c r="AD2284" s="155"/>
    </row>
    <row r="2285" spans="27:30" x14ac:dyDescent="0.2">
      <c r="AA2285" s="155"/>
      <c r="AC2285" s="155"/>
      <c r="AD2285" s="155"/>
    </row>
    <row r="2286" spans="27:30" x14ac:dyDescent="0.2">
      <c r="AA2286" s="155"/>
      <c r="AC2286" s="155"/>
      <c r="AD2286" s="155"/>
    </row>
    <row r="2287" spans="27:30" x14ac:dyDescent="0.2">
      <c r="AA2287" s="155"/>
      <c r="AC2287" s="155"/>
      <c r="AD2287" s="155"/>
    </row>
    <row r="2288" spans="27:30" x14ac:dyDescent="0.2">
      <c r="AA2288" s="155"/>
      <c r="AC2288" s="155"/>
      <c r="AD2288" s="155"/>
    </row>
    <row r="2289" spans="27:30" x14ac:dyDescent="0.2">
      <c r="AA2289" s="155"/>
      <c r="AC2289" s="155"/>
      <c r="AD2289" s="155"/>
    </row>
    <row r="2290" spans="27:30" x14ac:dyDescent="0.2">
      <c r="AA2290" s="155"/>
      <c r="AC2290" s="155"/>
      <c r="AD2290" s="155"/>
    </row>
    <row r="2291" spans="27:30" x14ac:dyDescent="0.2">
      <c r="AA2291" s="155"/>
      <c r="AC2291" s="155"/>
      <c r="AD2291" s="155"/>
    </row>
    <row r="2292" spans="27:30" x14ac:dyDescent="0.2">
      <c r="AA2292" s="155"/>
      <c r="AC2292" s="155"/>
      <c r="AD2292" s="155"/>
    </row>
    <row r="2293" spans="27:30" x14ac:dyDescent="0.2">
      <c r="AA2293" s="155"/>
      <c r="AC2293" s="155"/>
      <c r="AD2293" s="155"/>
    </row>
    <row r="2294" spans="27:30" x14ac:dyDescent="0.2">
      <c r="AA2294" s="155"/>
      <c r="AC2294" s="155"/>
      <c r="AD2294" s="155"/>
    </row>
    <row r="2295" spans="27:30" x14ac:dyDescent="0.2">
      <c r="AA2295" s="155"/>
      <c r="AC2295" s="155"/>
      <c r="AD2295" s="155"/>
    </row>
    <row r="2296" spans="27:30" x14ac:dyDescent="0.2">
      <c r="AA2296" s="155"/>
      <c r="AC2296" s="155"/>
      <c r="AD2296" s="155"/>
    </row>
    <row r="2297" spans="27:30" x14ac:dyDescent="0.2">
      <c r="AA2297" s="155"/>
      <c r="AC2297" s="155"/>
      <c r="AD2297" s="155"/>
    </row>
    <row r="2298" spans="27:30" x14ac:dyDescent="0.2">
      <c r="AA2298" s="155"/>
      <c r="AC2298" s="155"/>
      <c r="AD2298" s="155"/>
    </row>
    <row r="2299" spans="27:30" x14ac:dyDescent="0.2">
      <c r="AA2299" s="155"/>
      <c r="AC2299" s="155"/>
      <c r="AD2299" s="155"/>
    </row>
    <row r="2300" spans="27:30" x14ac:dyDescent="0.2">
      <c r="AA2300" s="155"/>
      <c r="AC2300" s="155"/>
      <c r="AD2300" s="155"/>
    </row>
    <row r="2301" spans="27:30" x14ac:dyDescent="0.2">
      <c r="AA2301" s="155"/>
      <c r="AC2301" s="155"/>
      <c r="AD2301" s="155"/>
    </row>
    <row r="2302" spans="27:30" x14ac:dyDescent="0.2">
      <c r="AA2302" s="155"/>
      <c r="AC2302" s="155"/>
      <c r="AD2302" s="155"/>
    </row>
    <row r="2303" spans="27:30" x14ac:dyDescent="0.2">
      <c r="AA2303" s="155"/>
      <c r="AC2303" s="155"/>
      <c r="AD2303" s="155"/>
    </row>
    <row r="2304" spans="27:30" x14ac:dyDescent="0.2">
      <c r="AA2304" s="155"/>
      <c r="AC2304" s="155"/>
      <c r="AD2304" s="155"/>
    </row>
    <row r="2305" spans="27:30" x14ac:dyDescent="0.2">
      <c r="AA2305" s="155"/>
      <c r="AC2305" s="155"/>
      <c r="AD2305" s="155"/>
    </row>
    <row r="2306" spans="27:30" x14ac:dyDescent="0.2">
      <c r="AA2306" s="155"/>
      <c r="AC2306" s="155"/>
      <c r="AD2306" s="155"/>
    </row>
    <row r="2307" spans="27:30" x14ac:dyDescent="0.2">
      <c r="AA2307" s="155"/>
      <c r="AC2307" s="155"/>
      <c r="AD2307" s="155"/>
    </row>
    <row r="2308" spans="27:30" x14ac:dyDescent="0.2">
      <c r="AA2308" s="155"/>
      <c r="AC2308" s="155"/>
      <c r="AD2308" s="155"/>
    </row>
    <row r="2309" spans="27:30" x14ac:dyDescent="0.2">
      <c r="AA2309" s="155"/>
      <c r="AC2309" s="155"/>
      <c r="AD2309" s="155"/>
    </row>
    <row r="2310" spans="27:30" x14ac:dyDescent="0.2">
      <c r="AA2310" s="155"/>
      <c r="AC2310" s="155"/>
      <c r="AD2310" s="155"/>
    </row>
    <row r="2311" spans="27:30" x14ac:dyDescent="0.2">
      <c r="AA2311" s="155"/>
      <c r="AC2311" s="155"/>
      <c r="AD2311" s="155"/>
    </row>
    <row r="2312" spans="27:30" x14ac:dyDescent="0.2">
      <c r="AA2312" s="155"/>
      <c r="AC2312" s="155"/>
      <c r="AD2312" s="155"/>
    </row>
    <row r="2313" spans="27:30" x14ac:dyDescent="0.2">
      <c r="AA2313" s="155"/>
      <c r="AC2313" s="155"/>
      <c r="AD2313" s="155"/>
    </row>
    <row r="2314" spans="27:30" x14ac:dyDescent="0.2">
      <c r="AA2314" s="155"/>
      <c r="AC2314" s="155"/>
      <c r="AD2314" s="155"/>
    </row>
    <row r="2315" spans="27:30" x14ac:dyDescent="0.2">
      <c r="AA2315" s="155"/>
      <c r="AC2315" s="155"/>
      <c r="AD2315" s="155"/>
    </row>
    <row r="2316" spans="27:30" x14ac:dyDescent="0.2">
      <c r="AA2316" s="155"/>
      <c r="AC2316" s="155"/>
      <c r="AD2316" s="155"/>
    </row>
    <row r="2317" spans="27:30" x14ac:dyDescent="0.2">
      <c r="AA2317" s="155"/>
      <c r="AC2317" s="155"/>
      <c r="AD2317" s="155"/>
    </row>
    <row r="2318" spans="27:30" x14ac:dyDescent="0.2">
      <c r="AA2318" s="155"/>
      <c r="AC2318" s="155"/>
      <c r="AD2318" s="155"/>
    </row>
    <row r="2319" spans="27:30" x14ac:dyDescent="0.2">
      <c r="AA2319" s="155"/>
      <c r="AC2319" s="155"/>
      <c r="AD2319" s="155"/>
    </row>
    <row r="2320" spans="27:30" x14ac:dyDescent="0.2">
      <c r="AA2320" s="155"/>
      <c r="AC2320" s="155"/>
      <c r="AD2320" s="155"/>
    </row>
    <row r="2321" spans="27:30" x14ac:dyDescent="0.2">
      <c r="AA2321" s="155"/>
      <c r="AC2321" s="155"/>
      <c r="AD2321" s="155"/>
    </row>
    <row r="2322" spans="27:30" x14ac:dyDescent="0.2">
      <c r="AA2322" s="155"/>
      <c r="AC2322" s="155"/>
      <c r="AD2322" s="155"/>
    </row>
    <row r="2323" spans="27:30" x14ac:dyDescent="0.2">
      <c r="AA2323" s="155"/>
      <c r="AC2323" s="155"/>
      <c r="AD2323" s="155"/>
    </row>
    <row r="2324" spans="27:30" x14ac:dyDescent="0.2">
      <c r="AA2324" s="155"/>
      <c r="AC2324" s="155"/>
      <c r="AD2324" s="155"/>
    </row>
    <row r="2325" spans="27:30" x14ac:dyDescent="0.2">
      <c r="AA2325" s="155"/>
      <c r="AC2325" s="155"/>
      <c r="AD2325" s="155"/>
    </row>
    <row r="2326" spans="27:30" x14ac:dyDescent="0.2">
      <c r="AA2326" s="155"/>
      <c r="AC2326" s="155"/>
      <c r="AD2326" s="155"/>
    </row>
    <row r="2327" spans="27:30" x14ac:dyDescent="0.2">
      <c r="AA2327" s="155"/>
      <c r="AC2327" s="155"/>
      <c r="AD2327" s="155"/>
    </row>
    <row r="2328" spans="27:30" x14ac:dyDescent="0.2">
      <c r="AA2328" s="155"/>
      <c r="AC2328" s="155"/>
      <c r="AD2328" s="155"/>
    </row>
    <row r="2329" spans="27:30" x14ac:dyDescent="0.2">
      <c r="AA2329" s="155"/>
      <c r="AC2329" s="155"/>
      <c r="AD2329" s="155"/>
    </row>
    <row r="2330" spans="27:30" x14ac:dyDescent="0.2">
      <c r="AA2330" s="155"/>
      <c r="AC2330" s="155"/>
      <c r="AD2330" s="155"/>
    </row>
    <row r="2331" spans="27:30" x14ac:dyDescent="0.2">
      <c r="AA2331" s="155"/>
      <c r="AC2331" s="155"/>
      <c r="AD2331" s="155"/>
    </row>
    <row r="2332" spans="27:30" x14ac:dyDescent="0.2">
      <c r="AA2332" s="155"/>
      <c r="AC2332" s="155"/>
      <c r="AD2332" s="155"/>
    </row>
    <row r="2333" spans="27:30" x14ac:dyDescent="0.2">
      <c r="AA2333" s="155"/>
      <c r="AC2333" s="155"/>
      <c r="AD2333" s="155"/>
    </row>
    <row r="2334" spans="27:30" x14ac:dyDescent="0.2">
      <c r="AA2334" s="155"/>
      <c r="AC2334" s="155"/>
      <c r="AD2334" s="155"/>
    </row>
    <row r="2335" spans="27:30" x14ac:dyDescent="0.2">
      <c r="AA2335" s="155"/>
      <c r="AC2335" s="155"/>
      <c r="AD2335" s="155"/>
    </row>
    <row r="2336" spans="27:30" x14ac:dyDescent="0.2">
      <c r="AA2336" s="155"/>
      <c r="AC2336" s="155"/>
      <c r="AD2336" s="155"/>
    </row>
    <row r="2337" spans="27:30" x14ac:dyDescent="0.2">
      <c r="AA2337" s="155"/>
      <c r="AC2337" s="155"/>
      <c r="AD2337" s="155"/>
    </row>
    <row r="2338" spans="27:30" x14ac:dyDescent="0.2">
      <c r="AA2338" s="155"/>
      <c r="AC2338" s="155"/>
      <c r="AD2338" s="155"/>
    </row>
    <row r="2339" spans="27:30" x14ac:dyDescent="0.2">
      <c r="AA2339" s="155"/>
      <c r="AC2339" s="155"/>
      <c r="AD2339" s="155"/>
    </row>
    <row r="2340" spans="27:30" x14ac:dyDescent="0.2">
      <c r="AA2340" s="155"/>
      <c r="AC2340" s="155"/>
      <c r="AD2340" s="155"/>
    </row>
    <row r="2341" spans="27:30" x14ac:dyDescent="0.2">
      <c r="AA2341" s="155"/>
      <c r="AC2341" s="155"/>
      <c r="AD2341" s="155"/>
    </row>
    <row r="2342" spans="27:30" x14ac:dyDescent="0.2">
      <c r="AA2342" s="155"/>
      <c r="AC2342" s="155"/>
      <c r="AD2342" s="155"/>
    </row>
    <row r="2343" spans="27:30" x14ac:dyDescent="0.2">
      <c r="AA2343" s="155"/>
      <c r="AC2343" s="155"/>
      <c r="AD2343" s="155"/>
    </row>
    <row r="2344" spans="27:30" x14ac:dyDescent="0.2">
      <c r="AA2344" s="155"/>
      <c r="AC2344" s="155"/>
      <c r="AD2344" s="155"/>
    </row>
    <row r="2345" spans="27:30" x14ac:dyDescent="0.2">
      <c r="AA2345" s="155"/>
      <c r="AC2345" s="155"/>
      <c r="AD2345" s="155"/>
    </row>
    <row r="2346" spans="27:30" x14ac:dyDescent="0.2">
      <c r="AA2346" s="155"/>
      <c r="AC2346" s="155"/>
      <c r="AD2346" s="155"/>
    </row>
    <row r="2347" spans="27:30" x14ac:dyDescent="0.2">
      <c r="AA2347" s="155"/>
      <c r="AC2347" s="155"/>
      <c r="AD2347" s="155"/>
    </row>
    <row r="2348" spans="27:30" x14ac:dyDescent="0.2">
      <c r="AA2348" s="155"/>
      <c r="AC2348" s="155"/>
      <c r="AD2348" s="155"/>
    </row>
    <row r="2349" spans="27:30" x14ac:dyDescent="0.2">
      <c r="AA2349" s="155"/>
      <c r="AC2349" s="155"/>
      <c r="AD2349" s="155"/>
    </row>
    <row r="2350" spans="27:30" x14ac:dyDescent="0.2">
      <c r="AA2350" s="155"/>
      <c r="AC2350" s="155"/>
      <c r="AD2350" s="155"/>
    </row>
    <row r="2351" spans="27:30" x14ac:dyDescent="0.2">
      <c r="AA2351" s="155"/>
      <c r="AC2351" s="155"/>
      <c r="AD2351" s="155"/>
    </row>
    <row r="2352" spans="27:30" x14ac:dyDescent="0.2">
      <c r="AA2352" s="155"/>
      <c r="AC2352" s="155"/>
      <c r="AD2352" s="155"/>
    </row>
    <row r="2353" spans="27:30" x14ac:dyDescent="0.2">
      <c r="AA2353" s="155"/>
      <c r="AC2353" s="155"/>
      <c r="AD2353" s="155"/>
    </row>
    <row r="2354" spans="27:30" x14ac:dyDescent="0.2">
      <c r="AA2354" s="155"/>
      <c r="AC2354" s="155"/>
      <c r="AD2354" s="155"/>
    </row>
    <row r="2355" spans="27:30" x14ac:dyDescent="0.2">
      <c r="AA2355" s="155"/>
      <c r="AC2355" s="155"/>
      <c r="AD2355" s="155"/>
    </row>
    <row r="2356" spans="27:30" x14ac:dyDescent="0.2">
      <c r="AA2356" s="155"/>
      <c r="AC2356" s="155"/>
      <c r="AD2356" s="155"/>
    </row>
    <row r="2357" spans="27:30" x14ac:dyDescent="0.2">
      <c r="AA2357" s="155"/>
      <c r="AC2357" s="155"/>
      <c r="AD2357" s="155"/>
    </row>
    <row r="2358" spans="27:30" x14ac:dyDescent="0.2">
      <c r="AA2358" s="155"/>
      <c r="AC2358" s="155"/>
      <c r="AD2358" s="155"/>
    </row>
    <row r="2359" spans="27:30" x14ac:dyDescent="0.2">
      <c r="AA2359" s="155"/>
      <c r="AC2359" s="155"/>
      <c r="AD2359" s="155"/>
    </row>
    <row r="2360" spans="27:30" x14ac:dyDescent="0.2">
      <c r="AA2360" s="155"/>
      <c r="AC2360" s="155"/>
      <c r="AD2360" s="155"/>
    </row>
    <row r="2361" spans="27:30" x14ac:dyDescent="0.2">
      <c r="AA2361" s="155"/>
      <c r="AC2361" s="155"/>
      <c r="AD2361" s="155"/>
    </row>
    <row r="2362" spans="27:30" x14ac:dyDescent="0.2">
      <c r="AA2362" s="155"/>
      <c r="AC2362" s="155"/>
      <c r="AD2362" s="155"/>
    </row>
    <row r="2363" spans="27:30" x14ac:dyDescent="0.2">
      <c r="AA2363" s="155"/>
      <c r="AC2363" s="155"/>
      <c r="AD2363" s="155"/>
    </row>
    <row r="2364" spans="27:30" x14ac:dyDescent="0.2">
      <c r="AA2364" s="155"/>
      <c r="AC2364" s="155"/>
      <c r="AD2364" s="155"/>
    </row>
    <row r="2365" spans="27:30" x14ac:dyDescent="0.2">
      <c r="AA2365" s="155"/>
      <c r="AC2365" s="155"/>
      <c r="AD2365" s="155"/>
    </row>
    <row r="2366" spans="27:30" x14ac:dyDescent="0.2">
      <c r="AA2366" s="155"/>
      <c r="AC2366" s="155"/>
      <c r="AD2366" s="155"/>
    </row>
    <row r="2367" spans="27:30" x14ac:dyDescent="0.2">
      <c r="AA2367" s="155"/>
      <c r="AC2367" s="155"/>
      <c r="AD2367" s="155"/>
    </row>
    <row r="2368" spans="27:30" x14ac:dyDescent="0.2">
      <c r="AA2368" s="155"/>
      <c r="AC2368" s="155"/>
      <c r="AD2368" s="155"/>
    </row>
    <row r="2369" spans="27:30" x14ac:dyDescent="0.2">
      <c r="AA2369" s="155"/>
      <c r="AC2369" s="155"/>
      <c r="AD2369" s="155"/>
    </row>
    <row r="2370" spans="27:30" x14ac:dyDescent="0.2">
      <c r="AA2370" s="155"/>
      <c r="AC2370" s="155"/>
      <c r="AD2370" s="155"/>
    </row>
    <row r="2371" spans="27:30" x14ac:dyDescent="0.2">
      <c r="AA2371" s="155"/>
      <c r="AC2371" s="155"/>
      <c r="AD2371" s="155"/>
    </row>
    <row r="2372" spans="27:30" x14ac:dyDescent="0.2">
      <c r="AA2372" s="155"/>
      <c r="AC2372" s="155"/>
      <c r="AD2372" s="155"/>
    </row>
    <row r="2373" spans="27:30" x14ac:dyDescent="0.2">
      <c r="AA2373" s="155"/>
      <c r="AC2373" s="155"/>
      <c r="AD2373" s="155"/>
    </row>
    <row r="2374" spans="27:30" x14ac:dyDescent="0.2">
      <c r="AA2374" s="155"/>
      <c r="AC2374" s="155"/>
      <c r="AD2374" s="155"/>
    </row>
    <row r="2375" spans="27:30" x14ac:dyDescent="0.2">
      <c r="AA2375" s="155"/>
      <c r="AC2375" s="155"/>
      <c r="AD2375" s="155"/>
    </row>
    <row r="2376" spans="27:30" x14ac:dyDescent="0.2">
      <c r="AA2376" s="155"/>
      <c r="AC2376" s="155"/>
      <c r="AD2376" s="155"/>
    </row>
    <row r="2377" spans="27:30" x14ac:dyDescent="0.2">
      <c r="AA2377" s="155"/>
      <c r="AC2377" s="155"/>
      <c r="AD2377" s="155"/>
    </row>
    <row r="2378" spans="27:30" x14ac:dyDescent="0.2">
      <c r="AA2378" s="155"/>
      <c r="AC2378" s="155"/>
      <c r="AD2378" s="155"/>
    </row>
    <row r="2379" spans="27:30" x14ac:dyDescent="0.2">
      <c r="AA2379" s="155"/>
      <c r="AC2379" s="155"/>
      <c r="AD2379" s="155"/>
    </row>
    <row r="2380" spans="27:30" x14ac:dyDescent="0.2">
      <c r="AA2380" s="155"/>
      <c r="AC2380" s="155"/>
      <c r="AD2380" s="155"/>
    </row>
    <row r="2381" spans="27:30" x14ac:dyDescent="0.2">
      <c r="AA2381" s="155"/>
      <c r="AC2381" s="155"/>
      <c r="AD2381" s="155"/>
    </row>
    <row r="2382" spans="27:30" x14ac:dyDescent="0.2">
      <c r="AA2382" s="155"/>
      <c r="AC2382" s="155"/>
      <c r="AD2382" s="155"/>
    </row>
    <row r="2383" spans="27:30" x14ac:dyDescent="0.2">
      <c r="AA2383" s="155"/>
      <c r="AC2383" s="155"/>
      <c r="AD2383" s="155"/>
    </row>
    <row r="2384" spans="27:30" x14ac:dyDescent="0.2">
      <c r="AA2384" s="155"/>
      <c r="AC2384" s="155"/>
      <c r="AD2384" s="155"/>
    </row>
    <row r="2385" spans="27:30" x14ac:dyDescent="0.2">
      <c r="AA2385" s="155"/>
      <c r="AC2385" s="155"/>
      <c r="AD2385" s="155"/>
    </row>
    <row r="2386" spans="27:30" x14ac:dyDescent="0.2">
      <c r="AA2386" s="155"/>
      <c r="AC2386" s="155"/>
      <c r="AD2386" s="155"/>
    </row>
    <row r="2387" spans="27:30" x14ac:dyDescent="0.2">
      <c r="AA2387" s="155"/>
      <c r="AC2387" s="155"/>
      <c r="AD2387" s="155"/>
    </row>
    <row r="2388" spans="27:30" x14ac:dyDescent="0.2">
      <c r="AA2388" s="155"/>
      <c r="AC2388" s="155"/>
      <c r="AD2388" s="155"/>
    </row>
    <row r="2389" spans="27:30" x14ac:dyDescent="0.2">
      <c r="AA2389" s="155"/>
      <c r="AC2389" s="155"/>
      <c r="AD2389" s="155"/>
    </row>
    <row r="2390" spans="27:30" x14ac:dyDescent="0.2">
      <c r="AA2390" s="155"/>
      <c r="AC2390" s="155"/>
      <c r="AD2390" s="155"/>
    </row>
    <row r="2391" spans="27:30" x14ac:dyDescent="0.2">
      <c r="AA2391" s="155"/>
      <c r="AC2391" s="155"/>
      <c r="AD2391" s="155"/>
    </row>
    <row r="2392" spans="27:30" x14ac:dyDescent="0.2">
      <c r="AA2392" s="155"/>
      <c r="AC2392" s="155"/>
      <c r="AD2392" s="155"/>
    </row>
    <row r="2393" spans="27:30" x14ac:dyDescent="0.2">
      <c r="AA2393" s="155"/>
      <c r="AC2393" s="155"/>
      <c r="AD2393" s="155"/>
    </row>
    <row r="2394" spans="27:30" x14ac:dyDescent="0.2">
      <c r="AA2394" s="155"/>
      <c r="AC2394" s="155"/>
      <c r="AD2394" s="155"/>
    </row>
    <row r="2395" spans="27:30" x14ac:dyDescent="0.2">
      <c r="AA2395" s="155"/>
      <c r="AC2395" s="155"/>
      <c r="AD2395" s="155"/>
    </row>
    <row r="2396" spans="27:30" x14ac:dyDescent="0.2">
      <c r="AA2396" s="155"/>
      <c r="AC2396" s="155"/>
      <c r="AD2396" s="155"/>
    </row>
    <row r="2397" spans="27:30" x14ac:dyDescent="0.2">
      <c r="AA2397" s="155"/>
      <c r="AC2397" s="155"/>
      <c r="AD2397" s="155"/>
    </row>
    <row r="2398" spans="27:30" x14ac:dyDescent="0.2">
      <c r="AA2398" s="155"/>
      <c r="AC2398" s="155"/>
      <c r="AD2398" s="155"/>
    </row>
    <row r="2399" spans="27:30" x14ac:dyDescent="0.2">
      <c r="AA2399" s="155"/>
      <c r="AC2399" s="155"/>
      <c r="AD2399" s="155"/>
    </row>
    <row r="2400" spans="27:30" x14ac:dyDescent="0.2">
      <c r="AA2400" s="155"/>
      <c r="AC2400" s="155"/>
      <c r="AD2400" s="155"/>
    </row>
    <row r="2401" spans="27:30" x14ac:dyDescent="0.2">
      <c r="AA2401" s="155"/>
      <c r="AC2401" s="155"/>
      <c r="AD2401" s="155"/>
    </row>
    <row r="2402" spans="27:30" x14ac:dyDescent="0.2">
      <c r="AA2402" s="155"/>
      <c r="AC2402" s="155"/>
      <c r="AD2402" s="155"/>
    </row>
    <row r="2403" spans="27:30" x14ac:dyDescent="0.2">
      <c r="AA2403" s="155"/>
      <c r="AC2403" s="155"/>
      <c r="AD2403" s="155"/>
    </row>
    <row r="2404" spans="27:30" x14ac:dyDescent="0.2">
      <c r="AA2404" s="155"/>
      <c r="AC2404" s="155"/>
      <c r="AD2404" s="155"/>
    </row>
    <row r="2405" spans="27:30" x14ac:dyDescent="0.2">
      <c r="AA2405" s="155"/>
      <c r="AC2405" s="155"/>
      <c r="AD2405" s="155"/>
    </row>
    <row r="2406" spans="27:30" x14ac:dyDescent="0.2">
      <c r="AA2406" s="155"/>
      <c r="AC2406" s="155"/>
      <c r="AD2406" s="155"/>
    </row>
    <row r="2407" spans="27:30" x14ac:dyDescent="0.2">
      <c r="AA2407" s="155"/>
      <c r="AC2407" s="155"/>
      <c r="AD2407" s="155"/>
    </row>
    <row r="2408" spans="27:30" x14ac:dyDescent="0.2">
      <c r="AA2408" s="155"/>
      <c r="AC2408" s="155"/>
      <c r="AD2408" s="155"/>
    </row>
    <row r="2409" spans="27:30" x14ac:dyDescent="0.2">
      <c r="AA2409" s="155"/>
      <c r="AC2409" s="155"/>
      <c r="AD2409" s="155"/>
    </row>
    <row r="2410" spans="27:30" x14ac:dyDescent="0.2">
      <c r="AA2410" s="155"/>
      <c r="AC2410" s="155"/>
      <c r="AD2410" s="155"/>
    </row>
    <row r="2411" spans="27:30" x14ac:dyDescent="0.2">
      <c r="AA2411" s="155"/>
      <c r="AC2411" s="155"/>
      <c r="AD2411" s="155"/>
    </row>
    <row r="2412" spans="27:30" x14ac:dyDescent="0.2">
      <c r="AA2412" s="155"/>
      <c r="AC2412" s="155"/>
      <c r="AD2412" s="155"/>
    </row>
    <row r="2413" spans="27:30" x14ac:dyDescent="0.2">
      <c r="AA2413" s="155"/>
      <c r="AC2413" s="155"/>
      <c r="AD2413" s="155"/>
    </row>
    <row r="2414" spans="27:30" x14ac:dyDescent="0.2">
      <c r="AA2414" s="155"/>
      <c r="AC2414" s="155"/>
      <c r="AD2414" s="155"/>
    </row>
    <row r="2415" spans="27:30" x14ac:dyDescent="0.2">
      <c r="AA2415" s="155"/>
      <c r="AC2415" s="155"/>
      <c r="AD2415" s="155"/>
    </row>
    <row r="2416" spans="27:30" x14ac:dyDescent="0.2">
      <c r="AA2416" s="155"/>
      <c r="AC2416" s="155"/>
      <c r="AD2416" s="155"/>
    </row>
    <row r="2417" spans="27:30" x14ac:dyDescent="0.2">
      <c r="AA2417" s="155"/>
      <c r="AC2417" s="155"/>
      <c r="AD2417" s="155"/>
    </row>
    <row r="2418" spans="27:30" x14ac:dyDescent="0.2">
      <c r="AA2418" s="155"/>
      <c r="AC2418" s="155"/>
      <c r="AD2418" s="155"/>
    </row>
    <row r="2419" spans="27:30" x14ac:dyDescent="0.2">
      <c r="AA2419" s="155"/>
      <c r="AC2419" s="155"/>
      <c r="AD2419" s="155"/>
    </row>
    <row r="2420" spans="27:30" x14ac:dyDescent="0.2">
      <c r="AA2420" s="155"/>
      <c r="AC2420" s="155"/>
      <c r="AD2420" s="155"/>
    </row>
    <row r="2421" spans="27:30" x14ac:dyDescent="0.2">
      <c r="AA2421" s="155"/>
      <c r="AC2421" s="155"/>
      <c r="AD2421" s="155"/>
    </row>
    <row r="2422" spans="27:30" x14ac:dyDescent="0.2">
      <c r="AA2422" s="155"/>
      <c r="AC2422" s="155"/>
      <c r="AD2422" s="155"/>
    </row>
    <row r="2423" spans="27:30" x14ac:dyDescent="0.2">
      <c r="AA2423" s="155"/>
      <c r="AC2423" s="155"/>
      <c r="AD2423" s="155"/>
    </row>
    <row r="2424" spans="27:30" x14ac:dyDescent="0.2">
      <c r="AA2424" s="155"/>
      <c r="AC2424" s="155"/>
      <c r="AD2424" s="155"/>
    </row>
    <row r="2425" spans="27:30" x14ac:dyDescent="0.2">
      <c r="AA2425" s="155"/>
      <c r="AC2425" s="155"/>
      <c r="AD2425" s="155"/>
    </row>
    <row r="2426" spans="27:30" x14ac:dyDescent="0.2">
      <c r="AA2426" s="155"/>
      <c r="AC2426" s="155"/>
      <c r="AD2426" s="155"/>
    </row>
    <row r="2427" spans="27:30" x14ac:dyDescent="0.2">
      <c r="AA2427" s="155"/>
      <c r="AC2427" s="155"/>
      <c r="AD2427" s="155"/>
    </row>
    <row r="2428" spans="27:30" x14ac:dyDescent="0.2">
      <c r="AA2428" s="155"/>
      <c r="AC2428" s="155"/>
      <c r="AD2428" s="155"/>
    </row>
    <row r="2429" spans="27:30" x14ac:dyDescent="0.2">
      <c r="AA2429" s="155"/>
      <c r="AC2429" s="155"/>
      <c r="AD2429" s="155"/>
    </row>
    <row r="2430" spans="27:30" x14ac:dyDescent="0.2">
      <c r="AA2430" s="155"/>
      <c r="AC2430" s="155"/>
      <c r="AD2430" s="155"/>
    </row>
    <row r="2431" spans="27:30" x14ac:dyDescent="0.2">
      <c r="AA2431" s="155"/>
      <c r="AC2431" s="155"/>
      <c r="AD2431" s="155"/>
    </row>
    <row r="2432" spans="27:30" x14ac:dyDescent="0.2">
      <c r="AA2432" s="155"/>
      <c r="AC2432" s="155"/>
      <c r="AD2432" s="155"/>
    </row>
    <row r="2433" spans="27:30" x14ac:dyDescent="0.2">
      <c r="AA2433" s="155"/>
      <c r="AC2433" s="155"/>
      <c r="AD2433" s="155"/>
    </row>
    <row r="2434" spans="27:30" x14ac:dyDescent="0.2">
      <c r="AA2434" s="155"/>
      <c r="AC2434" s="155"/>
      <c r="AD2434" s="155"/>
    </row>
    <row r="2435" spans="27:30" x14ac:dyDescent="0.2">
      <c r="AA2435" s="155"/>
      <c r="AC2435" s="155"/>
      <c r="AD2435" s="155"/>
    </row>
    <row r="2436" spans="27:30" x14ac:dyDescent="0.2">
      <c r="AA2436" s="155"/>
      <c r="AC2436" s="155"/>
      <c r="AD2436" s="155"/>
    </row>
    <row r="2437" spans="27:30" x14ac:dyDescent="0.2">
      <c r="AA2437" s="155"/>
      <c r="AC2437" s="155"/>
      <c r="AD2437" s="155"/>
    </row>
    <row r="2438" spans="27:30" x14ac:dyDescent="0.2">
      <c r="AA2438" s="155"/>
      <c r="AC2438" s="155"/>
      <c r="AD2438" s="155"/>
    </row>
    <row r="2439" spans="27:30" x14ac:dyDescent="0.2">
      <c r="AA2439" s="155"/>
      <c r="AC2439" s="155"/>
      <c r="AD2439" s="155"/>
    </row>
    <row r="2440" spans="27:30" x14ac:dyDescent="0.2">
      <c r="AA2440" s="155"/>
      <c r="AC2440" s="155"/>
      <c r="AD2440" s="155"/>
    </row>
    <row r="2441" spans="27:30" x14ac:dyDescent="0.2">
      <c r="AA2441" s="155"/>
      <c r="AC2441" s="155"/>
      <c r="AD2441" s="155"/>
    </row>
    <row r="2442" spans="27:30" x14ac:dyDescent="0.2">
      <c r="AA2442" s="155"/>
      <c r="AC2442" s="155"/>
      <c r="AD2442" s="155"/>
    </row>
    <row r="2443" spans="27:30" x14ac:dyDescent="0.2">
      <c r="AA2443" s="155"/>
      <c r="AC2443" s="155"/>
      <c r="AD2443" s="155"/>
    </row>
    <row r="2444" spans="27:30" x14ac:dyDescent="0.2">
      <c r="AA2444" s="155"/>
      <c r="AC2444" s="155"/>
      <c r="AD2444" s="155"/>
    </row>
    <row r="2445" spans="27:30" x14ac:dyDescent="0.2">
      <c r="AA2445" s="155"/>
      <c r="AC2445" s="155"/>
      <c r="AD2445" s="155"/>
    </row>
    <row r="2446" spans="27:30" x14ac:dyDescent="0.2">
      <c r="AA2446" s="155"/>
      <c r="AC2446" s="155"/>
      <c r="AD2446" s="155"/>
    </row>
    <row r="2447" spans="27:30" x14ac:dyDescent="0.2">
      <c r="AA2447" s="155"/>
      <c r="AC2447" s="155"/>
      <c r="AD2447" s="155"/>
    </row>
    <row r="2448" spans="27:30" x14ac:dyDescent="0.2">
      <c r="AA2448" s="155"/>
      <c r="AC2448" s="155"/>
      <c r="AD2448" s="155"/>
    </row>
    <row r="2449" spans="27:30" x14ac:dyDescent="0.2">
      <c r="AA2449" s="155"/>
      <c r="AC2449" s="155"/>
      <c r="AD2449" s="155"/>
    </row>
    <row r="2450" spans="27:30" x14ac:dyDescent="0.2">
      <c r="AA2450" s="155"/>
      <c r="AC2450" s="155"/>
      <c r="AD2450" s="155"/>
    </row>
    <row r="2451" spans="27:30" x14ac:dyDescent="0.2">
      <c r="AA2451" s="155"/>
      <c r="AC2451" s="155"/>
      <c r="AD2451" s="155"/>
    </row>
    <row r="2452" spans="27:30" x14ac:dyDescent="0.2">
      <c r="AA2452" s="155"/>
      <c r="AC2452" s="155"/>
      <c r="AD2452" s="155"/>
    </row>
    <row r="2453" spans="27:30" x14ac:dyDescent="0.2">
      <c r="AA2453" s="155"/>
      <c r="AC2453" s="155"/>
      <c r="AD2453" s="155"/>
    </row>
    <row r="2454" spans="27:30" x14ac:dyDescent="0.2">
      <c r="AA2454" s="155"/>
      <c r="AC2454" s="155"/>
      <c r="AD2454" s="155"/>
    </row>
    <row r="2455" spans="27:30" x14ac:dyDescent="0.2">
      <c r="AA2455" s="155"/>
      <c r="AC2455" s="155"/>
      <c r="AD2455" s="155"/>
    </row>
    <row r="2456" spans="27:30" x14ac:dyDescent="0.2">
      <c r="AA2456" s="155"/>
      <c r="AC2456" s="155"/>
      <c r="AD2456" s="155"/>
    </row>
    <row r="2457" spans="27:30" x14ac:dyDescent="0.2">
      <c r="AA2457" s="155"/>
      <c r="AC2457" s="155"/>
      <c r="AD2457" s="155"/>
    </row>
    <row r="2458" spans="27:30" x14ac:dyDescent="0.2">
      <c r="AA2458" s="155"/>
      <c r="AC2458" s="155"/>
      <c r="AD2458" s="155"/>
    </row>
    <row r="2459" spans="27:30" x14ac:dyDescent="0.2">
      <c r="AA2459" s="155"/>
      <c r="AC2459" s="155"/>
      <c r="AD2459" s="155"/>
    </row>
    <row r="2460" spans="27:30" x14ac:dyDescent="0.2">
      <c r="AA2460" s="155"/>
      <c r="AC2460" s="155"/>
      <c r="AD2460" s="155"/>
    </row>
    <row r="2461" spans="27:30" x14ac:dyDescent="0.2">
      <c r="AA2461" s="155"/>
      <c r="AC2461" s="155"/>
      <c r="AD2461" s="155"/>
    </row>
    <row r="2462" spans="27:30" x14ac:dyDescent="0.2">
      <c r="AA2462" s="155"/>
      <c r="AC2462" s="155"/>
      <c r="AD2462" s="155"/>
    </row>
    <row r="2463" spans="27:30" x14ac:dyDescent="0.2">
      <c r="AA2463" s="155"/>
      <c r="AC2463" s="155"/>
      <c r="AD2463" s="155"/>
    </row>
    <row r="2464" spans="27:30" x14ac:dyDescent="0.2">
      <c r="AA2464" s="155"/>
      <c r="AC2464" s="155"/>
      <c r="AD2464" s="155"/>
    </row>
    <row r="2465" spans="27:30" x14ac:dyDescent="0.2">
      <c r="AA2465" s="155"/>
      <c r="AC2465" s="155"/>
      <c r="AD2465" s="155"/>
    </row>
    <row r="2466" spans="27:30" x14ac:dyDescent="0.2">
      <c r="AA2466" s="155"/>
      <c r="AC2466" s="155"/>
      <c r="AD2466" s="155"/>
    </row>
    <row r="2467" spans="27:30" x14ac:dyDescent="0.2">
      <c r="AA2467" s="155"/>
      <c r="AC2467" s="155"/>
      <c r="AD2467" s="155"/>
    </row>
    <row r="2468" spans="27:30" x14ac:dyDescent="0.2">
      <c r="AA2468" s="155"/>
      <c r="AC2468" s="155"/>
      <c r="AD2468" s="155"/>
    </row>
    <row r="2469" spans="27:30" x14ac:dyDescent="0.2">
      <c r="AA2469" s="155"/>
      <c r="AC2469" s="155"/>
      <c r="AD2469" s="155"/>
    </row>
    <row r="2470" spans="27:30" x14ac:dyDescent="0.2">
      <c r="AA2470" s="155"/>
      <c r="AC2470" s="155"/>
      <c r="AD2470" s="155"/>
    </row>
    <row r="2471" spans="27:30" x14ac:dyDescent="0.2">
      <c r="AA2471" s="155"/>
      <c r="AC2471" s="155"/>
      <c r="AD2471" s="155"/>
    </row>
    <row r="2472" spans="27:30" x14ac:dyDescent="0.2">
      <c r="AA2472" s="155"/>
      <c r="AC2472" s="155"/>
      <c r="AD2472" s="155"/>
    </row>
    <row r="2473" spans="27:30" x14ac:dyDescent="0.2">
      <c r="AA2473" s="155"/>
      <c r="AC2473" s="155"/>
      <c r="AD2473" s="155"/>
    </row>
    <row r="2474" spans="27:30" x14ac:dyDescent="0.2">
      <c r="AA2474" s="155"/>
      <c r="AC2474" s="155"/>
      <c r="AD2474" s="155"/>
    </row>
    <row r="2475" spans="27:30" x14ac:dyDescent="0.2">
      <c r="AA2475" s="155"/>
      <c r="AC2475" s="155"/>
      <c r="AD2475" s="155"/>
    </row>
    <row r="2476" spans="27:30" x14ac:dyDescent="0.2">
      <c r="AA2476" s="155"/>
      <c r="AC2476" s="155"/>
      <c r="AD2476" s="155"/>
    </row>
    <row r="2477" spans="27:30" x14ac:dyDescent="0.2">
      <c r="AA2477" s="155"/>
      <c r="AC2477" s="155"/>
      <c r="AD2477" s="155"/>
    </row>
    <row r="2478" spans="27:30" x14ac:dyDescent="0.2">
      <c r="AA2478" s="155"/>
      <c r="AC2478" s="155"/>
      <c r="AD2478" s="155"/>
    </row>
    <row r="2479" spans="27:30" x14ac:dyDescent="0.2">
      <c r="AA2479" s="155"/>
      <c r="AC2479" s="155"/>
      <c r="AD2479" s="155"/>
    </row>
    <row r="2480" spans="27:30" x14ac:dyDescent="0.2">
      <c r="AA2480" s="155"/>
      <c r="AC2480" s="155"/>
      <c r="AD2480" s="155"/>
    </row>
    <row r="2481" spans="27:30" x14ac:dyDescent="0.2">
      <c r="AA2481" s="155"/>
      <c r="AC2481" s="155"/>
      <c r="AD2481" s="155"/>
    </row>
    <row r="2482" spans="27:30" x14ac:dyDescent="0.2">
      <c r="AA2482" s="155"/>
      <c r="AC2482" s="155"/>
      <c r="AD2482" s="155"/>
    </row>
    <row r="2483" spans="27:30" x14ac:dyDescent="0.2">
      <c r="AA2483" s="155"/>
      <c r="AC2483" s="155"/>
      <c r="AD2483" s="155"/>
    </row>
    <row r="2484" spans="27:30" x14ac:dyDescent="0.2">
      <c r="AA2484" s="155"/>
      <c r="AC2484" s="155"/>
      <c r="AD2484" s="155"/>
    </row>
    <row r="2485" spans="27:30" x14ac:dyDescent="0.2">
      <c r="AA2485" s="155"/>
      <c r="AC2485" s="155"/>
      <c r="AD2485" s="155"/>
    </row>
    <row r="2486" spans="27:30" x14ac:dyDescent="0.2">
      <c r="AA2486" s="155"/>
      <c r="AC2486" s="155"/>
      <c r="AD2486" s="155"/>
    </row>
    <row r="2487" spans="27:30" x14ac:dyDescent="0.2">
      <c r="AA2487" s="155"/>
      <c r="AC2487" s="155"/>
      <c r="AD2487" s="155"/>
    </row>
    <row r="2488" spans="27:30" x14ac:dyDescent="0.2">
      <c r="AA2488" s="155"/>
      <c r="AC2488" s="155"/>
      <c r="AD2488" s="155"/>
    </row>
    <row r="2489" spans="27:30" x14ac:dyDescent="0.2">
      <c r="AA2489" s="155"/>
      <c r="AC2489" s="155"/>
      <c r="AD2489" s="155"/>
    </row>
    <row r="2490" spans="27:30" x14ac:dyDescent="0.2">
      <c r="AA2490" s="155"/>
      <c r="AC2490" s="155"/>
      <c r="AD2490" s="155"/>
    </row>
    <row r="2491" spans="27:30" x14ac:dyDescent="0.2">
      <c r="AA2491" s="155"/>
      <c r="AC2491" s="155"/>
      <c r="AD2491" s="155"/>
    </row>
    <row r="2492" spans="27:30" x14ac:dyDescent="0.2">
      <c r="AA2492" s="155"/>
      <c r="AC2492" s="155"/>
      <c r="AD2492" s="155"/>
    </row>
    <row r="2493" spans="27:30" x14ac:dyDescent="0.2">
      <c r="AA2493" s="155"/>
      <c r="AC2493" s="155"/>
      <c r="AD2493" s="155"/>
    </row>
    <row r="2494" spans="27:30" x14ac:dyDescent="0.2">
      <c r="AA2494" s="155"/>
      <c r="AC2494" s="155"/>
      <c r="AD2494" s="155"/>
    </row>
    <row r="2495" spans="27:30" x14ac:dyDescent="0.2">
      <c r="AA2495" s="155"/>
      <c r="AC2495" s="155"/>
      <c r="AD2495" s="155"/>
    </row>
    <row r="2496" spans="27:30" x14ac:dyDescent="0.2">
      <c r="AA2496" s="155"/>
      <c r="AC2496" s="155"/>
      <c r="AD2496" s="155"/>
    </row>
    <row r="2497" spans="27:30" x14ac:dyDescent="0.2">
      <c r="AA2497" s="155"/>
      <c r="AC2497" s="155"/>
      <c r="AD2497" s="155"/>
    </row>
    <row r="2498" spans="27:30" x14ac:dyDescent="0.2">
      <c r="AA2498" s="155"/>
      <c r="AC2498" s="155"/>
      <c r="AD2498" s="155"/>
    </row>
    <row r="2499" spans="27:30" x14ac:dyDescent="0.2">
      <c r="AA2499" s="155"/>
      <c r="AC2499" s="155"/>
      <c r="AD2499" s="155"/>
    </row>
    <row r="2500" spans="27:30" x14ac:dyDescent="0.2">
      <c r="AA2500" s="155"/>
      <c r="AC2500" s="155"/>
      <c r="AD2500" s="155"/>
    </row>
    <row r="2501" spans="27:30" x14ac:dyDescent="0.2">
      <c r="AA2501" s="155"/>
      <c r="AC2501" s="155"/>
      <c r="AD2501" s="155"/>
    </row>
    <row r="2502" spans="27:30" x14ac:dyDescent="0.2">
      <c r="AA2502" s="155"/>
      <c r="AC2502" s="155"/>
      <c r="AD2502" s="155"/>
    </row>
    <row r="2503" spans="27:30" x14ac:dyDescent="0.2">
      <c r="AA2503" s="155"/>
      <c r="AC2503" s="155"/>
      <c r="AD2503" s="155"/>
    </row>
    <row r="2504" spans="27:30" x14ac:dyDescent="0.2">
      <c r="AA2504" s="155"/>
      <c r="AC2504" s="155"/>
      <c r="AD2504" s="155"/>
    </row>
    <row r="2505" spans="27:30" x14ac:dyDescent="0.2">
      <c r="AA2505" s="155"/>
      <c r="AC2505" s="155"/>
      <c r="AD2505" s="155"/>
    </row>
    <row r="2506" spans="27:30" x14ac:dyDescent="0.2">
      <c r="AA2506" s="155"/>
      <c r="AC2506" s="155"/>
      <c r="AD2506" s="155"/>
    </row>
    <row r="2507" spans="27:30" x14ac:dyDescent="0.2">
      <c r="AA2507" s="155"/>
      <c r="AC2507" s="155"/>
      <c r="AD2507" s="155"/>
    </row>
    <row r="2508" spans="27:30" x14ac:dyDescent="0.2">
      <c r="AA2508" s="155"/>
      <c r="AC2508" s="155"/>
      <c r="AD2508" s="155"/>
    </row>
    <row r="2509" spans="27:30" x14ac:dyDescent="0.2">
      <c r="AA2509" s="155"/>
      <c r="AC2509" s="155"/>
      <c r="AD2509" s="155"/>
    </row>
    <row r="2510" spans="27:30" x14ac:dyDescent="0.2">
      <c r="AA2510" s="155"/>
      <c r="AC2510" s="155"/>
      <c r="AD2510" s="155"/>
    </row>
    <row r="2511" spans="27:30" x14ac:dyDescent="0.2">
      <c r="AA2511" s="155"/>
      <c r="AC2511" s="155"/>
      <c r="AD2511" s="155"/>
    </row>
    <row r="2512" spans="27:30" x14ac:dyDescent="0.2">
      <c r="AA2512" s="155"/>
      <c r="AC2512" s="155"/>
      <c r="AD2512" s="155"/>
    </row>
    <row r="2513" spans="27:30" x14ac:dyDescent="0.2">
      <c r="AA2513" s="155"/>
      <c r="AC2513" s="155"/>
      <c r="AD2513" s="155"/>
    </row>
    <row r="2514" spans="27:30" x14ac:dyDescent="0.2">
      <c r="AA2514" s="155"/>
      <c r="AC2514" s="155"/>
      <c r="AD2514" s="155"/>
    </row>
    <row r="2515" spans="27:30" x14ac:dyDescent="0.2">
      <c r="AA2515" s="155"/>
      <c r="AC2515" s="155"/>
      <c r="AD2515" s="155"/>
    </row>
    <row r="2516" spans="27:30" x14ac:dyDescent="0.2">
      <c r="AA2516" s="155"/>
      <c r="AC2516" s="155"/>
      <c r="AD2516" s="155"/>
    </row>
    <row r="2517" spans="27:30" x14ac:dyDescent="0.2">
      <c r="AA2517" s="155"/>
      <c r="AC2517" s="155"/>
      <c r="AD2517" s="155"/>
    </row>
    <row r="2518" spans="27:30" x14ac:dyDescent="0.2">
      <c r="AA2518" s="155"/>
      <c r="AC2518" s="155"/>
      <c r="AD2518" s="155"/>
    </row>
    <row r="2519" spans="27:30" x14ac:dyDescent="0.2">
      <c r="AA2519" s="155"/>
      <c r="AC2519" s="155"/>
      <c r="AD2519" s="155"/>
    </row>
    <row r="2520" spans="27:30" x14ac:dyDescent="0.2">
      <c r="AA2520" s="155"/>
      <c r="AC2520" s="155"/>
      <c r="AD2520" s="155"/>
    </row>
    <row r="2521" spans="27:30" x14ac:dyDescent="0.2">
      <c r="AA2521" s="155"/>
      <c r="AC2521" s="155"/>
      <c r="AD2521" s="155"/>
    </row>
    <row r="2522" spans="27:30" x14ac:dyDescent="0.2">
      <c r="AA2522" s="155"/>
      <c r="AC2522" s="155"/>
      <c r="AD2522" s="155"/>
    </row>
    <row r="2523" spans="27:30" x14ac:dyDescent="0.2">
      <c r="AA2523" s="155"/>
      <c r="AC2523" s="155"/>
      <c r="AD2523" s="155"/>
    </row>
    <row r="2524" spans="27:30" x14ac:dyDescent="0.2">
      <c r="AA2524" s="155"/>
      <c r="AC2524" s="155"/>
      <c r="AD2524" s="155"/>
    </row>
    <row r="2525" spans="27:30" x14ac:dyDescent="0.2">
      <c r="AA2525" s="155"/>
      <c r="AC2525" s="155"/>
      <c r="AD2525" s="155"/>
    </row>
    <row r="2526" spans="27:30" x14ac:dyDescent="0.2">
      <c r="AA2526" s="155"/>
      <c r="AC2526" s="155"/>
      <c r="AD2526" s="155"/>
    </row>
    <row r="2527" spans="27:30" x14ac:dyDescent="0.2">
      <c r="AA2527" s="155"/>
      <c r="AC2527" s="155"/>
      <c r="AD2527" s="155"/>
    </row>
    <row r="2528" spans="27:30" x14ac:dyDescent="0.2">
      <c r="AA2528" s="155"/>
      <c r="AC2528" s="155"/>
      <c r="AD2528" s="155"/>
    </row>
    <row r="2529" spans="27:30" x14ac:dyDescent="0.2">
      <c r="AA2529" s="155"/>
      <c r="AC2529" s="155"/>
      <c r="AD2529" s="155"/>
    </row>
    <row r="2530" spans="27:30" x14ac:dyDescent="0.2">
      <c r="AA2530" s="155"/>
      <c r="AC2530" s="155"/>
      <c r="AD2530" s="155"/>
    </row>
    <row r="2531" spans="27:30" x14ac:dyDescent="0.2">
      <c r="AA2531" s="155"/>
      <c r="AC2531" s="155"/>
      <c r="AD2531" s="155"/>
    </row>
    <row r="2532" spans="27:30" x14ac:dyDescent="0.2">
      <c r="AA2532" s="155"/>
      <c r="AC2532" s="155"/>
      <c r="AD2532" s="155"/>
    </row>
    <row r="2533" spans="27:30" x14ac:dyDescent="0.2">
      <c r="AA2533" s="155"/>
      <c r="AC2533" s="155"/>
      <c r="AD2533" s="155"/>
    </row>
    <row r="2534" spans="27:30" x14ac:dyDescent="0.2">
      <c r="AA2534" s="155"/>
      <c r="AC2534" s="155"/>
      <c r="AD2534" s="155"/>
    </row>
    <row r="2535" spans="27:30" x14ac:dyDescent="0.2">
      <c r="AA2535" s="155"/>
      <c r="AC2535" s="155"/>
      <c r="AD2535" s="155"/>
    </row>
    <row r="2536" spans="27:30" x14ac:dyDescent="0.2">
      <c r="AA2536" s="155"/>
      <c r="AC2536" s="155"/>
      <c r="AD2536" s="155"/>
    </row>
    <row r="2537" spans="27:30" x14ac:dyDescent="0.2">
      <c r="AA2537" s="155"/>
      <c r="AC2537" s="155"/>
      <c r="AD2537" s="155"/>
    </row>
    <row r="2538" spans="27:30" x14ac:dyDescent="0.2">
      <c r="AA2538" s="155"/>
      <c r="AC2538" s="155"/>
      <c r="AD2538" s="155"/>
    </row>
    <row r="2539" spans="27:30" x14ac:dyDescent="0.2">
      <c r="AA2539" s="155"/>
      <c r="AC2539" s="155"/>
      <c r="AD2539" s="155"/>
    </row>
    <row r="2540" spans="27:30" x14ac:dyDescent="0.2">
      <c r="AA2540" s="155"/>
      <c r="AC2540" s="155"/>
      <c r="AD2540" s="155"/>
    </row>
    <row r="2541" spans="27:30" x14ac:dyDescent="0.2">
      <c r="AA2541" s="155"/>
      <c r="AC2541" s="155"/>
      <c r="AD2541" s="155"/>
    </row>
    <row r="2542" spans="27:30" x14ac:dyDescent="0.2">
      <c r="AA2542" s="155"/>
      <c r="AC2542" s="155"/>
      <c r="AD2542" s="155"/>
    </row>
    <row r="2543" spans="27:30" x14ac:dyDescent="0.2">
      <c r="AA2543" s="155"/>
      <c r="AC2543" s="155"/>
      <c r="AD2543" s="155"/>
    </row>
    <row r="2544" spans="27:30" x14ac:dyDescent="0.2">
      <c r="AA2544" s="155"/>
      <c r="AC2544" s="155"/>
      <c r="AD2544" s="155"/>
    </row>
    <row r="2545" spans="27:30" x14ac:dyDescent="0.2">
      <c r="AA2545" s="155"/>
      <c r="AC2545" s="155"/>
      <c r="AD2545" s="155"/>
    </row>
    <row r="2546" spans="27:30" x14ac:dyDescent="0.2">
      <c r="AA2546" s="155"/>
      <c r="AC2546" s="155"/>
      <c r="AD2546" s="155"/>
    </row>
    <row r="2547" spans="27:30" x14ac:dyDescent="0.2">
      <c r="AA2547" s="155"/>
      <c r="AC2547" s="155"/>
      <c r="AD2547" s="155"/>
    </row>
    <row r="2548" spans="27:30" x14ac:dyDescent="0.2">
      <c r="AA2548" s="155"/>
      <c r="AC2548" s="155"/>
      <c r="AD2548" s="155"/>
    </row>
    <row r="2549" spans="27:30" x14ac:dyDescent="0.2">
      <c r="AA2549" s="155"/>
      <c r="AC2549" s="155"/>
      <c r="AD2549" s="155"/>
    </row>
    <row r="2550" spans="27:30" x14ac:dyDescent="0.2">
      <c r="AA2550" s="155"/>
      <c r="AC2550" s="155"/>
      <c r="AD2550" s="155"/>
    </row>
    <row r="2551" spans="27:30" x14ac:dyDescent="0.2">
      <c r="AA2551" s="155"/>
      <c r="AC2551" s="155"/>
      <c r="AD2551" s="155"/>
    </row>
    <row r="2552" spans="27:30" x14ac:dyDescent="0.2">
      <c r="AA2552" s="155"/>
      <c r="AC2552" s="155"/>
      <c r="AD2552" s="155"/>
    </row>
    <row r="2553" spans="27:30" x14ac:dyDescent="0.2">
      <c r="AA2553" s="155"/>
      <c r="AC2553" s="155"/>
      <c r="AD2553" s="155"/>
    </row>
    <row r="2554" spans="27:30" x14ac:dyDescent="0.2">
      <c r="AA2554" s="155"/>
      <c r="AC2554" s="155"/>
      <c r="AD2554" s="155"/>
    </row>
    <row r="2555" spans="27:30" x14ac:dyDescent="0.2">
      <c r="AA2555" s="155"/>
      <c r="AC2555" s="155"/>
      <c r="AD2555" s="155"/>
    </row>
    <row r="2556" spans="27:30" x14ac:dyDescent="0.2">
      <c r="AA2556" s="155"/>
      <c r="AC2556" s="155"/>
      <c r="AD2556" s="155"/>
    </row>
    <row r="2557" spans="27:30" x14ac:dyDescent="0.2">
      <c r="AA2557" s="155"/>
      <c r="AC2557" s="155"/>
      <c r="AD2557" s="155"/>
    </row>
    <row r="2558" spans="27:30" x14ac:dyDescent="0.2">
      <c r="AA2558" s="155"/>
      <c r="AC2558" s="155"/>
      <c r="AD2558" s="155"/>
    </row>
    <row r="2559" spans="27:30" x14ac:dyDescent="0.2">
      <c r="AA2559" s="155"/>
      <c r="AC2559" s="155"/>
      <c r="AD2559" s="155"/>
    </row>
    <row r="2560" spans="27:30" x14ac:dyDescent="0.2">
      <c r="AA2560" s="155"/>
      <c r="AC2560" s="155"/>
      <c r="AD2560" s="155"/>
    </row>
    <row r="2561" spans="27:30" x14ac:dyDescent="0.2">
      <c r="AA2561" s="155"/>
      <c r="AC2561" s="155"/>
      <c r="AD2561" s="155"/>
    </row>
    <row r="2562" spans="27:30" x14ac:dyDescent="0.2">
      <c r="AA2562" s="155"/>
      <c r="AC2562" s="155"/>
      <c r="AD2562" s="155"/>
    </row>
    <row r="2563" spans="27:30" x14ac:dyDescent="0.2">
      <c r="AA2563" s="155"/>
      <c r="AC2563" s="155"/>
      <c r="AD2563" s="155"/>
    </row>
    <row r="2564" spans="27:30" x14ac:dyDescent="0.2">
      <c r="AA2564" s="155"/>
      <c r="AC2564" s="155"/>
      <c r="AD2564" s="155"/>
    </row>
    <row r="2565" spans="27:30" x14ac:dyDescent="0.2">
      <c r="AA2565" s="155"/>
      <c r="AC2565" s="155"/>
      <c r="AD2565" s="155"/>
    </row>
    <row r="2566" spans="27:30" x14ac:dyDescent="0.2">
      <c r="AA2566" s="155"/>
      <c r="AC2566" s="155"/>
      <c r="AD2566" s="155"/>
    </row>
    <row r="2567" spans="27:30" x14ac:dyDescent="0.2">
      <c r="AA2567" s="155"/>
      <c r="AC2567" s="155"/>
      <c r="AD2567" s="155"/>
    </row>
    <row r="2568" spans="27:30" x14ac:dyDescent="0.2">
      <c r="AA2568" s="155"/>
      <c r="AC2568" s="155"/>
      <c r="AD2568" s="155"/>
    </row>
    <row r="2569" spans="27:30" x14ac:dyDescent="0.2">
      <c r="AA2569" s="155"/>
      <c r="AC2569" s="155"/>
      <c r="AD2569" s="155"/>
    </row>
    <row r="2570" spans="27:30" x14ac:dyDescent="0.2">
      <c r="AA2570" s="155"/>
      <c r="AC2570" s="155"/>
      <c r="AD2570" s="155"/>
    </row>
    <row r="2571" spans="27:30" x14ac:dyDescent="0.2">
      <c r="AA2571" s="155"/>
      <c r="AC2571" s="155"/>
      <c r="AD2571" s="155"/>
    </row>
    <row r="2572" spans="27:30" x14ac:dyDescent="0.2">
      <c r="AA2572" s="155"/>
      <c r="AC2572" s="155"/>
      <c r="AD2572" s="155"/>
    </row>
    <row r="2573" spans="27:30" x14ac:dyDescent="0.2">
      <c r="AA2573" s="155"/>
      <c r="AC2573" s="155"/>
      <c r="AD2573" s="155"/>
    </row>
    <row r="2574" spans="27:30" x14ac:dyDescent="0.2">
      <c r="AA2574" s="155"/>
      <c r="AC2574" s="155"/>
      <c r="AD2574" s="155"/>
    </row>
    <row r="2575" spans="27:30" x14ac:dyDescent="0.2">
      <c r="AA2575" s="155"/>
      <c r="AC2575" s="155"/>
      <c r="AD2575" s="155"/>
    </row>
    <row r="2576" spans="27:30" x14ac:dyDescent="0.2">
      <c r="AA2576" s="155"/>
      <c r="AC2576" s="155"/>
      <c r="AD2576" s="155"/>
    </row>
    <row r="2577" spans="27:30" x14ac:dyDescent="0.2">
      <c r="AA2577" s="155"/>
      <c r="AC2577" s="155"/>
      <c r="AD2577" s="155"/>
    </row>
    <row r="2578" spans="27:30" x14ac:dyDescent="0.2">
      <c r="AA2578" s="155"/>
      <c r="AC2578" s="155"/>
      <c r="AD2578" s="155"/>
    </row>
    <row r="2579" spans="27:30" x14ac:dyDescent="0.2">
      <c r="AA2579" s="155"/>
      <c r="AC2579" s="155"/>
      <c r="AD2579" s="155"/>
    </row>
    <row r="2580" spans="27:30" x14ac:dyDescent="0.2">
      <c r="AA2580" s="155"/>
      <c r="AC2580" s="155"/>
      <c r="AD2580" s="155"/>
    </row>
    <row r="2581" spans="27:30" x14ac:dyDescent="0.2">
      <c r="AA2581" s="155"/>
      <c r="AC2581" s="155"/>
      <c r="AD2581" s="155"/>
    </row>
    <row r="2582" spans="27:30" x14ac:dyDescent="0.2">
      <c r="AA2582" s="155"/>
      <c r="AC2582" s="155"/>
      <c r="AD2582" s="155"/>
    </row>
    <row r="2583" spans="27:30" x14ac:dyDescent="0.2">
      <c r="AA2583" s="155"/>
      <c r="AC2583" s="155"/>
      <c r="AD2583" s="155"/>
    </row>
    <row r="2584" spans="27:30" x14ac:dyDescent="0.2">
      <c r="AA2584" s="155"/>
      <c r="AC2584" s="155"/>
      <c r="AD2584" s="155"/>
    </row>
    <row r="2585" spans="27:30" x14ac:dyDescent="0.2">
      <c r="AA2585" s="155"/>
      <c r="AC2585" s="155"/>
      <c r="AD2585" s="155"/>
    </row>
    <row r="2586" spans="27:30" x14ac:dyDescent="0.2">
      <c r="AA2586" s="155"/>
      <c r="AC2586" s="155"/>
      <c r="AD2586" s="155"/>
    </row>
    <row r="2587" spans="27:30" x14ac:dyDescent="0.2">
      <c r="AA2587" s="155"/>
      <c r="AC2587" s="155"/>
      <c r="AD2587" s="155"/>
    </row>
    <row r="2588" spans="27:30" x14ac:dyDescent="0.2">
      <c r="AA2588" s="155"/>
      <c r="AC2588" s="155"/>
      <c r="AD2588" s="155"/>
    </row>
    <row r="2589" spans="27:30" x14ac:dyDescent="0.2">
      <c r="AA2589" s="155"/>
      <c r="AC2589" s="155"/>
      <c r="AD2589" s="155"/>
    </row>
    <row r="2590" spans="27:30" x14ac:dyDescent="0.2">
      <c r="AA2590" s="155"/>
      <c r="AC2590" s="155"/>
      <c r="AD2590" s="155"/>
    </row>
    <row r="2591" spans="27:30" x14ac:dyDescent="0.2">
      <c r="AA2591" s="155"/>
      <c r="AC2591" s="155"/>
      <c r="AD2591" s="155"/>
    </row>
    <row r="2592" spans="27:30" x14ac:dyDescent="0.2">
      <c r="AA2592" s="155"/>
      <c r="AC2592" s="155"/>
      <c r="AD2592" s="155"/>
    </row>
    <row r="2593" spans="27:30" x14ac:dyDescent="0.2">
      <c r="AA2593" s="155"/>
      <c r="AC2593" s="155"/>
      <c r="AD2593" s="155"/>
    </row>
    <row r="2594" spans="27:30" x14ac:dyDescent="0.2">
      <c r="AA2594" s="155"/>
      <c r="AC2594" s="155"/>
      <c r="AD2594" s="155"/>
    </row>
    <row r="2595" spans="27:30" x14ac:dyDescent="0.2">
      <c r="AA2595" s="155"/>
      <c r="AC2595" s="155"/>
      <c r="AD2595" s="155"/>
    </row>
    <row r="2596" spans="27:30" x14ac:dyDescent="0.2">
      <c r="AA2596" s="155"/>
      <c r="AC2596" s="155"/>
      <c r="AD2596" s="155"/>
    </row>
    <row r="2597" spans="27:30" x14ac:dyDescent="0.2">
      <c r="AA2597" s="155"/>
      <c r="AC2597" s="155"/>
      <c r="AD2597" s="155"/>
    </row>
    <row r="2598" spans="27:30" x14ac:dyDescent="0.2">
      <c r="AA2598" s="155"/>
      <c r="AC2598" s="155"/>
      <c r="AD2598" s="155"/>
    </row>
    <row r="2599" spans="27:30" x14ac:dyDescent="0.2">
      <c r="AA2599" s="155"/>
      <c r="AC2599" s="155"/>
      <c r="AD2599" s="155"/>
    </row>
    <row r="2600" spans="27:30" x14ac:dyDescent="0.2">
      <c r="AA2600" s="155"/>
      <c r="AC2600" s="155"/>
      <c r="AD2600" s="155"/>
    </row>
    <row r="2601" spans="27:30" x14ac:dyDescent="0.2">
      <c r="AA2601" s="155"/>
      <c r="AC2601" s="155"/>
      <c r="AD2601" s="155"/>
    </row>
    <row r="2602" spans="27:30" x14ac:dyDescent="0.2">
      <c r="AA2602" s="155"/>
      <c r="AC2602" s="155"/>
      <c r="AD2602" s="155"/>
    </row>
    <row r="2603" spans="27:30" x14ac:dyDescent="0.2">
      <c r="AA2603" s="155"/>
      <c r="AC2603" s="155"/>
      <c r="AD2603" s="155"/>
    </row>
    <row r="2604" spans="27:30" x14ac:dyDescent="0.2">
      <c r="AA2604" s="155"/>
      <c r="AC2604" s="155"/>
      <c r="AD2604" s="155"/>
    </row>
    <row r="2605" spans="27:30" x14ac:dyDescent="0.2">
      <c r="AA2605" s="155"/>
      <c r="AC2605" s="155"/>
      <c r="AD2605" s="155"/>
    </row>
    <row r="2606" spans="27:30" x14ac:dyDescent="0.2">
      <c r="AA2606" s="155"/>
      <c r="AC2606" s="155"/>
      <c r="AD2606" s="155"/>
    </row>
    <row r="2607" spans="27:30" x14ac:dyDescent="0.2">
      <c r="AA2607" s="155"/>
      <c r="AC2607" s="155"/>
      <c r="AD2607" s="155"/>
    </row>
    <row r="2608" spans="27:30" x14ac:dyDescent="0.2">
      <c r="AA2608" s="155"/>
      <c r="AC2608" s="155"/>
      <c r="AD2608" s="155"/>
    </row>
    <row r="2609" spans="27:30" x14ac:dyDescent="0.2">
      <c r="AA2609" s="155"/>
      <c r="AC2609" s="155"/>
      <c r="AD2609" s="155"/>
    </row>
    <row r="2610" spans="27:30" x14ac:dyDescent="0.2">
      <c r="AA2610" s="155"/>
      <c r="AC2610" s="155"/>
      <c r="AD2610" s="155"/>
    </row>
    <row r="2611" spans="27:30" x14ac:dyDescent="0.2">
      <c r="AA2611" s="155"/>
      <c r="AC2611" s="155"/>
      <c r="AD2611" s="155"/>
    </row>
    <row r="2612" spans="27:30" x14ac:dyDescent="0.2">
      <c r="AA2612" s="155"/>
      <c r="AC2612" s="155"/>
      <c r="AD2612" s="155"/>
    </row>
    <row r="2613" spans="27:30" x14ac:dyDescent="0.2">
      <c r="AA2613" s="155"/>
      <c r="AC2613" s="155"/>
      <c r="AD2613" s="155"/>
    </row>
    <row r="2614" spans="27:30" x14ac:dyDescent="0.2">
      <c r="AA2614" s="155"/>
      <c r="AC2614" s="155"/>
      <c r="AD2614" s="155"/>
    </row>
    <row r="2615" spans="27:30" x14ac:dyDescent="0.2">
      <c r="AA2615" s="155"/>
      <c r="AC2615" s="155"/>
      <c r="AD2615" s="155"/>
    </row>
    <row r="2616" spans="27:30" x14ac:dyDescent="0.2">
      <c r="AA2616" s="155"/>
      <c r="AC2616" s="155"/>
      <c r="AD2616" s="155"/>
    </row>
    <row r="2617" spans="27:30" x14ac:dyDescent="0.2">
      <c r="AA2617" s="155"/>
      <c r="AC2617" s="155"/>
      <c r="AD2617" s="155"/>
    </row>
    <row r="2618" spans="27:30" x14ac:dyDescent="0.2">
      <c r="AA2618" s="155"/>
      <c r="AC2618" s="155"/>
      <c r="AD2618" s="155"/>
    </row>
    <row r="2619" spans="27:30" x14ac:dyDescent="0.2">
      <c r="AA2619" s="155"/>
      <c r="AC2619" s="155"/>
      <c r="AD2619" s="155"/>
    </row>
    <row r="2620" spans="27:30" x14ac:dyDescent="0.2">
      <c r="AA2620" s="155"/>
      <c r="AC2620" s="155"/>
      <c r="AD2620" s="155"/>
    </row>
    <row r="2621" spans="27:30" x14ac:dyDescent="0.2">
      <c r="AA2621" s="155"/>
      <c r="AC2621" s="155"/>
      <c r="AD2621" s="155"/>
    </row>
    <row r="2622" spans="27:30" x14ac:dyDescent="0.2">
      <c r="AA2622" s="155"/>
      <c r="AC2622" s="155"/>
      <c r="AD2622" s="155"/>
    </row>
    <row r="2623" spans="27:30" x14ac:dyDescent="0.2">
      <c r="AA2623" s="155"/>
      <c r="AC2623" s="155"/>
      <c r="AD2623" s="155"/>
    </row>
    <row r="2624" spans="27:30" x14ac:dyDescent="0.2">
      <c r="AA2624" s="155"/>
      <c r="AC2624" s="155"/>
      <c r="AD2624" s="155"/>
    </row>
    <row r="2625" spans="27:30" x14ac:dyDescent="0.2">
      <c r="AA2625" s="155"/>
      <c r="AC2625" s="155"/>
      <c r="AD2625" s="155"/>
    </row>
    <row r="2626" spans="27:30" x14ac:dyDescent="0.2">
      <c r="AA2626" s="155"/>
      <c r="AC2626" s="155"/>
      <c r="AD2626" s="155"/>
    </row>
    <row r="2627" spans="27:30" x14ac:dyDescent="0.2">
      <c r="AA2627" s="155"/>
      <c r="AC2627" s="155"/>
      <c r="AD2627" s="155"/>
    </row>
    <row r="2628" spans="27:30" x14ac:dyDescent="0.2">
      <c r="AA2628" s="155"/>
      <c r="AC2628" s="155"/>
      <c r="AD2628" s="155"/>
    </row>
    <row r="2629" spans="27:30" x14ac:dyDescent="0.2">
      <c r="AA2629" s="155"/>
      <c r="AC2629" s="155"/>
      <c r="AD2629" s="155"/>
    </row>
    <row r="2630" spans="27:30" x14ac:dyDescent="0.2">
      <c r="AA2630" s="155"/>
      <c r="AC2630" s="155"/>
      <c r="AD2630" s="155"/>
    </row>
    <row r="2631" spans="27:30" x14ac:dyDescent="0.2">
      <c r="AA2631" s="155"/>
      <c r="AC2631" s="155"/>
      <c r="AD2631" s="155"/>
    </row>
    <row r="2632" spans="27:30" x14ac:dyDescent="0.2">
      <c r="AA2632" s="155"/>
      <c r="AC2632" s="155"/>
      <c r="AD2632" s="155"/>
    </row>
    <row r="2633" spans="27:30" x14ac:dyDescent="0.2">
      <c r="AA2633" s="155"/>
      <c r="AC2633" s="155"/>
      <c r="AD2633" s="155"/>
    </row>
    <row r="2634" spans="27:30" x14ac:dyDescent="0.2">
      <c r="AA2634" s="155"/>
      <c r="AC2634" s="155"/>
      <c r="AD2634" s="155"/>
    </row>
    <row r="2635" spans="27:30" x14ac:dyDescent="0.2">
      <c r="AA2635" s="155"/>
      <c r="AC2635" s="155"/>
      <c r="AD2635" s="155"/>
    </row>
    <row r="2636" spans="27:30" x14ac:dyDescent="0.2">
      <c r="AA2636" s="155"/>
      <c r="AC2636" s="155"/>
      <c r="AD2636" s="155"/>
    </row>
    <row r="2637" spans="27:30" x14ac:dyDescent="0.2">
      <c r="AA2637" s="155"/>
      <c r="AC2637" s="155"/>
      <c r="AD2637" s="155"/>
    </row>
    <row r="2638" spans="27:30" x14ac:dyDescent="0.2">
      <c r="AA2638" s="155"/>
      <c r="AC2638" s="155"/>
      <c r="AD2638" s="155"/>
    </row>
    <row r="2639" spans="27:30" x14ac:dyDescent="0.2">
      <c r="AA2639" s="155"/>
      <c r="AC2639" s="155"/>
      <c r="AD2639" s="155"/>
    </row>
    <row r="2640" spans="27:30" x14ac:dyDescent="0.2">
      <c r="AA2640" s="155"/>
      <c r="AC2640" s="155"/>
      <c r="AD2640" s="155"/>
    </row>
    <row r="2641" spans="27:30" x14ac:dyDescent="0.2">
      <c r="AA2641" s="155"/>
      <c r="AC2641" s="155"/>
      <c r="AD2641" s="155"/>
    </row>
    <row r="2642" spans="27:30" x14ac:dyDescent="0.2">
      <c r="AA2642" s="155"/>
      <c r="AC2642" s="155"/>
      <c r="AD2642" s="155"/>
    </row>
    <row r="2643" spans="27:30" x14ac:dyDescent="0.2">
      <c r="AA2643" s="155"/>
      <c r="AC2643" s="155"/>
      <c r="AD2643" s="155"/>
    </row>
    <row r="2644" spans="27:30" x14ac:dyDescent="0.2">
      <c r="AA2644" s="155"/>
      <c r="AC2644" s="155"/>
      <c r="AD2644" s="155"/>
    </row>
    <row r="2645" spans="27:30" x14ac:dyDescent="0.2">
      <c r="AA2645" s="155"/>
      <c r="AC2645" s="155"/>
      <c r="AD2645" s="155"/>
    </row>
    <row r="2646" spans="27:30" x14ac:dyDescent="0.2">
      <c r="AA2646" s="155"/>
      <c r="AC2646" s="155"/>
      <c r="AD2646" s="155"/>
    </row>
    <row r="2647" spans="27:30" x14ac:dyDescent="0.2">
      <c r="AA2647" s="155"/>
      <c r="AC2647" s="155"/>
      <c r="AD2647" s="155"/>
    </row>
    <row r="2648" spans="27:30" x14ac:dyDescent="0.2">
      <c r="AA2648" s="155"/>
      <c r="AC2648" s="155"/>
      <c r="AD2648" s="155"/>
    </row>
    <row r="2649" spans="27:30" x14ac:dyDescent="0.2">
      <c r="AA2649" s="155"/>
      <c r="AC2649" s="155"/>
      <c r="AD2649" s="155"/>
    </row>
    <row r="2650" spans="27:30" x14ac:dyDescent="0.2">
      <c r="AA2650" s="155"/>
      <c r="AC2650" s="155"/>
      <c r="AD2650" s="155"/>
    </row>
    <row r="2651" spans="27:30" x14ac:dyDescent="0.2">
      <c r="AA2651" s="155"/>
      <c r="AC2651" s="155"/>
      <c r="AD2651" s="155"/>
    </row>
    <row r="2652" spans="27:30" x14ac:dyDescent="0.2">
      <c r="AA2652" s="155"/>
      <c r="AC2652" s="155"/>
      <c r="AD2652" s="155"/>
    </row>
    <row r="2653" spans="27:30" x14ac:dyDescent="0.2">
      <c r="AA2653" s="155"/>
      <c r="AC2653" s="155"/>
      <c r="AD2653" s="155"/>
    </row>
    <row r="2654" spans="27:30" x14ac:dyDescent="0.2">
      <c r="AA2654" s="155"/>
      <c r="AC2654" s="155"/>
      <c r="AD2654" s="155"/>
    </row>
    <row r="2655" spans="27:30" x14ac:dyDescent="0.2">
      <c r="AA2655" s="155"/>
      <c r="AC2655" s="155"/>
      <c r="AD2655" s="155"/>
    </row>
    <row r="2656" spans="27:30" x14ac:dyDescent="0.2">
      <c r="AA2656" s="155"/>
      <c r="AC2656" s="155"/>
      <c r="AD2656" s="155"/>
    </row>
    <row r="2657" spans="27:30" x14ac:dyDescent="0.2">
      <c r="AA2657" s="155"/>
      <c r="AC2657" s="155"/>
      <c r="AD2657" s="155"/>
    </row>
    <row r="2658" spans="27:30" x14ac:dyDescent="0.2">
      <c r="AA2658" s="155"/>
      <c r="AC2658" s="155"/>
      <c r="AD2658" s="155"/>
    </row>
    <row r="2659" spans="27:30" x14ac:dyDescent="0.2">
      <c r="AA2659" s="155"/>
      <c r="AC2659" s="155"/>
      <c r="AD2659" s="155"/>
    </row>
    <row r="2660" spans="27:30" x14ac:dyDescent="0.2">
      <c r="AA2660" s="155"/>
      <c r="AC2660" s="155"/>
      <c r="AD2660" s="155"/>
    </row>
    <row r="2661" spans="27:30" x14ac:dyDescent="0.2">
      <c r="AA2661" s="155"/>
      <c r="AC2661" s="155"/>
      <c r="AD2661" s="155"/>
    </row>
    <row r="2662" spans="27:30" x14ac:dyDescent="0.2">
      <c r="AA2662" s="155"/>
      <c r="AC2662" s="155"/>
      <c r="AD2662" s="155"/>
    </row>
    <row r="2663" spans="27:30" x14ac:dyDescent="0.2">
      <c r="AA2663" s="155"/>
      <c r="AC2663" s="155"/>
      <c r="AD2663" s="155"/>
    </row>
    <row r="2664" spans="27:30" x14ac:dyDescent="0.2">
      <c r="AA2664" s="155"/>
      <c r="AC2664" s="155"/>
      <c r="AD2664" s="155"/>
    </row>
    <row r="2665" spans="27:30" x14ac:dyDescent="0.2">
      <c r="AA2665" s="155"/>
      <c r="AC2665" s="155"/>
      <c r="AD2665" s="155"/>
    </row>
    <row r="2666" spans="27:30" x14ac:dyDescent="0.2">
      <c r="AA2666" s="155"/>
      <c r="AC2666" s="155"/>
      <c r="AD2666" s="155"/>
    </row>
    <row r="2667" spans="27:30" x14ac:dyDescent="0.2">
      <c r="AA2667" s="155"/>
      <c r="AC2667" s="155"/>
      <c r="AD2667" s="155"/>
    </row>
    <row r="2668" spans="27:30" x14ac:dyDescent="0.2">
      <c r="AA2668" s="155"/>
      <c r="AC2668" s="155"/>
      <c r="AD2668" s="155"/>
    </row>
    <row r="2669" spans="27:30" x14ac:dyDescent="0.2">
      <c r="AA2669" s="155"/>
      <c r="AC2669" s="155"/>
      <c r="AD2669" s="155"/>
    </row>
    <row r="2670" spans="27:30" x14ac:dyDescent="0.2">
      <c r="AA2670" s="155"/>
      <c r="AC2670" s="155"/>
      <c r="AD2670" s="155"/>
    </row>
    <row r="2671" spans="27:30" x14ac:dyDescent="0.2">
      <c r="AA2671" s="155"/>
      <c r="AC2671" s="155"/>
      <c r="AD2671" s="155"/>
    </row>
    <row r="2672" spans="27:30" x14ac:dyDescent="0.2">
      <c r="AA2672" s="155"/>
      <c r="AC2672" s="155"/>
      <c r="AD2672" s="155"/>
    </row>
    <row r="2673" spans="27:30" x14ac:dyDescent="0.2">
      <c r="AA2673" s="155"/>
      <c r="AC2673" s="155"/>
      <c r="AD2673" s="155"/>
    </row>
    <row r="2674" spans="27:30" x14ac:dyDescent="0.2">
      <c r="AA2674" s="155"/>
      <c r="AC2674" s="155"/>
      <c r="AD2674" s="155"/>
    </row>
    <row r="2675" spans="27:30" x14ac:dyDescent="0.2">
      <c r="AA2675" s="155"/>
      <c r="AC2675" s="155"/>
      <c r="AD2675" s="155"/>
    </row>
    <row r="2676" spans="27:30" x14ac:dyDescent="0.2">
      <c r="AA2676" s="155"/>
      <c r="AC2676" s="155"/>
      <c r="AD2676" s="155"/>
    </row>
    <row r="2677" spans="27:30" x14ac:dyDescent="0.2">
      <c r="AA2677" s="155"/>
      <c r="AC2677" s="155"/>
      <c r="AD2677" s="155"/>
    </row>
    <row r="2678" spans="27:30" x14ac:dyDescent="0.2">
      <c r="AA2678" s="155"/>
      <c r="AC2678" s="155"/>
      <c r="AD2678" s="155"/>
    </row>
    <row r="2679" spans="27:30" x14ac:dyDescent="0.2">
      <c r="AA2679" s="155"/>
      <c r="AC2679" s="155"/>
      <c r="AD2679" s="155"/>
    </row>
    <row r="2680" spans="27:30" x14ac:dyDescent="0.2">
      <c r="AA2680" s="155"/>
      <c r="AC2680" s="155"/>
      <c r="AD2680" s="155"/>
    </row>
    <row r="2681" spans="27:30" x14ac:dyDescent="0.2">
      <c r="AA2681" s="155"/>
      <c r="AC2681" s="155"/>
      <c r="AD2681" s="155"/>
    </row>
    <row r="2682" spans="27:30" x14ac:dyDescent="0.2">
      <c r="AA2682" s="155"/>
      <c r="AC2682" s="155"/>
      <c r="AD2682" s="155"/>
    </row>
    <row r="2683" spans="27:30" x14ac:dyDescent="0.2">
      <c r="AA2683" s="155"/>
      <c r="AC2683" s="155"/>
      <c r="AD2683" s="155"/>
    </row>
    <row r="2684" spans="27:30" x14ac:dyDescent="0.2">
      <c r="AA2684" s="155"/>
      <c r="AC2684" s="155"/>
      <c r="AD2684" s="155"/>
    </row>
    <row r="2685" spans="27:30" x14ac:dyDescent="0.2">
      <c r="AA2685" s="155"/>
      <c r="AC2685" s="155"/>
      <c r="AD2685" s="155"/>
    </row>
    <row r="2686" spans="27:30" x14ac:dyDescent="0.2">
      <c r="AA2686" s="155"/>
      <c r="AC2686" s="155"/>
      <c r="AD2686" s="155"/>
    </row>
    <row r="2687" spans="27:30" x14ac:dyDescent="0.2">
      <c r="AA2687" s="155"/>
      <c r="AC2687" s="155"/>
      <c r="AD2687" s="155"/>
    </row>
    <row r="2688" spans="27:30" x14ac:dyDescent="0.2">
      <c r="AA2688" s="155"/>
      <c r="AC2688" s="155"/>
      <c r="AD2688" s="155"/>
    </row>
    <row r="2689" spans="27:30" x14ac:dyDescent="0.2">
      <c r="AA2689" s="155"/>
      <c r="AC2689" s="155"/>
      <c r="AD2689" s="155"/>
    </row>
    <row r="2690" spans="27:30" x14ac:dyDescent="0.2">
      <c r="AA2690" s="155"/>
      <c r="AC2690" s="155"/>
      <c r="AD2690" s="155"/>
    </row>
    <row r="2691" spans="27:30" x14ac:dyDescent="0.2">
      <c r="AA2691" s="155"/>
      <c r="AC2691" s="155"/>
      <c r="AD2691" s="155"/>
    </row>
    <row r="2692" spans="27:30" x14ac:dyDescent="0.2">
      <c r="AA2692" s="155"/>
      <c r="AC2692" s="155"/>
      <c r="AD2692" s="155"/>
    </row>
    <row r="2693" spans="27:30" x14ac:dyDescent="0.2">
      <c r="AA2693" s="155"/>
      <c r="AC2693" s="155"/>
      <c r="AD2693" s="155"/>
    </row>
    <row r="2694" spans="27:30" x14ac:dyDescent="0.2">
      <c r="AA2694" s="155"/>
      <c r="AC2694" s="155"/>
      <c r="AD2694" s="155"/>
    </row>
    <row r="2695" spans="27:30" x14ac:dyDescent="0.2">
      <c r="AA2695" s="155"/>
      <c r="AC2695" s="155"/>
      <c r="AD2695" s="155"/>
    </row>
    <row r="2696" spans="27:30" x14ac:dyDescent="0.2">
      <c r="AA2696" s="155"/>
      <c r="AC2696" s="155"/>
      <c r="AD2696" s="155"/>
    </row>
    <row r="2697" spans="27:30" x14ac:dyDescent="0.2">
      <c r="AA2697" s="155"/>
      <c r="AC2697" s="155"/>
      <c r="AD2697" s="155"/>
    </row>
    <row r="2698" spans="27:30" x14ac:dyDescent="0.2">
      <c r="AA2698" s="155"/>
      <c r="AC2698" s="155"/>
      <c r="AD2698" s="155"/>
    </row>
    <row r="2699" spans="27:30" x14ac:dyDescent="0.2">
      <c r="AA2699" s="155"/>
      <c r="AC2699" s="155"/>
      <c r="AD2699" s="155"/>
    </row>
    <row r="2700" spans="27:30" x14ac:dyDescent="0.2">
      <c r="AA2700" s="155"/>
      <c r="AC2700" s="155"/>
      <c r="AD2700" s="155"/>
    </row>
    <row r="2701" spans="27:30" x14ac:dyDescent="0.2">
      <c r="AA2701" s="155"/>
      <c r="AC2701" s="155"/>
      <c r="AD2701" s="155"/>
    </row>
    <row r="2702" spans="27:30" x14ac:dyDescent="0.2">
      <c r="AA2702" s="155"/>
      <c r="AC2702" s="155"/>
      <c r="AD2702" s="155"/>
    </row>
    <row r="2703" spans="27:30" x14ac:dyDescent="0.2">
      <c r="AA2703" s="155"/>
      <c r="AC2703" s="155"/>
      <c r="AD2703" s="155"/>
    </row>
    <row r="2704" spans="27:30" x14ac:dyDescent="0.2">
      <c r="AA2704" s="155"/>
      <c r="AC2704" s="155"/>
      <c r="AD2704" s="155"/>
    </row>
    <row r="2705" spans="27:30" x14ac:dyDescent="0.2">
      <c r="AA2705" s="155"/>
      <c r="AC2705" s="155"/>
      <c r="AD2705" s="155"/>
    </row>
    <row r="2706" spans="27:30" x14ac:dyDescent="0.2">
      <c r="AA2706" s="155"/>
      <c r="AC2706" s="155"/>
      <c r="AD2706" s="155"/>
    </row>
    <row r="2707" spans="27:30" x14ac:dyDescent="0.2">
      <c r="AA2707" s="155"/>
      <c r="AC2707" s="155"/>
      <c r="AD2707" s="155"/>
    </row>
    <row r="2708" spans="27:30" x14ac:dyDescent="0.2">
      <c r="AA2708" s="155"/>
      <c r="AC2708" s="155"/>
      <c r="AD2708" s="155"/>
    </row>
    <row r="2709" spans="27:30" x14ac:dyDescent="0.2">
      <c r="AA2709" s="155"/>
      <c r="AC2709" s="155"/>
      <c r="AD2709" s="155"/>
    </row>
    <row r="2710" spans="27:30" x14ac:dyDescent="0.2">
      <c r="AA2710" s="155"/>
      <c r="AC2710" s="155"/>
      <c r="AD2710" s="155"/>
    </row>
    <row r="2711" spans="27:30" x14ac:dyDescent="0.2">
      <c r="AA2711" s="155"/>
      <c r="AC2711" s="155"/>
      <c r="AD2711" s="155"/>
    </row>
    <row r="2712" spans="27:30" x14ac:dyDescent="0.2">
      <c r="AA2712" s="155"/>
      <c r="AC2712" s="155"/>
      <c r="AD2712" s="155"/>
    </row>
    <row r="2713" spans="27:30" x14ac:dyDescent="0.2">
      <c r="AA2713" s="155"/>
      <c r="AC2713" s="155"/>
      <c r="AD2713" s="155"/>
    </row>
    <row r="2714" spans="27:30" x14ac:dyDescent="0.2">
      <c r="AA2714" s="155"/>
      <c r="AC2714" s="155"/>
      <c r="AD2714" s="155"/>
    </row>
    <row r="2715" spans="27:30" x14ac:dyDescent="0.2">
      <c r="AA2715" s="155"/>
      <c r="AC2715" s="155"/>
      <c r="AD2715" s="155"/>
    </row>
    <row r="2716" spans="27:30" x14ac:dyDescent="0.2">
      <c r="AA2716" s="155"/>
      <c r="AC2716" s="155"/>
      <c r="AD2716" s="155"/>
    </row>
    <row r="2717" spans="27:30" x14ac:dyDescent="0.2">
      <c r="AA2717" s="155"/>
      <c r="AC2717" s="155"/>
      <c r="AD2717" s="155"/>
    </row>
    <row r="2718" spans="27:30" x14ac:dyDescent="0.2">
      <c r="AA2718" s="155"/>
      <c r="AC2718" s="155"/>
      <c r="AD2718" s="155"/>
    </row>
    <row r="2719" spans="27:30" x14ac:dyDescent="0.2">
      <c r="AA2719" s="155"/>
      <c r="AC2719" s="155"/>
      <c r="AD2719" s="155"/>
    </row>
    <row r="2720" spans="27:30" x14ac:dyDescent="0.2">
      <c r="AA2720" s="155"/>
      <c r="AC2720" s="155"/>
      <c r="AD2720" s="155"/>
    </row>
    <row r="2721" spans="27:30" x14ac:dyDescent="0.2">
      <c r="AA2721" s="155"/>
      <c r="AC2721" s="155"/>
      <c r="AD2721" s="155"/>
    </row>
    <row r="2722" spans="27:30" x14ac:dyDescent="0.2">
      <c r="AA2722" s="155"/>
      <c r="AC2722" s="155"/>
      <c r="AD2722" s="155"/>
    </row>
    <row r="2723" spans="27:30" x14ac:dyDescent="0.2">
      <c r="AA2723" s="155"/>
      <c r="AC2723" s="155"/>
      <c r="AD2723" s="155"/>
    </row>
    <row r="2724" spans="27:30" x14ac:dyDescent="0.2">
      <c r="AA2724" s="155"/>
      <c r="AC2724" s="155"/>
      <c r="AD2724" s="155"/>
    </row>
    <row r="2725" spans="27:30" x14ac:dyDescent="0.2">
      <c r="AA2725" s="155"/>
      <c r="AC2725" s="155"/>
      <c r="AD2725" s="155"/>
    </row>
    <row r="2726" spans="27:30" x14ac:dyDescent="0.2">
      <c r="AA2726" s="155"/>
      <c r="AC2726" s="155"/>
      <c r="AD2726" s="155"/>
    </row>
    <row r="2727" spans="27:30" x14ac:dyDescent="0.2">
      <c r="AA2727" s="155"/>
      <c r="AC2727" s="155"/>
      <c r="AD2727" s="155"/>
    </row>
    <row r="2728" spans="27:30" x14ac:dyDescent="0.2">
      <c r="AA2728" s="155"/>
      <c r="AC2728" s="155"/>
      <c r="AD2728" s="155"/>
    </row>
    <row r="2729" spans="27:30" x14ac:dyDescent="0.2">
      <c r="AA2729" s="155"/>
      <c r="AC2729" s="155"/>
      <c r="AD2729" s="155"/>
    </row>
    <row r="2730" spans="27:30" x14ac:dyDescent="0.2">
      <c r="AA2730" s="155"/>
      <c r="AC2730" s="155"/>
      <c r="AD2730" s="155"/>
    </row>
    <row r="2731" spans="27:30" x14ac:dyDescent="0.2">
      <c r="AA2731" s="155"/>
      <c r="AC2731" s="155"/>
      <c r="AD2731" s="155"/>
    </row>
    <row r="2732" spans="27:30" x14ac:dyDescent="0.2">
      <c r="AA2732" s="155"/>
      <c r="AC2732" s="155"/>
      <c r="AD2732" s="155"/>
    </row>
    <row r="2733" spans="27:30" x14ac:dyDescent="0.2">
      <c r="AA2733" s="155"/>
      <c r="AC2733" s="155"/>
      <c r="AD2733" s="155"/>
    </row>
    <row r="2734" spans="27:30" x14ac:dyDescent="0.2">
      <c r="AA2734" s="155"/>
      <c r="AC2734" s="155"/>
      <c r="AD2734" s="155"/>
    </row>
    <row r="2735" spans="27:30" x14ac:dyDescent="0.2">
      <c r="AA2735" s="155"/>
      <c r="AC2735" s="155"/>
      <c r="AD2735" s="155"/>
    </row>
    <row r="2736" spans="27:30" x14ac:dyDescent="0.2">
      <c r="AA2736" s="155"/>
      <c r="AC2736" s="155"/>
      <c r="AD2736" s="155"/>
    </row>
    <row r="2737" spans="27:30" x14ac:dyDescent="0.2">
      <c r="AA2737" s="155"/>
      <c r="AC2737" s="155"/>
      <c r="AD2737" s="155"/>
    </row>
    <row r="2738" spans="27:30" x14ac:dyDescent="0.2">
      <c r="AA2738" s="155"/>
      <c r="AC2738" s="155"/>
      <c r="AD2738" s="155"/>
    </row>
    <row r="2739" spans="27:30" x14ac:dyDescent="0.2">
      <c r="AA2739" s="155"/>
      <c r="AC2739" s="155"/>
      <c r="AD2739" s="155"/>
    </row>
    <row r="2740" spans="27:30" x14ac:dyDescent="0.2">
      <c r="AA2740" s="155"/>
      <c r="AC2740" s="155"/>
      <c r="AD2740" s="155"/>
    </row>
    <row r="2741" spans="27:30" x14ac:dyDescent="0.2">
      <c r="AA2741" s="155"/>
      <c r="AC2741" s="155"/>
      <c r="AD2741" s="155"/>
    </row>
    <row r="2742" spans="27:30" x14ac:dyDescent="0.2">
      <c r="AA2742" s="155"/>
      <c r="AC2742" s="155"/>
      <c r="AD2742" s="155"/>
    </row>
    <row r="2743" spans="27:30" x14ac:dyDescent="0.2">
      <c r="AA2743" s="155"/>
      <c r="AC2743" s="155"/>
      <c r="AD2743" s="155"/>
    </row>
    <row r="2744" spans="27:30" x14ac:dyDescent="0.2">
      <c r="AA2744" s="155"/>
      <c r="AC2744" s="155"/>
      <c r="AD2744" s="155"/>
    </row>
    <row r="2745" spans="27:30" x14ac:dyDescent="0.2">
      <c r="AA2745" s="155"/>
      <c r="AC2745" s="155"/>
      <c r="AD2745" s="155"/>
    </row>
    <row r="2746" spans="27:30" x14ac:dyDescent="0.2">
      <c r="AA2746" s="155"/>
      <c r="AC2746" s="155"/>
      <c r="AD2746" s="155"/>
    </row>
    <row r="2747" spans="27:30" x14ac:dyDescent="0.2">
      <c r="AA2747" s="155"/>
      <c r="AC2747" s="155"/>
      <c r="AD2747" s="155"/>
    </row>
    <row r="2748" spans="27:30" x14ac:dyDescent="0.2">
      <c r="AA2748" s="155"/>
      <c r="AC2748" s="155"/>
      <c r="AD2748" s="155"/>
    </row>
    <row r="2749" spans="27:30" x14ac:dyDescent="0.2">
      <c r="AA2749" s="155"/>
      <c r="AC2749" s="155"/>
      <c r="AD2749" s="155"/>
    </row>
    <row r="2750" spans="27:30" x14ac:dyDescent="0.2">
      <c r="AA2750" s="155"/>
      <c r="AC2750" s="155"/>
      <c r="AD2750" s="155"/>
    </row>
    <row r="2751" spans="27:30" x14ac:dyDescent="0.2">
      <c r="AA2751" s="155"/>
      <c r="AC2751" s="155"/>
      <c r="AD2751" s="155"/>
    </row>
    <row r="2752" spans="27:30" x14ac:dyDescent="0.2">
      <c r="AA2752" s="155"/>
      <c r="AC2752" s="155"/>
      <c r="AD2752" s="155"/>
    </row>
    <row r="2753" spans="27:30" x14ac:dyDescent="0.2">
      <c r="AA2753" s="155"/>
      <c r="AC2753" s="155"/>
      <c r="AD2753" s="155"/>
    </row>
    <row r="2754" spans="27:30" x14ac:dyDescent="0.2">
      <c r="AA2754" s="155"/>
      <c r="AC2754" s="155"/>
      <c r="AD2754" s="155"/>
    </row>
    <row r="2755" spans="27:30" x14ac:dyDescent="0.2">
      <c r="AA2755" s="155"/>
      <c r="AC2755" s="155"/>
      <c r="AD2755" s="155"/>
    </row>
    <row r="2756" spans="27:30" x14ac:dyDescent="0.2">
      <c r="AA2756" s="155"/>
      <c r="AC2756" s="155"/>
      <c r="AD2756" s="155"/>
    </row>
    <row r="2757" spans="27:30" x14ac:dyDescent="0.2">
      <c r="AA2757" s="155"/>
      <c r="AC2757" s="155"/>
      <c r="AD2757" s="155"/>
    </row>
    <row r="2758" spans="27:30" x14ac:dyDescent="0.2">
      <c r="AA2758" s="155"/>
      <c r="AC2758" s="155"/>
      <c r="AD2758" s="155"/>
    </row>
    <row r="2759" spans="27:30" x14ac:dyDescent="0.2">
      <c r="AA2759" s="155"/>
      <c r="AC2759" s="155"/>
      <c r="AD2759" s="155"/>
    </row>
    <row r="2760" spans="27:30" x14ac:dyDescent="0.2">
      <c r="AA2760" s="155"/>
      <c r="AC2760" s="155"/>
      <c r="AD2760" s="155"/>
    </row>
    <row r="2761" spans="27:30" x14ac:dyDescent="0.2">
      <c r="AA2761" s="155"/>
      <c r="AC2761" s="155"/>
      <c r="AD2761" s="155"/>
    </row>
    <row r="2762" spans="27:30" x14ac:dyDescent="0.2">
      <c r="AA2762" s="155"/>
      <c r="AC2762" s="155"/>
      <c r="AD2762" s="155"/>
    </row>
    <row r="2763" spans="27:30" x14ac:dyDescent="0.2">
      <c r="AA2763" s="155"/>
      <c r="AC2763" s="155"/>
      <c r="AD2763" s="155"/>
    </row>
    <row r="2764" spans="27:30" x14ac:dyDescent="0.2">
      <c r="AA2764" s="155"/>
      <c r="AC2764" s="155"/>
      <c r="AD2764" s="155"/>
    </row>
    <row r="2765" spans="27:30" x14ac:dyDescent="0.2">
      <c r="AA2765" s="155"/>
      <c r="AC2765" s="155"/>
      <c r="AD2765" s="155"/>
    </row>
    <row r="2766" spans="27:30" x14ac:dyDescent="0.2">
      <c r="AA2766" s="155"/>
      <c r="AC2766" s="155"/>
      <c r="AD2766" s="155"/>
    </row>
    <row r="2767" spans="27:30" x14ac:dyDescent="0.2">
      <c r="AA2767" s="155"/>
      <c r="AC2767" s="155"/>
      <c r="AD2767" s="155"/>
    </row>
    <row r="2768" spans="27:30" x14ac:dyDescent="0.2">
      <c r="AA2768" s="155"/>
      <c r="AC2768" s="155"/>
      <c r="AD2768" s="155"/>
    </row>
    <row r="2769" spans="27:30" x14ac:dyDescent="0.2">
      <c r="AA2769" s="155"/>
      <c r="AC2769" s="155"/>
      <c r="AD2769" s="155"/>
    </row>
    <row r="2770" spans="27:30" x14ac:dyDescent="0.2">
      <c r="AA2770" s="155"/>
      <c r="AC2770" s="155"/>
      <c r="AD2770" s="155"/>
    </row>
    <row r="2771" spans="27:30" x14ac:dyDescent="0.2">
      <c r="AA2771" s="155"/>
      <c r="AC2771" s="155"/>
      <c r="AD2771" s="155"/>
    </row>
    <row r="2772" spans="27:30" x14ac:dyDescent="0.2">
      <c r="AA2772" s="155"/>
      <c r="AC2772" s="155"/>
      <c r="AD2772" s="155"/>
    </row>
    <row r="2773" spans="27:30" x14ac:dyDescent="0.2">
      <c r="AA2773" s="155"/>
      <c r="AC2773" s="155"/>
      <c r="AD2773" s="155"/>
    </row>
    <row r="2774" spans="27:30" x14ac:dyDescent="0.2">
      <c r="AA2774" s="155"/>
      <c r="AC2774" s="155"/>
      <c r="AD2774" s="155"/>
    </row>
    <row r="2775" spans="27:30" x14ac:dyDescent="0.2">
      <c r="AA2775" s="155"/>
      <c r="AC2775" s="155"/>
      <c r="AD2775" s="155"/>
    </row>
    <row r="2776" spans="27:30" x14ac:dyDescent="0.2">
      <c r="AA2776" s="155"/>
      <c r="AC2776" s="155"/>
      <c r="AD2776" s="155"/>
    </row>
    <row r="2777" spans="27:30" x14ac:dyDescent="0.2">
      <c r="AA2777" s="155"/>
      <c r="AC2777" s="155"/>
      <c r="AD2777" s="155"/>
    </row>
    <row r="2778" spans="27:30" x14ac:dyDescent="0.2">
      <c r="AA2778" s="155"/>
      <c r="AC2778" s="155"/>
      <c r="AD2778" s="155"/>
    </row>
    <row r="2779" spans="27:30" x14ac:dyDescent="0.2">
      <c r="AA2779" s="155"/>
      <c r="AC2779" s="155"/>
      <c r="AD2779" s="155"/>
    </row>
    <row r="2780" spans="27:30" x14ac:dyDescent="0.2">
      <c r="AA2780" s="155"/>
      <c r="AC2780" s="155"/>
      <c r="AD2780" s="155"/>
    </row>
    <row r="2781" spans="27:30" x14ac:dyDescent="0.2">
      <c r="AA2781" s="155"/>
      <c r="AC2781" s="155"/>
      <c r="AD2781" s="155"/>
    </row>
    <row r="2782" spans="27:30" x14ac:dyDescent="0.2">
      <c r="AA2782" s="155"/>
      <c r="AC2782" s="155"/>
      <c r="AD2782" s="155"/>
    </row>
    <row r="2783" spans="27:30" x14ac:dyDescent="0.2">
      <c r="AA2783" s="155"/>
      <c r="AC2783" s="155"/>
      <c r="AD2783" s="155"/>
    </row>
    <row r="2784" spans="27:30" x14ac:dyDescent="0.2">
      <c r="AA2784" s="155"/>
      <c r="AC2784" s="155"/>
      <c r="AD2784" s="155"/>
    </row>
    <row r="2785" spans="27:30" x14ac:dyDescent="0.2">
      <c r="AA2785" s="155"/>
      <c r="AC2785" s="155"/>
      <c r="AD2785" s="155"/>
    </row>
    <row r="2786" spans="27:30" x14ac:dyDescent="0.2">
      <c r="AA2786" s="155"/>
      <c r="AC2786" s="155"/>
      <c r="AD2786" s="155"/>
    </row>
    <row r="2787" spans="27:30" x14ac:dyDescent="0.2">
      <c r="AA2787" s="155"/>
      <c r="AC2787" s="155"/>
      <c r="AD2787" s="155"/>
    </row>
    <row r="2788" spans="27:30" x14ac:dyDescent="0.2">
      <c r="AA2788" s="155"/>
      <c r="AC2788" s="155"/>
      <c r="AD2788" s="155"/>
    </row>
    <row r="2789" spans="27:30" x14ac:dyDescent="0.2">
      <c r="AA2789" s="155"/>
      <c r="AC2789" s="155"/>
      <c r="AD2789" s="155"/>
    </row>
    <row r="2790" spans="27:30" x14ac:dyDescent="0.2">
      <c r="AA2790" s="155"/>
      <c r="AC2790" s="155"/>
      <c r="AD2790" s="155"/>
    </row>
    <row r="2791" spans="27:30" x14ac:dyDescent="0.2">
      <c r="AA2791" s="155"/>
      <c r="AC2791" s="155"/>
      <c r="AD2791" s="155"/>
    </row>
    <row r="2792" spans="27:30" x14ac:dyDescent="0.2">
      <c r="AA2792" s="155"/>
      <c r="AC2792" s="155"/>
      <c r="AD2792" s="155"/>
    </row>
    <row r="2793" spans="27:30" x14ac:dyDescent="0.2">
      <c r="AA2793" s="155"/>
      <c r="AC2793" s="155"/>
      <c r="AD2793" s="155"/>
    </row>
    <row r="2794" spans="27:30" x14ac:dyDescent="0.2">
      <c r="AA2794" s="155"/>
      <c r="AC2794" s="155"/>
      <c r="AD2794" s="155"/>
    </row>
    <row r="2795" spans="27:30" x14ac:dyDescent="0.2">
      <c r="AA2795" s="155"/>
      <c r="AC2795" s="155"/>
      <c r="AD2795" s="155"/>
    </row>
    <row r="2796" spans="27:30" x14ac:dyDescent="0.2">
      <c r="AA2796" s="155"/>
      <c r="AC2796" s="155"/>
      <c r="AD2796" s="155"/>
    </row>
    <row r="2797" spans="27:30" x14ac:dyDescent="0.2">
      <c r="AA2797" s="155"/>
      <c r="AC2797" s="155"/>
      <c r="AD2797" s="155"/>
    </row>
    <row r="2798" spans="27:30" x14ac:dyDescent="0.2">
      <c r="AA2798" s="155"/>
      <c r="AC2798" s="155"/>
      <c r="AD2798" s="155"/>
    </row>
    <row r="2799" spans="27:30" x14ac:dyDescent="0.2">
      <c r="AA2799" s="155"/>
      <c r="AC2799" s="155"/>
      <c r="AD2799" s="155"/>
    </row>
    <row r="2800" spans="27:30" x14ac:dyDescent="0.2">
      <c r="AA2800" s="155"/>
      <c r="AC2800" s="155"/>
      <c r="AD2800" s="155"/>
    </row>
    <row r="2801" spans="27:30" x14ac:dyDescent="0.2">
      <c r="AA2801" s="155"/>
      <c r="AC2801" s="155"/>
      <c r="AD2801" s="155"/>
    </row>
    <row r="2802" spans="27:30" x14ac:dyDescent="0.2">
      <c r="AA2802" s="155"/>
      <c r="AC2802" s="155"/>
      <c r="AD2802" s="155"/>
    </row>
    <row r="2803" spans="27:30" x14ac:dyDescent="0.2">
      <c r="AA2803" s="155"/>
      <c r="AC2803" s="155"/>
      <c r="AD2803" s="155"/>
    </row>
    <row r="2804" spans="27:30" x14ac:dyDescent="0.2">
      <c r="AA2804" s="155"/>
      <c r="AC2804" s="155"/>
      <c r="AD2804" s="155"/>
    </row>
    <row r="2805" spans="27:30" x14ac:dyDescent="0.2">
      <c r="AA2805" s="155"/>
      <c r="AC2805" s="155"/>
      <c r="AD2805" s="155"/>
    </row>
    <row r="2806" spans="27:30" x14ac:dyDescent="0.2">
      <c r="AA2806" s="155"/>
      <c r="AC2806" s="155"/>
      <c r="AD2806" s="155"/>
    </row>
    <row r="2807" spans="27:30" x14ac:dyDescent="0.2">
      <c r="AA2807" s="155"/>
      <c r="AC2807" s="155"/>
      <c r="AD2807" s="155"/>
    </row>
    <row r="2808" spans="27:30" x14ac:dyDescent="0.2">
      <c r="AA2808" s="155"/>
      <c r="AC2808" s="155"/>
      <c r="AD2808" s="155"/>
    </row>
    <row r="2809" spans="27:30" x14ac:dyDescent="0.2">
      <c r="AA2809" s="155"/>
      <c r="AC2809" s="155"/>
      <c r="AD2809" s="155"/>
    </row>
    <row r="2810" spans="27:30" x14ac:dyDescent="0.2">
      <c r="AA2810" s="155"/>
      <c r="AC2810" s="155"/>
      <c r="AD2810" s="155"/>
    </row>
    <row r="2811" spans="27:30" x14ac:dyDescent="0.2">
      <c r="AA2811" s="155"/>
      <c r="AC2811" s="155"/>
      <c r="AD2811" s="155"/>
    </row>
    <row r="2812" spans="27:30" x14ac:dyDescent="0.2">
      <c r="AA2812" s="155"/>
      <c r="AC2812" s="155"/>
      <c r="AD2812" s="155"/>
    </row>
    <row r="2813" spans="27:30" x14ac:dyDescent="0.2">
      <c r="AA2813" s="155"/>
      <c r="AC2813" s="155"/>
      <c r="AD2813" s="155"/>
    </row>
    <row r="2814" spans="27:30" x14ac:dyDescent="0.2">
      <c r="AA2814" s="155"/>
      <c r="AC2814" s="155"/>
      <c r="AD2814" s="155"/>
    </row>
    <row r="2815" spans="27:30" x14ac:dyDescent="0.2">
      <c r="AA2815" s="155"/>
      <c r="AC2815" s="155"/>
      <c r="AD2815" s="155"/>
    </row>
    <row r="2816" spans="27:30" x14ac:dyDescent="0.2">
      <c r="AA2816" s="155"/>
      <c r="AC2816" s="155"/>
      <c r="AD2816" s="155"/>
    </row>
    <row r="2817" spans="27:30" x14ac:dyDescent="0.2">
      <c r="AA2817" s="155"/>
      <c r="AC2817" s="155"/>
      <c r="AD2817" s="155"/>
    </row>
    <row r="2818" spans="27:30" x14ac:dyDescent="0.2">
      <c r="AA2818" s="155"/>
      <c r="AC2818" s="155"/>
      <c r="AD2818" s="155"/>
    </row>
    <row r="2819" spans="27:30" x14ac:dyDescent="0.2">
      <c r="AA2819" s="155"/>
      <c r="AC2819" s="155"/>
      <c r="AD2819" s="155"/>
    </row>
    <row r="2820" spans="27:30" x14ac:dyDescent="0.2">
      <c r="AA2820" s="155"/>
      <c r="AC2820" s="155"/>
      <c r="AD2820" s="155"/>
    </row>
    <row r="2821" spans="27:30" x14ac:dyDescent="0.2">
      <c r="AA2821" s="155"/>
      <c r="AC2821" s="155"/>
      <c r="AD2821" s="155"/>
    </row>
    <row r="2822" spans="27:30" x14ac:dyDescent="0.2">
      <c r="AA2822" s="155"/>
      <c r="AC2822" s="155"/>
      <c r="AD2822" s="155"/>
    </row>
    <row r="2823" spans="27:30" x14ac:dyDescent="0.2">
      <c r="AA2823" s="155"/>
      <c r="AC2823" s="155"/>
      <c r="AD2823" s="155"/>
    </row>
    <row r="2824" spans="27:30" x14ac:dyDescent="0.2">
      <c r="AA2824" s="155"/>
      <c r="AC2824" s="155"/>
      <c r="AD2824" s="155"/>
    </row>
    <row r="2825" spans="27:30" x14ac:dyDescent="0.2">
      <c r="AA2825" s="155"/>
      <c r="AC2825" s="155"/>
      <c r="AD2825" s="155"/>
    </row>
    <row r="2826" spans="27:30" x14ac:dyDescent="0.2">
      <c r="AA2826" s="155"/>
      <c r="AC2826" s="155"/>
      <c r="AD2826" s="155"/>
    </row>
    <row r="2827" spans="27:30" x14ac:dyDescent="0.2">
      <c r="AA2827" s="155"/>
      <c r="AC2827" s="155"/>
      <c r="AD2827" s="155"/>
    </row>
    <row r="2828" spans="27:30" x14ac:dyDescent="0.2">
      <c r="AA2828" s="155"/>
      <c r="AC2828" s="155"/>
      <c r="AD2828" s="155"/>
    </row>
    <row r="2829" spans="27:30" x14ac:dyDescent="0.2">
      <c r="AA2829" s="155"/>
      <c r="AC2829" s="155"/>
      <c r="AD2829" s="155"/>
    </row>
    <row r="2830" spans="27:30" x14ac:dyDescent="0.2">
      <c r="AA2830" s="155"/>
      <c r="AC2830" s="155"/>
      <c r="AD2830" s="155"/>
    </row>
    <row r="2831" spans="27:30" x14ac:dyDescent="0.2">
      <c r="AA2831" s="155"/>
      <c r="AC2831" s="155"/>
      <c r="AD2831" s="155"/>
    </row>
    <row r="2832" spans="27:30" x14ac:dyDescent="0.2">
      <c r="AA2832" s="155"/>
      <c r="AC2832" s="155"/>
      <c r="AD2832" s="155"/>
    </row>
    <row r="2833" spans="27:30" x14ac:dyDescent="0.2">
      <c r="AA2833" s="155"/>
      <c r="AC2833" s="155"/>
      <c r="AD2833" s="155"/>
    </row>
    <row r="2834" spans="27:30" x14ac:dyDescent="0.2">
      <c r="AA2834" s="155"/>
      <c r="AC2834" s="155"/>
      <c r="AD2834" s="155"/>
    </row>
    <row r="2835" spans="27:30" x14ac:dyDescent="0.2">
      <c r="AA2835" s="155"/>
      <c r="AC2835" s="155"/>
      <c r="AD2835" s="155"/>
    </row>
    <row r="2836" spans="27:30" x14ac:dyDescent="0.2">
      <c r="AA2836" s="155"/>
      <c r="AC2836" s="155"/>
      <c r="AD2836" s="155"/>
    </row>
    <row r="2837" spans="27:30" x14ac:dyDescent="0.2">
      <c r="AA2837" s="155"/>
      <c r="AC2837" s="155"/>
      <c r="AD2837" s="155"/>
    </row>
    <row r="2838" spans="27:30" x14ac:dyDescent="0.2">
      <c r="AA2838" s="155"/>
      <c r="AC2838" s="155"/>
      <c r="AD2838" s="155"/>
    </row>
    <row r="2839" spans="27:30" x14ac:dyDescent="0.2">
      <c r="AA2839" s="155"/>
      <c r="AC2839" s="155"/>
      <c r="AD2839" s="155"/>
    </row>
    <row r="2840" spans="27:30" x14ac:dyDescent="0.2">
      <c r="AA2840" s="155"/>
      <c r="AC2840" s="155"/>
      <c r="AD2840" s="155"/>
    </row>
    <row r="2841" spans="27:30" x14ac:dyDescent="0.2">
      <c r="AA2841" s="155"/>
      <c r="AC2841" s="155"/>
      <c r="AD2841" s="155"/>
    </row>
    <row r="2842" spans="27:30" x14ac:dyDescent="0.2">
      <c r="AA2842" s="155"/>
      <c r="AC2842" s="155"/>
      <c r="AD2842" s="155"/>
    </row>
    <row r="2843" spans="27:30" x14ac:dyDescent="0.2">
      <c r="AA2843" s="155"/>
      <c r="AC2843" s="155"/>
      <c r="AD2843" s="155"/>
    </row>
    <row r="2844" spans="27:30" x14ac:dyDescent="0.2">
      <c r="AA2844" s="155"/>
      <c r="AC2844" s="155"/>
      <c r="AD2844" s="155"/>
    </row>
    <row r="2845" spans="27:30" x14ac:dyDescent="0.2">
      <c r="AA2845" s="155"/>
      <c r="AC2845" s="155"/>
      <c r="AD2845" s="155"/>
    </row>
    <row r="2846" spans="27:30" x14ac:dyDescent="0.2">
      <c r="AA2846" s="155"/>
      <c r="AC2846" s="155"/>
      <c r="AD2846" s="155"/>
    </row>
    <row r="2847" spans="27:30" x14ac:dyDescent="0.2">
      <c r="AA2847" s="155"/>
      <c r="AC2847" s="155"/>
      <c r="AD2847" s="155"/>
    </row>
    <row r="2848" spans="27:30" x14ac:dyDescent="0.2">
      <c r="AA2848" s="155"/>
      <c r="AC2848" s="155"/>
      <c r="AD2848" s="155"/>
    </row>
    <row r="2849" spans="27:30" x14ac:dyDescent="0.2">
      <c r="AA2849" s="155"/>
      <c r="AC2849" s="155"/>
      <c r="AD2849" s="155"/>
    </row>
    <row r="2850" spans="27:30" x14ac:dyDescent="0.2">
      <c r="AA2850" s="155"/>
      <c r="AC2850" s="155"/>
      <c r="AD2850" s="155"/>
    </row>
    <row r="2851" spans="27:30" x14ac:dyDescent="0.2">
      <c r="AA2851" s="155"/>
      <c r="AC2851" s="155"/>
      <c r="AD2851" s="155"/>
    </row>
    <row r="2852" spans="27:30" x14ac:dyDescent="0.2">
      <c r="AA2852" s="155"/>
      <c r="AC2852" s="155"/>
      <c r="AD2852" s="155"/>
    </row>
    <row r="2853" spans="27:30" x14ac:dyDescent="0.2">
      <c r="AA2853" s="155"/>
      <c r="AC2853" s="155"/>
      <c r="AD2853" s="155"/>
    </row>
    <row r="2854" spans="27:30" x14ac:dyDescent="0.2">
      <c r="AA2854" s="155"/>
      <c r="AC2854" s="155"/>
      <c r="AD2854" s="155"/>
    </row>
    <row r="2855" spans="27:30" x14ac:dyDescent="0.2">
      <c r="AA2855" s="155"/>
      <c r="AC2855" s="155"/>
      <c r="AD2855" s="155"/>
    </row>
    <row r="2856" spans="27:30" x14ac:dyDescent="0.2">
      <c r="AA2856" s="155"/>
      <c r="AC2856" s="155"/>
      <c r="AD2856" s="155"/>
    </row>
    <row r="2857" spans="27:30" x14ac:dyDescent="0.2">
      <c r="AA2857" s="155"/>
      <c r="AC2857" s="155"/>
      <c r="AD2857" s="155"/>
    </row>
    <row r="2858" spans="27:30" x14ac:dyDescent="0.2">
      <c r="AA2858" s="155"/>
      <c r="AC2858" s="155"/>
      <c r="AD2858" s="155"/>
    </row>
    <row r="2859" spans="27:30" x14ac:dyDescent="0.2">
      <c r="AA2859" s="155"/>
      <c r="AC2859" s="155"/>
      <c r="AD2859" s="155"/>
    </row>
    <row r="2860" spans="27:30" x14ac:dyDescent="0.2">
      <c r="AA2860" s="155"/>
      <c r="AC2860" s="155"/>
      <c r="AD2860" s="155"/>
    </row>
    <row r="2861" spans="27:30" x14ac:dyDescent="0.2">
      <c r="AA2861" s="155"/>
      <c r="AC2861" s="155"/>
      <c r="AD2861" s="155"/>
    </row>
    <row r="2862" spans="27:30" x14ac:dyDescent="0.2">
      <c r="AA2862" s="155"/>
      <c r="AC2862" s="155"/>
      <c r="AD2862" s="155"/>
    </row>
    <row r="2863" spans="27:30" x14ac:dyDescent="0.2">
      <c r="AA2863" s="155"/>
      <c r="AC2863" s="155"/>
      <c r="AD2863" s="155"/>
    </row>
    <row r="2864" spans="27:30" x14ac:dyDescent="0.2">
      <c r="AA2864" s="155"/>
      <c r="AC2864" s="155"/>
      <c r="AD2864" s="155"/>
    </row>
    <row r="2865" spans="27:30" x14ac:dyDescent="0.2">
      <c r="AA2865" s="155"/>
      <c r="AC2865" s="155"/>
      <c r="AD2865" s="155"/>
    </row>
    <row r="2866" spans="27:30" x14ac:dyDescent="0.2">
      <c r="AA2866" s="155"/>
      <c r="AC2866" s="155"/>
      <c r="AD2866" s="155"/>
    </row>
    <row r="2867" spans="27:30" x14ac:dyDescent="0.2">
      <c r="AA2867" s="155"/>
      <c r="AC2867" s="155"/>
      <c r="AD2867" s="155"/>
    </row>
    <row r="2868" spans="27:30" x14ac:dyDescent="0.2">
      <c r="AA2868" s="155"/>
      <c r="AC2868" s="155"/>
      <c r="AD2868" s="155"/>
    </row>
    <row r="2869" spans="27:30" x14ac:dyDescent="0.2">
      <c r="AA2869" s="155"/>
      <c r="AC2869" s="155"/>
      <c r="AD2869" s="155"/>
    </row>
    <row r="2870" spans="27:30" x14ac:dyDescent="0.2">
      <c r="AA2870" s="155"/>
      <c r="AC2870" s="155"/>
      <c r="AD2870" s="155"/>
    </row>
    <row r="2871" spans="27:30" x14ac:dyDescent="0.2">
      <c r="AA2871" s="155"/>
      <c r="AC2871" s="155"/>
      <c r="AD2871" s="155"/>
    </row>
    <row r="2872" spans="27:30" x14ac:dyDescent="0.2">
      <c r="AA2872" s="155"/>
      <c r="AC2872" s="155"/>
      <c r="AD2872" s="155"/>
    </row>
    <row r="2873" spans="27:30" x14ac:dyDescent="0.2">
      <c r="AA2873" s="155"/>
      <c r="AC2873" s="155"/>
      <c r="AD2873" s="155"/>
    </row>
    <row r="2874" spans="27:30" x14ac:dyDescent="0.2">
      <c r="AA2874" s="155"/>
      <c r="AC2874" s="155"/>
      <c r="AD2874" s="155"/>
    </row>
    <row r="2875" spans="27:30" x14ac:dyDescent="0.2">
      <c r="AA2875" s="155"/>
      <c r="AC2875" s="155"/>
      <c r="AD2875" s="155"/>
    </row>
    <row r="2876" spans="27:30" x14ac:dyDescent="0.2">
      <c r="AA2876" s="155"/>
      <c r="AC2876" s="155"/>
      <c r="AD2876" s="155"/>
    </row>
    <row r="2877" spans="27:30" x14ac:dyDescent="0.2">
      <c r="AA2877" s="155"/>
      <c r="AC2877" s="155"/>
      <c r="AD2877" s="155"/>
    </row>
    <row r="2878" spans="27:30" x14ac:dyDescent="0.2">
      <c r="AA2878" s="155"/>
      <c r="AC2878" s="155"/>
      <c r="AD2878" s="155"/>
    </row>
    <row r="2879" spans="27:30" x14ac:dyDescent="0.2">
      <c r="AA2879" s="155"/>
      <c r="AC2879" s="155"/>
      <c r="AD2879" s="155"/>
    </row>
    <row r="2880" spans="27:30" x14ac:dyDescent="0.2">
      <c r="AA2880" s="155"/>
      <c r="AC2880" s="155"/>
      <c r="AD2880" s="155"/>
    </row>
    <row r="2881" spans="27:30" x14ac:dyDescent="0.2">
      <c r="AA2881" s="155"/>
      <c r="AC2881" s="155"/>
      <c r="AD2881" s="155"/>
    </row>
    <row r="2882" spans="27:30" x14ac:dyDescent="0.2">
      <c r="AA2882" s="155"/>
      <c r="AC2882" s="155"/>
      <c r="AD2882" s="155"/>
    </row>
    <row r="2883" spans="27:30" x14ac:dyDescent="0.2">
      <c r="AA2883" s="155"/>
      <c r="AC2883" s="155"/>
      <c r="AD2883" s="155"/>
    </row>
    <row r="2884" spans="27:30" x14ac:dyDescent="0.2">
      <c r="AA2884" s="155"/>
      <c r="AC2884" s="155"/>
      <c r="AD2884" s="155"/>
    </row>
    <row r="2885" spans="27:30" x14ac:dyDescent="0.2">
      <c r="AA2885" s="155"/>
      <c r="AC2885" s="155"/>
      <c r="AD2885" s="155"/>
    </row>
    <row r="2886" spans="27:30" x14ac:dyDescent="0.2">
      <c r="AA2886" s="155"/>
      <c r="AC2886" s="155"/>
      <c r="AD2886" s="155"/>
    </row>
    <row r="2887" spans="27:30" x14ac:dyDescent="0.2">
      <c r="AA2887" s="155"/>
      <c r="AC2887" s="155"/>
      <c r="AD2887" s="155"/>
    </row>
    <row r="2888" spans="27:30" x14ac:dyDescent="0.2">
      <c r="AA2888" s="155"/>
      <c r="AC2888" s="155"/>
      <c r="AD2888" s="155"/>
    </row>
    <row r="2889" spans="27:30" x14ac:dyDescent="0.2">
      <c r="AA2889" s="155"/>
      <c r="AC2889" s="155"/>
      <c r="AD2889" s="155"/>
    </row>
    <row r="2890" spans="27:30" x14ac:dyDescent="0.2">
      <c r="AA2890" s="155"/>
      <c r="AC2890" s="155"/>
      <c r="AD2890" s="155"/>
    </row>
    <row r="2891" spans="27:30" x14ac:dyDescent="0.2">
      <c r="AA2891" s="155"/>
      <c r="AC2891" s="155"/>
      <c r="AD2891" s="155"/>
    </row>
    <row r="2892" spans="27:30" x14ac:dyDescent="0.2">
      <c r="AA2892" s="155"/>
      <c r="AC2892" s="155"/>
      <c r="AD2892" s="155"/>
    </row>
    <row r="2893" spans="27:30" x14ac:dyDescent="0.2">
      <c r="AA2893" s="155"/>
      <c r="AC2893" s="155"/>
      <c r="AD2893" s="155"/>
    </row>
    <row r="2894" spans="27:30" x14ac:dyDescent="0.2">
      <c r="AA2894" s="155"/>
      <c r="AC2894" s="155"/>
      <c r="AD2894" s="155"/>
    </row>
    <row r="2895" spans="27:30" x14ac:dyDescent="0.2">
      <c r="AA2895" s="155"/>
      <c r="AC2895" s="155"/>
      <c r="AD2895" s="155"/>
    </row>
    <row r="2896" spans="27:30" x14ac:dyDescent="0.2">
      <c r="AA2896" s="155"/>
      <c r="AC2896" s="155"/>
      <c r="AD2896" s="155"/>
    </row>
    <row r="2897" spans="27:30" x14ac:dyDescent="0.2">
      <c r="AA2897" s="155"/>
      <c r="AC2897" s="155"/>
      <c r="AD2897" s="155"/>
    </row>
    <row r="2898" spans="27:30" x14ac:dyDescent="0.2">
      <c r="AA2898" s="155"/>
      <c r="AC2898" s="155"/>
      <c r="AD2898" s="155"/>
    </row>
    <row r="2899" spans="27:30" x14ac:dyDescent="0.2">
      <c r="AA2899" s="155"/>
      <c r="AC2899" s="155"/>
      <c r="AD2899" s="155"/>
    </row>
    <row r="2900" spans="27:30" x14ac:dyDescent="0.2">
      <c r="AA2900" s="155"/>
      <c r="AC2900" s="155"/>
      <c r="AD2900" s="155"/>
    </row>
    <row r="2901" spans="27:30" x14ac:dyDescent="0.2">
      <c r="AA2901" s="155"/>
      <c r="AC2901" s="155"/>
      <c r="AD2901" s="155"/>
    </row>
    <row r="2902" spans="27:30" x14ac:dyDescent="0.2">
      <c r="AA2902" s="155"/>
      <c r="AC2902" s="155"/>
      <c r="AD2902" s="155"/>
    </row>
    <row r="2903" spans="27:30" x14ac:dyDescent="0.2">
      <c r="AA2903" s="155"/>
      <c r="AC2903" s="155"/>
      <c r="AD2903" s="155"/>
    </row>
    <row r="2904" spans="27:30" x14ac:dyDescent="0.2">
      <c r="AA2904" s="155"/>
      <c r="AC2904" s="155"/>
      <c r="AD2904" s="155"/>
    </row>
    <row r="2905" spans="27:30" x14ac:dyDescent="0.2">
      <c r="AA2905" s="155"/>
      <c r="AC2905" s="155"/>
      <c r="AD2905" s="155"/>
    </row>
    <row r="2906" spans="27:30" x14ac:dyDescent="0.2">
      <c r="AA2906" s="155"/>
      <c r="AC2906" s="155"/>
      <c r="AD2906" s="155"/>
    </row>
    <row r="2907" spans="27:30" x14ac:dyDescent="0.2">
      <c r="AA2907" s="155"/>
      <c r="AC2907" s="155"/>
      <c r="AD2907" s="155"/>
    </row>
    <row r="2908" spans="27:30" x14ac:dyDescent="0.2">
      <c r="AA2908" s="155"/>
      <c r="AC2908" s="155"/>
      <c r="AD2908" s="155"/>
    </row>
    <row r="2909" spans="27:30" x14ac:dyDescent="0.2">
      <c r="AA2909" s="155"/>
      <c r="AC2909" s="155"/>
      <c r="AD2909" s="155"/>
    </row>
    <row r="2910" spans="27:30" x14ac:dyDescent="0.2">
      <c r="AA2910" s="155"/>
      <c r="AC2910" s="155"/>
      <c r="AD2910" s="155"/>
    </row>
    <row r="2911" spans="27:30" x14ac:dyDescent="0.2">
      <c r="AA2911" s="155"/>
      <c r="AC2911" s="155"/>
      <c r="AD2911" s="155"/>
    </row>
    <row r="2912" spans="27:30" x14ac:dyDescent="0.2">
      <c r="AA2912" s="155"/>
      <c r="AC2912" s="155"/>
      <c r="AD2912" s="155"/>
    </row>
    <row r="2913" spans="27:30" x14ac:dyDescent="0.2">
      <c r="AA2913" s="155"/>
      <c r="AC2913" s="155"/>
      <c r="AD2913" s="155"/>
    </row>
    <row r="2914" spans="27:30" x14ac:dyDescent="0.2">
      <c r="AA2914" s="155"/>
      <c r="AC2914" s="155"/>
      <c r="AD2914" s="155"/>
    </row>
    <row r="2915" spans="27:30" x14ac:dyDescent="0.2">
      <c r="AA2915" s="155"/>
      <c r="AC2915" s="155"/>
      <c r="AD2915" s="155"/>
    </row>
    <row r="2916" spans="27:30" x14ac:dyDescent="0.2">
      <c r="AA2916" s="155"/>
      <c r="AC2916" s="155"/>
      <c r="AD2916" s="155"/>
    </row>
    <row r="2917" spans="27:30" x14ac:dyDescent="0.2">
      <c r="AA2917" s="155"/>
      <c r="AC2917" s="155"/>
      <c r="AD2917" s="155"/>
    </row>
    <row r="2918" spans="27:30" x14ac:dyDescent="0.2">
      <c r="AA2918" s="155"/>
      <c r="AC2918" s="155"/>
      <c r="AD2918" s="155"/>
    </row>
    <row r="2919" spans="27:30" x14ac:dyDescent="0.2">
      <c r="AA2919" s="155"/>
      <c r="AC2919" s="155"/>
      <c r="AD2919" s="155"/>
    </row>
    <row r="2920" spans="27:30" x14ac:dyDescent="0.2">
      <c r="AA2920" s="155"/>
      <c r="AC2920" s="155"/>
      <c r="AD2920" s="155"/>
    </row>
    <row r="2921" spans="27:30" x14ac:dyDescent="0.2">
      <c r="AA2921" s="155"/>
      <c r="AC2921" s="155"/>
      <c r="AD2921" s="155"/>
    </row>
    <row r="2922" spans="27:30" x14ac:dyDescent="0.2">
      <c r="AA2922" s="155"/>
      <c r="AC2922" s="155"/>
      <c r="AD2922" s="155"/>
    </row>
    <row r="2923" spans="27:30" x14ac:dyDescent="0.2">
      <c r="AA2923" s="155"/>
      <c r="AC2923" s="155"/>
      <c r="AD2923" s="155"/>
    </row>
    <row r="2924" spans="27:30" x14ac:dyDescent="0.2">
      <c r="AA2924" s="155"/>
      <c r="AC2924" s="155"/>
      <c r="AD2924" s="155"/>
    </row>
    <row r="2925" spans="27:30" x14ac:dyDescent="0.2">
      <c r="AA2925" s="155"/>
      <c r="AC2925" s="155"/>
      <c r="AD2925" s="155"/>
    </row>
    <row r="2926" spans="27:30" x14ac:dyDescent="0.2">
      <c r="AA2926" s="155"/>
      <c r="AC2926" s="155"/>
      <c r="AD2926" s="155"/>
    </row>
    <row r="2927" spans="27:30" x14ac:dyDescent="0.2">
      <c r="AA2927" s="155"/>
      <c r="AC2927" s="155"/>
      <c r="AD2927" s="155"/>
    </row>
    <row r="2928" spans="27:30" x14ac:dyDescent="0.2">
      <c r="AA2928" s="155"/>
      <c r="AC2928" s="155"/>
      <c r="AD2928" s="155"/>
    </row>
    <row r="2929" spans="27:30" x14ac:dyDescent="0.2">
      <c r="AA2929" s="155"/>
      <c r="AC2929" s="155"/>
      <c r="AD2929" s="155"/>
    </row>
    <row r="2930" spans="27:30" x14ac:dyDescent="0.2">
      <c r="AA2930" s="155"/>
      <c r="AC2930" s="155"/>
      <c r="AD2930" s="155"/>
    </row>
    <row r="2931" spans="27:30" x14ac:dyDescent="0.2">
      <c r="AA2931" s="155"/>
      <c r="AC2931" s="155"/>
      <c r="AD2931" s="155"/>
    </row>
    <row r="2932" spans="27:30" x14ac:dyDescent="0.2">
      <c r="AA2932" s="155"/>
      <c r="AC2932" s="155"/>
      <c r="AD2932" s="155"/>
    </row>
    <row r="2933" spans="27:30" x14ac:dyDescent="0.2">
      <c r="AA2933" s="155"/>
      <c r="AC2933" s="155"/>
      <c r="AD2933" s="155"/>
    </row>
    <row r="2934" spans="27:30" x14ac:dyDescent="0.2">
      <c r="AA2934" s="155"/>
      <c r="AC2934" s="155"/>
      <c r="AD2934" s="155"/>
    </row>
    <row r="2935" spans="27:30" x14ac:dyDescent="0.2">
      <c r="AA2935" s="155"/>
      <c r="AC2935" s="155"/>
      <c r="AD2935" s="155"/>
    </row>
    <row r="2936" spans="27:30" x14ac:dyDescent="0.2">
      <c r="AA2936" s="155"/>
      <c r="AC2936" s="155"/>
      <c r="AD2936" s="155"/>
    </row>
    <row r="2937" spans="27:30" x14ac:dyDescent="0.2">
      <c r="AA2937" s="155"/>
      <c r="AC2937" s="155"/>
      <c r="AD2937" s="155"/>
    </row>
    <row r="2938" spans="27:30" x14ac:dyDescent="0.2">
      <c r="AA2938" s="155"/>
      <c r="AC2938" s="155"/>
      <c r="AD2938" s="155"/>
    </row>
    <row r="2939" spans="27:30" x14ac:dyDescent="0.2">
      <c r="AA2939" s="155"/>
      <c r="AC2939" s="155"/>
      <c r="AD2939" s="155"/>
    </row>
    <row r="2940" spans="27:30" x14ac:dyDescent="0.2">
      <c r="AA2940" s="155"/>
      <c r="AC2940" s="155"/>
      <c r="AD2940" s="155"/>
    </row>
    <row r="2941" spans="27:30" x14ac:dyDescent="0.2">
      <c r="AA2941" s="155"/>
      <c r="AC2941" s="155"/>
      <c r="AD2941" s="155"/>
    </row>
    <row r="2942" spans="27:30" x14ac:dyDescent="0.2">
      <c r="AA2942" s="155"/>
      <c r="AC2942" s="155"/>
      <c r="AD2942" s="155"/>
    </row>
    <row r="2943" spans="27:30" x14ac:dyDescent="0.2">
      <c r="AA2943" s="155"/>
      <c r="AC2943" s="155"/>
      <c r="AD2943" s="155"/>
    </row>
    <row r="2944" spans="27:30" x14ac:dyDescent="0.2">
      <c r="AA2944" s="155"/>
      <c r="AC2944" s="155"/>
      <c r="AD2944" s="155"/>
    </row>
    <row r="2945" spans="27:30" x14ac:dyDescent="0.2">
      <c r="AA2945" s="155"/>
      <c r="AC2945" s="155"/>
      <c r="AD2945" s="155"/>
    </row>
    <row r="2946" spans="27:30" x14ac:dyDescent="0.2">
      <c r="AA2946" s="155"/>
      <c r="AC2946" s="155"/>
      <c r="AD2946" s="155"/>
    </row>
    <row r="2947" spans="27:30" x14ac:dyDescent="0.2">
      <c r="AA2947" s="155"/>
      <c r="AC2947" s="155"/>
      <c r="AD2947" s="155"/>
    </row>
    <row r="2948" spans="27:30" x14ac:dyDescent="0.2">
      <c r="AA2948" s="155"/>
      <c r="AC2948" s="155"/>
      <c r="AD2948" s="155"/>
    </row>
    <row r="2949" spans="27:30" x14ac:dyDescent="0.2">
      <c r="AA2949" s="155"/>
      <c r="AC2949" s="155"/>
      <c r="AD2949" s="155"/>
    </row>
    <row r="2950" spans="27:30" x14ac:dyDescent="0.2">
      <c r="AA2950" s="155"/>
      <c r="AC2950" s="155"/>
      <c r="AD2950" s="155"/>
    </row>
    <row r="2951" spans="27:30" x14ac:dyDescent="0.2">
      <c r="AA2951" s="155"/>
      <c r="AC2951" s="155"/>
      <c r="AD2951" s="155"/>
    </row>
    <row r="2952" spans="27:30" x14ac:dyDescent="0.2">
      <c r="AA2952" s="155"/>
      <c r="AC2952" s="155"/>
      <c r="AD2952" s="155"/>
    </row>
    <row r="2953" spans="27:30" x14ac:dyDescent="0.2">
      <c r="AA2953" s="155"/>
      <c r="AC2953" s="155"/>
      <c r="AD2953" s="155"/>
    </row>
    <row r="2954" spans="27:30" x14ac:dyDescent="0.2">
      <c r="AA2954" s="155"/>
      <c r="AC2954" s="155"/>
      <c r="AD2954" s="155"/>
    </row>
    <row r="2955" spans="27:30" x14ac:dyDescent="0.2">
      <c r="AA2955" s="155"/>
      <c r="AC2955" s="155"/>
      <c r="AD2955" s="155"/>
    </row>
    <row r="2956" spans="27:30" x14ac:dyDescent="0.2">
      <c r="AA2956" s="155"/>
      <c r="AC2956" s="155"/>
      <c r="AD2956" s="155"/>
    </row>
    <row r="2957" spans="27:30" x14ac:dyDescent="0.2">
      <c r="AA2957" s="155"/>
      <c r="AC2957" s="155"/>
      <c r="AD2957" s="155"/>
    </row>
    <row r="2958" spans="27:30" x14ac:dyDescent="0.2">
      <c r="AA2958" s="155"/>
      <c r="AC2958" s="155"/>
      <c r="AD2958" s="155"/>
    </row>
    <row r="2959" spans="27:30" x14ac:dyDescent="0.2">
      <c r="AA2959" s="155"/>
      <c r="AC2959" s="155"/>
      <c r="AD2959" s="155"/>
    </row>
    <row r="2960" spans="27:30" x14ac:dyDescent="0.2">
      <c r="AA2960" s="155"/>
      <c r="AC2960" s="155"/>
      <c r="AD2960" s="155"/>
    </row>
    <row r="2961" spans="27:30" x14ac:dyDescent="0.2">
      <c r="AA2961" s="155"/>
      <c r="AC2961" s="155"/>
      <c r="AD2961" s="155"/>
    </row>
    <row r="2962" spans="27:30" x14ac:dyDescent="0.2">
      <c r="AA2962" s="155"/>
      <c r="AC2962" s="155"/>
      <c r="AD2962" s="155"/>
    </row>
    <row r="2963" spans="27:30" x14ac:dyDescent="0.2">
      <c r="AA2963" s="155"/>
      <c r="AC2963" s="155"/>
      <c r="AD2963" s="155"/>
    </row>
    <row r="2964" spans="27:30" x14ac:dyDescent="0.2">
      <c r="AA2964" s="155"/>
      <c r="AC2964" s="155"/>
      <c r="AD2964" s="155"/>
    </row>
    <row r="2965" spans="27:30" x14ac:dyDescent="0.2">
      <c r="AA2965" s="155"/>
      <c r="AC2965" s="155"/>
      <c r="AD2965" s="155"/>
    </row>
    <row r="2966" spans="27:30" x14ac:dyDescent="0.2">
      <c r="AA2966" s="155"/>
      <c r="AC2966" s="155"/>
      <c r="AD2966" s="155"/>
    </row>
    <row r="2967" spans="27:30" x14ac:dyDescent="0.2">
      <c r="AA2967" s="155"/>
      <c r="AC2967" s="155"/>
      <c r="AD2967" s="155"/>
    </row>
    <row r="2968" spans="27:30" x14ac:dyDescent="0.2">
      <c r="AA2968" s="155"/>
      <c r="AC2968" s="155"/>
      <c r="AD2968" s="155"/>
    </row>
    <row r="2969" spans="27:30" x14ac:dyDescent="0.2">
      <c r="AA2969" s="155"/>
      <c r="AC2969" s="155"/>
      <c r="AD2969" s="155"/>
    </row>
    <row r="2970" spans="27:30" x14ac:dyDescent="0.2">
      <c r="AA2970" s="155"/>
      <c r="AC2970" s="155"/>
      <c r="AD2970" s="155"/>
    </row>
    <row r="2971" spans="27:30" x14ac:dyDescent="0.2">
      <c r="AA2971" s="155"/>
      <c r="AC2971" s="155"/>
      <c r="AD2971" s="155"/>
    </row>
    <row r="2972" spans="27:30" x14ac:dyDescent="0.2">
      <c r="AA2972" s="155"/>
      <c r="AC2972" s="155"/>
      <c r="AD2972" s="155"/>
    </row>
    <row r="2973" spans="27:30" x14ac:dyDescent="0.2">
      <c r="AA2973" s="155"/>
      <c r="AC2973" s="155"/>
      <c r="AD2973" s="155"/>
    </row>
    <row r="2974" spans="27:30" x14ac:dyDescent="0.2">
      <c r="AA2974" s="155"/>
      <c r="AC2974" s="155"/>
      <c r="AD2974" s="155"/>
    </row>
    <row r="2975" spans="27:30" x14ac:dyDescent="0.2">
      <c r="AA2975" s="155"/>
      <c r="AC2975" s="155"/>
      <c r="AD2975" s="155"/>
    </row>
    <row r="2976" spans="27:30" x14ac:dyDescent="0.2">
      <c r="AA2976" s="155"/>
      <c r="AC2976" s="155"/>
      <c r="AD2976" s="155"/>
    </row>
    <row r="2977" spans="27:30" x14ac:dyDescent="0.2">
      <c r="AA2977" s="155"/>
      <c r="AC2977" s="155"/>
      <c r="AD2977" s="155"/>
    </row>
    <row r="2978" spans="27:30" x14ac:dyDescent="0.2">
      <c r="AA2978" s="155"/>
      <c r="AC2978" s="155"/>
      <c r="AD2978" s="155"/>
    </row>
    <row r="2979" spans="27:30" x14ac:dyDescent="0.2">
      <c r="AA2979" s="155"/>
      <c r="AC2979" s="155"/>
      <c r="AD2979" s="155"/>
    </row>
    <row r="2980" spans="27:30" x14ac:dyDescent="0.2">
      <c r="AA2980" s="155"/>
      <c r="AC2980" s="155"/>
      <c r="AD2980" s="155"/>
    </row>
    <row r="2981" spans="27:30" x14ac:dyDescent="0.2">
      <c r="AA2981" s="155"/>
      <c r="AC2981" s="155"/>
      <c r="AD2981" s="155"/>
    </row>
    <row r="2982" spans="27:30" x14ac:dyDescent="0.2">
      <c r="AA2982" s="155"/>
      <c r="AC2982" s="155"/>
      <c r="AD2982" s="155"/>
    </row>
    <row r="2983" spans="27:30" x14ac:dyDescent="0.2">
      <c r="AA2983" s="155"/>
      <c r="AC2983" s="155"/>
      <c r="AD2983" s="155"/>
    </row>
    <row r="2984" spans="27:30" x14ac:dyDescent="0.2">
      <c r="AA2984" s="155"/>
      <c r="AC2984" s="155"/>
      <c r="AD2984" s="155"/>
    </row>
    <row r="2985" spans="27:30" x14ac:dyDescent="0.2">
      <c r="AA2985" s="155"/>
      <c r="AC2985" s="155"/>
      <c r="AD2985" s="155"/>
    </row>
    <row r="2986" spans="27:30" x14ac:dyDescent="0.2">
      <c r="AA2986" s="155"/>
      <c r="AC2986" s="155"/>
      <c r="AD2986" s="155"/>
    </row>
    <row r="2987" spans="27:30" x14ac:dyDescent="0.2">
      <c r="AA2987" s="155"/>
      <c r="AC2987" s="155"/>
      <c r="AD2987" s="155"/>
    </row>
    <row r="2988" spans="27:30" x14ac:dyDescent="0.2">
      <c r="AA2988" s="155"/>
      <c r="AC2988" s="155"/>
      <c r="AD2988" s="155"/>
    </row>
    <row r="2989" spans="27:30" x14ac:dyDescent="0.2">
      <c r="AA2989" s="155"/>
      <c r="AC2989" s="155"/>
      <c r="AD2989" s="155"/>
    </row>
    <row r="2990" spans="27:30" x14ac:dyDescent="0.2">
      <c r="AA2990" s="155"/>
      <c r="AC2990" s="155"/>
      <c r="AD2990" s="155"/>
    </row>
    <row r="2991" spans="27:30" x14ac:dyDescent="0.2">
      <c r="AA2991" s="155"/>
      <c r="AC2991" s="155"/>
      <c r="AD2991" s="155"/>
    </row>
    <row r="2992" spans="27:30" x14ac:dyDescent="0.2">
      <c r="AA2992" s="155"/>
      <c r="AC2992" s="155"/>
      <c r="AD2992" s="155"/>
    </row>
    <row r="2993" spans="27:30" x14ac:dyDescent="0.2">
      <c r="AA2993" s="155"/>
      <c r="AC2993" s="155"/>
      <c r="AD2993" s="155"/>
    </row>
    <row r="2994" spans="27:30" x14ac:dyDescent="0.2">
      <c r="AA2994" s="155"/>
      <c r="AC2994" s="155"/>
      <c r="AD2994" s="155"/>
    </row>
    <row r="2995" spans="27:30" x14ac:dyDescent="0.2">
      <c r="AA2995" s="155"/>
      <c r="AC2995" s="155"/>
      <c r="AD2995" s="155"/>
    </row>
    <row r="2996" spans="27:30" x14ac:dyDescent="0.2">
      <c r="AA2996" s="155"/>
      <c r="AC2996" s="155"/>
      <c r="AD2996" s="155"/>
    </row>
    <row r="2997" spans="27:30" x14ac:dyDescent="0.2">
      <c r="AA2997" s="155"/>
      <c r="AC2997" s="155"/>
      <c r="AD2997" s="155"/>
    </row>
    <row r="2998" spans="27:30" x14ac:dyDescent="0.2">
      <c r="AA2998" s="155"/>
      <c r="AC2998" s="155"/>
      <c r="AD2998" s="155"/>
    </row>
    <row r="2999" spans="27:30" x14ac:dyDescent="0.2">
      <c r="AA2999" s="155"/>
      <c r="AC2999" s="155"/>
      <c r="AD2999" s="155"/>
    </row>
    <row r="3000" spans="27:30" x14ac:dyDescent="0.2">
      <c r="AA3000" s="155"/>
      <c r="AC3000" s="155"/>
      <c r="AD3000" s="155"/>
    </row>
    <row r="3001" spans="27:30" x14ac:dyDescent="0.2">
      <c r="AA3001" s="155"/>
      <c r="AC3001" s="155"/>
      <c r="AD3001" s="155"/>
    </row>
    <row r="3002" spans="27:30" x14ac:dyDescent="0.2">
      <c r="AA3002" s="155"/>
      <c r="AC3002" s="155"/>
      <c r="AD3002" s="155"/>
    </row>
    <row r="3003" spans="27:30" x14ac:dyDescent="0.2">
      <c r="AA3003" s="155"/>
      <c r="AC3003" s="155"/>
      <c r="AD3003" s="155"/>
    </row>
    <row r="3004" spans="27:30" x14ac:dyDescent="0.2">
      <c r="AA3004" s="155"/>
      <c r="AC3004" s="155"/>
      <c r="AD3004" s="155"/>
    </row>
    <row r="3005" spans="27:30" x14ac:dyDescent="0.2">
      <c r="AA3005" s="155"/>
      <c r="AC3005" s="155"/>
      <c r="AD3005" s="155"/>
    </row>
    <row r="3006" spans="27:30" x14ac:dyDescent="0.2">
      <c r="AA3006" s="155"/>
      <c r="AC3006" s="155"/>
      <c r="AD3006" s="155"/>
    </row>
    <row r="3007" spans="27:30" x14ac:dyDescent="0.2">
      <c r="AA3007" s="155"/>
      <c r="AC3007" s="155"/>
      <c r="AD3007" s="155"/>
    </row>
    <row r="3008" spans="27:30" x14ac:dyDescent="0.2">
      <c r="AA3008" s="155"/>
      <c r="AC3008" s="155"/>
      <c r="AD3008" s="155"/>
    </row>
    <row r="3009" spans="27:30" x14ac:dyDescent="0.2">
      <c r="AA3009" s="155"/>
      <c r="AC3009" s="155"/>
      <c r="AD3009" s="155"/>
    </row>
    <row r="3010" spans="27:30" x14ac:dyDescent="0.2">
      <c r="AA3010" s="155"/>
      <c r="AC3010" s="155"/>
      <c r="AD3010" s="155"/>
    </row>
    <row r="3011" spans="27:30" x14ac:dyDescent="0.2">
      <c r="AA3011" s="155"/>
      <c r="AC3011" s="155"/>
      <c r="AD3011" s="155"/>
    </row>
    <row r="3012" spans="27:30" x14ac:dyDescent="0.2">
      <c r="AA3012" s="155"/>
      <c r="AC3012" s="155"/>
      <c r="AD3012" s="155"/>
    </row>
    <row r="3013" spans="27:30" x14ac:dyDescent="0.2">
      <c r="AA3013" s="155"/>
      <c r="AC3013" s="155"/>
      <c r="AD3013" s="155"/>
    </row>
    <row r="3014" spans="27:30" x14ac:dyDescent="0.2">
      <c r="AA3014" s="155"/>
      <c r="AC3014" s="155"/>
      <c r="AD3014" s="155"/>
    </row>
    <row r="3015" spans="27:30" x14ac:dyDescent="0.2">
      <c r="AA3015" s="155"/>
      <c r="AC3015" s="155"/>
      <c r="AD3015" s="155"/>
    </row>
    <row r="3016" spans="27:30" x14ac:dyDescent="0.2">
      <c r="AA3016" s="155"/>
      <c r="AC3016" s="155"/>
      <c r="AD3016" s="155"/>
    </row>
    <row r="3017" spans="27:30" x14ac:dyDescent="0.2">
      <c r="AA3017" s="155"/>
      <c r="AC3017" s="155"/>
      <c r="AD3017" s="155"/>
    </row>
    <row r="3018" spans="27:30" x14ac:dyDescent="0.2">
      <c r="AA3018" s="155"/>
      <c r="AC3018" s="155"/>
      <c r="AD3018" s="155"/>
    </row>
    <row r="3019" spans="27:30" x14ac:dyDescent="0.2">
      <c r="AA3019" s="155"/>
      <c r="AC3019" s="155"/>
      <c r="AD3019" s="155"/>
    </row>
    <row r="3020" spans="27:30" x14ac:dyDescent="0.2">
      <c r="AA3020" s="155"/>
      <c r="AC3020" s="155"/>
      <c r="AD3020" s="155"/>
    </row>
    <row r="3021" spans="27:30" x14ac:dyDescent="0.2">
      <c r="AA3021" s="155"/>
      <c r="AC3021" s="155"/>
      <c r="AD3021" s="155"/>
    </row>
    <row r="3022" spans="27:30" x14ac:dyDescent="0.2">
      <c r="AA3022" s="155"/>
      <c r="AC3022" s="155"/>
      <c r="AD3022" s="155"/>
    </row>
    <row r="3023" spans="27:30" x14ac:dyDescent="0.2">
      <c r="AA3023" s="155"/>
      <c r="AC3023" s="155"/>
      <c r="AD3023" s="155"/>
    </row>
    <row r="3024" spans="27:30" x14ac:dyDescent="0.2">
      <c r="AA3024" s="155"/>
      <c r="AC3024" s="155"/>
      <c r="AD3024" s="155"/>
    </row>
    <row r="3025" spans="27:30" x14ac:dyDescent="0.2">
      <c r="AA3025" s="155"/>
      <c r="AC3025" s="155"/>
      <c r="AD3025" s="155"/>
    </row>
    <row r="3026" spans="27:30" x14ac:dyDescent="0.2">
      <c r="AA3026" s="155"/>
      <c r="AC3026" s="155"/>
      <c r="AD3026" s="155"/>
    </row>
    <row r="3027" spans="27:30" x14ac:dyDescent="0.2">
      <c r="AA3027" s="155"/>
      <c r="AC3027" s="155"/>
      <c r="AD3027" s="155"/>
    </row>
    <row r="3028" spans="27:30" x14ac:dyDescent="0.2">
      <c r="AA3028" s="155"/>
      <c r="AC3028" s="155"/>
      <c r="AD3028" s="155"/>
    </row>
    <row r="3029" spans="27:30" x14ac:dyDescent="0.2">
      <c r="AA3029" s="155"/>
      <c r="AC3029" s="155"/>
      <c r="AD3029" s="155"/>
    </row>
    <row r="3030" spans="27:30" x14ac:dyDescent="0.2">
      <c r="AA3030" s="155"/>
      <c r="AC3030" s="155"/>
      <c r="AD3030" s="155"/>
    </row>
    <row r="3031" spans="27:30" x14ac:dyDescent="0.2">
      <c r="AA3031" s="155"/>
      <c r="AC3031" s="155"/>
      <c r="AD3031" s="155"/>
    </row>
    <row r="3032" spans="27:30" x14ac:dyDescent="0.2">
      <c r="AA3032" s="155"/>
      <c r="AC3032" s="155"/>
      <c r="AD3032" s="155"/>
    </row>
    <row r="3033" spans="27:30" x14ac:dyDescent="0.2">
      <c r="AA3033" s="155"/>
      <c r="AC3033" s="155"/>
      <c r="AD3033" s="155"/>
    </row>
    <row r="3034" spans="27:30" x14ac:dyDescent="0.2">
      <c r="AA3034" s="155"/>
      <c r="AC3034" s="155"/>
      <c r="AD3034" s="155"/>
    </row>
    <row r="3035" spans="27:30" x14ac:dyDescent="0.2">
      <c r="AA3035" s="155"/>
      <c r="AC3035" s="155"/>
      <c r="AD3035" s="155"/>
    </row>
    <row r="3036" spans="27:30" x14ac:dyDescent="0.2">
      <c r="AA3036" s="155"/>
      <c r="AC3036" s="155"/>
      <c r="AD3036" s="155"/>
    </row>
    <row r="3037" spans="27:30" x14ac:dyDescent="0.2">
      <c r="AA3037" s="155"/>
      <c r="AC3037" s="155"/>
      <c r="AD3037" s="155"/>
    </row>
    <row r="3038" spans="27:30" x14ac:dyDescent="0.2">
      <c r="AA3038" s="155"/>
      <c r="AC3038" s="155"/>
      <c r="AD3038" s="155"/>
    </row>
    <row r="3039" spans="27:30" x14ac:dyDescent="0.2">
      <c r="AA3039" s="155"/>
      <c r="AC3039" s="155"/>
      <c r="AD3039" s="155"/>
    </row>
    <row r="3040" spans="27:30" x14ac:dyDescent="0.2">
      <c r="AA3040" s="155"/>
      <c r="AC3040" s="155"/>
      <c r="AD3040" s="155"/>
    </row>
    <row r="3041" spans="27:30" x14ac:dyDescent="0.2">
      <c r="AA3041" s="155"/>
      <c r="AC3041" s="155"/>
      <c r="AD3041" s="155"/>
    </row>
    <row r="3042" spans="27:30" x14ac:dyDescent="0.2">
      <c r="AA3042" s="155"/>
      <c r="AC3042" s="155"/>
      <c r="AD3042" s="155"/>
    </row>
    <row r="3043" spans="27:30" x14ac:dyDescent="0.2">
      <c r="AA3043" s="155"/>
      <c r="AC3043" s="155"/>
      <c r="AD3043" s="155"/>
    </row>
    <row r="3044" spans="27:30" x14ac:dyDescent="0.2">
      <c r="AA3044" s="155"/>
      <c r="AC3044" s="155"/>
      <c r="AD3044" s="155"/>
    </row>
    <row r="3045" spans="27:30" x14ac:dyDescent="0.2">
      <c r="AA3045" s="155"/>
      <c r="AC3045" s="155"/>
      <c r="AD3045" s="155"/>
    </row>
    <row r="3046" spans="27:30" x14ac:dyDescent="0.2">
      <c r="AA3046" s="155"/>
      <c r="AC3046" s="155"/>
      <c r="AD3046" s="155"/>
    </row>
    <row r="3047" spans="27:30" x14ac:dyDescent="0.2">
      <c r="AA3047" s="155"/>
      <c r="AC3047" s="155"/>
      <c r="AD3047" s="155"/>
    </row>
    <row r="3048" spans="27:30" x14ac:dyDescent="0.2">
      <c r="AA3048" s="155"/>
      <c r="AC3048" s="155"/>
      <c r="AD3048" s="155"/>
    </row>
    <row r="3049" spans="27:30" x14ac:dyDescent="0.2">
      <c r="AA3049" s="155"/>
      <c r="AC3049" s="155"/>
      <c r="AD3049" s="155"/>
    </row>
    <row r="3050" spans="27:30" x14ac:dyDescent="0.2">
      <c r="AA3050" s="155"/>
      <c r="AC3050" s="155"/>
      <c r="AD3050" s="155"/>
    </row>
    <row r="3051" spans="27:30" x14ac:dyDescent="0.2">
      <c r="AA3051" s="155"/>
      <c r="AC3051" s="155"/>
      <c r="AD3051" s="155"/>
    </row>
    <row r="3052" spans="27:30" x14ac:dyDescent="0.2">
      <c r="AA3052" s="155"/>
      <c r="AC3052" s="155"/>
      <c r="AD3052" s="155"/>
    </row>
    <row r="3053" spans="27:30" x14ac:dyDescent="0.2">
      <c r="AA3053" s="155"/>
      <c r="AC3053" s="155"/>
      <c r="AD3053" s="155"/>
    </row>
    <row r="3054" spans="27:30" x14ac:dyDescent="0.2">
      <c r="AA3054" s="155"/>
      <c r="AC3054" s="155"/>
      <c r="AD3054" s="155"/>
    </row>
    <row r="3055" spans="27:30" x14ac:dyDescent="0.2">
      <c r="AA3055" s="155"/>
      <c r="AC3055" s="155"/>
      <c r="AD3055" s="155"/>
    </row>
    <row r="3056" spans="27:30" x14ac:dyDescent="0.2">
      <c r="AA3056" s="155"/>
      <c r="AC3056" s="155"/>
      <c r="AD3056" s="155"/>
    </row>
    <row r="3057" spans="27:30" x14ac:dyDescent="0.2">
      <c r="AA3057" s="155"/>
      <c r="AC3057" s="155"/>
      <c r="AD3057" s="155"/>
    </row>
    <row r="3058" spans="27:30" x14ac:dyDescent="0.2">
      <c r="AA3058" s="155"/>
      <c r="AC3058" s="155"/>
      <c r="AD3058" s="155"/>
    </row>
    <row r="3059" spans="27:30" x14ac:dyDescent="0.2">
      <c r="AA3059" s="155"/>
      <c r="AC3059" s="155"/>
      <c r="AD3059" s="155"/>
    </row>
    <row r="3060" spans="27:30" x14ac:dyDescent="0.2">
      <c r="AA3060" s="155"/>
      <c r="AC3060" s="155"/>
      <c r="AD3060" s="155"/>
    </row>
    <row r="3061" spans="27:30" x14ac:dyDescent="0.2">
      <c r="AA3061" s="155"/>
      <c r="AC3061" s="155"/>
      <c r="AD3061" s="155"/>
    </row>
    <row r="3062" spans="27:30" x14ac:dyDescent="0.2">
      <c r="AA3062" s="155"/>
      <c r="AC3062" s="155"/>
      <c r="AD3062" s="155"/>
    </row>
    <row r="3063" spans="27:30" x14ac:dyDescent="0.2">
      <c r="AA3063" s="155"/>
      <c r="AC3063" s="155"/>
      <c r="AD3063" s="155"/>
    </row>
    <row r="3064" spans="27:30" x14ac:dyDescent="0.2">
      <c r="AA3064" s="155"/>
      <c r="AC3064" s="155"/>
      <c r="AD3064" s="155"/>
    </row>
    <row r="3065" spans="27:30" x14ac:dyDescent="0.2">
      <c r="AA3065" s="155"/>
      <c r="AC3065" s="155"/>
      <c r="AD3065" s="155"/>
    </row>
    <row r="3066" spans="27:30" x14ac:dyDescent="0.2">
      <c r="AA3066" s="155"/>
      <c r="AC3066" s="155"/>
      <c r="AD3066" s="155"/>
    </row>
    <row r="3067" spans="27:30" x14ac:dyDescent="0.2">
      <c r="AA3067" s="155"/>
      <c r="AC3067" s="155"/>
      <c r="AD3067" s="155"/>
    </row>
    <row r="3068" spans="27:30" x14ac:dyDescent="0.2">
      <c r="AA3068" s="155"/>
      <c r="AC3068" s="155"/>
      <c r="AD3068" s="155"/>
    </row>
    <row r="3069" spans="27:30" x14ac:dyDescent="0.2">
      <c r="AA3069" s="155"/>
      <c r="AC3069" s="155"/>
      <c r="AD3069" s="155"/>
    </row>
    <row r="3070" spans="27:30" x14ac:dyDescent="0.2">
      <c r="AA3070" s="155"/>
      <c r="AC3070" s="155"/>
      <c r="AD3070" s="155"/>
    </row>
    <row r="3071" spans="27:30" x14ac:dyDescent="0.2">
      <c r="AA3071" s="155"/>
      <c r="AC3071" s="155"/>
      <c r="AD3071" s="155"/>
    </row>
    <row r="3072" spans="27:30" x14ac:dyDescent="0.2">
      <c r="AA3072" s="155"/>
      <c r="AC3072" s="155"/>
      <c r="AD3072" s="155"/>
    </row>
    <row r="3073" spans="27:30" x14ac:dyDescent="0.2">
      <c r="AA3073" s="155"/>
      <c r="AC3073" s="155"/>
      <c r="AD3073" s="155"/>
    </row>
    <row r="3074" spans="27:30" x14ac:dyDescent="0.2">
      <c r="AA3074" s="155"/>
      <c r="AC3074" s="155"/>
      <c r="AD3074" s="155"/>
    </row>
    <row r="3075" spans="27:30" x14ac:dyDescent="0.2">
      <c r="AA3075" s="155"/>
      <c r="AC3075" s="155"/>
      <c r="AD3075" s="155"/>
    </row>
    <row r="3076" spans="27:30" x14ac:dyDescent="0.2">
      <c r="AA3076" s="155"/>
      <c r="AC3076" s="155"/>
      <c r="AD3076" s="155"/>
    </row>
    <row r="3077" spans="27:30" x14ac:dyDescent="0.2">
      <c r="AA3077" s="155"/>
      <c r="AC3077" s="155"/>
      <c r="AD3077" s="155"/>
    </row>
    <row r="3078" spans="27:30" x14ac:dyDescent="0.2">
      <c r="AA3078" s="155"/>
      <c r="AC3078" s="155"/>
      <c r="AD3078" s="155"/>
    </row>
    <row r="3079" spans="27:30" x14ac:dyDescent="0.2">
      <c r="AA3079" s="155"/>
      <c r="AC3079" s="155"/>
      <c r="AD3079" s="155"/>
    </row>
    <row r="3080" spans="27:30" x14ac:dyDescent="0.2">
      <c r="AA3080" s="155"/>
      <c r="AC3080" s="155"/>
      <c r="AD3080" s="155"/>
    </row>
    <row r="3081" spans="27:30" x14ac:dyDescent="0.2">
      <c r="AA3081" s="155"/>
      <c r="AC3081" s="155"/>
      <c r="AD3081" s="155"/>
    </row>
    <row r="3082" spans="27:30" x14ac:dyDescent="0.2">
      <c r="AA3082" s="155"/>
      <c r="AC3082" s="155"/>
      <c r="AD3082" s="155"/>
    </row>
    <row r="3083" spans="27:30" x14ac:dyDescent="0.2">
      <c r="AA3083" s="155"/>
      <c r="AC3083" s="155"/>
      <c r="AD3083" s="155"/>
    </row>
    <row r="3084" spans="27:30" x14ac:dyDescent="0.2">
      <c r="AA3084" s="155"/>
      <c r="AC3084" s="155"/>
      <c r="AD3084" s="155"/>
    </row>
    <row r="3085" spans="27:30" x14ac:dyDescent="0.2">
      <c r="AA3085" s="155"/>
      <c r="AC3085" s="155"/>
      <c r="AD3085" s="155"/>
    </row>
    <row r="3086" spans="27:30" x14ac:dyDescent="0.2">
      <c r="AA3086" s="155"/>
      <c r="AC3086" s="155"/>
      <c r="AD3086" s="155"/>
    </row>
    <row r="3087" spans="27:30" x14ac:dyDescent="0.2">
      <c r="AA3087" s="155"/>
      <c r="AC3087" s="155"/>
      <c r="AD3087" s="155"/>
    </row>
    <row r="3088" spans="27:30" x14ac:dyDescent="0.2">
      <c r="AA3088" s="155"/>
      <c r="AC3088" s="155"/>
      <c r="AD3088" s="155"/>
    </row>
    <row r="3089" spans="27:30" x14ac:dyDescent="0.2">
      <c r="AA3089" s="155"/>
      <c r="AC3089" s="155"/>
      <c r="AD3089" s="155"/>
    </row>
    <row r="3090" spans="27:30" x14ac:dyDescent="0.2">
      <c r="AA3090" s="155"/>
      <c r="AC3090" s="155"/>
      <c r="AD3090" s="155"/>
    </row>
    <row r="3091" spans="27:30" x14ac:dyDescent="0.2">
      <c r="AA3091" s="155"/>
      <c r="AC3091" s="155"/>
      <c r="AD3091" s="155"/>
    </row>
    <row r="3092" spans="27:30" x14ac:dyDescent="0.2">
      <c r="AA3092" s="155"/>
      <c r="AC3092" s="155"/>
      <c r="AD3092" s="155"/>
    </row>
    <row r="3093" spans="27:30" x14ac:dyDescent="0.2">
      <c r="AA3093" s="155"/>
      <c r="AC3093" s="155"/>
      <c r="AD3093" s="155"/>
    </row>
    <row r="3094" spans="27:30" x14ac:dyDescent="0.2">
      <c r="AA3094" s="155"/>
      <c r="AC3094" s="155"/>
      <c r="AD3094" s="155"/>
    </row>
    <row r="3095" spans="27:30" x14ac:dyDescent="0.2">
      <c r="AA3095" s="155"/>
      <c r="AC3095" s="155"/>
      <c r="AD3095" s="155"/>
    </row>
    <row r="3096" spans="27:30" x14ac:dyDescent="0.2">
      <c r="AA3096" s="155"/>
      <c r="AC3096" s="155"/>
      <c r="AD3096" s="155"/>
    </row>
    <row r="3097" spans="27:30" x14ac:dyDescent="0.2">
      <c r="AA3097" s="155"/>
      <c r="AC3097" s="155"/>
      <c r="AD3097" s="155"/>
    </row>
    <row r="3098" spans="27:30" x14ac:dyDescent="0.2">
      <c r="AA3098" s="155"/>
      <c r="AC3098" s="155"/>
      <c r="AD3098" s="155"/>
    </row>
    <row r="3099" spans="27:30" x14ac:dyDescent="0.2">
      <c r="AA3099" s="155"/>
      <c r="AC3099" s="155"/>
      <c r="AD3099" s="155"/>
    </row>
    <row r="3100" spans="27:30" x14ac:dyDescent="0.2">
      <c r="AA3100" s="155"/>
      <c r="AC3100" s="155"/>
      <c r="AD3100" s="155"/>
    </row>
    <row r="3101" spans="27:30" x14ac:dyDescent="0.2">
      <c r="AA3101" s="155"/>
      <c r="AC3101" s="155"/>
      <c r="AD3101" s="155"/>
    </row>
    <row r="3102" spans="27:30" x14ac:dyDescent="0.2">
      <c r="AA3102" s="155"/>
      <c r="AC3102" s="155"/>
      <c r="AD3102" s="155"/>
    </row>
    <row r="3103" spans="27:30" x14ac:dyDescent="0.2">
      <c r="AA3103" s="155"/>
      <c r="AC3103" s="155"/>
      <c r="AD3103" s="155"/>
    </row>
    <row r="3104" spans="27:30" x14ac:dyDescent="0.2">
      <c r="AA3104" s="155"/>
      <c r="AC3104" s="155"/>
      <c r="AD3104" s="155"/>
    </row>
    <row r="3105" spans="27:30" x14ac:dyDescent="0.2">
      <c r="AA3105" s="155"/>
      <c r="AC3105" s="155"/>
      <c r="AD3105" s="155"/>
    </row>
    <row r="3106" spans="27:30" x14ac:dyDescent="0.2">
      <c r="AA3106" s="155"/>
      <c r="AC3106" s="155"/>
      <c r="AD3106" s="155"/>
    </row>
    <row r="3107" spans="27:30" x14ac:dyDescent="0.2">
      <c r="AA3107" s="155"/>
      <c r="AC3107" s="155"/>
      <c r="AD3107" s="155"/>
    </row>
    <row r="3108" spans="27:30" x14ac:dyDescent="0.2">
      <c r="AA3108" s="155"/>
      <c r="AC3108" s="155"/>
      <c r="AD3108" s="155"/>
    </row>
    <row r="3109" spans="27:30" x14ac:dyDescent="0.2">
      <c r="AA3109" s="155"/>
      <c r="AC3109" s="155"/>
      <c r="AD3109" s="155"/>
    </row>
    <row r="3110" spans="27:30" x14ac:dyDescent="0.2">
      <c r="AA3110" s="155"/>
      <c r="AC3110" s="155"/>
      <c r="AD3110" s="155"/>
    </row>
    <row r="3111" spans="27:30" x14ac:dyDescent="0.2">
      <c r="AA3111" s="155"/>
      <c r="AC3111" s="155"/>
      <c r="AD3111" s="155"/>
    </row>
    <row r="3112" spans="27:30" x14ac:dyDescent="0.2">
      <c r="AA3112" s="155"/>
      <c r="AC3112" s="155"/>
      <c r="AD3112" s="155"/>
    </row>
    <row r="3113" spans="27:30" x14ac:dyDescent="0.2">
      <c r="AA3113" s="155"/>
      <c r="AC3113" s="155"/>
      <c r="AD3113" s="155"/>
    </row>
    <row r="3114" spans="27:30" x14ac:dyDescent="0.2">
      <c r="AA3114" s="155"/>
      <c r="AC3114" s="155"/>
      <c r="AD3114" s="155"/>
    </row>
    <row r="3115" spans="27:30" x14ac:dyDescent="0.2">
      <c r="AA3115" s="155"/>
      <c r="AC3115" s="155"/>
      <c r="AD3115" s="155"/>
    </row>
    <row r="3116" spans="27:30" x14ac:dyDescent="0.2">
      <c r="AA3116" s="155"/>
      <c r="AC3116" s="155"/>
      <c r="AD3116" s="155"/>
    </row>
    <row r="3117" spans="27:30" x14ac:dyDescent="0.2">
      <c r="AA3117" s="155"/>
      <c r="AC3117" s="155"/>
      <c r="AD3117" s="155"/>
    </row>
    <row r="3118" spans="27:30" x14ac:dyDescent="0.2">
      <c r="AA3118" s="155"/>
      <c r="AC3118" s="155"/>
      <c r="AD3118" s="155"/>
    </row>
    <row r="3119" spans="27:30" x14ac:dyDescent="0.2">
      <c r="AA3119" s="155"/>
      <c r="AC3119" s="155"/>
      <c r="AD3119" s="155"/>
    </row>
    <row r="3120" spans="27:30" x14ac:dyDescent="0.2">
      <c r="AA3120" s="155"/>
      <c r="AC3120" s="155"/>
      <c r="AD3120" s="155"/>
    </row>
    <row r="3121" spans="27:30" x14ac:dyDescent="0.2">
      <c r="AA3121" s="155"/>
      <c r="AC3121" s="155"/>
      <c r="AD3121" s="155"/>
    </row>
    <row r="3122" spans="27:30" x14ac:dyDescent="0.2">
      <c r="AA3122" s="155"/>
      <c r="AC3122" s="155"/>
      <c r="AD3122" s="155"/>
    </row>
    <row r="3123" spans="27:30" x14ac:dyDescent="0.2">
      <c r="AA3123" s="155"/>
      <c r="AC3123" s="155"/>
      <c r="AD3123" s="155"/>
    </row>
    <row r="3124" spans="27:30" x14ac:dyDescent="0.2">
      <c r="AA3124" s="155"/>
      <c r="AC3124" s="155"/>
      <c r="AD3124" s="155"/>
    </row>
    <row r="3125" spans="27:30" x14ac:dyDescent="0.2">
      <c r="AA3125" s="155"/>
      <c r="AC3125" s="155"/>
      <c r="AD3125" s="155"/>
    </row>
    <row r="3126" spans="27:30" x14ac:dyDescent="0.2">
      <c r="AA3126" s="155"/>
      <c r="AC3126" s="155"/>
      <c r="AD3126" s="155"/>
    </row>
    <row r="3127" spans="27:30" x14ac:dyDescent="0.2">
      <c r="AA3127" s="155"/>
      <c r="AC3127" s="155"/>
      <c r="AD3127" s="155"/>
    </row>
    <row r="3128" spans="27:30" x14ac:dyDescent="0.2">
      <c r="AA3128" s="155"/>
      <c r="AC3128" s="155"/>
      <c r="AD3128" s="155"/>
    </row>
    <row r="3129" spans="27:30" x14ac:dyDescent="0.2">
      <c r="AA3129" s="155"/>
      <c r="AC3129" s="155"/>
      <c r="AD3129" s="155"/>
    </row>
    <row r="3130" spans="27:30" x14ac:dyDescent="0.2">
      <c r="AA3130" s="155"/>
      <c r="AC3130" s="155"/>
      <c r="AD3130" s="155"/>
    </row>
    <row r="3131" spans="27:30" x14ac:dyDescent="0.2">
      <c r="AA3131" s="155"/>
      <c r="AC3131" s="155"/>
      <c r="AD3131" s="155"/>
    </row>
    <row r="3132" spans="27:30" x14ac:dyDescent="0.2">
      <c r="AA3132" s="155"/>
      <c r="AC3132" s="155"/>
      <c r="AD3132" s="155"/>
    </row>
    <row r="3133" spans="27:30" x14ac:dyDescent="0.2">
      <c r="AA3133" s="155"/>
      <c r="AC3133" s="155"/>
      <c r="AD3133" s="155"/>
    </row>
    <row r="3134" spans="27:30" x14ac:dyDescent="0.2">
      <c r="AA3134" s="155"/>
      <c r="AC3134" s="155"/>
      <c r="AD3134" s="155"/>
    </row>
    <row r="3135" spans="27:30" x14ac:dyDescent="0.2">
      <c r="AA3135" s="155"/>
      <c r="AC3135" s="155"/>
      <c r="AD3135" s="155"/>
    </row>
    <row r="3136" spans="27:30" x14ac:dyDescent="0.2">
      <c r="AA3136" s="155"/>
      <c r="AC3136" s="155"/>
      <c r="AD3136" s="155"/>
    </row>
    <row r="3137" spans="27:30" x14ac:dyDescent="0.2">
      <c r="AA3137" s="155"/>
      <c r="AC3137" s="155"/>
      <c r="AD3137" s="155"/>
    </row>
    <row r="3138" spans="27:30" x14ac:dyDescent="0.2">
      <c r="AA3138" s="155"/>
      <c r="AC3138" s="155"/>
      <c r="AD3138" s="155"/>
    </row>
    <row r="3139" spans="27:30" x14ac:dyDescent="0.2">
      <c r="AA3139" s="155"/>
      <c r="AC3139" s="155"/>
      <c r="AD3139" s="155"/>
    </row>
    <row r="3140" spans="27:30" x14ac:dyDescent="0.2">
      <c r="AA3140" s="155"/>
      <c r="AC3140" s="155"/>
      <c r="AD3140" s="155"/>
    </row>
    <row r="3141" spans="27:30" x14ac:dyDescent="0.2">
      <c r="AA3141" s="155"/>
      <c r="AC3141" s="155"/>
      <c r="AD3141" s="155"/>
    </row>
    <row r="3142" spans="27:30" x14ac:dyDescent="0.2">
      <c r="AA3142" s="155"/>
      <c r="AC3142" s="155"/>
      <c r="AD3142" s="155"/>
    </row>
    <row r="3143" spans="27:30" x14ac:dyDescent="0.2">
      <c r="AA3143" s="155"/>
      <c r="AC3143" s="155"/>
      <c r="AD3143" s="155"/>
    </row>
    <row r="3144" spans="27:30" x14ac:dyDescent="0.2">
      <c r="AA3144" s="155"/>
      <c r="AC3144" s="155"/>
      <c r="AD3144" s="155"/>
    </row>
    <row r="3145" spans="27:30" x14ac:dyDescent="0.2">
      <c r="AA3145" s="155"/>
      <c r="AC3145" s="155"/>
      <c r="AD3145" s="155"/>
    </row>
    <row r="3146" spans="27:30" x14ac:dyDescent="0.2">
      <c r="AA3146" s="155"/>
      <c r="AC3146" s="155"/>
      <c r="AD3146" s="155"/>
    </row>
    <row r="3147" spans="27:30" x14ac:dyDescent="0.2">
      <c r="AA3147" s="155"/>
      <c r="AC3147" s="155"/>
      <c r="AD3147" s="155"/>
    </row>
    <row r="3148" spans="27:30" x14ac:dyDescent="0.2">
      <c r="AA3148" s="155"/>
      <c r="AC3148" s="155"/>
      <c r="AD3148" s="155"/>
    </row>
    <row r="3149" spans="27:30" x14ac:dyDescent="0.2">
      <c r="AA3149" s="155"/>
      <c r="AC3149" s="155"/>
      <c r="AD3149" s="155"/>
    </row>
    <row r="3150" spans="27:30" x14ac:dyDescent="0.2">
      <c r="AA3150" s="155"/>
      <c r="AC3150" s="155"/>
      <c r="AD3150" s="155"/>
    </row>
    <row r="3151" spans="27:30" x14ac:dyDescent="0.2">
      <c r="AA3151" s="155"/>
      <c r="AC3151" s="155"/>
      <c r="AD3151" s="155"/>
    </row>
    <row r="3152" spans="27:30" x14ac:dyDescent="0.2">
      <c r="AA3152" s="155"/>
      <c r="AC3152" s="155"/>
      <c r="AD3152" s="155"/>
    </row>
    <row r="3153" spans="27:30" x14ac:dyDescent="0.2">
      <c r="AA3153" s="155"/>
      <c r="AC3153" s="155"/>
      <c r="AD3153" s="155"/>
    </row>
    <row r="3154" spans="27:30" x14ac:dyDescent="0.2">
      <c r="AA3154" s="155"/>
      <c r="AC3154" s="155"/>
      <c r="AD3154" s="155"/>
    </row>
    <row r="3155" spans="27:30" x14ac:dyDescent="0.2">
      <c r="AA3155" s="155"/>
      <c r="AC3155" s="155"/>
      <c r="AD3155" s="155"/>
    </row>
    <row r="3156" spans="27:30" x14ac:dyDescent="0.2">
      <c r="AA3156" s="155"/>
      <c r="AC3156" s="155"/>
      <c r="AD3156" s="155"/>
    </row>
    <row r="3157" spans="27:30" x14ac:dyDescent="0.2">
      <c r="AA3157" s="155"/>
      <c r="AC3157" s="155"/>
      <c r="AD3157" s="155"/>
    </row>
    <row r="3158" spans="27:30" x14ac:dyDescent="0.2">
      <c r="AA3158" s="155"/>
      <c r="AC3158" s="155"/>
      <c r="AD3158" s="155"/>
    </row>
    <row r="3159" spans="27:30" x14ac:dyDescent="0.2">
      <c r="AA3159" s="155"/>
      <c r="AC3159" s="155"/>
      <c r="AD3159" s="155"/>
    </row>
    <row r="3160" spans="27:30" x14ac:dyDescent="0.2">
      <c r="AA3160" s="155"/>
      <c r="AC3160" s="155"/>
      <c r="AD3160" s="155"/>
    </row>
    <row r="3161" spans="27:30" x14ac:dyDescent="0.2">
      <c r="AA3161" s="155"/>
      <c r="AC3161" s="155"/>
      <c r="AD3161" s="155"/>
    </row>
    <row r="3162" spans="27:30" x14ac:dyDescent="0.2">
      <c r="AA3162" s="155"/>
      <c r="AC3162" s="155"/>
      <c r="AD3162" s="155"/>
    </row>
    <row r="3163" spans="27:30" x14ac:dyDescent="0.2">
      <c r="AA3163" s="155"/>
      <c r="AC3163" s="155"/>
      <c r="AD3163" s="155"/>
    </row>
    <row r="3164" spans="27:30" x14ac:dyDescent="0.2">
      <c r="AA3164" s="155"/>
      <c r="AC3164" s="155"/>
      <c r="AD3164" s="155"/>
    </row>
    <row r="3165" spans="27:30" x14ac:dyDescent="0.2">
      <c r="AA3165" s="155"/>
      <c r="AC3165" s="155"/>
      <c r="AD3165" s="155"/>
    </row>
    <row r="3166" spans="27:30" x14ac:dyDescent="0.2">
      <c r="AA3166" s="155"/>
      <c r="AC3166" s="155"/>
      <c r="AD3166" s="155"/>
    </row>
    <row r="3167" spans="27:30" x14ac:dyDescent="0.2">
      <c r="AA3167" s="155"/>
      <c r="AC3167" s="155"/>
      <c r="AD3167" s="155"/>
    </row>
    <row r="3168" spans="27:30" x14ac:dyDescent="0.2">
      <c r="AA3168" s="155"/>
      <c r="AC3168" s="155"/>
      <c r="AD3168" s="155"/>
    </row>
    <row r="3169" spans="27:30" x14ac:dyDescent="0.2">
      <c r="AA3169" s="155"/>
      <c r="AC3169" s="155"/>
      <c r="AD3169" s="155"/>
    </row>
    <row r="3170" spans="27:30" x14ac:dyDescent="0.2">
      <c r="AA3170" s="155"/>
      <c r="AC3170" s="155"/>
      <c r="AD3170" s="155"/>
    </row>
    <row r="3171" spans="27:30" x14ac:dyDescent="0.2">
      <c r="AA3171" s="155"/>
      <c r="AC3171" s="155"/>
      <c r="AD3171" s="155"/>
    </row>
    <row r="3172" spans="27:30" x14ac:dyDescent="0.2">
      <c r="AA3172" s="155"/>
      <c r="AC3172" s="155"/>
      <c r="AD3172" s="155"/>
    </row>
    <row r="3173" spans="27:30" x14ac:dyDescent="0.2">
      <c r="AA3173" s="155"/>
      <c r="AC3173" s="155"/>
      <c r="AD3173" s="155"/>
    </row>
    <row r="3174" spans="27:30" x14ac:dyDescent="0.2">
      <c r="AA3174" s="155"/>
      <c r="AC3174" s="155"/>
      <c r="AD3174" s="155"/>
    </row>
    <row r="3175" spans="27:30" x14ac:dyDescent="0.2">
      <c r="AA3175" s="155"/>
      <c r="AC3175" s="155"/>
      <c r="AD3175" s="155"/>
    </row>
    <row r="3176" spans="27:30" x14ac:dyDescent="0.2">
      <c r="AA3176" s="155"/>
      <c r="AC3176" s="155"/>
      <c r="AD3176" s="155"/>
    </row>
    <row r="3177" spans="27:30" x14ac:dyDescent="0.2">
      <c r="AA3177" s="155"/>
      <c r="AC3177" s="155"/>
      <c r="AD3177" s="155"/>
    </row>
    <row r="3178" spans="27:30" x14ac:dyDescent="0.2">
      <c r="AA3178" s="155"/>
      <c r="AC3178" s="155"/>
      <c r="AD3178" s="155"/>
    </row>
    <row r="3179" spans="27:30" x14ac:dyDescent="0.2">
      <c r="AA3179" s="155"/>
      <c r="AC3179" s="155"/>
      <c r="AD3179" s="155"/>
    </row>
    <row r="3180" spans="27:30" x14ac:dyDescent="0.2">
      <c r="AA3180" s="155"/>
      <c r="AC3180" s="155"/>
      <c r="AD3180" s="155"/>
    </row>
    <row r="3181" spans="27:30" x14ac:dyDescent="0.2">
      <c r="AA3181" s="155"/>
      <c r="AC3181" s="155"/>
      <c r="AD3181" s="155"/>
    </row>
    <row r="3182" spans="27:30" x14ac:dyDescent="0.2">
      <c r="AA3182" s="155"/>
      <c r="AC3182" s="155"/>
      <c r="AD3182" s="155"/>
    </row>
    <row r="3183" spans="27:30" x14ac:dyDescent="0.2">
      <c r="AA3183" s="155"/>
      <c r="AC3183" s="155"/>
      <c r="AD3183" s="155"/>
    </row>
    <row r="3184" spans="27:30" x14ac:dyDescent="0.2">
      <c r="AA3184" s="155"/>
      <c r="AC3184" s="155"/>
      <c r="AD3184" s="155"/>
    </row>
    <row r="3185" spans="27:30" x14ac:dyDescent="0.2">
      <c r="AA3185" s="155"/>
      <c r="AC3185" s="155"/>
      <c r="AD3185" s="155"/>
    </row>
    <row r="3186" spans="27:30" x14ac:dyDescent="0.2">
      <c r="AA3186" s="155"/>
      <c r="AC3186" s="155"/>
      <c r="AD3186" s="155"/>
    </row>
    <row r="3187" spans="27:30" x14ac:dyDescent="0.2">
      <c r="AA3187" s="155"/>
      <c r="AC3187" s="155"/>
      <c r="AD3187" s="155"/>
    </row>
    <row r="3188" spans="27:30" x14ac:dyDescent="0.2">
      <c r="AA3188" s="155"/>
      <c r="AC3188" s="155"/>
      <c r="AD3188" s="155"/>
    </row>
    <row r="3189" spans="27:30" x14ac:dyDescent="0.2">
      <c r="AA3189" s="155"/>
      <c r="AC3189" s="155"/>
      <c r="AD3189" s="155"/>
    </row>
    <row r="3190" spans="27:30" x14ac:dyDescent="0.2">
      <c r="AA3190" s="155"/>
      <c r="AC3190" s="155"/>
      <c r="AD3190" s="155"/>
    </row>
    <row r="3191" spans="27:30" x14ac:dyDescent="0.2">
      <c r="AA3191" s="155"/>
      <c r="AC3191" s="155"/>
      <c r="AD3191" s="155"/>
    </row>
    <row r="3192" spans="27:30" x14ac:dyDescent="0.2">
      <c r="AA3192" s="155"/>
      <c r="AC3192" s="155"/>
      <c r="AD3192" s="155"/>
    </row>
    <row r="3193" spans="27:30" x14ac:dyDescent="0.2">
      <c r="AA3193" s="155"/>
      <c r="AC3193" s="155"/>
      <c r="AD3193" s="155"/>
    </row>
    <row r="3194" spans="27:30" x14ac:dyDescent="0.2">
      <c r="AA3194" s="155"/>
      <c r="AC3194" s="155"/>
      <c r="AD3194" s="155"/>
    </row>
    <row r="3195" spans="27:30" x14ac:dyDescent="0.2">
      <c r="AA3195" s="155"/>
      <c r="AC3195" s="155"/>
      <c r="AD3195" s="155"/>
    </row>
    <row r="3196" spans="27:30" x14ac:dyDescent="0.2">
      <c r="AA3196" s="155"/>
      <c r="AC3196" s="155"/>
      <c r="AD3196" s="155"/>
    </row>
    <row r="3197" spans="27:30" x14ac:dyDescent="0.2">
      <c r="AA3197" s="155"/>
      <c r="AC3197" s="155"/>
      <c r="AD3197" s="155"/>
    </row>
    <row r="3198" spans="27:30" x14ac:dyDescent="0.2">
      <c r="AA3198" s="155"/>
      <c r="AC3198" s="155"/>
      <c r="AD3198" s="155"/>
    </row>
    <row r="3199" spans="27:30" x14ac:dyDescent="0.2">
      <c r="AA3199" s="155"/>
      <c r="AC3199" s="155"/>
      <c r="AD3199" s="155"/>
    </row>
    <row r="3200" spans="27:30" x14ac:dyDescent="0.2">
      <c r="AA3200" s="155"/>
      <c r="AC3200" s="155"/>
      <c r="AD3200" s="155"/>
    </row>
    <row r="3201" spans="27:30" x14ac:dyDescent="0.2">
      <c r="AA3201" s="155"/>
      <c r="AC3201" s="155"/>
      <c r="AD3201" s="155"/>
    </row>
    <row r="3202" spans="27:30" x14ac:dyDescent="0.2">
      <c r="AA3202" s="155"/>
      <c r="AC3202" s="155"/>
      <c r="AD3202" s="155"/>
    </row>
    <row r="3203" spans="27:30" x14ac:dyDescent="0.2">
      <c r="AA3203" s="155"/>
      <c r="AC3203" s="155"/>
      <c r="AD3203" s="155"/>
    </row>
    <row r="3204" spans="27:30" x14ac:dyDescent="0.2">
      <c r="AA3204" s="155"/>
      <c r="AC3204" s="155"/>
      <c r="AD3204" s="155"/>
    </row>
    <row r="3205" spans="27:30" x14ac:dyDescent="0.2">
      <c r="AA3205" s="155"/>
      <c r="AC3205" s="155"/>
      <c r="AD3205" s="155"/>
    </row>
    <row r="3206" spans="27:30" x14ac:dyDescent="0.2">
      <c r="AA3206" s="155"/>
      <c r="AC3206" s="155"/>
      <c r="AD3206" s="155"/>
    </row>
    <row r="3207" spans="27:30" x14ac:dyDescent="0.2">
      <c r="AA3207" s="155"/>
      <c r="AC3207" s="155"/>
      <c r="AD3207" s="155"/>
    </row>
    <row r="3208" spans="27:30" x14ac:dyDescent="0.2">
      <c r="AA3208" s="155"/>
      <c r="AC3208" s="155"/>
      <c r="AD3208" s="155"/>
    </row>
    <row r="3209" spans="27:30" x14ac:dyDescent="0.2">
      <c r="AA3209" s="155"/>
      <c r="AC3209" s="155"/>
      <c r="AD3209" s="155"/>
    </row>
    <row r="3210" spans="27:30" x14ac:dyDescent="0.2">
      <c r="AA3210" s="155"/>
      <c r="AC3210" s="155"/>
      <c r="AD3210" s="155"/>
    </row>
    <row r="3211" spans="27:30" x14ac:dyDescent="0.2">
      <c r="AA3211" s="155"/>
      <c r="AC3211" s="155"/>
      <c r="AD3211" s="155"/>
    </row>
    <row r="3212" spans="27:30" x14ac:dyDescent="0.2">
      <c r="AA3212" s="155"/>
      <c r="AC3212" s="155"/>
      <c r="AD3212" s="155"/>
    </row>
    <row r="3213" spans="27:30" x14ac:dyDescent="0.2">
      <c r="AA3213" s="155"/>
      <c r="AC3213" s="155"/>
      <c r="AD3213" s="155"/>
    </row>
    <row r="3214" spans="27:30" x14ac:dyDescent="0.2">
      <c r="AA3214" s="155"/>
      <c r="AC3214" s="155"/>
      <c r="AD3214" s="155"/>
    </row>
    <row r="3215" spans="27:30" x14ac:dyDescent="0.2">
      <c r="AA3215" s="155"/>
      <c r="AC3215" s="155"/>
      <c r="AD3215" s="155"/>
    </row>
    <row r="3216" spans="27:30" x14ac:dyDescent="0.2">
      <c r="AA3216" s="155"/>
      <c r="AC3216" s="155"/>
      <c r="AD3216" s="155"/>
    </row>
    <row r="3217" spans="27:30" x14ac:dyDescent="0.2">
      <c r="AA3217" s="155"/>
      <c r="AC3217" s="155"/>
      <c r="AD3217" s="155"/>
    </row>
    <row r="3218" spans="27:30" x14ac:dyDescent="0.2">
      <c r="AA3218" s="155"/>
      <c r="AC3218" s="155"/>
      <c r="AD3218" s="155"/>
    </row>
    <row r="3219" spans="27:30" x14ac:dyDescent="0.2">
      <c r="AA3219" s="155"/>
      <c r="AC3219" s="155"/>
      <c r="AD3219" s="155"/>
    </row>
    <row r="3220" spans="27:30" x14ac:dyDescent="0.2">
      <c r="AA3220" s="155"/>
      <c r="AC3220" s="155"/>
      <c r="AD3220" s="155"/>
    </row>
    <row r="3221" spans="27:30" x14ac:dyDescent="0.2">
      <c r="AA3221" s="155"/>
      <c r="AC3221" s="155"/>
      <c r="AD3221" s="155"/>
    </row>
    <row r="3222" spans="27:30" x14ac:dyDescent="0.2">
      <c r="AA3222" s="155"/>
      <c r="AC3222" s="155"/>
      <c r="AD3222" s="155"/>
    </row>
    <row r="3223" spans="27:30" x14ac:dyDescent="0.2">
      <c r="AA3223" s="155"/>
      <c r="AC3223" s="155"/>
      <c r="AD3223" s="155"/>
    </row>
    <row r="3224" spans="27:30" x14ac:dyDescent="0.2">
      <c r="AA3224" s="155"/>
      <c r="AC3224" s="155"/>
      <c r="AD3224" s="155"/>
    </row>
    <row r="3225" spans="27:30" x14ac:dyDescent="0.2">
      <c r="AA3225" s="155"/>
      <c r="AC3225" s="155"/>
      <c r="AD3225" s="155"/>
    </row>
    <row r="3226" spans="27:30" x14ac:dyDescent="0.2">
      <c r="AA3226" s="155"/>
      <c r="AC3226" s="155"/>
      <c r="AD3226" s="155"/>
    </row>
    <row r="3227" spans="27:30" x14ac:dyDescent="0.2">
      <c r="AA3227" s="155"/>
      <c r="AC3227" s="155"/>
      <c r="AD3227" s="155"/>
    </row>
    <row r="3228" spans="27:30" x14ac:dyDescent="0.2">
      <c r="AA3228" s="155"/>
      <c r="AC3228" s="155"/>
      <c r="AD3228" s="155"/>
    </row>
    <row r="3229" spans="27:30" x14ac:dyDescent="0.2">
      <c r="AA3229" s="155"/>
      <c r="AC3229" s="155"/>
      <c r="AD3229" s="155"/>
    </row>
    <row r="3230" spans="27:30" x14ac:dyDescent="0.2">
      <c r="AA3230" s="155"/>
      <c r="AC3230" s="155"/>
      <c r="AD3230" s="155"/>
    </row>
    <row r="3231" spans="27:30" x14ac:dyDescent="0.2">
      <c r="AA3231" s="155"/>
      <c r="AC3231" s="155"/>
      <c r="AD3231" s="155"/>
    </row>
    <row r="3232" spans="27:30" x14ac:dyDescent="0.2">
      <c r="AA3232" s="155"/>
      <c r="AC3232" s="155"/>
      <c r="AD3232" s="155"/>
    </row>
    <row r="3233" spans="27:30" x14ac:dyDescent="0.2">
      <c r="AA3233" s="155"/>
      <c r="AC3233" s="155"/>
      <c r="AD3233" s="155"/>
    </row>
    <row r="3234" spans="27:30" x14ac:dyDescent="0.2">
      <c r="AA3234" s="155"/>
      <c r="AC3234" s="155"/>
      <c r="AD3234" s="155"/>
    </row>
    <row r="3235" spans="27:30" x14ac:dyDescent="0.2">
      <c r="AA3235" s="155"/>
      <c r="AC3235" s="155"/>
      <c r="AD3235" s="155"/>
    </row>
    <row r="3236" spans="27:30" x14ac:dyDescent="0.2">
      <c r="AA3236" s="155"/>
      <c r="AC3236" s="155"/>
      <c r="AD3236" s="155"/>
    </row>
    <row r="3237" spans="27:30" x14ac:dyDescent="0.2">
      <c r="AA3237" s="155"/>
      <c r="AC3237" s="155"/>
      <c r="AD3237" s="155"/>
    </row>
    <row r="3238" spans="27:30" x14ac:dyDescent="0.2">
      <c r="AA3238" s="155"/>
      <c r="AC3238" s="155"/>
      <c r="AD3238" s="155"/>
    </row>
    <row r="3239" spans="27:30" x14ac:dyDescent="0.2">
      <c r="AA3239" s="155"/>
      <c r="AC3239" s="155"/>
      <c r="AD3239" s="155"/>
    </row>
    <row r="3240" spans="27:30" x14ac:dyDescent="0.2">
      <c r="AA3240" s="155"/>
      <c r="AC3240" s="155"/>
      <c r="AD3240" s="155"/>
    </row>
    <row r="3241" spans="27:30" x14ac:dyDescent="0.2">
      <c r="AA3241" s="155"/>
      <c r="AC3241" s="155"/>
      <c r="AD3241" s="155"/>
    </row>
    <row r="3242" spans="27:30" x14ac:dyDescent="0.2">
      <c r="AA3242" s="155"/>
      <c r="AC3242" s="155"/>
      <c r="AD3242" s="155"/>
    </row>
    <row r="3243" spans="27:30" x14ac:dyDescent="0.2">
      <c r="AA3243" s="155"/>
      <c r="AC3243" s="155"/>
      <c r="AD3243" s="155"/>
    </row>
    <row r="3244" spans="27:30" x14ac:dyDescent="0.2">
      <c r="AA3244" s="155"/>
      <c r="AC3244" s="155"/>
      <c r="AD3244" s="155"/>
    </row>
    <row r="3245" spans="27:30" x14ac:dyDescent="0.2">
      <c r="AA3245" s="155"/>
      <c r="AC3245" s="155"/>
      <c r="AD3245" s="155"/>
    </row>
    <row r="3246" spans="27:30" x14ac:dyDescent="0.2">
      <c r="AA3246" s="155"/>
      <c r="AC3246" s="155"/>
      <c r="AD3246" s="155"/>
    </row>
    <row r="3247" spans="27:30" x14ac:dyDescent="0.2">
      <c r="AA3247" s="155"/>
      <c r="AC3247" s="155"/>
      <c r="AD3247" s="155"/>
    </row>
    <row r="3248" spans="27:30" x14ac:dyDescent="0.2">
      <c r="AA3248" s="155"/>
      <c r="AC3248" s="155"/>
      <c r="AD3248" s="155"/>
    </row>
    <row r="3249" spans="27:30" x14ac:dyDescent="0.2">
      <c r="AA3249" s="155"/>
      <c r="AC3249" s="155"/>
      <c r="AD3249" s="155"/>
    </row>
    <row r="3250" spans="27:30" x14ac:dyDescent="0.2">
      <c r="AA3250" s="155"/>
      <c r="AC3250" s="155"/>
      <c r="AD3250" s="155"/>
    </row>
    <row r="3251" spans="27:30" x14ac:dyDescent="0.2">
      <c r="AA3251" s="155"/>
      <c r="AC3251" s="155"/>
      <c r="AD3251" s="155"/>
    </row>
    <row r="3252" spans="27:30" x14ac:dyDescent="0.2">
      <c r="AA3252" s="155"/>
      <c r="AC3252" s="155"/>
      <c r="AD3252" s="155"/>
    </row>
    <row r="3253" spans="27:30" x14ac:dyDescent="0.2">
      <c r="AA3253" s="155"/>
      <c r="AC3253" s="155"/>
      <c r="AD3253" s="155"/>
    </row>
    <row r="3254" spans="27:30" x14ac:dyDescent="0.2">
      <c r="AA3254" s="155"/>
      <c r="AC3254" s="155"/>
      <c r="AD3254" s="155"/>
    </row>
    <row r="3255" spans="27:30" x14ac:dyDescent="0.2">
      <c r="AA3255" s="155"/>
      <c r="AC3255" s="155"/>
      <c r="AD3255" s="155"/>
    </row>
    <row r="3256" spans="27:30" x14ac:dyDescent="0.2">
      <c r="AA3256" s="155"/>
      <c r="AC3256" s="155"/>
      <c r="AD3256" s="155"/>
    </row>
    <row r="3257" spans="27:30" x14ac:dyDescent="0.2">
      <c r="AA3257" s="155"/>
      <c r="AC3257" s="155"/>
      <c r="AD3257" s="155"/>
    </row>
    <row r="3258" spans="27:30" x14ac:dyDescent="0.2">
      <c r="AA3258" s="155"/>
      <c r="AC3258" s="155"/>
      <c r="AD3258" s="155"/>
    </row>
    <row r="3259" spans="27:30" x14ac:dyDescent="0.2">
      <c r="AA3259" s="155"/>
      <c r="AC3259" s="155"/>
      <c r="AD3259" s="155"/>
    </row>
    <row r="3260" spans="27:30" x14ac:dyDescent="0.2">
      <c r="AA3260" s="155"/>
      <c r="AC3260" s="155"/>
      <c r="AD3260" s="155"/>
    </row>
    <row r="3261" spans="27:30" x14ac:dyDescent="0.2">
      <c r="AA3261" s="155"/>
      <c r="AC3261" s="155"/>
      <c r="AD3261" s="155"/>
    </row>
    <row r="3262" spans="27:30" x14ac:dyDescent="0.2">
      <c r="AA3262" s="155"/>
      <c r="AC3262" s="155"/>
      <c r="AD3262" s="155"/>
    </row>
    <row r="3263" spans="27:30" x14ac:dyDescent="0.2">
      <c r="AA3263" s="155"/>
      <c r="AC3263" s="155"/>
      <c r="AD3263" s="155"/>
    </row>
    <row r="3264" spans="27:30" x14ac:dyDescent="0.2">
      <c r="AA3264" s="155"/>
      <c r="AC3264" s="155"/>
      <c r="AD3264" s="155"/>
    </row>
    <row r="3265" spans="27:30" x14ac:dyDescent="0.2">
      <c r="AA3265" s="155"/>
      <c r="AC3265" s="155"/>
      <c r="AD3265" s="155"/>
    </row>
    <row r="3266" spans="27:30" x14ac:dyDescent="0.2">
      <c r="AA3266" s="155"/>
      <c r="AC3266" s="155"/>
      <c r="AD3266" s="155"/>
    </row>
    <row r="3267" spans="27:30" x14ac:dyDescent="0.2">
      <c r="AA3267" s="155"/>
      <c r="AC3267" s="155"/>
      <c r="AD3267" s="155"/>
    </row>
    <row r="3268" spans="27:30" x14ac:dyDescent="0.2">
      <c r="AA3268" s="155"/>
      <c r="AC3268" s="155"/>
      <c r="AD3268" s="155"/>
    </row>
    <row r="3269" spans="27:30" x14ac:dyDescent="0.2">
      <c r="AA3269" s="155"/>
      <c r="AC3269" s="155"/>
      <c r="AD3269" s="155"/>
    </row>
    <row r="3270" spans="27:30" x14ac:dyDescent="0.2">
      <c r="AA3270" s="155"/>
      <c r="AC3270" s="155"/>
      <c r="AD3270" s="155"/>
    </row>
    <row r="3271" spans="27:30" x14ac:dyDescent="0.2">
      <c r="AA3271" s="155"/>
      <c r="AC3271" s="155"/>
      <c r="AD3271" s="155"/>
    </row>
    <row r="3272" spans="27:30" x14ac:dyDescent="0.2">
      <c r="AA3272" s="155"/>
      <c r="AC3272" s="155"/>
      <c r="AD3272" s="155"/>
    </row>
    <row r="3273" spans="27:30" x14ac:dyDescent="0.2">
      <c r="AA3273" s="155"/>
      <c r="AC3273" s="155"/>
      <c r="AD3273" s="155"/>
    </row>
    <row r="3274" spans="27:30" x14ac:dyDescent="0.2">
      <c r="AA3274" s="155"/>
      <c r="AC3274" s="155"/>
      <c r="AD3274" s="155"/>
    </row>
    <row r="3275" spans="27:30" x14ac:dyDescent="0.2">
      <c r="AA3275" s="155"/>
      <c r="AC3275" s="155"/>
      <c r="AD3275" s="155"/>
    </row>
    <row r="3276" spans="27:30" x14ac:dyDescent="0.2">
      <c r="AA3276" s="155"/>
      <c r="AC3276" s="155"/>
      <c r="AD3276" s="155"/>
    </row>
    <row r="3277" spans="27:30" x14ac:dyDescent="0.2">
      <c r="AA3277" s="155"/>
      <c r="AC3277" s="155"/>
      <c r="AD3277" s="155"/>
    </row>
    <row r="3278" spans="27:30" x14ac:dyDescent="0.2">
      <c r="AA3278" s="155"/>
      <c r="AC3278" s="155"/>
      <c r="AD3278" s="155"/>
    </row>
    <row r="3279" spans="27:30" x14ac:dyDescent="0.2">
      <c r="AA3279" s="155"/>
      <c r="AC3279" s="155"/>
      <c r="AD3279" s="155"/>
    </row>
    <row r="3280" spans="27:30" x14ac:dyDescent="0.2">
      <c r="AA3280" s="155"/>
      <c r="AC3280" s="155"/>
      <c r="AD3280" s="155"/>
    </row>
    <row r="3281" spans="27:30" x14ac:dyDescent="0.2">
      <c r="AA3281" s="155"/>
      <c r="AC3281" s="155"/>
      <c r="AD3281" s="155"/>
    </row>
    <row r="3282" spans="27:30" x14ac:dyDescent="0.2">
      <c r="AA3282" s="155"/>
      <c r="AC3282" s="155"/>
      <c r="AD3282" s="155"/>
    </row>
    <row r="3283" spans="27:30" x14ac:dyDescent="0.2">
      <c r="AA3283" s="155"/>
      <c r="AC3283" s="155"/>
      <c r="AD3283" s="155"/>
    </row>
    <row r="3284" spans="27:30" x14ac:dyDescent="0.2">
      <c r="AA3284" s="155"/>
      <c r="AC3284" s="155"/>
      <c r="AD3284" s="155"/>
    </row>
    <row r="3285" spans="27:30" x14ac:dyDescent="0.2">
      <c r="AA3285" s="155"/>
      <c r="AC3285" s="155"/>
      <c r="AD3285" s="155"/>
    </row>
    <row r="3286" spans="27:30" x14ac:dyDescent="0.2">
      <c r="AA3286" s="155"/>
      <c r="AC3286" s="155"/>
      <c r="AD3286" s="155"/>
    </row>
    <row r="3287" spans="27:30" x14ac:dyDescent="0.2">
      <c r="AA3287" s="155"/>
      <c r="AC3287" s="155"/>
      <c r="AD3287" s="155"/>
    </row>
    <row r="3288" spans="27:30" x14ac:dyDescent="0.2">
      <c r="AA3288" s="155"/>
      <c r="AC3288" s="155"/>
      <c r="AD3288" s="155"/>
    </row>
    <row r="3289" spans="27:30" x14ac:dyDescent="0.2">
      <c r="AA3289" s="155"/>
      <c r="AC3289" s="155"/>
      <c r="AD3289" s="155"/>
    </row>
    <row r="3290" spans="27:30" x14ac:dyDescent="0.2">
      <c r="AA3290" s="155"/>
      <c r="AC3290" s="155"/>
      <c r="AD3290" s="155"/>
    </row>
    <row r="3291" spans="27:30" x14ac:dyDescent="0.2">
      <c r="AA3291" s="155"/>
      <c r="AC3291" s="155"/>
      <c r="AD3291" s="155"/>
    </row>
    <row r="3292" spans="27:30" x14ac:dyDescent="0.2">
      <c r="AA3292" s="155"/>
      <c r="AC3292" s="155"/>
      <c r="AD3292" s="155"/>
    </row>
    <row r="3293" spans="27:30" x14ac:dyDescent="0.2">
      <c r="AA3293" s="155"/>
      <c r="AC3293" s="155"/>
      <c r="AD3293" s="155"/>
    </row>
    <row r="3294" spans="27:30" x14ac:dyDescent="0.2">
      <c r="AA3294" s="155"/>
      <c r="AC3294" s="155"/>
      <c r="AD3294" s="155"/>
    </row>
    <row r="3295" spans="27:30" x14ac:dyDescent="0.2">
      <c r="AA3295" s="155"/>
      <c r="AC3295" s="155"/>
      <c r="AD3295" s="155"/>
    </row>
    <row r="3296" spans="27:30" x14ac:dyDescent="0.2">
      <c r="AA3296" s="155"/>
      <c r="AC3296" s="155"/>
      <c r="AD3296" s="155"/>
    </row>
    <row r="3297" spans="27:30" x14ac:dyDescent="0.2">
      <c r="AA3297" s="155"/>
      <c r="AC3297" s="155"/>
      <c r="AD3297" s="155"/>
    </row>
    <row r="3298" spans="27:30" x14ac:dyDescent="0.2">
      <c r="AA3298" s="155"/>
      <c r="AC3298" s="155"/>
      <c r="AD3298" s="155"/>
    </row>
    <row r="3299" spans="27:30" x14ac:dyDescent="0.2">
      <c r="AA3299" s="155"/>
      <c r="AC3299" s="155"/>
      <c r="AD3299" s="155"/>
    </row>
    <row r="3300" spans="27:30" x14ac:dyDescent="0.2">
      <c r="AA3300" s="155"/>
      <c r="AC3300" s="155"/>
      <c r="AD3300" s="155"/>
    </row>
    <row r="3301" spans="27:30" x14ac:dyDescent="0.2">
      <c r="AA3301" s="155"/>
      <c r="AC3301" s="155"/>
      <c r="AD3301" s="155"/>
    </row>
    <row r="3302" spans="27:30" x14ac:dyDescent="0.2">
      <c r="AA3302" s="155"/>
      <c r="AC3302" s="155"/>
      <c r="AD3302" s="155"/>
    </row>
    <row r="3303" spans="27:30" x14ac:dyDescent="0.2">
      <c r="AA3303" s="155"/>
      <c r="AC3303" s="155"/>
      <c r="AD3303" s="155"/>
    </row>
    <row r="3304" spans="27:30" x14ac:dyDescent="0.2">
      <c r="AA3304" s="155"/>
      <c r="AC3304" s="155"/>
      <c r="AD3304" s="155"/>
    </row>
    <row r="3305" spans="27:30" x14ac:dyDescent="0.2">
      <c r="AA3305" s="155"/>
      <c r="AC3305" s="155"/>
      <c r="AD3305" s="155"/>
    </row>
    <row r="3306" spans="27:30" x14ac:dyDescent="0.2">
      <c r="AA3306" s="155"/>
      <c r="AC3306" s="155"/>
      <c r="AD3306" s="155"/>
    </row>
    <row r="3307" spans="27:30" x14ac:dyDescent="0.2">
      <c r="AA3307" s="155"/>
      <c r="AC3307" s="155"/>
      <c r="AD3307" s="155"/>
    </row>
    <row r="3308" spans="27:30" x14ac:dyDescent="0.2">
      <c r="AA3308" s="155"/>
      <c r="AC3308" s="155"/>
      <c r="AD3308" s="155"/>
    </row>
    <row r="3309" spans="27:30" x14ac:dyDescent="0.2">
      <c r="AA3309" s="155"/>
      <c r="AC3309" s="155"/>
      <c r="AD3309" s="155"/>
    </row>
    <row r="3310" spans="27:30" x14ac:dyDescent="0.2">
      <c r="AA3310" s="155"/>
      <c r="AC3310" s="155"/>
      <c r="AD3310" s="155"/>
    </row>
    <row r="3311" spans="27:30" x14ac:dyDescent="0.2">
      <c r="AA3311" s="155"/>
      <c r="AC3311" s="155"/>
      <c r="AD3311" s="155"/>
    </row>
    <row r="3312" spans="27:30" x14ac:dyDescent="0.2">
      <c r="AA3312" s="155"/>
      <c r="AC3312" s="155"/>
      <c r="AD3312" s="155"/>
    </row>
    <row r="3313" spans="27:30" x14ac:dyDescent="0.2">
      <c r="AA3313" s="155"/>
      <c r="AC3313" s="155"/>
      <c r="AD3313" s="155"/>
    </row>
    <row r="3314" spans="27:30" x14ac:dyDescent="0.2">
      <c r="AA3314" s="155"/>
      <c r="AC3314" s="155"/>
      <c r="AD3314" s="155"/>
    </row>
    <row r="3315" spans="27:30" x14ac:dyDescent="0.2">
      <c r="AA3315" s="155"/>
      <c r="AC3315" s="155"/>
      <c r="AD3315" s="155"/>
    </row>
    <row r="3316" spans="27:30" x14ac:dyDescent="0.2">
      <c r="AA3316" s="155"/>
      <c r="AC3316" s="155"/>
      <c r="AD3316" s="155"/>
    </row>
    <row r="3317" spans="27:30" x14ac:dyDescent="0.2">
      <c r="AA3317" s="155"/>
      <c r="AC3317" s="155"/>
      <c r="AD3317" s="155"/>
    </row>
    <row r="3318" spans="27:30" x14ac:dyDescent="0.2">
      <c r="AA3318" s="155"/>
      <c r="AC3318" s="155"/>
      <c r="AD3318" s="155"/>
    </row>
    <row r="3319" spans="27:30" x14ac:dyDescent="0.2">
      <c r="AA3319" s="155"/>
      <c r="AC3319" s="155"/>
      <c r="AD3319" s="155"/>
    </row>
    <row r="3320" spans="27:30" x14ac:dyDescent="0.2">
      <c r="AA3320" s="155"/>
      <c r="AC3320" s="155"/>
      <c r="AD3320" s="155"/>
    </row>
    <row r="3321" spans="27:30" x14ac:dyDescent="0.2">
      <c r="AA3321" s="155"/>
      <c r="AC3321" s="155"/>
      <c r="AD3321" s="155"/>
    </row>
    <row r="3322" spans="27:30" x14ac:dyDescent="0.2">
      <c r="AA3322" s="155"/>
      <c r="AC3322" s="155"/>
      <c r="AD3322" s="155"/>
    </row>
    <row r="3323" spans="27:30" x14ac:dyDescent="0.2">
      <c r="AA3323" s="155"/>
      <c r="AC3323" s="155"/>
      <c r="AD3323" s="155"/>
    </row>
    <row r="3324" spans="27:30" x14ac:dyDescent="0.2">
      <c r="AA3324" s="155"/>
      <c r="AC3324" s="155"/>
      <c r="AD3324" s="155"/>
    </row>
    <row r="3325" spans="27:30" x14ac:dyDescent="0.2">
      <c r="AA3325" s="155"/>
      <c r="AC3325" s="155"/>
      <c r="AD3325" s="155"/>
    </row>
    <row r="3326" spans="27:30" x14ac:dyDescent="0.2">
      <c r="AA3326" s="155"/>
      <c r="AC3326" s="155"/>
      <c r="AD3326" s="155"/>
    </row>
    <row r="3327" spans="27:30" x14ac:dyDescent="0.2">
      <c r="AA3327" s="155"/>
      <c r="AC3327" s="155"/>
      <c r="AD3327" s="155"/>
    </row>
    <row r="3328" spans="27:30" x14ac:dyDescent="0.2">
      <c r="AA3328" s="155"/>
      <c r="AC3328" s="155"/>
      <c r="AD3328" s="155"/>
    </row>
    <row r="3329" spans="27:30" x14ac:dyDescent="0.2">
      <c r="AA3329" s="155"/>
      <c r="AC3329" s="155"/>
      <c r="AD3329" s="155"/>
    </row>
    <row r="3330" spans="27:30" x14ac:dyDescent="0.2">
      <c r="AA3330" s="155"/>
      <c r="AC3330" s="155"/>
      <c r="AD3330" s="155"/>
    </row>
    <row r="3331" spans="27:30" x14ac:dyDescent="0.2">
      <c r="AA3331" s="155"/>
      <c r="AC3331" s="155"/>
      <c r="AD3331" s="155"/>
    </row>
    <row r="3332" spans="27:30" x14ac:dyDescent="0.2">
      <c r="AA3332" s="155"/>
      <c r="AC3332" s="155"/>
      <c r="AD3332" s="155"/>
    </row>
    <row r="3333" spans="27:30" x14ac:dyDescent="0.2">
      <c r="AA3333" s="155"/>
      <c r="AC3333" s="155"/>
      <c r="AD3333" s="155"/>
    </row>
    <row r="3334" spans="27:30" x14ac:dyDescent="0.2">
      <c r="AA3334" s="155"/>
      <c r="AC3334" s="155"/>
      <c r="AD3334" s="155"/>
    </row>
    <row r="3335" spans="27:30" x14ac:dyDescent="0.2">
      <c r="AA3335" s="155"/>
      <c r="AC3335" s="155"/>
      <c r="AD3335" s="155"/>
    </row>
    <row r="3336" spans="27:30" x14ac:dyDescent="0.2">
      <c r="AA3336" s="155"/>
      <c r="AC3336" s="155"/>
      <c r="AD3336" s="155"/>
    </row>
    <row r="3337" spans="27:30" x14ac:dyDescent="0.2">
      <c r="AA3337" s="155"/>
      <c r="AC3337" s="155"/>
      <c r="AD3337" s="155"/>
    </row>
    <row r="3338" spans="27:30" x14ac:dyDescent="0.2">
      <c r="AA3338" s="155"/>
      <c r="AC3338" s="155"/>
      <c r="AD3338" s="155"/>
    </row>
    <row r="3339" spans="27:30" x14ac:dyDescent="0.2">
      <c r="AA3339" s="155"/>
      <c r="AC3339" s="155"/>
      <c r="AD3339" s="155"/>
    </row>
    <row r="3340" spans="27:30" x14ac:dyDescent="0.2">
      <c r="AA3340" s="155"/>
      <c r="AC3340" s="155"/>
      <c r="AD3340" s="155"/>
    </row>
    <row r="3341" spans="27:30" x14ac:dyDescent="0.2">
      <c r="AA3341" s="155"/>
      <c r="AC3341" s="155"/>
      <c r="AD3341" s="155"/>
    </row>
    <row r="3342" spans="27:30" x14ac:dyDescent="0.2">
      <c r="AA3342" s="155"/>
      <c r="AC3342" s="155"/>
      <c r="AD3342" s="155"/>
    </row>
    <row r="3343" spans="27:30" x14ac:dyDescent="0.2">
      <c r="AA3343" s="155"/>
      <c r="AC3343" s="155"/>
      <c r="AD3343" s="155"/>
    </row>
    <row r="3344" spans="27:30" x14ac:dyDescent="0.2">
      <c r="AA3344" s="155"/>
      <c r="AC3344" s="155"/>
      <c r="AD3344" s="155"/>
    </row>
    <row r="3345" spans="27:30" x14ac:dyDescent="0.2">
      <c r="AA3345" s="155"/>
      <c r="AC3345" s="155"/>
      <c r="AD3345" s="155"/>
    </row>
    <row r="3346" spans="27:30" x14ac:dyDescent="0.2">
      <c r="AA3346" s="155"/>
      <c r="AC3346" s="155"/>
      <c r="AD3346" s="155"/>
    </row>
    <row r="3347" spans="27:30" x14ac:dyDescent="0.2">
      <c r="AA3347" s="155"/>
      <c r="AC3347" s="155"/>
      <c r="AD3347" s="155"/>
    </row>
    <row r="3348" spans="27:30" x14ac:dyDescent="0.2">
      <c r="AA3348" s="155"/>
      <c r="AC3348" s="155"/>
      <c r="AD3348" s="155"/>
    </row>
    <row r="3349" spans="27:30" x14ac:dyDescent="0.2">
      <c r="AA3349" s="155"/>
      <c r="AC3349" s="155"/>
      <c r="AD3349" s="155"/>
    </row>
    <row r="3350" spans="27:30" x14ac:dyDescent="0.2">
      <c r="AA3350" s="155"/>
      <c r="AC3350" s="155"/>
      <c r="AD3350" s="155"/>
    </row>
    <row r="3351" spans="27:30" x14ac:dyDescent="0.2">
      <c r="AA3351" s="155"/>
      <c r="AC3351" s="155"/>
      <c r="AD3351" s="155"/>
    </row>
    <row r="3352" spans="27:30" x14ac:dyDescent="0.2">
      <c r="AA3352" s="155"/>
      <c r="AC3352" s="155"/>
      <c r="AD3352" s="155"/>
    </row>
    <row r="3353" spans="27:30" x14ac:dyDescent="0.2">
      <c r="AA3353" s="155"/>
      <c r="AC3353" s="155"/>
      <c r="AD3353" s="155"/>
    </row>
    <row r="3354" spans="27:30" x14ac:dyDescent="0.2">
      <c r="AA3354" s="155"/>
      <c r="AC3354" s="155"/>
      <c r="AD3354" s="155"/>
    </row>
    <row r="3355" spans="27:30" x14ac:dyDescent="0.2">
      <c r="AA3355" s="155"/>
      <c r="AC3355" s="155"/>
      <c r="AD3355" s="155"/>
    </row>
    <row r="3356" spans="27:30" x14ac:dyDescent="0.2">
      <c r="AA3356" s="155"/>
      <c r="AC3356" s="155"/>
      <c r="AD3356" s="155"/>
    </row>
    <row r="3357" spans="27:30" x14ac:dyDescent="0.2">
      <c r="AA3357" s="155"/>
      <c r="AC3357" s="155"/>
      <c r="AD3357" s="155"/>
    </row>
    <row r="3358" spans="27:30" x14ac:dyDescent="0.2">
      <c r="AA3358" s="155"/>
      <c r="AC3358" s="155"/>
      <c r="AD3358" s="155"/>
    </row>
    <row r="3359" spans="27:30" x14ac:dyDescent="0.2">
      <c r="AA3359" s="155"/>
      <c r="AC3359" s="155"/>
      <c r="AD3359" s="155"/>
    </row>
    <row r="3360" spans="27:30" x14ac:dyDescent="0.2">
      <c r="AA3360" s="155"/>
      <c r="AC3360" s="155"/>
      <c r="AD3360" s="155"/>
    </row>
    <row r="3361" spans="27:30" x14ac:dyDescent="0.2">
      <c r="AA3361" s="155"/>
      <c r="AC3361" s="155"/>
      <c r="AD3361" s="155"/>
    </row>
    <row r="3362" spans="27:30" x14ac:dyDescent="0.2">
      <c r="AA3362" s="155"/>
      <c r="AC3362" s="155"/>
      <c r="AD3362" s="155"/>
    </row>
    <row r="3363" spans="27:30" x14ac:dyDescent="0.2">
      <c r="AA3363" s="155"/>
      <c r="AC3363" s="155"/>
      <c r="AD3363" s="155"/>
    </row>
    <row r="3364" spans="27:30" x14ac:dyDescent="0.2">
      <c r="AA3364" s="155"/>
      <c r="AC3364" s="155"/>
      <c r="AD3364" s="155"/>
    </row>
    <row r="3365" spans="27:30" x14ac:dyDescent="0.2">
      <c r="AA3365" s="155"/>
      <c r="AC3365" s="155"/>
      <c r="AD3365" s="155"/>
    </row>
    <row r="3366" spans="27:30" x14ac:dyDescent="0.2">
      <c r="AA3366" s="155"/>
      <c r="AC3366" s="155"/>
      <c r="AD3366" s="155"/>
    </row>
    <row r="3367" spans="27:30" x14ac:dyDescent="0.2">
      <c r="AA3367" s="155"/>
      <c r="AC3367" s="155"/>
      <c r="AD3367" s="155"/>
    </row>
    <row r="3368" spans="27:30" x14ac:dyDescent="0.2">
      <c r="AA3368" s="155"/>
      <c r="AC3368" s="155"/>
      <c r="AD3368" s="155"/>
    </row>
    <row r="3369" spans="27:30" x14ac:dyDescent="0.2">
      <c r="AA3369" s="155"/>
      <c r="AC3369" s="155"/>
      <c r="AD3369" s="155"/>
    </row>
    <row r="3370" spans="27:30" x14ac:dyDescent="0.2">
      <c r="AA3370" s="155"/>
      <c r="AC3370" s="155"/>
      <c r="AD3370" s="155"/>
    </row>
    <row r="3371" spans="27:30" x14ac:dyDescent="0.2">
      <c r="AA3371" s="155"/>
      <c r="AC3371" s="155"/>
      <c r="AD3371" s="155"/>
    </row>
    <row r="3372" spans="27:30" x14ac:dyDescent="0.2">
      <c r="AA3372" s="155"/>
      <c r="AC3372" s="155"/>
      <c r="AD3372" s="155"/>
    </row>
    <row r="3373" spans="27:30" x14ac:dyDescent="0.2">
      <c r="AA3373" s="155"/>
      <c r="AC3373" s="155"/>
      <c r="AD3373" s="155"/>
    </row>
    <row r="3374" spans="27:30" x14ac:dyDescent="0.2">
      <c r="AA3374" s="155"/>
      <c r="AC3374" s="155"/>
      <c r="AD3374" s="155"/>
    </row>
    <row r="3375" spans="27:30" x14ac:dyDescent="0.2">
      <c r="AA3375" s="155"/>
      <c r="AC3375" s="155"/>
      <c r="AD3375" s="155"/>
    </row>
    <row r="3376" spans="27:30" x14ac:dyDescent="0.2">
      <c r="AA3376" s="155"/>
      <c r="AC3376" s="155"/>
      <c r="AD3376" s="155"/>
    </row>
    <row r="3377" spans="27:30" x14ac:dyDescent="0.2">
      <c r="AA3377" s="155"/>
      <c r="AC3377" s="155"/>
      <c r="AD3377" s="155"/>
    </row>
    <row r="3378" spans="27:30" x14ac:dyDescent="0.2">
      <c r="AA3378" s="155"/>
      <c r="AC3378" s="155"/>
      <c r="AD3378" s="155"/>
    </row>
    <row r="3379" spans="27:30" x14ac:dyDescent="0.2">
      <c r="AA3379" s="155"/>
      <c r="AC3379" s="155"/>
      <c r="AD3379" s="155"/>
    </row>
    <row r="3380" spans="27:30" x14ac:dyDescent="0.2">
      <c r="AA3380" s="155"/>
      <c r="AC3380" s="155"/>
      <c r="AD3380" s="155"/>
    </row>
    <row r="3381" spans="27:30" x14ac:dyDescent="0.2">
      <c r="AA3381" s="155"/>
      <c r="AC3381" s="155"/>
      <c r="AD3381" s="155"/>
    </row>
    <row r="3382" spans="27:30" x14ac:dyDescent="0.2">
      <c r="AA3382" s="155"/>
      <c r="AC3382" s="155"/>
      <c r="AD3382" s="155"/>
    </row>
    <row r="3383" spans="27:30" x14ac:dyDescent="0.2">
      <c r="AA3383" s="155"/>
      <c r="AC3383" s="155"/>
      <c r="AD3383" s="155"/>
    </row>
    <row r="3384" spans="27:30" x14ac:dyDescent="0.2">
      <c r="AA3384" s="155"/>
      <c r="AC3384" s="155"/>
      <c r="AD3384" s="155"/>
    </row>
    <row r="3385" spans="27:30" x14ac:dyDescent="0.2">
      <c r="AA3385" s="155"/>
      <c r="AC3385" s="155"/>
      <c r="AD3385" s="155"/>
    </row>
    <row r="3386" spans="27:30" x14ac:dyDescent="0.2">
      <c r="AA3386" s="155"/>
      <c r="AC3386" s="155"/>
      <c r="AD3386" s="155"/>
    </row>
    <row r="3387" spans="27:30" x14ac:dyDescent="0.2">
      <c r="AA3387" s="155"/>
      <c r="AC3387" s="155"/>
      <c r="AD3387" s="155"/>
    </row>
    <row r="3388" spans="27:30" x14ac:dyDescent="0.2">
      <c r="AA3388" s="155"/>
      <c r="AC3388" s="155"/>
      <c r="AD3388" s="155"/>
    </row>
    <row r="3389" spans="27:30" x14ac:dyDescent="0.2">
      <c r="AA3389" s="155"/>
      <c r="AC3389" s="155"/>
      <c r="AD3389" s="155"/>
    </row>
    <row r="3390" spans="27:30" x14ac:dyDescent="0.2">
      <c r="AA3390" s="155"/>
      <c r="AC3390" s="155"/>
      <c r="AD3390" s="155"/>
    </row>
    <row r="3391" spans="27:30" x14ac:dyDescent="0.2">
      <c r="AA3391" s="155"/>
      <c r="AC3391" s="155"/>
      <c r="AD3391" s="155"/>
    </row>
    <row r="3392" spans="27:30" x14ac:dyDescent="0.2">
      <c r="AA3392" s="155"/>
      <c r="AC3392" s="155"/>
      <c r="AD3392" s="155"/>
    </row>
    <row r="3393" spans="27:30" x14ac:dyDescent="0.2">
      <c r="AA3393" s="155"/>
      <c r="AC3393" s="155"/>
      <c r="AD3393" s="155"/>
    </row>
    <row r="3394" spans="27:30" x14ac:dyDescent="0.2">
      <c r="AA3394" s="155"/>
      <c r="AC3394" s="155"/>
      <c r="AD3394" s="155"/>
    </row>
    <row r="3395" spans="27:30" x14ac:dyDescent="0.2">
      <c r="AA3395" s="155"/>
      <c r="AC3395" s="155"/>
      <c r="AD3395" s="155"/>
    </row>
    <row r="3396" spans="27:30" x14ac:dyDescent="0.2">
      <c r="AA3396" s="155"/>
      <c r="AC3396" s="155"/>
      <c r="AD3396" s="155"/>
    </row>
    <row r="3397" spans="27:30" x14ac:dyDescent="0.2">
      <c r="AA3397" s="155"/>
      <c r="AC3397" s="155"/>
      <c r="AD3397" s="155"/>
    </row>
    <row r="3398" spans="27:30" x14ac:dyDescent="0.2">
      <c r="AA3398" s="155"/>
      <c r="AC3398" s="155"/>
      <c r="AD3398" s="155"/>
    </row>
    <row r="3399" spans="27:30" x14ac:dyDescent="0.2">
      <c r="AA3399" s="155"/>
      <c r="AC3399" s="155"/>
      <c r="AD3399" s="155"/>
    </row>
    <row r="3400" spans="27:30" x14ac:dyDescent="0.2">
      <c r="AA3400" s="155"/>
      <c r="AC3400" s="155"/>
      <c r="AD3400" s="155"/>
    </row>
    <row r="3401" spans="27:30" x14ac:dyDescent="0.2">
      <c r="AA3401" s="155"/>
      <c r="AC3401" s="155"/>
      <c r="AD3401" s="155"/>
    </row>
    <row r="3402" spans="27:30" x14ac:dyDescent="0.2">
      <c r="AA3402" s="155"/>
      <c r="AC3402" s="155"/>
      <c r="AD3402" s="155"/>
    </row>
    <row r="3403" spans="27:30" x14ac:dyDescent="0.2">
      <c r="AA3403" s="155"/>
      <c r="AC3403" s="155"/>
      <c r="AD3403" s="155"/>
    </row>
    <row r="3404" spans="27:30" x14ac:dyDescent="0.2">
      <c r="AA3404" s="155"/>
      <c r="AC3404" s="155"/>
      <c r="AD3404" s="155"/>
    </row>
    <row r="3405" spans="27:30" x14ac:dyDescent="0.2">
      <c r="AA3405" s="155"/>
      <c r="AC3405" s="155"/>
      <c r="AD3405" s="155"/>
    </row>
    <row r="3406" spans="27:30" x14ac:dyDescent="0.2">
      <c r="AA3406" s="155"/>
      <c r="AC3406" s="155"/>
      <c r="AD3406" s="155"/>
    </row>
    <row r="3407" spans="27:30" x14ac:dyDescent="0.2">
      <c r="AA3407" s="155"/>
      <c r="AC3407" s="155"/>
      <c r="AD3407" s="155"/>
    </row>
    <row r="3408" spans="27:30" x14ac:dyDescent="0.2">
      <c r="AA3408" s="155"/>
      <c r="AC3408" s="155"/>
      <c r="AD3408" s="155"/>
    </row>
    <row r="3409" spans="27:30" x14ac:dyDescent="0.2">
      <c r="AA3409" s="155"/>
      <c r="AC3409" s="155"/>
      <c r="AD3409" s="155"/>
    </row>
    <row r="3410" spans="27:30" x14ac:dyDescent="0.2">
      <c r="AA3410" s="155"/>
      <c r="AC3410" s="155"/>
      <c r="AD3410" s="155"/>
    </row>
    <row r="3411" spans="27:30" x14ac:dyDescent="0.2">
      <c r="AA3411" s="155"/>
      <c r="AC3411" s="155"/>
      <c r="AD3411" s="155"/>
    </row>
    <row r="3412" spans="27:30" x14ac:dyDescent="0.2">
      <c r="AA3412" s="155"/>
      <c r="AC3412" s="155"/>
      <c r="AD3412" s="155"/>
    </row>
    <row r="3413" spans="27:30" x14ac:dyDescent="0.2">
      <c r="AA3413" s="155"/>
      <c r="AC3413" s="155"/>
      <c r="AD3413" s="155"/>
    </row>
    <row r="3414" spans="27:30" x14ac:dyDescent="0.2">
      <c r="AA3414" s="155"/>
      <c r="AC3414" s="155"/>
      <c r="AD3414" s="155"/>
    </row>
    <row r="3415" spans="27:30" x14ac:dyDescent="0.2">
      <c r="AA3415" s="155"/>
      <c r="AC3415" s="155"/>
      <c r="AD3415" s="155"/>
    </row>
    <row r="3416" spans="27:30" x14ac:dyDescent="0.2">
      <c r="AA3416" s="155"/>
      <c r="AC3416" s="155"/>
      <c r="AD3416" s="155"/>
    </row>
    <row r="3417" spans="27:30" x14ac:dyDescent="0.2">
      <c r="AA3417" s="155"/>
      <c r="AC3417" s="155"/>
      <c r="AD3417" s="155"/>
    </row>
    <row r="3418" spans="27:30" x14ac:dyDescent="0.2">
      <c r="AA3418" s="155"/>
      <c r="AC3418" s="155"/>
      <c r="AD3418" s="155"/>
    </row>
    <row r="3419" spans="27:30" x14ac:dyDescent="0.2">
      <c r="AA3419" s="155"/>
      <c r="AC3419" s="155"/>
      <c r="AD3419" s="155"/>
    </row>
    <row r="3420" spans="27:30" x14ac:dyDescent="0.2">
      <c r="AA3420" s="155"/>
      <c r="AC3420" s="155"/>
      <c r="AD3420" s="155"/>
    </row>
    <row r="3421" spans="27:30" x14ac:dyDescent="0.2">
      <c r="AA3421" s="155"/>
      <c r="AC3421" s="155"/>
      <c r="AD3421" s="155"/>
    </row>
    <row r="3422" spans="27:30" x14ac:dyDescent="0.2">
      <c r="AA3422" s="155"/>
      <c r="AC3422" s="155"/>
      <c r="AD3422" s="155"/>
    </row>
    <row r="3423" spans="27:30" x14ac:dyDescent="0.2">
      <c r="AA3423" s="155"/>
      <c r="AC3423" s="155"/>
      <c r="AD3423" s="155"/>
    </row>
    <row r="3424" spans="27:30" x14ac:dyDescent="0.2">
      <c r="AA3424" s="155"/>
      <c r="AC3424" s="155"/>
      <c r="AD3424" s="155"/>
    </row>
    <row r="3425" spans="27:30" x14ac:dyDescent="0.2">
      <c r="AA3425" s="155"/>
      <c r="AC3425" s="155"/>
      <c r="AD3425" s="155"/>
    </row>
    <row r="3426" spans="27:30" x14ac:dyDescent="0.2">
      <c r="AA3426" s="155"/>
      <c r="AC3426" s="155"/>
      <c r="AD3426" s="155"/>
    </row>
    <row r="3427" spans="27:30" x14ac:dyDescent="0.2">
      <c r="AA3427" s="155"/>
      <c r="AC3427" s="155"/>
      <c r="AD3427" s="155"/>
    </row>
    <row r="3428" spans="27:30" x14ac:dyDescent="0.2">
      <c r="AA3428" s="155"/>
      <c r="AC3428" s="155"/>
      <c r="AD3428" s="155"/>
    </row>
    <row r="3429" spans="27:30" x14ac:dyDescent="0.2">
      <c r="AA3429" s="155"/>
      <c r="AC3429" s="155"/>
      <c r="AD3429" s="155"/>
    </row>
    <row r="3430" spans="27:30" x14ac:dyDescent="0.2">
      <c r="AA3430" s="155"/>
      <c r="AC3430" s="155"/>
      <c r="AD3430" s="155"/>
    </row>
    <row r="3431" spans="27:30" x14ac:dyDescent="0.2">
      <c r="AA3431" s="155"/>
      <c r="AC3431" s="155"/>
      <c r="AD3431" s="155"/>
    </row>
    <row r="3432" spans="27:30" x14ac:dyDescent="0.2">
      <c r="AA3432" s="155"/>
      <c r="AC3432" s="155"/>
      <c r="AD3432" s="155"/>
    </row>
    <row r="3433" spans="27:30" x14ac:dyDescent="0.2">
      <c r="AA3433" s="155"/>
      <c r="AC3433" s="155"/>
      <c r="AD3433" s="155"/>
    </row>
    <row r="3434" spans="27:30" x14ac:dyDescent="0.2">
      <c r="AA3434" s="155"/>
      <c r="AC3434" s="155"/>
      <c r="AD3434" s="155"/>
    </row>
    <row r="3435" spans="27:30" x14ac:dyDescent="0.2">
      <c r="AA3435" s="155"/>
      <c r="AC3435" s="155"/>
      <c r="AD3435" s="155"/>
    </row>
    <row r="3436" spans="27:30" x14ac:dyDescent="0.2">
      <c r="AA3436" s="155"/>
      <c r="AC3436" s="155"/>
      <c r="AD3436" s="155"/>
    </row>
    <row r="3437" spans="27:30" x14ac:dyDescent="0.2">
      <c r="AA3437" s="155"/>
      <c r="AC3437" s="155"/>
      <c r="AD3437" s="155"/>
    </row>
    <row r="3438" spans="27:30" x14ac:dyDescent="0.2">
      <c r="AA3438" s="155"/>
      <c r="AC3438" s="155"/>
      <c r="AD3438" s="155"/>
    </row>
    <row r="3439" spans="27:30" x14ac:dyDescent="0.2">
      <c r="AA3439" s="155"/>
      <c r="AC3439" s="155"/>
      <c r="AD3439" s="155"/>
    </row>
    <row r="3440" spans="27:30" x14ac:dyDescent="0.2">
      <c r="AA3440" s="155"/>
      <c r="AC3440" s="155"/>
      <c r="AD3440" s="155"/>
    </row>
    <row r="3441" spans="27:30" x14ac:dyDescent="0.2">
      <c r="AA3441" s="155"/>
      <c r="AC3441" s="155"/>
      <c r="AD3441" s="155"/>
    </row>
    <row r="3442" spans="27:30" x14ac:dyDescent="0.2">
      <c r="AA3442" s="155"/>
      <c r="AC3442" s="155"/>
      <c r="AD3442" s="155"/>
    </row>
    <row r="3443" spans="27:30" x14ac:dyDescent="0.2">
      <c r="AA3443" s="155"/>
      <c r="AC3443" s="155"/>
      <c r="AD3443" s="155"/>
    </row>
    <row r="3444" spans="27:30" x14ac:dyDescent="0.2">
      <c r="AA3444" s="155"/>
      <c r="AC3444" s="155"/>
      <c r="AD3444" s="155"/>
    </row>
    <row r="3445" spans="27:30" x14ac:dyDescent="0.2">
      <c r="AA3445" s="155"/>
      <c r="AC3445" s="155"/>
      <c r="AD3445" s="155"/>
    </row>
    <row r="3446" spans="27:30" x14ac:dyDescent="0.2">
      <c r="AA3446" s="155"/>
      <c r="AC3446" s="155"/>
      <c r="AD3446" s="155"/>
    </row>
    <row r="3447" spans="27:30" x14ac:dyDescent="0.2">
      <c r="AA3447" s="155"/>
      <c r="AC3447" s="155"/>
      <c r="AD3447" s="155"/>
    </row>
    <row r="3448" spans="27:30" x14ac:dyDescent="0.2">
      <c r="AA3448" s="155"/>
      <c r="AC3448" s="155"/>
      <c r="AD3448" s="155"/>
    </row>
    <row r="3449" spans="27:30" x14ac:dyDescent="0.2">
      <c r="AA3449" s="155"/>
      <c r="AC3449" s="155"/>
      <c r="AD3449" s="155"/>
    </row>
    <row r="3450" spans="27:30" x14ac:dyDescent="0.2">
      <c r="AA3450" s="155"/>
      <c r="AC3450" s="155"/>
      <c r="AD3450" s="155"/>
    </row>
    <row r="3451" spans="27:30" x14ac:dyDescent="0.2">
      <c r="AA3451" s="155"/>
      <c r="AC3451" s="155"/>
      <c r="AD3451" s="155"/>
    </row>
    <row r="3452" spans="27:30" x14ac:dyDescent="0.2">
      <c r="AA3452" s="155"/>
      <c r="AC3452" s="155"/>
      <c r="AD3452" s="155"/>
    </row>
    <row r="3453" spans="27:30" x14ac:dyDescent="0.2">
      <c r="AA3453" s="155"/>
      <c r="AC3453" s="155"/>
      <c r="AD3453" s="155"/>
    </row>
    <row r="3454" spans="27:30" x14ac:dyDescent="0.2">
      <c r="AA3454" s="155"/>
      <c r="AC3454" s="155"/>
      <c r="AD3454" s="155"/>
    </row>
    <row r="3455" spans="27:30" x14ac:dyDescent="0.2">
      <c r="AA3455" s="155"/>
      <c r="AC3455" s="155"/>
      <c r="AD3455" s="155"/>
    </row>
    <row r="3456" spans="27:30" x14ac:dyDescent="0.2">
      <c r="AA3456" s="155"/>
      <c r="AC3456" s="155"/>
      <c r="AD3456" s="155"/>
    </row>
    <row r="3457" spans="27:30" x14ac:dyDescent="0.2">
      <c r="AA3457" s="155"/>
      <c r="AC3457" s="155"/>
      <c r="AD3457" s="155"/>
    </row>
    <row r="3458" spans="27:30" x14ac:dyDescent="0.2">
      <c r="AA3458" s="155"/>
      <c r="AC3458" s="155"/>
      <c r="AD3458" s="155"/>
    </row>
    <row r="3459" spans="27:30" x14ac:dyDescent="0.2">
      <c r="AA3459" s="155"/>
      <c r="AC3459" s="155"/>
      <c r="AD3459" s="155"/>
    </row>
    <row r="3460" spans="27:30" x14ac:dyDescent="0.2">
      <c r="AA3460" s="155"/>
      <c r="AC3460" s="155"/>
      <c r="AD3460" s="155"/>
    </row>
    <row r="3461" spans="27:30" x14ac:dyDescent="0.2">
      <c r="AA3461" s="155"/>
      <c r="AC3461" s="155"/>
      <c r="AD3461" s="155"/>
    </row>
    <row r="3462" spans="27:30" x14ac:dyDescent="0.2">
      <c r="AA3462" s="155"/>
      <c r="AC3462" s="155"/>
      <c r="AD3462" s="155"/>
    </row>
    <row r="3463" spans="27:30" x14ac:dyDescent="0.2">
      <c r="AA3463" s="155"/>
      <c r="AC3463" s="155"/>
      <c r="AD3463" s="155"/>
    </row>
    <row r="3464" spans="27:30" x14ac:dyDescent="0.2">
      <c r="AA3464" s="155"/>
      <c r="AC3464" s="155"/>
      <c r="AD3464" s="155"/>
    </row>
    <row r="3465" spans="27:30" x14ac:dyDescent="0.2">
      <c r="AA3465" s="155"/>
      <c r="AC3465" s="155"/>
      <c r="AD3465" s="155"/>
    </row>
    <row r="3466" spans="27:30" x14ac:dyDescent="0.2">
      <c r="AA3466" s="155"/>
      <c r="AC3466" s="155"/>
      <c r="AD3466" s="155"/>
    </row>
    <row r="3467" spans="27:30" x14ac:dyDescent="0.2">
      <c r="AA3467" s="155"/>
      <c r="AC3467" s="155"/>
      <c r="AD3467" s="155"/>
    </row>
    <row r="3468" spans="27:30" x14ac:dyDescent="0.2">
      <c r="AA3468" s="155"/>
      <c r="AC3468" s="155"/>
      <c r="AD3468" s="155"/>
    </row>
    <row r="3469" spans="27:30" x14ac:dyDescent="0.2">
      <c r="AA3469" s="155"/>
      <c r="AC3469" s="155"/>
      <c r="AD3469" s="155"/>
    </row>
    <row r="3470" spans="27:30" x14ac:dyDescent="0.2">
      <c r="AA3470" s="155"/>
      <c r="AC3470" s="155"/>
      <c r="AD3470" s="155"/>
    </row>
    <row r="3471" spans="27:30" x14ac:dyDescent="0.2">
      <c r="AA3471" s="155"/>
      <c r="AC3471" s="155"/>
      <c r="AD3471" s="155"/>
    </row>
    <row r="3472" spans="27:30" x14ac:dyDescent="0.2">
      <c r="AA3472" s="155"/>
      <c r="AC3472" s="155"/>
      <c r="AD3472" s="155"/>
    </row>
    <row r="3473" spans="27:30" x14ac:dyDescent="0.2">
      <c r="AA3473" s="155"/>
      <c r="AC3473" s="155"/>
      <c r="AD3473" s="155"/>
    </row>
    <row r="3474" spans="27:30" x14ac:dyDescent="0.2">
      <c r="AA3474" s="155"/>
      <c r="AC3474" s="155"/>
      <c r="AD3474" s="155"/>
    </row>
    <row r="3475" spans="27:30" x14ac:dyDescent="0.2">
      <c r="AA3475" s="155"/>
      <c r="AC3475" s="155"/>
      <c r="AD3475" s="155"/>
    </row>
    <row r="3476" spans="27:30" x14ac:dyDescent="0.2">
      <c r="AA3476" s="155"/>
      <c r="AC3476" s="155"/>
      <c r="AD3476" s="155"/>
    </row>
    <row r="3477" spans="27:30" x14ac:dyDescent="0.2">
      <c r="AA3477" s="155"/>
      <c r="AC3477" s="155"/>
      <c r="AD3477" s="155"/>
    </row>
    <row r="3478" spans="27:30" x14ac:dyDescent="0.2">
      <c r="AA3478" s="155"/>
      <c r="AC3478" s="155"/>
      <c r="AD3478" s="155"/>
    </row>
    <row r="3479" spans="27:30" x14ac:dyDescent="0.2">
      <c r="AA3479" s="155"/>
      <c r="AC3479" s="155"/>
      <c r="AD3479" s="155"/>
    </row>
    <row r="3480" spans="27:30" x14ac:dyDescent="0.2">
      <c r="AA3480" s="155"/>
      <c r="AC3480" s="155"/>
      <c r="AD3480" s="155"/>
    </row>
    <row r="3481" spans="27:30" x14ac:dyDescent="0.2">
      <c r="AA3481" s="155"/>
      <c r="AC3481" s="155"/>
      <c r="AD3481" s="155"/>
    </row>
    <row r="3482" spans="27:30" x14ac:dyDescent="0.2">
      <c r="AA3482" s="155"/>
      <c r="AC3482" s="155"/>
      <c r="AD3482" s="155"/>
    </row>
    <row r="3483" spans="27:30" x14ac:dyDescent="0.2">
      <c r="AA3483" s="155"/>
      <c r="AC3483" s="155"/>
      <c r="AD3483" s="155"/>
    </row>
    <row r="3484" spans="27:30" x14ac:dyDescent="0.2">
      <c r="AA3484" s="155"/>
      <c r="AC3484" s="155"/>
      <c r="AD3484" s="155"/>
    </row>
    <row r="3485" spans="27:30" x14ac:dyDescent="0.2">
      <c r="AA3485" s="155"/>
      <c r="AC3485" s="155"/>
      <c r="AD3485" s="155"/>
    </row>
    <row r="3486" spans="27:30" x14ac:dyDescent="0.2">
      <c r="AA3486" s="155"/>
      <c r="AC3486" s="155"/>
      <c r="AD3486" s="155"/>
    </row>
    <row r="3487" spans="27:30" x14ac:dyDescent="0.2">
      <c r="AA3487" s="155"/>
      <c r="AC3487" s="155"/>
      <c r="AD3487" s="155"/>
    </row>
    <row r="3488" spans="27:30" x14ac:dyDescent="0.2">
      <c r="AA3488" s="155"/>
      <c r="AC3488" s="155"/>
      <c r="AD3488" s="155"/>
    </row>
    <row r="3489" spans="27:30" x14ac:dyDescent="0.2">
      <c r="AA3489" s="155"/>
      <c r="AC3489" s="155"/>
      <c r="AD3489" s="155"/>
    </row>
    <row r="3490" spans="27:30" x14ac:dyDescent="0.2">
      <c r="AA3490" s="155"/>
      <c r="AC3490" s="155"/>
      <c r="AD3490" s="155"/>
    </row>
    <row r="3491" spans="27:30" x14ac:dyDescent="0.2">
      <c r="AA3491" s="155"/>
      <c r="AC3491" s="155"/>
      <c r="AD3491" s="155"/>
    </row>
    <row r="3492" spans="27:30" x14ac:dyDescent="0.2">
      <c r="AA3492" s="155"/>
      <c r="AC3492" s="155"/>
      <c r="AD3492" s="155"/>
    </row>
    <row r="3493" spans="27:30" x14ac:dyDescent="0.2">
      <c r="AA3493" s="155"/>
      <c r="AC3493" s="155"/>
      <c r="AD3493" s="155"/>
    </row>
    <row r="3494" spans="27:30" x14ac:dyDescent="0.2">
      <c r="AA3494" s="155"/>
      <c r="AC3494" s="155"/>
      <c r="AD3494" s="155"/>
    </row>
    <row r="3495" spans="27:30" x14ac:dyDescent="0.2">
      <c r="AA3495" s="155"/>
      <c r="AC3495" s="155"/>
      <c r="AD3495" s="155"/>
    </row>
    <row r="3496" spans="27:30" x14ac:dyDescent="0.2">
      <c r="AA3496" s="155"/>
      <c r="AC3496" s="155"/>
      <c r="AD3496" s="155"/>
    </row>
    <row r="3497" spans="27:30" x14ac:dyDescent="0.2">
      <c r="AA3497" s="155"/>
      <c r="AC3497" s="155"/>
      <c r="AD3497" s="155"/>
    </row>
    <row r="3498" spans="27:30" x14ac:dyDescent="0.2">
      <c r="AA3498" s="155"/>
      <c r="AC3498" s="155"/>
      <c r="AD3498" s="155"/>
    </row>
    <row r="3499" spans="27:30" x14ac:dyDescent="0.2">
      <c r="AA3499" s="155"/>
      <c r="AC3499" s="155"/>
      <c r="AD3499" s="155"/>
    </row>
    <row r="3500" spans="27:30" x14ac:dyDescent="0.2">
      <c r="AA3500" s="155"/>
      <c r="AC3500" s="155"/>
      <c r="AD3500" s="155"/>
    </row>
    <row r="3501" spans="27:30" x14ac:dyDescent="0.2">
      <c r="AA3501" s="155"/>
      <c r="AC3501" s="155"/>
      <c r="AD3501" s="155"/>
    </row>
    <row r="3502" spans="27:30" x14ac:dyDescent="0.2">
      <c r="AA3502" s="155"/>
      <c r="AC3502" s="155"/>
      <c r="AD3502" s="155"/>
    </row>
    <row r="3503" spans="27:30" x14ac:dyDescent="0.2">
      <c r="AA3503" s="155"/>
      <c r="AC3503" s="155"/>
      <c r="AD3503" s="155"/>
    </row>
    <row r="3504" spans="27:30" x14ac:dyDescent="0.2">
      <c r="AA3504" s="155"/>
      <c r="AC3504" s="155"/>
      <c r="AD3504" s="155"/>
    </row>
    <row r="3505" spans="27:30" x14ac:dyDescent="0.2">
      <c r="AA3505" s="155"/>
      <c r="AC3505" s="155"/>
      <c r="AD3505" s="155"/>
    </row>
    <row r="3506" spans="27:30" x14ac:dyDescent="0.2">
      <c r="AA3506" s="155"/>
      <c r="AC3506" s="155"/>
      <c r="AD3506" s="155"/>
    </row>
    <row r="3507" spans="27:30" x14ac:dyDescent="0.2">
      <c r="AA3507" s="155"/>
      <c r="AC3507" s="155"/>
      <c r="AD3507" s="155"/>
    </row>
    <row r="3508" spans="27:30" x14ac:dyDescent="0.2">
      <c r="AA3508" s="155"/>
      <c r="AC3508" s="155"/>
      <c r="AD3508" s="155"/>
    </row>
    <row r="3509" spans="27:30" x14ac:dyDescent="0.2">
      <c r="AA3509" s="155"/>
      <c r="AC3509" s="155"/>
      <c r="AD3509" s="155"/>
    </row>
    <row r="3510" spans="27:30" x14ac:dyDescent="0.2">
      <c r="AA3510" s="155"/>
      <c r="AC3510" s="155"/>
      <c r="AD3510" s="155"/>
    </row>
    <row r="3511" spans="27:30" x14ac:dyDescent="0.2">
      <c r="AA3511" s="155"/>
      <c r="AC3511" s="155"/>
      <c r="AD3511" s="155"/>
    </row>
    <row r="3512" spans="27:30" x14ac:dyDescent="0.2">
      <c r="AA3512" s="155"/>
      <c r="AC3512" s="155"/>
      <c r="AD3512" s="155"/>
    </row>
    <row r="3513" spans="27:30" x14ac:dyDescent="0.2">
      <c r="AA3513" s="155"/>
      <c r="AC3513" s="155"/>
      <c r="AD3513" s="155"/>
    </row>
    <row r="3514" spans="27:30" x14ac:dyDescent="0.2">
      <c r="AA3514" s="155"/>
      <c r="AC3514" s="155"/>
      <c r="AD3514" s="155"/>
    </row>
    <row r="3515" spans="27:30" x14ac:dyDescent="0.2">
      <c r="AA3515" s="155"/>
      <c r="AC3515" s="155"/>
      <c r="AD3515" s="155"/>
    </row>
    <row r="3516" spans="27:30" x14ac:dyDescent="0.2">
      <c r="AA3516" s="155"/>
      <c r="AC3516" s="155"/>
      <c r="AD3516" s="155"/>
    </row>
    <row r="3517" spans="27:30" x14ac:dyDescent="0.2">
      <c r="AA3517" s="155"/>
      <c r="AC3517" s="155"/>
      <c r="AD3517" s="155"/>
    </row>
    <row r="3518" spans="27:30" x14ac:dyDescent="0.2">
      <c r="AA3518" s="155"/>
      <c r="AC3518" s="155"/>
      <c r="AD3518" s="155"/>
    </row>
    <row r="3519" spans="27:30" x14ac:dyDescent="0.2">
      <c r="AA3519" s="155"/>
      <c r="AC3519" s="155"/>
      <c r="AD3519" s="155"/>
    </row>
    <row r="3520" spans="27:30" x14ac:dyDescent="0.2">
      <c r="AA3520" s="155"/>
      <c r="AC3520" s="155"/>
      <c r="AD3520" s="155"/>
    </row>
    <row r="3521" spans="27:30" x14ac:dyDescent="0.2">
      <c r="AA3521" s="155"/>
      <c r="AC3521" s="155"/>
      <c r="AD3521" s="155"/>
    </row>
    <row r="3522" spans="27:30" x14ac:dyDescent="0.2">
      <c r="AA3522" s="155"/>
      <c r="AC3522" s="155"/>
      <c r="AD3522" s="155"/>
    </row>
    <row r="3523" spans="27:30" x14ac:dyDescent="0.2">
      <c r="AA3523" s="155"/>
      <c r="AC3523" s="155"/>
      <c r="AD3523" s="155"/>
    </row>
    <row r="3524" spans="27:30" x14ac:dyDescent="0.2">
      <c r="AA3524" s="155"/>
      <c r="AC3524" s="155"/>
      <c r="AD3524" s="155"/>
    </row>
    <row r="3525" spans="27:30" x14ac:dyDescent="0.2">
      <c r="AA3525" s="155"/>
      <c r="AC3525" s="155"/>
      <c r="AD3525" s="155"/>
    </row>
    <row r="3526" spans="27:30" x14ac:dyDescent="0.2">
      <c r="AA3526" s="155"/>
      <c r="AC3526" s="155"/>
      <c r="AD3526" s="155"/>
    </row>
    <row r="3527" spans="27:30" x14ac:dyDescent="0.2">
      <c r="AA3527" s="155"/>
      <c r="AC3527" s="155"/>
      <c r="AD3527" s="155"/>
    </row>
    <row r="3528" spans="27:30" x14ac:dyDescent="0.2">
      <c r="AA3528" s="155"/>
      <c r="AC3528" s="155"/>
      <c r="AD3528" s="155"/>
    </row>
    <row r="3529" spans="27:30" x14ac:dyDescent="0.2">
      <c r="AA3529" s="155"/>
      <c r="AC3529" s="155"/>
      <c r="AD3529" s="155"/>
    </row>
    <row r="3530" spans="27:30" x14ac:dyDescent="0.2">
      <c r="AA3530" s="155"/>
      <c r="AC3530" s="155"/>
      <c r="AD3530" s="155"/>
    </row>
    <row r="3531" spans="27:30" x14ac:dyDescent="0.2">
      <c r="AA3531" s="155"/>
      <c r="AC3531" s="155"/>
      <c r="AD3531" s="155"/>
    </row>
    <row r="3532" spans="27:30" x14ac:dyDescent="0.2">
      <c r="AA3532" s="155"/>
      <c r="AC3532" s="155"/>
      <c r="AD3532" s="155"/>
    </row>
    <row r="3533" spans="27:30" x14ac:dyDescent="0.2">
      <c r="AA3533" s="155"/>
      <c r="AC3533" s="155"/>
      <c r="AD3533" s="155"/>
    </row>
    <row r="3534" spans="27:30" x14ac:dyDescent="0.2">
      <c r="AA3534" s="155"/>
      <c r="AC3534" s="155"/>
      <c r="AD3534" s="155"/>
    </row>
    <row r="3535" spans="27:30" x14ac:dyDescent="0.2">
      <c r="AA3535" s="155"/>
      <c r="AC3535" s="155"/>
      <c r="AD3535" s="155"/>
    </row>
    <row r="3536" spans="27:30" x14ac:dyDescent="0.2">
      <c r="AA3536" s="155"/>
      <c r="AC3536" s="155"/>
      <c r="AD3536" s="155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129" customWidth="1"/>
    <col min="2" max="2" width="2.33203125" style="129" bestFit="1" customWidth="1"/>
    <col min="3" max="3" width="3.1640625" style="129" customWidth="1"/>
    <col min="4" max="4" width="30.83203125" style="129" customWidth="1"/>
    <col min="5" max="6" width="20.1640625" style="129" bestFit="1" customWidth="1"/>
    <col min="7" max="7" width="8.1640625" style="129" bestFit="1" customWidth="1"/>
    <col min="8" max="8" width="11.6640625" style="129" customWidth="1"/>
    <col min="9" max="10" width="14.1640625" style="129" hidden="1" customWidth="1" outlineLevel="1"/>
    <col min="11" max="11" width="10.5" style="129" bestFit="1" customWidth="1" collapsed="1"/>
    <col min="12" max="12" width="9.33203125" style="129" bestFit="1" customWidth="1"/>
    <col min="13" max="13" width="10.33203125" style="129" customWidth="1"/>
    <col min="14" max="14" width="9.33203125" style="129" bestFit="1" customWidth="1"/>
    <col min="15" max="15" width="7" style="129" bestFit="1" customWidth="1"/>
    <col min="16" max="16" width="9.33203125" style="129" bestFit="1" customWidth="1"/>
    <col min="17" max="17" width="11.33203125" style="129" customWidth="1"/>
    <col min="18" max="18" width="20.1640625" style="129" bestFit="1" customWidth="1"/>
    <col min="19" max="19" width="20.1640625" style="129" customWidth="1"/>
    <col min="20" max="20" width="8.1640625" style="129" bestFit="1" customWidth="1"/>
    <col min="21" max="21" width="9.33203125" style="129" bestFit="1" customWidth="1"/>
    <col min="22" max="23" width="14.1640625" style="129" hidden="1" customWidth="1" outlineLevel="1"/>
    <col min="24" max="24" width="10.5" style="129" bestFit="1" customWidth="1" collapsed="1"/>
    <col min="25" max="16384" width="9.33203125" style="129"/>
  </cols>
  <sheetData>
    <row r="1" spans="1:24" hidden="1" outlineLevel="1" x14ac:dyDescent="0.2">
      <c r="E1" s="346" t="s">
        <v>116</v>
      </c>
      <c r="F1" s="362" t="s">
        <v>42</v>
      </c>
      <c r="N1" s="129" t="str">
        <f>_xll.qlInterpolation(,interpolator6M,_xll.ohFilter(E3:E21,M3:M21),_xll.ohFilter(L3:L21,M3:M21))</f>
        <v>obj_0056a#0003</v>
      </c>
    </row>
    <row r="2" spans="1:24" ht="26.25" customHeight="1" collapsed="1" x14ac:dyDescent="0.2">
      <c r="D2" s="156" t="str">
        <f>F1&amp;" Instruments"</f>
        <v>6M Instruments</v>
      </c>
      <c r="E2" s="156" t="s">
        <v>117</v>
      </c>
      <c r="F2" s="156" t="s">
        <v>118</v>
      </c>
      <c r="G2" s="156" t="s">
        <v>143</v>
      </c>
      <c r="H2" s="156" t="str">
        <f>F1&amp;" Market quote"</f>
        <v>6M Market quote</v>
      </c>
      <c r="I2" s="156" t="s">
        <v>144</v>
      </c>
      <c r="J2" s="156" t="s">
        <v>145</v>
      </c>
      <c r="K2" s="156" t="s">
        <v>146</v>
      </c>
      <c r="L2" s="156" t="s">
        <v>157</v>
      </c>
      <c r="M2" s="156" t="s">
        <v>88</v>
      </c>
      <c r="N2" s="156" t="s">
        <v>150</v>
      </c>
      <c r="O2" s="156" t="s">
        <v>160</v>
      </c>
      <c r="P2" s="156" t="s">
        <v>147</v>
      </c>
      <c r="R2" s="156" t="s">
        <v>117</v>
      </c>
      <c r="S2" s="156" t="s">
        <v>118</v>
      </c>
      <c r="T2" s="156" t="s">
        <v>143</v>
      </c>
      <c r="U2" s="156" t="s">
        <v>150</v>
      </c>
      <c r="V2" s="156" t="s">
        <v>144</v>
      </c>
      <c r="W2" s="156" t="s">
        <v>145</v>
      </c>
      <c r="X2" s="156" t="s">
        <v>146</v>
      </c>
    </row>
    <row r="3" spans="1:24" ht="11.25" customHeight="1" x14ac:dyDescent="0.2">
      <c r="C3" s="384" t="str">
        <f>SUBSTITUTE(F1,"M","")</f>
        <v>6</v>
      </c>
      <c r="D3" s="356" t="str">
        <f>PROPER(Currency&amp;IborType)&amp;F1&amp;"LastFixing"&amp;QuoteSuffix</f>
        <v>Euribor6MLastFixing_Quote</v>
      </c>
      <c r="E3" s="357">
        <f>SettlementDate</f>
        <v>42137</v>
      </c>
      <c r="F3" s="357">
        <f>_xll.qlCalendarAdvance(Calendar,E3,$F$1,"mf",,Trigger)</f>
        <v>42321</v>
      </c>
      <c r="G3" s="164">
        <f>_xll.qlDayCounterYearFraction(DayCounter,E3,F3,,,Trigger)</f>
        <v>0.51111111111111107</v>
      </c>
      <c r="H3" s="358">
        <f>_xll.qlQuoteValue(D3,LastFixingsTrigger)</f>
        <v>6.0999999999999997E-4</v>
      </c>
      <c r="I3" s="359">
        <f>_xll.qlYieldTSDiscount(Discounting,E3,,AllTriggers)</f>
        <v>1.0000055555787037</v>
      </c>
      <c r="J3" s="359">
        <f>_xll.qlYieldTSDiscount(Discounting,F3,,AllTriggers)</f>
        <v>1.0006036397357938</v>
      </c>
      <c r="K3" s="358">
        <f>(I3/J3-1)/G3</f>
        <v>-1.1694587234214171E-3</v>
      </c>
      <c r="L3" s="358">
        <f>H3-K3</f>
        <v>1.7794587234214172E-3</v>
      </c>
      <c r="M3" s="345" t="b">
        <v>0</v>
      </c>
      <c r="N3" s="351">
        <f>_xll.qlInterpolationInterpolate($N$1,E3,TRUE)</f>
        <v>1.8408491403314599E-3</v>
      </c>
      <c r="O3" s="352">
        <f>(L3-N3)*10000</f>
        <v>-0.61390416910042656</v>
      </c>
      <c r="P3" s="386">
        <f t="shared" ref="P3:P5" si="0">LN((1+H3*G3)/(1+K3*G3))</f>
        <v>9.0963124052824331E-4</v>
      </c>
      <c r="R3" s="178">
        <f>E3</f>
        <v>42137</v>
      </c>
      <c r="S3" s="388">
        <f>_xll.qlCalendarAdvance(Calendar,R3,$F$1,"mf",,Trigger)</f>
        <v>42321</v>
      </c>
      <c r="T3" s="389">
        <f>_xll.qlDayCounterYearFraction(DayCounter,R3,S3,,,Trigger)</f>
        <v>0.51111111111111107</v>
      </c>
      <c r="U3" s="347">
        <f>_xll.qlInterpolationInterpolate(B6Minterpolation,R3,TRUE)</f>
        <v>1.8408491403314599E-3</v>
      </c>
      <c r="V3" s="180">
        <f>_xll.qlYieldTSDiscount(Discounting,R3,,AllTriggers)</f>
        <v>1.0000055555787037</v>
      </c>
      <c r="W3" s="180">
        <f>_xll.qlYieldTSDiscount(Discounting,S3,,AllTriggers)</f>
        <v>1.0006036397357938</v>
      </c>
      <c r="X3" s="194">
        <f>(V3/W3-1)/T3</f>
        <v>-1.1694587234214171E-3</v>
      </c>
    </row>
    <row r="4" spans="1:24" ht="11.25" customHeight="1" x14ac:dyDescent="0.2">
      <c r="A4" s="129">
        <v>1</v>
      </c>
      <c r="B4" s="129" t="s">
        <v>37</v>
      </c>
      <c r="C4" s="129">
        <f>A4+SUBSTITUTE($F$1,"M","")</f>
        <v>7</v>
      </c>
      <c r="D4" s="360" t="str">
        <f t="shared" ref="D4:D21" si="1">Currency&amp;A4&amp;B4&amp;C4&amp;"F"&amp;QuoteSuffix</f>
        <v>EUR1x7F_Quote</v>
      </c>
      <c r="E4" s="183">
        <f>_xll.qlCalendarAdvance("target",$E$3,A4&amp;"M","mf",,Trigger)</f>
        <v>42170</v>
      </c>
      <c r="F4" s="183">
        <f>_xll.qlCalendarAdvance(Calendar,E4,$F$1,"mf",,Trigger)</f>
        <v>42353</v>
      </c>
      <c r="G4" s="169">
        <f>_xll.qlDayCounterYearFraction(DayCounter,E4,F4,,,Trigger)</f>
        <v>0.5083333333333333</v>
      </c>
      <c r="H4" s="181">
        <f>_xll.qlQuoteValue(D4,AllTriggers)</f>
        <v>6.3000000000000003E-4</v>
      </c>
      <c r="I4" s="180">
        <f>_xll.qlYieldTSDiscount(Discounting,E4,,AllTriggers)</f>
        <v>1.0000926469800662</v>
      </c>
      <c r="J4" s="180">
        <f>_xll.qlYieldTSDiscount(Discounting,F4,,AllTriggers)</f>
        <v>1.0007212241575918</v>
      </c>
      <c r="K4" s="181">
        <f t="shared" ref="K4:K21" si="2">(I4/J4-1)/G4</f>
        <v>-1.2356540836878449E-3</v>
      </c>
      <c r="L4" s="194">
        <f t="shared" ref="L4:L21" si="3">H4-K4</f>
        <v>1.8656540836878449E-3</v>
      </c>
      <c r="M4" s="99" t="b">
        <v>1</v>
      </c>
      <c r="N4" s="181">
        <f>_xll.qlInterpolationInterpolate($N$1,E4,TRUE)</f>
        <v>1.8656540836878449E-3</v>
      </c>
      <c r="O4" s="354">
        <f t="shared" ref="O4:O21" si="4">(L4-N4)*10000</f>
        <v>0</v>
      </c>
      <c r="P4" s="349">
        <f t="shared" si="0"/>
        <v>9.4852024274770476E-4</v>
      </c>
      <c r="R4" s="183">
        <f>_xll.qlCalendarAdvance(Calendar,R3,"1D","f")</f>
        <v>42138</v>
      </c>
      <c r="S4" s="390">
        <f>_xll.qlCalendarAdvance(Calendar,R4,$F$1,"mf",,Trigger)</f>
        <v>42324</v>
      </c>
      <c r="T4" s="391">
        <f>_xll.qlDayCounterYearFraction(DayCounter,R4,S4,,,Trigger)</f>
        <v>0.51666666666666672</v>
      </c>
      <c r="U4" s="348">
        <f>_xll.qlInterpolationInterpolate(B6Minterpolation,R4,TRUE)</f>
        <v>1.8420234994733771E-3</v>
      </c>
      <c r="V4" s="184">
        <f>_xll.qlYieldTSDiscount(Discounting,R4,,AllTriggers)</f>
        <v>1.0000083109335718</v>
      </c>
      <c r="W4" s="184">
        <f>_xll.qlYieldTSDiscount(Discounting,S4,,AllTriggers)</f>
        <v>1.0006148514215074</v>
      </c>
      <c r="X4" s="181">
        <f t="shared" ref="X4:X67" si="5">(V4/W4-1)/T4</f>
        <v>-1.1732279706028728E-3</v>
      </c>
    </row>
    <row r="5" spans="1:24" ht="11.25" customHeight="1" x14ac:dyDescent="0.2">
      <c r="A5" s="129">
        <v>2</v>
      </c>
      <c r="B5" s="129" t="s">
        <v>37</v>
      </c>
      <c r="C5" s="129">
        <f t="shared" ref="C5:C21" si="6">A5+SUBSTITUTE($F$1,"M","")</f>
        <v>8</v>
      </c>
      <c r="D5" s="360" t="str">
        <f t="shared" si="1"/>
        <v>EUR2x8F_Quote</v>
      </c>
      <c r="E5" s="183">
        <f>_xll.qlCalendarAdvance("target",$E$3,A5&amp;"M","mf",,Trigger)</f>
        <v>42198</v>
      </c>
      <c r="F5" s="183">
        <f>_xll.qlCalendarAdvance(Calendar,E5,$F$1,"mf",,Trigger)</f>
        <v>42382</v>
      </c>
      <c r="G5" s="169">
        <f>_xll.qlDayCounterYearFraction(DayCounter,E5,F5,,,Trigger)</f>
        <v>0.51111111111111107</v>
      </c>
      <c r="H5" s="181">
        <f>_xll.qlQuoteValue(D5,AllTriggers)</f>
        <v>6.4000000000000005E-4</v>
      </c>
      <c r="I5" s="184">
        <f>_xll.qlYieldTSDiscount(Discounting,E5,,AllTriggers)</f>
        <v>1.0001801147915161</v>
      </c>
      <c r="J5" s="184">
        <f>_xll.qlYieldTSDiscount(Discounting,F5,,AllTriggers)</f>
        <v>1.0008169501852315</v>
      </c>
      <c r="K5" s="181">
        <f t="shared" si="2"/>
        <v>-1.2449652174868584E-3</v>
      </c>
      <c r="L5" s="181">
        <f t="shared" si="3"/>
        <v>1.8849652174868585E-3</v>
      </c>
      <c r="M5" s="99" t="b">
        <v>1</v>
      </c>
      <c r="N5" s="181">
        <f>_xll.qlInterpolationInterpolate($N$1,E5,TRUE)</f>
        <v>1.8849652174868585E-3</v>
      </c>
      <c r="O5" s="354">
        <f t="shared" si="4"/>
        <v>0</v>
      </c>
      <c r="P5" s="349">
        <f t="shared" si="0"/>
        <v>9.6357571220527451E-4</v>
      </c>
      <c r="R5" s="183">
        <f>_xll.qlCalendarAdvance(Calendar,R4,"1D","f")</f>
        <v>42139</v>
      </c>
      <c r="S5" s="390">
        <f>_xll.qlCalendarAdvance(Calendar,R5,$F$1,"mf",,Trigger)</f>
        <v>42324</v>
      </c>
      <c r="T5" s="391">
        <f>_xll.qlDayCounterYearFraction(DayCounter,R5,S5,,,Trigger)</f>
        <v>0.51388888888888884</v>
      </c>
      <c r="U5" s="348">
        <f>_xll.qlInterpolationInterpolate(B6Minterpolation,R5,TRUE)</f>
        <v>1.8431588406899043E-3</v>
      </c>
      <c r="V5" s="184">
        <f>_xll.qlYieldTSDiscount(Discounting,R5,,AllTriggers)</f>
        <v>1.0000110435113609</v>
      </c>
      <c r="W5" s="184">
        <f>_xll.qlYieldTSDiscount(Discounting,S5,,AllTriggers)</f>
        <v>1.0006148514215074</v>
      </c>
      <c r="X5" s="181">
        <f t="shared" si="5"/>
        <v>-1.1742555621781009E-3</v>
      </c>
    </row>
    <row r="6" spans="1:24" ht="11.25" customHeight="1" x14ac:dyDescent="0.2">
      <c r="A6" s="129">
        <f>A5+1</f>
        <v>3</v>
      </c>
      <c r="B6" s="129" t="s">
        <v>37</v>
      </c>
      <c r="C6" s="129">
        <f t="shared" si="6"/>
        <v>9</v>
      </c>
      <c r="D6" s="360" t="str">
        <f t="shared" si="1"/>
        <v>EUR3x9F_Quote</v>
      </c>
      <c r="E6" s="183">
        <f>_xll.qlCalendarAdvance("target",$E$3,A6&amp;"M","mf",,Trigger)</f>
        <v>42229</v>
      </c>
      <c r="F6" s="183">
        <f>_xll.qlCalendarAdvance(Calendar,E6,$F$1,"mf",,Trigger)</f>
        <v>42415</v>
      </c>
      <c r="G6" s="169">
        <f>_xll.qlDayCounterYearFraction(DayCounter,E6,F6,,,Trigger)</f>
        <v>0.51666666666666672</v>
      </c>
      <c r="H6" s="181">
        <f>_xll.qlQuoteValue(D6,AllTriggers)</f>
        <v>6.4000000000000005E-4</v>
      </c>
      <c r="I6" s="184">
        <f>_xll.qlYieldTSDiscount(Discounting,E6,,AllTriggers)</f>
        <v>1.0002842488977353</v>
      </c>
      <c r="J6" s="184">
        <f>_xll.qlYieldTSDiscount(Discounting,F6,,AllTriggers)</f>
        <v>1.0009482218378487</v>
      </c>
      <c r="K6" s="181">
        <f t="shared" si="2"/>
        <v>-1.2838915023886371E-3</v>
      </c>
      <c r="L6" s="181">
        <f t="shared" si="3"/>
        <v>1.9238915023886373E-3</v>
      </c>
      <c r="M6" s="99" t="b">
        <v>1</v>
      </c>
      <c r="N6" s="181">
        <f>_xll.qlInterpolationInterpolate($N$1,E6,TRUE)</f>
        <v>1.9238915023886373E-3</v>
      </c>
      <c r="O6" s="354">
        <f t="shared" si="4"/>
        <v>0</v>
      </c>
      <c r="P6" s="349">
        <f t="shared" ref="P6:P21" si="7">LN((1+H6*G6)/(1+K6*G6))</f>
        <v>9.941760613316798E-4</v>
      </c>
      <c r="R6" s="183">
        <f>_xll.qlCalendarAdvance(Calendar,R5,"1D","f")</f>
        <v>42142</v>
      </c>
      <c r="S6" s="390">
        <f>_xll.qlCalendarAdvance(Calendar,R6,$F$1,"mf",,Trigger)</f>
        <v>42326</v>
      </c>
      <c r="T6" s="391">
        <f>_xll.qlDayCounterYearFraction(DayCounter,R6,S6,,,Trigger)</f>
        <v>0.51111111111111107</v>
      </c>
      <c r="U6" s="348">
        <f>_xll.qlInterpolationInterpolate(B6Minterpolation,R6,TRUE)</f>
        <v>1.8463429498888312E-3</v>
      </c>
      <c r="V6" s="184">
        <f>_xll.qlYieldTSDiscount(Discounting,R6,,AllTriggers)</f>
        <v>1.0000191751130485</v>
      </c>
      <c r="W6" s="184">
        <f>_xll.qlYieldTSDiscount(Discounting,S6,,AllTriggers)</f>
        <v>1.0006223639802621</v>
      </c>
      <c r="X6" s="181">
        <f t="shared" si="5"/>
        <v>-1.1794181041591377E-3</v>
      </c>
    </row>
    <row r="7" spans="1:24" ht="11.25" customHeight="1" x14ac:dyDescent="0.2">
      <c r="A7" s="129">
        <f t="shared" ref="A7:A21" si="8">A6+1</f>
        <v>4</v>
      </c>
      <c r="B7" s="129" t="s">
        <v>37</v>
      </c>
      <c r="C7" s="129">
        <f t="shared" si="6"/>
        <v>10</v>
      </c>
      <c r="D7" s="360" t="str">
        <f t="shared" si="1"/>
        <v>EUR4x10F_Quote</v>
      </c>
      <c r="E7" s="183">
        <f>_xll.qlCalendarAdvance("target",$E$3,A7&amp;"M","mf",,Trigger)</f>
        <v>42261</v>
      </c>
      <c r="F7" s="183">
        <f>_xll.qlCalendarAdvance(Calendar,E7,$F$1,"mf",,Trigger)</f>
        <v>42443</v>
      </c>
      <c r="G7" s="169">
        <f>_xll.qlDayCounterYearFraction(DayCounter,E7,F7,,,Trigger)</f>
        <v>0.50555555555555554</v>
      </c>
      <c r="H7" s="181">
        <f>_xll.qlQuoteValue(D7,AllTriggers)</f>
        <v>6.4999999999999997E-4</v>
      </c>
      <c r="I7" s="184">
        <f>_xll.qlYieldTSDiscount(Discounting,E7,,AllTriggers)</f>
        <v>1.0003950357156131</v>
      </c>
      <c r="J7" s="184">
        <f>_xll.qlYieldTSDiscount(Discounting,F7,,AllTriggers)</f>
        <v>1.0010495395197725</v>
      </c>
      <c r="K7" s="181">
        <f t="shared" si="2"/>
        <v>-1.2932655759946886E-3</v>
      </c>
      <c r="L7" s="181">
        <f t="shared" si="3"/>
        <v>1.9432655759946886E-3</v>
      </c>
      <c r="M7" s="99" t="b">
        <v>0</v>
      </c>
      <c r="N7" s="181">
        <f>_xll.qlInterpolationInterpolate($N$1,E7,TRUE)</f>
        <v>1.9540512438128996E-3</v>
      </c>
      <c r="O7" s="354">
        <f t="shared" si="4"/>
        <v>-0.10785667818211023</v>
      </c>
      <c r="P7" s="349">
        <f t="shared" si="7"/>
        <v>9.8258855899297859E-4</v>
      </c>
      <c r="R7" s="183">
        <f>_xll.qlCalendarAdvance(Calendar,R6,"1D","f")</f>
        <v>42143</v>
      </c>
      <c r="S7" s="390">
        <f>_xll.qlCalendarAdvance(Calendar,R7,$F$1,"mf",,Trigger)</f>
        <v>42327</v>
      </c>
      <c r="T7" s="391">
        <f>_xll.qlDayCounterYearFraction(DayCounter,R7,S7,,,Trigger)</f>
        <v>0.51111111111111107</v>
      </c>
      <c r="U7" s="348">
        <f>_xll.qlInterpolationInterpolate(B6Minterpolation,R7,TRUE)</f>
        <v>1.8473344125054833E-3</v>
      </c>
      <c r="V7" s="184">
        <f>_xll.qlYieldTSDiscount(Discounting,R7,,AllTriggers)</f>
        <v>1.0000218871137008</v>
      </c>
      <c r="W7" s="184">
        <f>_xll.qlYieldTSDiscount(Discounting,S7,,AllTriggers)</f>
        <v>1.0006261320317766</v>
      </c>
      <c r="X7" s="181">
        <f t="shared" si="5"/>
        <v>-1.1814785564055682E-3</v>
      </c>
    </row>
    <row r="8" spans="1:24" ht="11.25" customHeight="1" x14ac:dyDescent="0.2">
      <c r="A8" s="129">
        <f t="shared" si="8"/>
        <v>5</v>
      </c>
      <c r="B8" s="129" t="s">
        <v>37</v>
      </c>
      <c r="C8" s="129">
        <f t="shared" si="6"/>
        <v>11</v>
      </c>
      <c r="D8" s="360" t="str">
        <f t="shared" si="1"/>
        <v>EUR5x11F_Quote</v>
      </c>
      <c r="E8" s="183">
        <f>_xll.qlCalendarAdvance("target",$E$3,A8&amp;"M","mf",,Trigger)</f>
        <v>42290</v>
      </c>
      <c r="F8" s="183">
        <f>_xll.qlCalendarAdvance(Calendar,E8,$F$1,"mf",,Trigger)</f>
        <v>42473</v>
      </c>
      <c r="G8" s="169">
        <f>_xll.qlDayCounterYearFraction(DayCounter,E8,F8,,,Trigger)</f>
        <v>0.5083333333333333</v>
      </c>
      <c r="H8" s="181">
        <f>_xll.qlQuoteValue(D8,AllTriggers)</f>
        <v>6.7000000000000002E-4</v>
      </c>
      <c r="I8" s="184">
        <f>_xll.qlYieldTSDiscount(Discounting,E8,,AllTriggers)</f>
        <v>1.0004940903693356</v>
      </c>
      <c r="J8" s="184">
        <f>_xll.qlYieldTSDiscount(Discounting,F8,,AllTriggers)</f>
        <v>1.001153809062979</v>
      </c>
      <c r="K8" s="181">
        <f t="shared" si="2"/>
        <v>-1.2963115701457785E-3</v>
      </c>
      <c r="L8" s="181">
        <f t="shared" si="3"/>
        <v>1.9663115701457788E-3</v>
      </c>
      <c r="M8" s="99" t="b">
        <v>0</v>
      </c>
      <c r="N8" s="181">
        <f>_xll.qlInterpolationInterpolate($N$1,E8,TRUE)</f>
        <v>1.9710086341355472E-3</v>
      </c>
      <c r="O8" s="354">
        <f t="shared" si="4"/>
        <v>-4.6970639897684664E-2</v>
      </c>
      <c r="P8" s="349">
        <f t="shared" si="7"/>
        <v>9.9970093798658409E-4</v>
      </c>
      <c r="R8" s="183">
        <f>_xll.qlCalendarAdvance(Calendar,R7,"1D","f")</f>
        <v>42144</v>
      </c>
      <c r="S8" s="390">
        <f>_xll.qlCalendarAdvance(Calendar,R8,$F$1,"mf",,Trigger)</f>
        <v>42328</v>
      </c>
      <c r="T8" s="391">
        <f>_xll.qlDayCounterYearFraction(DayCounter,R8,S8,,,Trigger)</f>
        <v>0.51111111111111107</v>
      </c>
      <c r="U8" s="348">
        <f>_xll.qlInterpolationInterpolate(B6Minterpolation,R8,TRUE)</f>
        <v>1.8482929537475877E-3</v>
      </c>
      <c r="V8" s="184">
        <f>_xll.qlYieldTSDiscount(Discounting,R8,,AllTriggers)</f>
        <v>1.000024611603247</v>
      </c>
      <c r="W8" s="184">
        <f>_xll.qlYieldTSDiscount(Discounting,S8,,AllTriggers)</f>
        <v>1.0006299080832328</v>
      </c>
      <c r="X8" s="181">
        <f t="shared" si="5"/>
        <v>-1.1835302064675825E-3</v>
      </c>
    </row>
    <row r="9" spans="1:24" ht="11.25" customHeight="1" x14ac:dyDescent="0.2">
      <c r="A9" s="129">
        <f t="shared" si="8"/>
        <v>6</v>
      </c>
      <c r="B9" s="129" t="s">
        <v>37</v>
      </c>
      <c r="C9" s="129">
        <f t="shared" si="6"/>
        <v>12</v>
      </c>
      <c r="D9" s="360" t="str">
        <f t="shared" si="1"/>
        <v>EUR6x12F_Quote</v>
      </c>
      <c r="E9" s="183">
        <f>_xll.qlCalendarAdvance("target",$E$3,A9&amp;"M","mf",,Trigger)</f>
        <v>42321</v>
      </c>
      <c r="F9" s="183">
        <f>_xll.qlCalendarAdvance(Calendar,E9,$F$1,"mf",,Trigger)</f>
        <v>42503</v>
      </c>
      <c r="G9" s="169">
        <f>_xll.qlDayCounterYearFraction(DayCounter,E9,F9,,,Trigger)</f>
        <v>0.50555555555555554</v>
      </c>
      <c r="H9" s="181">
        <f>_xll.qlQuoteValue(D9,AllTriggers)</f>
        <v>6.9000000000000008E-4</v>
      </c>
      <c r="I9" s="184">
        <f>_xll.qlYieldTSDiscount(Discounting,E9,,AllTriggers)</f>
        <v>1.0006036397357938</v>
      </c>
      <c r="J9" s="184">
        <f>_xll.qlYieldTSDiscount(Discounting,F9,,AllTriggers)</f>
        <v>1.0012597709450963</v>
      </c>
      <c r="K9" s="181">
        <f t="shared" si="2"/>
        <v>-1.2962090259968854E-3</v>
      </c>
      <c r="L9" s="181">
        <f t="shared" si="3"/>
        <v>1.9862090259968853E-3</v>
      </c>
      <c r="M9" s="99" t="b">
        <v>1</v>
      </c>
      <c r="N9" s="181">
        <f>_xll.qlInterpolationInterpolate($N$1,E9,TRUE)</f>
        <v>1.9862090259968853E-3</v>
      </c>
      <c r="O9" s="354">
        <f t="shared" si="4"/>
        <v>0</v>
      </c>
      <c r="P9" s="349">
        <f t="shared" si="7"/>
        <v>1.0042929859967456E-3</v>
      </c>
      <c r="R9" s="183">
        <f>_xll.qlCalendarAdvance(Calendar,R8,"1D","f")</f>
        <v>42145</v>
      </c>
      <c r="S9" s="390">
        <f>_xll.qlCalendarAdvance(Calendar,R9,$F$1,"mf",,Trigger)</f>
        <v>42331</v>
      </c>
      <c r="T9" s="391">
        <f>_xll.qlDayCounterYearFraction(DayCounter,R9,S9,,,Trigger)</f>
        <v>0.51666666666666672</v>
      </c>
      <c r="U9" s="348">
        <f>_xll.qlInterpolationInterpolate(B6Minterpolation,R9,TRUE)</f>
        <v>1.8492197929253127E-3</v>
      </c>
      <c r="V9" s="184">
        <f>_xll.qlYieldTSDiscount(Discounting,R9,,AllTriggers)</f>
        <v>1.0000273539793332</v>
      </c>
      <c r="W9" s="184">
        <f>_xll.qlYieldTSDiscount(Discounting,S9,,AllTriggers)</f>
        <v>1.0006412853761648</v>
      </c>
      <c r="X9" s="181">
        <f t="shared" si="5"/>
        <v>-1.1874927946848282E-3</v>
      </c>
    </row>
    <row r="10" spans="1:24" ht="11.25" customHeight="1" x14ac:dyDescent="0.2">
      <c r="A10" s="129">
        <f t="shared" si="8"/>
        <v>7</v>
      </c>
      <c r="B10" s="129" t="s">
        <v>37</v>
      </c>
      <c r="C10" s="129">
        <f t="shared" si="6"/>
        <v>13</v>
      </c>
      <c r="D10" s="360" t="str">
        <f t="shared" si="1"/>
        <v>EUR7x13F_Quote</v>
      </c>
      <c r="E10" s="183">
        <f>_xll.qlCalendarAdvance("target",$E$3,A10&amp;"M","mf",,Trigger)</f>
        <v>42352</v>
      </c>
      <c r="F10" s="183">
        <f>_xll.qlCalendarAdvance(Calendar,E10,$F$1,"mf",,Trigger)</f>
        <v>42535</v>
      </c>
      <c r="G10" s="169">
        <f>_xll.qlDayCounterYearFraction(DayCounter,E10,F10,,,Trigger)</f>
        <v>0.5083333333333333</v>
      </c>
      <c r="H10" s="181">
        <f>_xll.qlQuoteValue(D10,AllTriggers)</f>
        <v>7.2000000000000005E-4</v>
      </c>
      <c r="I10" s="184">
        <f>_xll.qlYieldTSDiscount(Discounting,E10,,AllTriggers)</f>
        <v>1.0007172170074365</v>
      </c>
      <c r="J10" s="184">
        <f>_xll.qlYieldTSDiscount(Discounting,F10,,AllTriggers)</f>
        <v>1.0013750073432792</v>
      </c>
      <c r="K10" s="181">
        <f t="shared" si="2"/>
        <v>-1.2922369401462519E-3</v>
      </c>
      <c r="L10" s="181">
        <f t="shared" si="3"/>
        <v>2.0122369401462518E-3</v>
      </c>
      <c r="M10" s="99" t="b">
        <v>0</v>
      </c>
      <c r="N10" s="181">
        <f>_xll.qlInterpolationInterpolate($N$1,E10,TRUE)</f>
        <v>2.0050398799394916E-3</v>
      </c>
      <c r="O10" s="354">
        <f t="shared" si="4"/>
        <v>7.1970602067601697E-2</v>
      </c>
      <c r="P10" s="349">
        <f t="shared" si="7"/>
        <v>1.0230359944467082E-3</v>
      </c>
      <c r="R10" s="183">
        <f>_xll.qlCalendarAdvance(Calendar,R9,"1D","f")</f>
        <v>42146</v>
      </c>
      <c r="S10" s="390">
        <f>_xll.qlCalendarAdvance(Calendar,R10,$F$1,"mf",,Trigger)</f>
        <v>42331</v>
      </c>
      <c r="T10" s="391">
        <f>_xll.qlDayCounterYearFraction(DayCounter,R10,S10,,,Trigger)</f>
        <v>0.51388888888888884</v>
      </c>
      <c r="U10" s="348">
        <f>_xll.qlInterpolationInterpolate(B6Minterpolation,R10,TRUE)</f>
        <v>1.8501161493488271E-3</v>
      </c>
      <c r="V10" s="184">
        <f>_xll.qlYieldTSDiscount(Discounting,R10,,AllTriggers)</f>
        <v>1.0000301130165283</v>
      </c>
      <c r="W10" s="184">
        <f>_xll.qlYieldTSDiscount(Discounting,S10,,AllTriggers)</f>
        <v>1.0006412853761648</v>
      </c>
      <c r="X10" s="181">
        <f t="shared" si="5"/>
        <v>-1.1885461782258086E-3</v>
      </c>
    </row>
    <row r="11" spans="1:24" ht="11.25" customHeight="1" x14ac:dyDescent="0.2">
      <c r="A11" s="129">
        <f t="shared" si="8"/>
        <v>8</v>
      </c>
      <c r="B11" s="129" t="s">
        <v>37</v>
      </c>
      <c r="C11" s="129">
        <f t="shared" si="6"/>
        <v>14</v>
      </c>
      <c r="D11" s="360" t="str">
        <f t="shared" si="1"/>
        <v>EUR8x14F_Quote</v>
      </c>
      <c r="E11" s="183">
        <f>_xll.qlCalendarAdvance("target",$E$3,A11&amp;"M","mf",,Trigger)</f>
        <v>42382</v>
      </c>
      <c r="F11" s="183">
        <f>_xll.qlCalendarAdvance(Calendar,E11,$F$1,"mf",,Trigger)</f>
        <v>42564</v>
      </c>
      <c r="G11" s="169">
        <f>_xll.qlDayCounterYearFraction(DayCounter,E11,F11,,,Trigger)</f>
        <v>0.50555555555555554</v>
      </c>
      <c r="H11" s="181">
        <f>_xll.qlQuoteValue(D11,AllTriggers)</f>
        <v>7.6000000000000015E-4</v>
      </c>
      <c r="I11" s="184">
        <f>_xll.qlYieldTSDiscount(Discounting,E11,,AllTriggers)</f>
        <v>1.0008169501852315</v>
      </c>
      <c r="J11" s="184">
        <f>_xll.qlYieldTSDiscount(Discounting,F11,,AllTriggers)</f>
        <v>1.0014737745508906</v>
      </c>
      <c r="K11" s="181">
        <f t="shared" si="2"/>
        <v>-1.2973011016254947E-3</v>
      </c>
      <c r="L11" s="181">
        <f t="shared" si="3"/>
        <v>2.057301101625495E-3</v>
      </c>
      <c r="M11" s="99" t="b">
        <v>0</v>
      </c>
      <c r="N11" s="181">
        <f>_xll.qlInterpolationInterpolate($N$1,E11,TRUE)</f>
        <v>2.0275055237712518E-3</v>
      </c>
      <c r="O11" s="354">
        <f t="shared" si="4"/>
        <v>0.29795577854243183</v>
      </c>
      <c r="P11" s="349">
        <f t="shared" si="7"/>
        <v>1.0402213757192773E-3</v>
      </c>
      <c r="R11" s="183">
        <f>_xll.qlCalendarAdvance(Calendar,R10,"1D","f")</f>
        <v>42149</v>
      </c>
      <c r="S11" s="390">
        <f>_xll.qlCalendarAdvance(Calendar,R11,$F$1,"mf",,Trigger)</f>
        <v>42333</v>
      </c>
      <c r="T11" s="391">
        <f>_xll.qlDayCounterYearFraction(DayCounter,R11,S11,,,Trigger)</f>
        <v>0.51111111111111107</v>
      </c>
      <c r="U11" s="348">
        <f>_xll.qlInterpolationInterpolate(B6Minterpolation,R11,TRUE)</f>
        <v>1.8526345151957892E-3</v>
      </c>
      <c r="V11" s="184">
        <f>_xll.qlYieldTSDiscount(Discounting,R11,,AllTriggers)</f>
        <v>1.0000384612822892</v>
      </c>
      <c r="W11" s="184">
        <f>_xll.qlYieldTSDiscount(Discounting,S11,,AllTriggers)</f>
        <v>1.0006489123258671</v>
      </c>
      <c r="X11" s="181">
        <f t="shared" si="5"/>
        <v>-1.1935862046347947E-3</v>
      </c>
    </row>
    <row r="12" spans="1:24" ht="11.25" customHeight="1" x14ac:dyDescent="0.2">
      <c r="A12" s="129">
        <f t="shared" si="8"/>
        <v>9</v>
      </c>
      <c r="B12" s="129" t="s">
        <v>37</v>
      </c>
      <c r="C12" s="129">
        <f t="shared" si="6"/>
        <v>15</v>
      </c>
      <c r="D12" s="360" t="str">
        <f t="shared" si="1"/>
        <v>EUR9x15F_Quote</v>
      </c>
      <c r="E12" s="183">
        <f>_xll.qlCalendarAdvance("target",$E$3,A12&amp;"M","mf",,Trigger)</f>
        <v>42415</v>
      </c>
      <c r="F12" s="183">
        <f>_xll.qlCalendarAdvance(Calendar,E12,$F$1,"mf",,Trigger)</f>
        <v>42597</v>
      </c>
      <c r="G12" s="169">
        <f>_xll.qlDayCounterYearFraction(DayCounter,E12,F12,,,Trigger)</f>
        <v>0.50555555555555554</v>
      </c>
      <c r="H12" s="181">
        <f>_xll.qlQuoteValue(D12,AllTriggers)</f>
        <v>8.1000000000000006E-4</v>
      </c>
      <c r="I12" s="184">
        <f>_xll.qlYieldTSDiscount(Discounting,E12,,AllTriggers)</f>
        <v>1.0009482218378487</v>
      </c>
      <c r="J12" s="184">
        <f>_xll.qlYieldTSDiscount(Discounting,F12,,AllTriggers)</f>
        <v>1.0015792840959281</v>
      </c>
      <c r="K12" s="181">
        <f t="shared" si="2"/>
        <v>-1.2462867750984397E-3</v>
      </c>
      <c r="L12" s="181">
        <f t="shared" si="3"/>
        <v>2.0562867750984399E-3</v>
      </c>
      <c r="M12" s="99" t="b">
        <v>1</v>
      </c>
      <c r="N12" s="181">
        <f>_xll.qlInterpolationInterpolate($N$1,E12,TRUE)</f>
        <v>2.0562867750984399E-3</v>
      </c>
      <c r="O12" s="354">
        <f t="shared" si="4"/>
        <v>0</v>
      </c>
      <c r="P12" s="349">
        <f t="shared" si="7"/>
        <v>1.0396819564793605E-3</v>
      </c>
      <c r="R12" s="183">
        <f>_xll.qlCalendarAdvance(Calendar,R11,"1D","f")</f>
        <v>42150</v>
      </c>
      <c r="S12" s="390">
        <f>_xll.qlCalendarAdvance(Calendar,R12,$F$1,"mf",,Trigger)</f>
        <v>42334</v>
      </c>
      <c r="T12" s="391">
        <f>_xll.qlDayCounterYearFraction(DayCounter,R12,S12,,,Trigger)</f>
        <v>0.51111111111111107</v>
      </c>
      <c r="U12" s="348">
        <f>_xll.qlInterpolationInterpolate(B6Minterpolation,R12,TRUE)</f>
        <v>1.8534211337041444E-3</v>
      </c>
      <c r="V12" s="184">
        <f>_xll.qlYieldTSDiscount(Discounting,R12,,AllTriggers)</f>
        <v>1.0000412581512839</v>
      </c>
      <c r="W12" s="184">
        <f>_xll.qlYieldTSDiscount(Discounting,S12,,AllTriggers)</f>
        <v>1.0006527387687358</v>
      </c>
      <c r="X12" s="181">
        <f t="shared" si="5"/>
        <v>-1.1955947100826235E-3</v>
      </c>
    </row>
    <row r="13" spans="1:24" ht="11.25" customHeight="1" x14ac:dyDescent="0.2">
      <c r="A13" s="129">
        <f t="shared" si="8"/>
        <v>10</v>
      </c>
      <c r="B13" s="129" t="s">
        <v>37</v>
      </c>
      <c r="C13" s="129">
        <f t="shared" si="6"/>
        <v>16</v>
      </c>
      <c r="D13" s="360" t="str">
        <f t="shared" si="1"/>
        <v>EUR10x16F_Quote</v>
      </c>
      <c r="E13" s="183">
        <f>_xll.qlCalendarAdvance("target",$E$3,A13&amp;"M","mf",,Trigger)</f>
        <v>42443</v>
      </c>
      <c r="F13" s="183">
        <f>_xll.qlCalendarAdvance(Calendar,E13,$F$1,"mf",,Trigger)</f>
        <v>42627</v>
      </c>
      <c r="G13" s="169">
        <f>_xll.qlDayCounterYearFraction(DayCounter,E13,F13,,,Trigger)</f>
        <v>0.51111111111111107</v>
      </c>
      <c r="H13" s="181">
        <f>_xll.qlQuoteValue(D13,AllTriggers)</f>
        <v>8.5000000000000006E-4</v>
      </c>
      <c r="I13" s="184">
        <f>_xll.qlYieldTSDiscount(Discounting,E13,,AllTriggers)</f>
        <v>1.0010495395197725</v>
      </c>
      <c r="J13" s="184">
        <f>_xll.qlYieldTSDiscount(Discounting,F13,,AllTriggers)</f>
        <v>1.0016696216391874</v>
      </c>
      <c r="K13" s="181">
        <f t="shared" si="2"/>
        <v>-1.2111819311202132E-3</v>
      </c>
      <c r="L13" s="181">
        <f t="shared" si="3"/>
        <v>2.0611819311202135E-3</v>
      </c>
      <c r="M13" s="99" t="b">
        <v>0</v>
      </c>
      <c r="N13" s="181">
        <f>_xll.qlInterpolationInterpolate($N$1,E13,TRUE)</f>
        <v>2.0830899831343896E-3</v>
      </c>
      <c r="O13" s="354">
        <f t="shared" si="4"/>
        <v>-0.21908052014176121</v>
      </c>
      <c r="P13" s="349">
        <f t="shared" si="7"/>
        <v>1.0535903330163557E-3</v>
      </c>
      <c r="R13" s="183">
        <f>_xll.qlCalendarAdvance(Calendar,R12,"1D","f")</f>
        <v>42151</v>
      </c>
      <c r="S13" s="390">
        <f>_xll.qlCalendarAdvance(Calendar,R13,$F$1,"mf",,Trigger)</f>
        <v>42335</v>
      </c>
      <c r="T13" s="391">
        <f>_xll.qlDayCounterYearFraction(DayCounter,R13,S13,,,Trigger)</f>
        <v>0.51111111111111107</v>
      </c>
      <c r="U13" s="348">
        <f>_xll.qlInterpolationInterpolate(B6Minterpolation,R13,TRUE)</f>
        <v>1.8541833660091309E-3</v>
      </c>
      <c r="V13" s="184">
        <f>_xll.qlYieldTSDiscount(Discounting,R13,,AllTriggers)</f>
        <v>1.0000440572749105</v>
      </c>
      <c r="W13" s="184">
        <f>_xll.qlYieldTSDiscount(Discounting,S13,,AllTriggers)</f>
        <v>1.0006565740088189</v>
      </c>
      <c r="X13" s="181">
        <f t="shared" si="5"/>
        <v>-1.1976159819466372E-3</v>
      </c>
    </row>
    <row r="14" spans="1:24" ht="11.25" customHeight="1" x14ac:dyDescent="0.2">
      <c r="A14" s="129">
        <f t="shared" si="8"/>
        <v>11</v>
      </c>
      <c r="B14" s="129" t="s">
        <v>37</v>
      </c>
      <c r="C14" s="129">
        <f t="shared" si="6"/>
        <v>17</v>
      </c>
      <c r="D14" s="360" t="str">
        <f t="shared" si="1"/>
        <v>EUR11x17F_Quote</v>
      </c>
      <c r="E14" s="183">
        <f>_xll.qlCalendarAdvance("target",$E$3,A14&amp;"M","mf",,Trigger)</f>
        <v>42473</v>
      </c>
      <c r="F14" s="183">
        <f>_xll.qlCalendarAdvance(Calendar,E14,$F$1,"mf",,Trigger)</f>
        <v>42656</v>
      </c>
      <c r="G14" s="169">
        <f>_xll.qlDayCounterYearFraction(DayCounter,E14,F14,,,Trigger)</f>
        <v>0.5083333333333333</v>
      </c>
      <c r="H14" s="181">
        <f>_xll.qlQuoteValue(D14,AllTriggers)</f>
        <v>9.2000000000000003E-4</v>
      </c>
      <c r="I14" s="184">
        <f>_xll.qlYieldTSDiscount(Discounting,E14,,AllTriggers)</f>
        <v>1.001153809062979</v>
      </c>
      <c r="J14" s="184">
        <f>_xll.qlYieldTSDiscount(Discounting,F14,,AllTriggers)</f>
        <v>1.0017536321684253</v>
      </c>
      <c r="K14" s="181">
        <f t="shared" si="2"/>
        <v>-1.1779142512438202E-3</v>
      </c>
      <c r="L14" s="181">
        <f t="shared" si="3"/>
        <v>2.0979142512438202E-3</v>
      </c>
      <c r="M14" s="99" t="b">
        <v>0</v>
      </c>
      <c r="N14" s="181">
        <f>_xll.qlInterpolationInterpolate($N$1,E14,TRUE)</f>
        <v>2.1115204763220547E-3</v>
      </c>
      <c r="O14" s="354">
        <f t="shared" si="4"/>
        <v>-0.13606225078234471</v>
      </c>
      <c r="P14" s="349">
        <f t="shared" si="7"/>
        <v>1.0665097586003472E-3</v>
      </c>
      <c r="R14" s="183">
        <f>_xll.qlCalendarAdvance(Calendar,R13,"1D","f")</f>
        <v>42152</v>
      </c>
      <c r="S14" s="390">
        <f>_xll.qlCalendarAdvance(Calendar,R14,$F$1,"mf",,Trigger)</f>
        <v>42338</v>
      </c>
      <c r="T14" s="391">
        <f>_xll.qlDayCounterYearFraction(DayCounter,R14,S14,,,Trigger)</f>
        <v>0.51666666666666672</v>
      </c>
      <c r="U14" s="348">
        <f>_xll.qlInterpolationInterpolate(B6Minterpolation,R14,TRUE)</f>
        <v>1.8549224314209174E-3</v>
      </c>
      <c r="V14" s="184">
        <f>_xll.qlYieldTSDiscount(Discounting,R14,,AllTriggers)</f>
        <v>1.0000468562677289</v>
      </c>
      <c r="W14" s="184">
        <f>_xll.qlYieldTSDiscount(Discounting,S14,,AllTriggers)</f>
        <v>1.0006681336513989</v>
      </c>
      <c r="X14" s="181">
        <f t="shared" si="5"/>
        <v>-1.2016694796731257E-3</v>
      </c>
    </row>
    <row r="15" spans="1:24" ht="11.25" customHeight="1" x14ac:dyDescent="0.2">
      <c r="A15" s="129">
        <f t="shared" si="8"/>
        <v>12</v>
      </c>
      <c r="B15" s="129" t="s">
        <v>37</v>
      </c>
      <c r="C15" s="129">
        <f t="shared" si="6"/>
        <v>18</v>
      </c>
      <c r="D15" s="360" t="str">
        <f t="shared" si="1"/>
        <v>EUR12x18F_Quote</v>
      </c>
      <c r="E15" s="183">
        <f>_xll.qlCalendarAdvance("target",$E$3,A15&amp;"M","mf",,Trigger)</f>
        <v>42503</v>
      </c>
      <c r="F15" s="183">
        <f>_xll.qlCalendarAdvance(Calendar,E15,$F$1,"mf",,Trigger)</f>
        <v>42688</v>
      </c>
      <c r="G15" s="169">
        <f>_xll.qlDayCounterYearFraction(DayCounter,E15,F15,,,Trigger)</f>
        <v>0.51388888888888884</v>
      </c>
      <c r="H15" s="181">
        <f>_xll.qlQuoteValue(D15,AllTriggers)</f>
        <v>1E-3</v>
      </c>
      <c r="I15" s="184">
        <f>_xll.qlYieldTSDiscount(Discounting,E15,,AllTriggers)</f>
        <v>1.0012597709450963</v>
      </c>
      <c r="J15" s="184">
        <f>_xll.qlYieldTSDiscount(Discounting,F15,,AllTriggers)</f>
        <v>1.0018448439132035</v>
      </c>
      <c r="K15" s="181">
        <f t="shared" si="2"/>
        <v>-1.1364238457560378E-3</v>
      </c>
      <c r="L15" s="181">
        <f t="shared" si="3"/>
        <v>2.1364238457560378E-3</v>
      </c>
      <c r="M15" s="99" t="b">
        <v>1</v>
      </c>
      <c r="N15" s="181">
        <f>_xll.qlInterpolationInterpolate($N$1,E15,TRUE)</f>
        <v>2.1364238457560378E-3</v>
      </c>
      <c r="O15" s="354">
        <f t="shared" si="4"/>
        <v>0</v>
      </c>
      <c r="P15" s="349">
        <f t="shared" si="7"/>
        <v>1.0979230724579654E-3</v>
      </c>
      <c r="R15" s="183">
        <f>_xll.qlCalendarAdvance(Calendar,R14,"1D","f")</f>
        <v>42153</v>
      </c>
      <c r="S15" s="390">
        <f>_xll.qlCalendarAdvance(Calendar,R15,$F$1,"mf",,Trigger)</f>
        <v>42338</v>
      </c>
      <c r="T15" s="391">
        <f>_xll.qlDayCounterYearFraction(DayCounter,R15,S15,,,Trigger)</f>
        <v>0.51388888888888884</v>
      </c>
      <c r="U15" s="348">
        <f>_xll.qlInterpolationInterpolate(B6Minterpolation,R15,TRUE)</f>
        <v>1.8556395492496719E-3</v>
      </c>
      <c r="V15" s="184">
        <f>_xll.qlYieldTSDiscount(Discounting,R15,,AllTriggers)</f>
        <v>1.0000496547280822</v>
      </c>
      <c r="W15" s="184">
        <f>_xll.qlYieldTSDiscount(Discounting,S15,,AllTriggers)</f>
        <v>1.0006681336513989</v>
      </c>
      <c r="X15" s="181">
        <f t="shared" si="5"/>
        <v>-1.2027229737892355E-3</v>
      </c>
    </row>
    <row r="16" spans="1:24" ht="11.25" customHeight="1" x14ac:dyDescent="0.2">
      <c r="A16" s="129">
        <f t="shared" si="8"/>
        <v>13</v>
      </c>
      <c r="B16" s="129" t="s">
        <v>37</v>
      </c>
      <c r="C16" s="129">
        <f t="shared" si="6"/>
        <v>19</v>
      </c>
      <c r="D16" s="360" t="str">
        <f t="shared" si="1"/>
        <v>EUR13x19F_Quote</v>
      </c>
      <c r="E16" s="183">
        <f>_xll.qlCalendarAdvance("target",$E$3,A16&amp;"M","mf",,Trigger)</f>
        <v>42534</v>
      </c>
      <c r="F16" s="183">
        <f>_xll.qlCalendarAdvance(Calendar,E16,$F$1,"mf",,Trigger)</f>
        <v>42717</v>
      </c>
      <c r="G16" s="169">
        <f>_xll.qlDayCounterYearFraction(DayCounter,E16,F16,,,Trigger)</f>
        <v>0.5083333333333333</v>
      </c>
      <c r="H16" s="181">
        <f>_xll.qlQuoteValue(D16,AllTriggers)</f>
        <v>1.07E-3</v>
      </c>
      <c r="I16" s="184">
        <f>_xll.qlYieldTSDiscount(Discounting,E16,,AllTriggers)</f>
        <v>1.0013714951888881</v>
      </c>
      <c r="J16" s="184">
        <f>_xll.qlYieldTSDiscount(Discounting,F16,,AllTriggers)</f>
        <v>1.0019266444252579</v>
      </c>
      <c r="K16" s="181">
        <f t="shared" si="2"/>
        <v>-1.0899968221314514E-3</v>
      </c>
      <c r="L16" s="181">
        <f t="shared" si="3"/>
        <v>2.1599968221314514E-3</v>
      </c>
      <c r="M16" s="99" t="b">
        <v>0</v>
      </c>
      <c r="N16" s="181">
        <f>_xll.qlInterpolationInterpolate($N$1,E16,TRUE)</f>
        <v>2.155754094876334E-3</v>
      </c>
      <c r="O16" s="354">
        <f t="shared" si="4"/>
        <v>4.2427272551174601E-2</v>
      </c>
      <c r="P16" s="349">
        <f t="shared" si="7"/>
        <v>1.0980040755308763E-3</v>
      </c>
      <c r="R16" s="183">
        <f>_xll.qlCalendarAdvance(Calendar,R15,"1D","f")</f>
        <v>42156</v>
      </c>
      <c r="S16" s="390">
        <f>_xll.qlCalendarAdvance(Calendar,R16,$F$1,"mf",,Trigger)</f>
        <v>42339</v>
      </c>
      <c r="T16" s="391">
        <f>_xll.qlDayCounterYearFraction(DayCounter,R16,S16,,,Trigger)</f>
        <v>0.5083333333333333</v>
      </c>
      <c r="U16" s="348">
        <f>_xll.qlInterpolationInterpolate(B6Minterpolation,R16,TRUE)</f>
        <v>1.8576714103394289E-3</v>
      </c>
      <c r="V16" s="184">
        <f>_xll.qlYieldTSDiscount(Discounting,R16,,AllTriggers)</f>
        <v>1.0000530475670482</v>
      </c>
      <c r="W16" s="184">
        <f>_xll.qlYieldTSDiscount(Discounting,S16,,AllTriggers)</f>
        <v>1.000666001187364</v>
      </c>
      <c r="X16" s="181">
        <f t="shared" si="5"/>
        <v>-1.2050078639532472E-3</v>
      </c>
    </row>
    <row r="17" spans="1:24" ht="11.25" customHeight="1" x14ac:dyDescent="0.2">
      <c r="A17" s="129">
        <f t="shared" si="8"/>
        <v>14</v>
      </c>
      <c r="B17" s="129" t="s">
        <v>37</v>
      </c>
      <c r="C17" s="129">
        <f t="shared" si="6"/>
        <v>20</v>
      </c>
      <c r="D17" s="360" t="str">
        <f t="shared" si="1"/>
        <v>EUR14x20F_Quote</v>
      </c>
      <c r="E17" s="183">
        <f>_xll.qlCalendarAdvance("target",$E$3,A17&amp;"M","mf",,Trigger)</f>
        <v>42564</v>
      </c>
      <c r="F17" s="183">
        <f>_xll.qlCalendarAdvance(Calendar,E17,$F$1,"mf",,Trigger)</f>
        <v>42748</v>
      </c>
      <c r="G17" s="169">
        <f>_xll.qlDayCounterYearFraction(DayCounter,E17,F17,,,Trigger)</f>
        <v>0.51111111111111107</v>
      </c>
      <c r="H17" s="181">
        <f>_xll.qlQuoteValue(D17,AllTriggers)</f>
        <v>1.1899999999999999E-3</v>
      </c>
      <c r="I17" s="184">
        <f>_xll.qlYieldTSDiscount(Discounting,E17,,AllTriggers)</f>
        <v>1.0014737745508906</v>
      </c>
      <c r="J17" s="184">
        <f>_xll.qlYieldTSDiscount(Discounting,F17,,AllTriggers)</f>
        <v>1.0019610156868848</v>
      </c>
      <c r="K17" s="181">
        <f t="shared" si="2"/>
        <v>-9.5143210149514171E-4</v>
      </c>
      <c r="L17" s="181">
        <f t="shared" si="3"/>
        <v>2.1414321014951417E-3</v>
      </c>
      <c r="M17" s="99" t="b">
        <v>0</v>
      </c>
      <c r="N17" s="181">
        <f>_xll.qlInterpolationInterpolate($N$1,E17,TRUE)</f>
        <v>2.1686675612086212E-3</v>
      </c>
      <c r="O17" s="354">
        <f t="shared" si="4"/>
        <v>-0.27235459713479543</v>
      </c>
      <c r="P17" s="349">
        <f t="shared" si="7"/>
        <v>1.0944431247158625E-3</v>
      </c>
      <c r="R17" s="183">
        <f>_xll.qlCalendarAdvance(Calendar,R16,"1D","f")</f>
        <v>42157</v>
      </c>
      <c r="S17" s="390">
        <f>_xll.qlCalendarAdvance(Calendar,R17,$F$1,"mf",,Trigger)</f>
        <v>42340</v>
      </c>
      <c r="T17" s="391">
        <f>_xll.qlDayCounterYearFraction(DayCounter,R17,S17,,,Trigger)</f>
        <v>0.5083333333333333</v>
      </c>
      <c r="U17" s="348">
        <f>_xll.qlInterpolationInterpolate(B6Minterpolation,R17,TRUE)</f>
        <v>1.8583129309377405E-3</v>
      </c>
      <c r="V17" s="184">
        <f>_xll.qlYieldTSDiscount(Discounting,R17,,AllTriggers)</f>
        <v>1.0000558448264953</v>
      </c>
      <c r="W17" s="184">
        <f>_xll.qlYieldTSDiscount(Discounting,S17,,AllTriggers)</f>
        <v>1.0006698820988276</v>
      </c>
      <c r="X17" s="181">
        <f t="shared" si="5"/>
        <v>-1.2071335379317235E-3</v>
      </c>
    </row>
    <row r="18" spans="1:24" ht="11.25" customHeight="1" x14ac:dyDescent="0.2">
      <c r="A18" s="129">
        <f t="shared" si="8"/>
        <v>15</v>
      </c>
      <c r="B18" s="129" t="s">
        <v>37</v>
      </c>
      <c r="C18" s="129">
        <f t="shared" si="6"/>
        <v>21</v>
      </c>
      <c r="D18" s="360" t="str">
        <f t="shared" si="1"/>
        <v>EUR15x21F_Quote</v>
      </c>
      <c r="E18" s="183">
        <f>_xll.qlCalendarAdvance("target",$E$3,A18&amp;"M","mf",,Trigger)</f>
        <v>42597</v>
      </c>
      <c r="F18" s="183">
        <f>_xll.qlCalendarAdvance(Calendar,E18,$F$1,"mf",,Trigger)</f>
        <v>42781</v>
      </c>
      <c r="G18" s="169">
        <f>_xll.qlDayCounterYearFraction(DayCounter,E18,F18,,,Trigger)</f>
        <v>0.51111111111111107</v>
      </c>
      <c r="H18" s="181">
        <f>_xll.qlQuoteValue(D18,AllTriggers)</f>
        <v>1.31E-3</v>
      </c>
      <c r="I18" s="184">
        <f>_xll.qlYieldTSDiscount(Discounting,E18,,AllTriggers)</f>
        <v>1.0015792840959281</v>
      </c>
      <c r="J18" s="184">
        <f>_xll.qlYieldTSDiscount(Discounting,F18,,AllTriggers)</f>
        <v>1.0020271183339415</v>
      </c>
      <c r="K18" s="181">
        <f t="shared" si="2"/>
        <v>-8.7442485953570038E-4</v>
      </c>
      <c r="L18" s="181">
        <f t="shared" si="3"/>
        <v>2.1844248595357003E-3</v>
      </c>
      <c r="M18" s="99" t="b">
        <v>0</v>
      </c>
      <c r="N18" s="181">
        <f>_xll.qlInterpolationInterpolate($N$1,E18,TRUE)</f>
        <v>2.1776270869655521E-3</v>
      </c>
      <c r="O18" s="354">
        <f t="shared" si="4"/>
        <v>6.7977725701482722E-2</v>
      </c>
      <c r="P18" s="349">
        <f t="shared" si="7"/>
        <v>1.1163596669824122E-3</v>
      </c>
      <c r="R18" s="183">
        <f>_xll.qlCalendarAdvance(Calendar,R17,"1D","f")</f>
        <v>42158</v>
      </c>
      <c r="S18" s="390">
        <f>_xll.qlCalendarAdvance(Calendar,R18,$F$1,"mf",,Trigger)</f>
        <v>42341</v>
      </c>
      <c r="T18" s="391">
        <f>_xll.qlDayCounterYearFraction(DayCounter,R18,S18,,,Trigger)</f>
        <v>0.5083333333333333</v>
      </c>
      <c r="U18" s="348">
        <f>_xll.qlInterpolationInterpolate(B6Minterpolation,R18,TRUE)</f>
        <v>1.8589386005038626E-3</v>
      </c>
      <c r="V18" s="184">
        <f>_xll.qlYieldTSDiscount(Discounting,R18,,AllTriggers)</f>
        <v>1.0000586420249531</v>
      </c>
      <c r="W18" s="184">
        <f>_xll.qlYieldTSDiscount(Discounting,S18,,AllTriggers)</f>
        <v>1.0006737724909009</v>
      </c>
      <c r="X18" s="181">
        <f t="shared" si="5"/>
        <v>-1.2092779416863996E-3</v>
      </c>
    </row>
    <row r="19" spans="1:24" ht="11.25" customHeight="1" x14ac:dyDescent="0.2">
      <c r="A19" s="129">
        <f t="shared" si="8"/>
        <v>16</v>
      </c>
      <c r="B19" s="129" t="s">
        <v>37</v>
      </c>
      <c r="C19" s="129">
        <f t="shared" si="6"/>
        <v>22</v>
      </c>
      <c r="D19" s="360" t="str">
        <f t="shared" si="1"/>
        <v>EUR16x22F_Quote</v>
      </c>
      <c r="E19" s="183">
        <f>_xll.qlCalendarAdvance("target",$E$3,A19&amp;"M","mf",,Trigger)</f>
        <v>42626</v>
      </c>
      <c r="F19" s="183">
        <f>_xll.qlCalendarAdvance(Calendar,E19,$F$1,"mf",,Trigger)</f>
        <v>42807</v>
      </c>
      <c r="G19" s="169">
        <f>_xll.qlDayCounterYearFraction(DayCounter,E19,F19,,,Trigger)</f>
        <v>0.50277777777777777</v>
      </c>
      <c r="H19" s="181">
        <f>_xll.qlQuoteValue(D19,AllTriggers)</f>
        <v>1.4099999999999998E-3</v>
      </c>
      <c r="I19" s="184">
        <f>_xll.qlYieldTSDiscount(Discounting,E19,,AllTriggers)</f>
        <v>1.0016666778169236</v>
      </c>
      <c r="J19" s="184">
        <f>_xll.qlYieldTSDiscount(Discounting,F19,,AllTriggers)</f>
        <v>1.0020600813055374</v>
      </c>
      <c r="K19" s="181">
        <f t="shared" si="2"/>
        <v>-7.8085136006393683E-4</v>
      </c>
      <c r="L19" s="181">
        <f t="shared" si="3"/>
        <v>2.1908513600639367E-3</v>
      </c>
      <c r="M19" s="99" t="b">
        <v>0</v>
      </c>
      <c r="N19" s="181">
        <f>_xll.qlInterpolationInterpolate($N$1,E19,TRUE)</f>
        <v>2.1820952900308975E-3</v>
      </c>
      <c r="O19" s="354">
        <f t="shared" si="4"/>
        <v>8.7560700330392177E-2</v>
      </c>
      <c r="P19" s="349">
        <f t="shared" si="7"/>
        <v>1.101337301009679E-3</v>
      </c>
      <c r="R19" s="183">
        <f>_xll.qlCalendarAdvance(Calendar,R18,"1D","f")</f>
        <v>42159</v>
      </c>
      <c r="S19" s="390">
        <f>_xll.qlCalendarAdvance(Calendar,R19,$F$1,"mf",,Trigger)</f>
        <v>42342</v>
      </c>
      <c r="T19" s="391">
        <f>_xll.qlDayCounterYearFraction(DayCounter,R19,S19,,,Trigger)</f>
        <v>0.5083333333333333</v>
      </c>
      <c r="U19" s="348">
        <f>_xll.qlInterpolationInterpolate(B6Minterpolation,R19,TRUE)</f>
        <v>1.8595496383479635E-3</v>
      </c>
      <c r="V19" s="184">
        <f>_xll.qlYieldTSDiscount(Discounting,R19,,AllTriggers)</f>
        <v>1.0000614394934044</v>
      </c>
      <c r="W19" s="184">
        <f>_xll.qlYieldTSDiscount(Discounting,S19,,AllTriggers)</f>
        <v>1.0006776724774993</v>
      </c>
      <c r="X19" s="181">
        <f t="shared" si="5"/>
        <v>-1.2114406480702149E-3</v>
      </c>
    </row>
    <row r="20" spans="1:24" ht="11.25" customHeight="1" x14ac:dyDescent="0.2">
      <c r="A20" s="129">
        <f t="shared" si="8"/>
        <v>17</v>
      </c>
      <c r="B20" s="129" t="s">
        <v>37</v>
      </c>
      <c r="C20" s="129">
        <f t="shared" si="6"/>
        <v>23</v>
      </c>
      <c r="D20" s="360" t="str">
        <f t="shared" si="1"/>
        <v>EUR17x23F_Quote</v>
      </c>
      <c r="E20" s="183">
        <f>_xll.qlCalendarAdvance("target",$E$3,A20&amp;"M","mf",,Trigger)</f>
        <v>42656</v>
      </c>
      <c r="F20" s="183">
        <f>_xll.qlCalendarAdvance(Calendar,E20,$F$1,"mf",,Trigger)</f>
        <v>42838</v>
      </c>
      <c r="G20" s="169">
        <f>_xll.qlDayCounterYearFraction(DayCounter,E20,F20,,,Trigger)</f>
        <v>0.50555555555555554</v>
      </c>
      <c r="H20" s="181">
        <f>_xll.qlQuoteValue(D20,AllTriggers)</f>
        <v>1.56E-3</v>
      </c>
      <c r="I20" s="184">
        <f>_xll.qlYieldTSDiscount(Discounting,E20,,AllTriggers)</f>
        <v>1.0017536321684253</v>
      </c>
      <c r="J20" s="184">
        <f>_xll.qlYieldTSDiscount(Discounting,F20,,AllTriggers)</f>
        <v>1.002080334491972</v>
      </c>
      <c r="K20" s="181">
        <f t="shared" si="2"/>
        <v>-6.4488280430521211E-4</v>
      </c>
      <c r="L20" s="181">
        <f t="shared" si="3"/>
        <v>2.2048828043052119E-3</v>
      </c>
      <c r="M20" s="99" t="b">
        <v>0</v>
      </c>
      <c r="N20" s="181">
        <f>_xll.qlInterpolationInterpolate($N$1,E20,TRUE)</f>
        <v>2.1844786756825916E-3</v>
      </c>
      <c r="O20" s="354">
        <f t="shared" si="4"/>
        <v>0.20404128622620277</v>
      </c>
      <c r="P20" s="349">
        <f t="shared" si="7"/>
        <v>1.1144330743346918E-3</v>
      </c>
      <c r="R20" s="183">
        <f>_xll.qlCalendarAdvance(Calendar,R19,"1D","f")</f>
        <v>42160</v>
      </c>
      <c r="S20" s="390">
        <f>_xll.qlCalendarAdvance(Calendar,R20,$F$1,"mf",,Trigger)</f>
        <v>42345</v>
      </c>
      <c r="T20" s="391">
        <f>_xll.qlDayCounterYearFraction(DayCounter,R20,S20,,,Trigger)</f>
        <v>0.51388888888888884</v>
      </c>
      <c r="U20" s="348">
        <f>_xll.qlInterpolationInterpolate(B6Minterpolation,R20,TRUE)</f>
        <v>1.8601472637802114E-3</v>
      </c>
      <c r="V20" s="184">
        <f>_xll.qlYieldTSDiscount(Discounting,R20,,AllTriggers)</f>
        <v>1.0000642385095819</v>
      </c>
      <c r="W20" s="184">
        <f>_xll.qlYieldTSDiscount(Discounting,S20,,AllTriggers)</f>
        <v>1.0006894311436276</v>
      </c>
      <c r="X20" s="181">
        <f t="shared" si="5"/>
        <v>-1.2157528937486633E-3</v>
      </c>
    </row>
    <row r="21" spans="1:24" ht="11.25" customHeight="1" x14ac:dyDescent="0.2">
      <c r="A21" s="129">
        <f t="shared" si="8"/>
        <v>18</v>
      </c>
      <c r="B21" s="129" t="s">
        <v>37</v>
      </c>
      <c r="C21" s="129">
        <f t="shared" si="6"/>
        <v>24</v>
      </c>
      <c r="D21" s="361" t="str">
        <f t="shared" si="1"/>
        <v>EUR18x24F_Quote</v>
      </c>
      <c r="E21" s="187">
        <f>_xll.qlCalendarAdvance("target",$E$3,A21&amp;"M","mf",,Trigger)</f>
        <v>42688</v>
      </c>
      <c r="F21" s="187">
        <f>_xll.qlCalendarAdvance(Calendar,E21,$F$1,"mf",,Trigger)</f>
        <v>42870</v>
      </c>
      <c r="G21" s="174">
        <f>_xll.qlDayCounterYearFraction(DayCounter,E21,F21,,,Trigger)</f>
        <v>0.50555555555555554</v>
      </c>
      <c r="H21" s="190">
        <f>_xll.qlQuoteValue(D21,AllTriggers)</f>
        <v>1.7099999999999999E-3</v>
      </c>
      <c r="I21" s="188">
        <f>_xll.qlYieldTSDiscount(Discounting,E21,,AllTriggers)</f>
        <v>1.0018448439132035</v>
      </c>
      <c r="J21" s="188">
        <f>_xll.qlYieldTSDiscount(Discounting,F21,,AllTriggers)</f>
        <v>1.0020858615351997</v>
      </c>
      <c r="K21" s="190">
        <f t="shared" si="2"/>
        <v>-4.7574581350626536E-4</v>
      </c>
      <c r="L21" s="190">
        <f t="shared" si="3"/>
        <v>2.1857458135062652E-3</v>
      </c>
      <c r="M21" s="118" t="b">
        <v>1</v>
      </c>
      <c r="N21" s="190">
        <f>_xll.qlInterpolationInterpolate($N$1,E21,TRUE)</f>
        <v>2.1857458135062652E-3</v>
      </c>
      <c r="O21" s="355">
        <f t="shared" si="4"/>
        <v>0</v>
      </c>
      <c r="P21" s="387">
        <f t="shared" si="7"/>
        <v>1.104671402747394E-3</v>
      </c>
      <c r="R21" s="183">
        <f>_xll.qlCalendarAdvance(Calendar,R20,"1D","f")</f>
        <v>42163</v>
      </c>
      <c r="S21" s="390">
        <f>_xll.qlCalendarAdvance(Calendar,R21,$F$1,"mf",,Trigger)</f>
        <v>42346</v>
      </c>
      <c r="T21" s="391">
        <f>_xll.qlDayCounterYearFraction(DayCounter,R21,S21,,,Trigger)</f>
        <v>0.5083333333333333</v>
      </c>
      <c r="U21" s="348">
        <f>_xll.qlInterpolationInterpolate(B6Minterpolation,R21,TRUE)</f>
        <v>1.8618718587075232E-3</v>
      </c>
      <c r="V21" s="184">
        <f>_xll.qlYieldTSDiscount(Discounting,R21,,AllTriggers)</f>
        <v>1.0000726599888858</v>
      </c>
      <c r="W21" s="184">
        <f>_xll.qlYieldTSDiscount(Discounting,S21,,AllTriggers)</f>
        <v>1.0006933706475194</v>
      </c>
      <c r="X21" s="181">
        <f t="shared" si="5"/>
        <v>-1.220224080570666E-3</v>
      </c>
    </row>
    <row r="22" spans="1:24" ht="11.25" customHeight="1" x14ac:dyDescent="0.2">
      <c r="E22" s="340"/>
      <c r="F22" s="340"/>
      <c r="G22" s="340"/>
      <c r="H22" s="155"/>
      <c r="I22" s="131"/>
      <c r="J22" s="131"/>
      <c r="K22" s="155"/>
      <c r="L22" s="155"/>
      <c r="O22" s="131"/>
      <c r="P22" s="131"/>
      <c r="R22" s="183">
        <f>_xll.qlCalendarAdvance(Calendar,R21,"1D","f")</f>
        <v>42164</v>
      </c>
      <c r="S22" s="390">
        <f>_xll.qlCalendarAdvance(Calendar,R22,$F$1,"mf",,Trigger)</f>
        <v>42347</v>
      </c>
      <c r="T22" s="391">
        <f>_xll.qlDayCounterYearFraction(DayCounter,R22,S22,,,Trigger)</f>
        <v>0.5083333333333333</v>
      </c>
      <c r="U22" s="348">
        <f>_xll.qlInterpolationInterpolate(B6Minterpolation,R22,TRUE)</f>
        <v>1.8624280275940446E-3</v>
      </c>
      <c r="V22" s="184">
        <f>_xll.qlYieldTSDiscount(Discounting,R22,,AllTriggers)</f>
        <v>1.000075480340469</v>
      </c>
      <c r="W22" s="184">
        <f>_xll.qlYieldTSDiscount(Discounting,S22,,AllTriggers)</f>
        <v>1.0006973203155429</v>
      </c>
      <c r="X22" s="181">
        <f t="shared" si="5"/>
        <v>-1.2224393224696544E-3</v>
      </c>
    </row>
    <row r="23" spans="1:24" ht="11.25" customHeight="1" x14ac:dyDescent="0.2">
      <c r="E23" s="340"/>
      <c r="F23" s="340"/>
      <c r="G23" s="340"/>
      <c r="H23" s="155"/>
      <c r="K23" s="155"/>
      <c r="L23" s="155"/>
      <c r="P23" s="131"/>
      <c r="R23" s="183">
        <f>_xll.qlCalendarAdvance(Calendar,R22,"1D","f")</f>
        <v>42165</v>
      </c>
      <c r="S23" s="390">
        <f>_xll.qlCalendarAdvance(Calendar,R23,$F$1,"mf",,Trigger)</f>
        <v>42348</v>
      </c>
      <c r="T23" s="391">
        <f>_xll.qlDayCounterYearFraction(DayCounter,R23,S23,,,Trigger)</f>
        <v>0.5083333333333333</v>
      </c>
      <c r="U23" s="348">
        <f>_xll.qlInterpolationInterpolate(B6Minterpolation,R23,TRUE)</f>
        <v>1.8629768806195553E-3</v>
      </c>
      <c r="V23" s="184">
        <f>_xll.qlYieldTSDiscount(Discounting,R23,,AllTriggers)</f>
        <v>1.0000783098121147</v>
      </c>
      <c r="W23" s="184">
        <f>_xll.qlYieldTSDiscount(Discounting,S23,,AllTriggers)</f>
        <v>1.0007012801968453</v>
      </c>
      <c r="X23" s="181">
        <f t="shared" si="5"/>
        <v>-1.2246566834656718E-3</v>
      </c>
    </row>
    <row r="24" spans="1:24" ht="11.25" customHeight="1" x14ac:dyDescent="0.2">
      <c r="E24" s="340"/>
      <c r="F24" s="340"/>
      <c r="G24" s="340"/>
      <c r="H24" s="155"/>
      <c r="K24" s="155"/>
      <c r="L24" s="155"/>
      <c r="R24" s="183">
        <f>_xll.qlCalendarAdvance(Calendar,R23,"1D","f")</f>
        <v>42166</v>
      </c>
      <c r="S24" s="390">
        <f>_xll.qlCalendarAdvance(Calendar,R24,$F$1,"mf",,Trigger)</f>
        <v>42349</v>
      </c>
      <c r="T24" s="391">
        <f>_xll.qlDayCounterYearFraction(DayCounter,R24,S24,,,Trigger)</f>
        <v>0.5083333333333333</v>
      </c>
      <c r="U24" s="348">
        <f>_xll.qlInterpolationInterpolate(B6Minterpolation,R24,TRUE)</f>
        <v>1.8635196370942238E-3</v>
      </c>
      <c r="V24" s="184">
        <f>_xll.qlYieldTSDiscount(Discounting,R24,,AllTriggers)</f>
        <v>1.0000811499183424</v>
      </c>
      <c r="W24" s="184">
        <f>_xll.qlYieldTSDiscount(Discounting,S24,,AllTriggers)</f>
        <v>1.0007052500814493</v>
      </c>
      <c r="X24" s="181">
        <f t="shared" si="5"/>
        <v>-1.2268727736605201E-3</v>
      </c>
    </row>
    <row r="25" spans="1:24" ht="11.25" customHeight="1" x14ac:dyDescent="0.2">
      <c r="E25" s="340"/>
      <c r="F25" s="340"/>
      <c r="G25" s="340"/>
      <c r="H25" s="155"/>
      <c r="K25" s="155"/>
      <c r="L25" s="155"/>
      <c r="R25" s="183">
        <f>_xll.qlCalendarAdvance(Calendar,R24,"1D","f")</f>
        <v>42167</v>
      </c>
      <c r="S25" s="390">
        <f>_xll.qlCalendarAdvance(Calendar,R25,$F$1,"mf",,Trigger)</f>
        <v>42352</v>
      </c>
      <c r="T25" s="391">
        <f>_xll.qlDayCounterYearFraction(DayCounter,R25,S25,,,Trigger)</f>
        <v>0.51388888888888884</v>
      </c>
      <c r="U25" s="348">
        <f>_xll.qlInterpolationInterpolate(B6Minterpolation,R25,TRUE)</f>
        <v>1.8640575163282186E-3</v>
      </c>
      <c r="V25" s="184">
        <f>_xll.qlYieldTSDiscount(Discounting,R25,,AllTriggers)</f>
        <v>1.0000840021736881</v>
      </c>
      <c r="W25" s="184">
        <f>_xll.qlYieldTSDiscount(Discounting,S25,,AllTriggers)</f>
        <v>1.0007172170074365</v>
      </c>
      <c r="X25" s="181">
        <f t="shared" si="5"/>
        <v>-1.2313187159210665E-3</v>
      </c>
    </row>
    <row r="26" spans="1:24" ht="11.25" customHeight="1" x14ac:dyDescent="0.2">
      <c r="E26" s="340"/>
      <c r="F26" s="340"/>
      <c r="G26" s="340"/>
      <c r="H26" s="155"/>
      <c r="K26" s="155"/>
      <c r="L26" s="155"/>
      <c r="R26" s="183">
        <f>_xll.qlCalendarAdvance(Calendar,R25,"1D","f")</f>
        <v>42170</v>
      </c>
      <c r="S26" s="390">
        <f>_xll.qlCalendarAdvance(Calendar,R26,$F$1,"mf",,Trigger)</f>
        <v>42353</v>
      </c>
      <c r="T26" s="391">
        <f>_xll.qlDayCounterYearFraction(DayCounter,R26,S26,,,Trigger)</f>
        <v>0.5083333333333333</v>
      </c>
      <c r="U26" s="348">
        <f>_xll.qlInterpolationInterpolate(B6Minterpolation,R26,TRUE)</f>
        <v>1.8656540836878449E-3</v>
      </c>
      <c r="V26" s="184">
        <f>_xll.qlYieldTSDiscount(Discounting,R26,,AllTriggers)</f>
        <v>1.0000926469800662</v>
      </c>
      <c r="W26" s="184">
        <f>_xll.qlYieldTSDiscount(Discounting,S26,,AllTriggers)</f>
        <v>1.0007212241575918</v>
      </c>
      <c r="X26" s="181">
        <f t="shared" si="5"/>
        <v>-1.2356540836878449E-3</v>
      </c>
    </row>
    <row r="27" spans="1:24" ht="11.25" customHeight="1" x14ac:dyDescent="0.2">
      <c r="E27" s="340"/>
      <c r="F27" s="340"/>
      <c r="G27" s="340"/>
      <c r="H27" s="155"/>
      <c r="K27" s="155"/>
      <c r="L27" s="155"/>
      <c r="R27" s="183">
        <f>_xll.qlCalendarAdvance(Calendar,R26,"1D","f")</f>
        <v>42171</v>
      </c>
      <c r="S27" s="390">
        <f>_xll.qlCalendarAdvance(Calendar,R27,$F$1,"mf",,Trigger)</f>
        <v>42354</v>
      </c>
      <c r="T27" s="391">
        <f>_xll.qlDayCounterYearFraction(DayCounter,R27,S27,,,Trigger)</f>
        <v>0.5083333333333333</v>
      </c>
      <c r="U27" s="348">
        <f>_xll.qlInterpolationInterpolate(B6Minterpolation,R27,TRUE)</f>
        <v>1.8661846470608291E-3</v>
      </c>
      <c r="V27" s="184">
        <f>_xll.qlYieldTSDiscount(Discounting,R27,,AllTriggers)</f>
        <v>1.0000955626770924</v>
      </c>
      <c r="W27" s="184">
        <f>_xll.qlYieldTSDiscount(Discounting,S27,,AllTriggers)</f>
        <v>1.0007252399372006</v>
      </c>
      <c r="X27" s="181">
        <f t="shared" si="5"/>
        <v>-1.2378116537012055E-3</v>
      </c>
    </row>
    <row r="28" spans="1:24" ht="11.25" customHeight="1" x14ac:dyDescent="0.2">
      <c r="E28" s="340"/>
      <c r="F28" s="340"/>
      <c r="G28" s="340"/>
      <c r="H28" s="155"/>
      <c r="K28" s="155"/>
      <c r="L28" s="155"/>
      <c r="R28" s="183">
        <f>_xll.qlCalendarAdvance(Calendar,R27,"1D","f")</f>
        <v>42172</v>
      </c>
      <c r="S28" s="390">
        <f>_xll.qlCalendarAdvance(Calendar,R28,$F$1,"mf",,Trigger)</f>
        <v>42355</v>
      </c>
      <c r="T28" s="391">
        <f>_xll.qlDayCounterYearFraction(DayCounter,R28,S28,,,Trigger)</f>
        <v>0.5083333333333333</v>
      </c>
      <c r="U28" s="348">
        <f>_xll.qlInterpolationInterpolate(B6Minterpolation,R28,TRUE)</f>
        <v>1.8667164297439818E-3</v>
      </c>
      <c r="V28" s="184">
        <f>_xll.qlYieldTSDiscount(Discounting,R28,,AllTriggers)</f>
        <v>1.0000984962930937</v>
      </c>
      <c r="W28" s="184">
        <f>_xll.qlYieldTSDiscount(Discounting,S28,,AllTriggers)</f>
        <v>1.0007292640714809</v>
      </c>
      <c r="X28" s="181">
        <f t="shared" si="5"/>
        <v>-1.2399503947344425E-3</v>
      </c>
    </row>
    <row r="29" spans="1:24" ht="11.25" customHeight="1" x14ac:dyDescent="0.2">
      <c r="E29" s="340"/>
      <c r="F29" s="340"/>
      <c r="G29" s="340"/>
      <c r="H29" s="155"/>
      <c r="K29" s="155"/>
      <c r="L29" s="155"/>
      <c r="R29" s="183">
        <f>_xll.qlCalendarAdvance(Calendar,R28,"1D","f")</f>
        <v>42173</v>
      </c>
      <c r="S29" s="390">
        <f>_xll.qlCalendarAdvance(Calendar,R29,$F$1,"mf",,Trigger)</f>
        <v>42356</v>
      </c>
      <c r="T29" s="391">
        <f>_xll.qlDayCounterYearFraction(DayCounter,R29,S29,,,Trigger)</f>
        <v>0.5083333333333333</v>
      </c>
      <c r="U29" s="348">
        <f>_xll.qlInterpolationInterpolate(B6Minterpolation,R29,TRUE)</f>
        <v>1.8672506510474711E-3</v>
      </c>
      <c r="V29" s="184">
        <f>_xll.qlYieldTSDiscount(Discounting,R29,,AllTriggers)</f>
        <v>1.0001014475396022</v>
      </c>
      <c r="W29" s="184">
        <f>_xll.qlYieldTSDiscount(Discounting,S29,,AllTriggers)</f>
        <v>1.0007332962856457</v>
      </c>
      <c r="X29" s="181">
        <f t="shared" si="5"/>
        <v>-1.2420703341951402E-3</v>
      </c>
    </row>
    <row r="30" spans="1:24" ht="11.25" customHeight="1" x14ac:dyDescent="0.2">
      <c r="E30" s="340"/>
      <c r="F30" s="340"/>
      <c r="G30" s="340"/>
      <c r="H30" s="155"/>
      <c r="K30" s="155"/>
      <c r="L30" s="155"/>
      <c r="R30" s="183">
        <f>_xll.qlCalendarAdvance(Calendar,R29,"1D","f")</f>
        <v>42174</v>
      </c>
      <c r="S30" s="390">
        <f>_xll.qlCalendarAdvance(Calendar,R30,$F$1,"mf",,Trigger)</f>
        <v>42359</v>
      </c>
      <c r="T30" s="391">
        <f>_xll.qlDayCounterYearFraction(DayCounter,R30,S30,,,Trigger)</f>
        <v>0.51388888888888884</v>
      </c>
      <c r="U30" s="348">
        <f>_xll.qlInterpolationInterpolate(B6Minterpolation,R30,TRUE)</f>
        <v>1.8677885302814659E-3</v>
      </c>
      <c r="V30" s="184">
        <f>_xll.qlYieldTSDiscount(Discounting,R30,,AllTriggers)</f>
        <v>1.0001044161281463</v>
      </c>
      <c r="W30" s="184">
        <f>_xll.qlYieldTSDiscount(Discounting,S30,,AllTriggers)</f>
        <v>1.0007454386595234</v>
      </c>
      <c r="X30" s="181">
        <f t="shared" si="5"/>
        <v>-1.2464660322250231E-3</v>
      </c>
    </row>
    <row r="31" spans="1:24" ht="11.25" customHeight="1" x14ac:dyDescent="0.2">
      <c r="E31" s="340"/>
      <c r="F31" s="340"/>
      <c r="G31" s="340"/>
      <c r="H31" s="155"/>
      <c r="K31" s="155"/>
      <c r="L31" s="155"/>
      <c r="R31" s="183">
        <f>_xll.qlCalendarAdvance(Calendar,R30,"1D","f")</f>
        <v>42177</v>
      </c>
      <c r="S31" s="390">
        <f>_xll.qlCalendarAdvance(Calendar,R31,$F$1,"mf",,Trigger)</f>
        <v>42360</v>
      </c>
      <c r="T31" s="391">
        <f>_xll.qlDayCounterYearFraction(DayCounter,R31,S31,,,Trigger)</f>
        <v>0.5083333333333333</v>
      </c>
      <c r="U31" s="348">
        <f>_xll.qlInterpolationInterpolate(B6Minterpolation,R31,TRUE)</f>
        <v>1.8694363086681665E-3</v>
      </c>
      <c r="V31" s="184">
        <f>_xll.qlYieldTSDiscount(Discounting,R31,,AllTriggers)</f>
        <v>1.0001134230612461</v>
      </c>
      <c r="W31" s="184">
        <f>_xll.qlYieldTSDiscount(Discounting,S31,,AllTriggers)</f>
        <v>1.0007495004452798</v>
      </c>
      <c r="X31" s="181">
        <f t="shared" si="5"/>
        <v>-1.2503626245258157E-3</v>
      </c>
    </row>
    <row r="32" spans="1:24" ht="11.25" customHeight="1" x14ac:dyDescent="0.2">
      <c r="E32" s="340"/>
      <c r="F32" s="340"/>
      <c r="G32" s="340"/>
      <c r="H32" s="155"/>
      <c r="K32" s="155"/>
      <c r="L32" s="155"/>
      <c r="R32" s="183">
        <f>_xll.qlCalendarAdvance(Calendar,R31,"1D","f")</f>
        <v>42178</v>
      </c>
      <c r="S32" s="390">
        <f>_xll.qlCalendarAdvance(Calendar,R32,$F$1,"mf",,Trigger)</f>
        <v>42361</v>
      </c>
      <c r="T32" s="391">
        <f>_xll.qlDayCounterYearFraction(DayCounter,R32,S32,,,Trigger)</f>
        <v>0.5083333333333333</v>
      </c>
      <c r="U32" s="348">
        <f>_xll.qlInterpolationInterpolate(B6Minterpolation,R32,TRUE)</f>
        <v>1.8700010127258668E-3</v>
      </c>
      <c r="V32" s="184">
        <f>_xll.qlYieldTSDiscount(Discounting,R32,,AllTriggers)</f>
        <v>1.000116458133173</v>
      </c>
      <c r="W32" s="184">
        <f>_xll.qlYieldTSDiscount(Discounting,S32,,AllTriggers)</f>
        <v>1.0007535689369256</v>
      </c>
      <c r="X32" s="181">
        <f t="shared" si="5"/>
        <v>-1.2523889672709989E-3</v>
      </c>
    </row>
    <row r="33" spans="5:24" ht="11.25" customHeight="1" x14ac:dyDescent="0.2">
      <c r="E33" s="340"/>
      <c r="F33" s="340"/>
      <c r="G33" s="340"/>
      <c r="H33" s="155"/>
      <c r="K33" s="155"/>
      <c r="L33" s="155"/>
      <c r="R33" s="183">
        <f>_xll.qlCalendarAdvance(Calendar,R32,"1D","f")</f>
        <v>42179</v>
      </c>
      <c r="S33" s="390">
        <f>_xll.qlCalendarAdvance(Calendar,R33,$F$1,"mf",,Trigger)</f>
        <v>42362</v>
      </c>
      <c r="T33" s="391">
        <f>_xll.qlDayCounterYearFraction(DayCounter,R33,S33,,,Trigger)</f>
        <v>0.5083333333333333</v>
      </c>
      <c r="U33" s="348">
        <f>_xll.qlInterpolationInterpolate(B6Minterpolation,R33,TRUE)</f>
        <v>1.8705754712649147E-3</v>
      </c>
      <c r="V33" s="184">
        <f>_xll.qlYieldTSDiscount(Discounting,R33,,AllTriggers)</f>
        <v>1.0001195091047421</v>
      </c>
      <c r="W33" s="184">
        <f>_xll.qlYieldTSDiscount(Discounting,S33,,AllTriggers)</f>
        <v>1.000757643859649</v>
      </c>
      <c r="X33" s="181">
        <f t="shared" si="5"/>
        <v>-1.2543966728965747E-3</v>
      </c>
    </row>
    <row r="34" spans="5:24" ht="11.25" customHeight="1" x14ac:dyDescent="0.2">
      <c r="E34" s="340"/>
      <c r="F34" s="340"/>
      <c r="G34" s="340"/>
      <c r="H34" s="155"/>
      <c r="K34" s="155"/>
      <c r="L34" s="155"/>
      <c r="R34" s="183">
        <f>_xll.qlCalendarAdvance(Calendar,R33,"1D","f")</f>
        <v>42180</v>
      </c>
      <c r="S34" s="390">
        <f>_xll.qlCalendarAdvance(Calendar,R34,$F$1,"mf",,Trigger)</f>
        <v>42366</v>
      </c>
      <c r="T34" s="391">
        <f>_xll.qlDayCounterYearFraction(DayCounter,R34,S34,,,Trigger)</f>
        <v>0.51666666666666672</v>
      </c>
      <c r="U34" s="348">
        <f>_xll.qlInterpolationInterpolate(B6Minterpolation,R34,TRUE)</f>
        <v>1.8711609035954784E-3</v>
      </c>
      <c r="V34" s="184">
        <f>_xll.qlYieldTSDiscount(Discounting,R34,,AllTriggers)</f>
        <v>1.0001225756874668</v>
      </c>
      <c r="W34" s="184">
        <f>_xll.qlYieldTSDiscount(Discounting,S34,,AllTriggers)</f>
        <v>1.0007740023649234</v>
      </c>
      <c r="X34" s="181">
        <f t="shared" si="5"/>
        <v>-1.2598506999142891E-3</v>
      </c>
    </row>
    <row r="35" spans="5:24" ht="11.25" customHeight="1" x14ac:dyDescent="0.2">
      <c r="E35" s="340"/>
      <c r="F35" s="340"/>
      <c r="G35" s="340"/>
      <c r="H35" s="155"/>
      <c r="K35" s="155"/>
      <c r="L35" s="155"/>
      <c r="R35" s="183">
        <f>_xll.qlCalendarAdvance(Calendar,R34,"1D","f")</f>
        <v>42181</v>
      </c>
      <c r="S35" s="390">
        <f>_xll.qlCalendarAdvance(Calendar,R35,$F$1,"mf",,Trigger)</f>
        <v>42366</v>
      </c>
      <c r="T35" s="391">
        <f>_xll.qlDayCounterYearFraction(DayCounter,R35,S35,,,Trigger)</f>
        <v>0.51388888888888884</v>
      </c>
      <c r="U35" s="348">
        <f>_xll.qlInterpolationInterpolate(B6Minterpolation,R35,TRUE)</f>
        <v>1.8717585290277262E-3</v>
      </c>
      <c r="V35" s="184">
        <f>_xll.qlYieldTSDiscount(Discounting,R35,,AllTriggers)</f>
        <v>1.0001256575928572</v>
      </c>
      <c r="W35" s="184">
        <f>_xll.qlYieldTSDiscount(Discounting,S35,,AllTriggers)</f>
        <v>1.0007740023649234</v>
      </c>
      <c r="X35" s="181">
        <f t="shared" si="5"/>
        <v>-1.2606681206706171E-3</v>
      </c>
    </row>
    <row r="36" spans="5:24" ht="11.25" customHeight="1" x14ac:dyDescent="0.2">
      <c r="E36" s="340"/>
      <c r="F36" s="340"/>
      <c r="G36" s="340"/>
      <c r="H36" s="155"/>
      <c r="K36" s="155"/>
      <c r="L36" s="155"/>
      <c r="R36" s="183">
        <f>_xll.qlCalendarAdvance(Calendar,R35,"1D","f")</f>
        <v>42184</v>
      </c>
      <c r="S36" s="390">
        <f>_xll.qlCalendarAdvance(Calendar,R36,$F$1,"mf",,Trigger)</f>
        <v>42367</v>
      </c>
      <c r="T36" s="391">
        <f>_xll.qlDayCounterYearFraction(DayCounter,R36,S36,,,Trigger)</f>
        <v>0.5083333333333333</v>
      </c>
      <c r="U36" s="348">
        <f>_xll.qlInterpolationInterpolate(B6Minterpolation,R36,TRUE)</f>
        <v>1.8736367570362609E-3</v>
      </c>
      <c r="V36" s="184">
        <f>_xll.qlYieldTSDiscount(Discounting,R36,,AllTriggers)</f>
        <v>1.0001349923600846</v>
      </c>
      <c r="W36" s="184">
        <f>_xll.qlYieldTSDiscount(Discounting,S36,,AllTriggers)</f>
        <v>1.0007781053207008</v>
      </c>
      <c r="X36" s="181">
        <f t="shared" si="5"/>
        <v>-1.2641566034130253E-3</v>
      </c>
    </row>
    <row r="37" spans="5:24" ht="11.25" customHeight="1" x14ac:dyDescent="0.2">
      <c r="E37" s="340"/>
      <c r="F37" s="340"/>
      <c r="G37" s="340"/>
      <c r="H37" s="155"/>
      <c r="K37" s="155"/>
      <c r="L37" s="155"/>
      <c r="R37" s="183">
        <f>_xll.qlCalendarAdvance(Calendar,R36,"1D","f")</f>
        <v>42185</v>
      </c>
      <c r="S37" s="390">
        <f>_xll.qlCalendarAdvance(Calendar,R37,$F$1,"mf",,Trigger)</f>
        <v>42368</v>
      </c>
      <c r="T37" s="391">
        <f>_xll.qlDayCounterYearFraction(DayCounter,R37,S37,,,Trigger)</f>
        <v>0.5083333333333333</v>
      </c>
      <c r="U37" s="348">
        <f>_xll.qlInterpolationInterpolate(B6Minterpolation,R37,TRUE)</f>
        <v>1.8742953479769305E-3</v>
      </c>
      <c r="V37" s="184">
        <f>_xll.qlYieldTSDiscount(Discounting,R37,,AllTriggers)</f>
        <v>1.0001381326711849</v>
      </c>
      <c r="W37" s="184">
        <f>_xll.qlYieldTSDiscount(Discounting,S37,,AllTriggers)</f>
        <v>1.0007822130585915</v>
      </c>
      <c r="X37" s="181">
        <f t="shared" si="5"/>
        <v>-1.2660530618243192E-3</v>
      </c>
    </row>
    <row r="38" spans="5:24" ht="11.25" customHeight="1" x14ac:dyDescent="0.2">
      <c r="E38" s="340"/>
      <c r="F38" s="340"/>
      <c r="G38" s="340"/>
      <c r="H38" s="155"/>
      <c r="K38" s="155"/>
      <c r="L38" s="155"/>
      <c r="R38" s="183">
        <f>_xll.qlCalendarAdvance(Calendar,R37,"1D","f")</f>
        <v>42186</v>
      </c>
      <c r="S38" s="390">
        <f>_xll.qlCalendarAdvance(Calendar,R38,$F$1,"mf",,Trigger)</f>
        <v>42373</v>
      </c>
      <c r="T38" s="391">
        <f>_xll.qlDayCounterYearFraction(DayCounter,R38,S38,,,Trigger)</f>
        <v>0.51944444444444449</v>
      </c>
      <c r="U38" s="348">
        <f>_xll.qlInterpolationInterpolate(B6Minterpolation,R38,TRUE)</f>
        <v>1.8749722285701267E-3</v>
      </c>
      <c r="V38" s="184">
        <f>_xll.qlYieldTSDiscount(Discounting,R38,,AllTriggers)</f>
        <v>1.0001412868624593</v>
      </c>
      <c r="W38" s="184">
        <f>_xll.qlYieldTSDiscount(Discounting,S38,,AllTriggers)</f>
        <v>1.0007796953150905</v>
      </c>
      <c r="X38" s="181">
        <f t="shared" si="5"/>
        <v>-1.2280641042098888E-3</v>
      </c>
    </row>
    <row r="39" spans="5:24" ht="11.25" customHeight="1" x14ac:dyDescent="0.2">
      <c r="E39" s="340"/>
      <c r="F39" s="340"/>
      <c r="G39" s="340"/>
      <c r="H39" s="155"/>
      <c r="K39" s="155"/>
      <c r="L39" s="155"/>
      <c r="R39" s="183">
        <f>_xll.qlCalendarAdvance(Calendar,R38,"1D","f")</f>
        <v>42187</v>
      </c>
      <c r="S39" s="390">
        <f>_xll.qlCalendarAdvance(Calendar,R39,$F$1,"mf",,Trigger)</f>
        <v>42373</v>
      </c>
      <c r="T39" s="391">
        <f>_xll.qlDayCounterYearFraction(DayCounter,R39,S39,,,Trigger)</f>
        <v>0.51666666666666672</v>
      </c>
      <c r="U39" s="348">
        <f>_xll.qlInterpolationInterpolate(B6Minterpolation,R39,TRUE)</f>
        <v>1.8756686181260179E-3</v>
      </c>
      <c r="V39" s="184">
        <f>_xll.qlYieldTSDiscount(Discounting,R39,,AllTriggers)</f>
        <v>1.0001444546454008</v>
      </c>
      <c r="W39" s="184">
        <f>_xll.qlYieldTSDiscount(Discounting,S39,,AllTriggers)</f>
        <v>1.0007796953150905</v>
      </c>
      <c r="X39" s="181">
        <f t="shared" si="5"/>
        <v>-1.2285401833417129E-3</v>
      </c>
    </row>
    <row r="40" spans="5:24" ht="11.25" customHeight="1" x14ac:dyDescent="0.2">
      <c r="E40" s="340"/>
      <c r="F40" s="340"/>
      <c r="G40" s="340"/>
      <c r="H40" s="155"/>
      <c r="K40" s="155"/>
      <c r="L40" s="155"/>
      <c r="R40" s="183">
        <f>_xll.qlCalendarAdvance(Calendar,R39,"1D","f")</f>
        <v>42188</v>
      </c>
      <c r="S40" s="390">
        <f>_xll.qlCalendarAdvance(Calendar,R40,$F$1,"mf",,Trigger)</f>
        <v>42373</v>
      </c>
      <c r="T40" s="391">
        <f>_xll.qlDayCounterYearFraction(DayCounter,R40,S40,,,Trigger)</f>
        <v>0.51388888888888884</v>
      </c>
      <c r="U40" s="348">
        <f>_xll.qlInterpolationInterpolate(B6Minterpolation,R40,TRUE)</f>
        <v>1.8763857359547723E-3</v>
      </c>
      <c r="V40" s="184">
        <f>_xll.qlYieldTSDiscount(Discounting,R40,,AllTriggers)</f>
        <v>1.0001476357314991</v>
      </c>
      <c r="W40" s="184">
        <f>_xll.qlYieldTSDiscount(Discounting,S40,,AllTriggers)</f>
        <v>1.0007796953150905</v>
      </c>
      <c r="X40" s="181">
        <f t="shared" si="5"/>
        <v>-1.2289955422194376E-3</v>
      </c>
    </row>
    <row r="41" spans="5:24" ht="11.25" customHeight="1" x14ac:dyDescent="0.2">
      <c r="E41" s="340"/>
      <c r="F41" s="340"/>
      <c r="G41" s="340"/>
      <c r="H41" s="155"/>
      <c r="K41" s="155"/>
      <c r="L41" s="155"/>
      <c r="R41" s="183">
        <f>_xll.qlCalendarAdvance(Calendar,R40,"1D","f")</f>
        <v>42191</v>
      </c>
      <c r="S41" s="390">
        <f>_xll.qlCalendarAdvance(Calendar,R41,$F$1,"mf",,Trigger)</f>
        <v>42375</v>
      </c>
      <c r="T41" s="391">
        <f>_xll.qlDayCounterYearFraction(DayCounter,R41,S41,,,Trigger)</f>
        <v>0.51111111111111107</v>
      </c>
      <c r="U41" s="348">
        <f>_xll.qlInterpolationInterpolate(B6Minterpolation,R41,TRUE)</f>
        <v>1.8786736521799006E-3</v>
      </c>
      <c r="V41" s="184">
        <f>_xll.qlYieldTSDiscount(Discounting,R41,,AllTriggers)</f>
        <v>1.0001572559235816</v>
      </c>
      <c r="W41" s="184">
        <f>_xll.qlYieldTSDiscount(Discounting,S41,,AllTriggers)</f>
        <v>1.0007879592997391</v>
      </c>
      <c r="X41" s="181">
        <f t="shared" si="5"/>
        <v>-1.2330133020968647E-3</v>
      </c>
    </row>
    <row r="42" spans="5:24" ht="11.25" customHeight="1" x14ac:dyDescent="0.2">
      <c r="E42" s="340"/>
      <c r="F42" s="340"/>
      <c r="G42" s="340"/>
      <c r="H42" s="155"/>
      <c r="K42" s="155"/>
      <c r="L42" s="155"/>
      <c r="R42" s="183">
        <f>_xll.qlCalendarAdvance(Calendar,R41,"1D","f")</f>
        <v>42192</v>
      </c>
      <c r="S42" s="390">
        <f>_xll.qlCalendarAdvance(Calendar,R42,$F$1,"mf",,Trigger)</f>
        <v>42376</v>
      </c>
      <c r="T42" s="391">
        <f>_xll.qlDayCounterYearFraction(DayCounter,R42,S42,,,Trigger)</f>
        <v>0.51111111111111107</v>
      </c>
      <c r="U42" s="348">
        <f>_xll.qlInterpolationInterpolate(B6Minterpolation,R42,TRUE)</f>
        <v>1.8794858762017929E-3</v>
      </c>
      <c r="V42" s="184">
        <f>_xll.qlYieldTSDiscount(Discounting,R42,,AllTriggers)</f>
        <v>1.000160487337139</v>
      </c>
      <c r="W42" s="184">
        <f>_xll.qlYieldTSDiscount(Discounting,S42,,AllTriggers)</f>
        <v>1.0007920953042759</v>
      </c>
      <c r="X42" s="181">
        <f t="shared" si="5"/>
        <v>-1.2347766575189793E-3</v>
      </c>
    </row>
    <row r="43" spans="5:24" ht="11.25" customHeight="1" x14ac:dyDescent="0.2">
      <c r="E43" s="340"/>
      <c r="F43" s="340"/>
      <c r="G43" s="340"/>
      <c r="H43" s="155"/>
      <c r="K43" s="155"/>
      <c r="L43" s="155"/>
      <c r="R43" s="183">
        <f>_xll.qlCalendarAdvance(Calendar,R42,"1D","f")</f>
        <v>42193</v>
      </c>
      <c r="S43" s="390">
        <f>_xll.qlCalendarAdvance(Calendar,R43,$F$1,"mf",,Trigger)</f>
        <v>42377</v>
      </c>
      <c r="T43" s="391">
        <f>_xll.qlDayCounterYearFraction(DayCounter,R43,S43,,,Trigger)</f>
        <v>0.51111111111111107</v>
      </c>
      <c r="U43" s="348">
        <f>_xll.qlInterpolationInterpolate(B6Minterpolation,R43,TRUE)</f>
        <v>1.8803249250473907E-3</v>
      </c>
      <c r="V43" s="184">
        <f>_xll.qlYieldTSDiscount(Discounting,R43,,AllTriggers)</f>
        <v>1.000163730611253</v>
      </c>
      <c r="W43" s="184">
        <f>_xll.qlYieldTSDiscount(Discounting,S43,,AllTriggers)</f>
        <v>1.0007962336171268</v>
      </c>
      <c r="X43" s="181">
        <f t="shared" si="5"/>
        <v>-1.2365213212131457E-3</v>
      </c>
    </row>
    <row r="44" spans="5:24" ht="11.25" customHeight="1" x14ac:dyDescent="0.2">
      <c r="E44" s="340"/>
      <c r="F44" s="340"/>
      <c r="G44" s="340"/>
      <c r="H44" s="155"/>
      <c r="K44" s="155"/>
      <c r="L44" s="155"/>
      <c r="R44" s="183">
        <f>_xll.qlCalendarAdvance(Calendar,R43,"1D","f")</f>
        <v>42194</v>
      </c>
      <c r="S44" s="390">
        <f>_xll.qlCalendarAdvance(Calendar,R44,$F$1,"mf",,Trigger)</f>
        <v>42380</v>
      </c>
      <c r="T44" s="391">
        <f>_xll.qlDayCounterYearFraction(DayCounter,R44,S44,,,Trigger)</f>
        <v>0.51666666666666672</v>
      </c>
      <c r="U44" s="348">
        <f>_xll.qlInterpolationInterpolate(B6Minterpolation,R44,TRUE)</f>
        <v>1.8811920180268626E-3</v>
      </c>
      <c r="V44" s="184">
        <f>_xll.qlYieldTSDiscount(Discounting,R44,,AllTriggers)</f>
        <v>1.000166985457394</v>
      </c>
      <c r="W44" s="184">
        <f>_xll.qlYieldTSDiscount(Discounting,S44,,AllTriggers)</f>
        <v>1.0008086596567678</v>
      </c>
      <c r="X44" s="181">
        <f t="shared" si="5"/>
        <v>-1.2409465598847969E-3</v>
      </c>
    </row>
    <row r="45" spans="5:24" ht="11.25" customHeight="1" x14ac:dyDescent="0.2">
      <c r="E45" s="340"/>
      <c r="F45" s="340"/>
      <c r="G45" s="340"/>
      <c r="H45" s="155"/>
      <c r="K45" s="155"/>
      <c r="L45" s="155"/>
      <c r="R45" s="183">
        <f>_xll.qlCalendarAdvance(Calendar,R44,"1D","f")</f>
        <v>42195</v>
      </c>
      <c r="S45" s="390">
        <f>_xll.qlCalendarAdvance(Calendar,R45,$F$1,"mf",,Trigger)</f>
        <v>42380</v>
      </c>
      <c r="T45" s="391">
        <f>_xll.qlDayCounterYearFraction(DayCounter,R45,S45,,,Trigger)</f>
        <v>0.51388888888888884</v>
      </c>
      <c r="U45" s="348">
        <f>_xll.qlInterpolationInterpolate(B6Minterpolation,R45,TRUE)</f>
        <v>1.882088374450377E-3</v>
      </c>
      <c r="V45" s="184">
        <f>_xll.qlYieldTSDiscount(Discounting,R45,,AllTriggers)</f>
        <v>1.0001702515870292</v>
      </c>
      <c r="W45" s="184">
        <f>_xll.qlYieldTSDiscount(Discounting,S45,,AllTriggers)</f>
        <v>1.0008086596567678</v>
      </c>
      <c r="X45" s="181">
        <f t="shared" si="5"/>
        <v>-1.2413038028597516E-3</v>
      </c>
    </row>
    <row r="46" spans="5:24" ht="11.25" customHeight="1" x14ac:dyDescent="0.2">
      <c r="E46" s="340"/>
      <c r="F46" s="340"/>
      <c r="G46" s="340"/>
      <c r="H46" s="155"/>
      <c r="K46" s="155"/>
      <c r="L46" s="155"/>
      <c r="R46" s="183">
        <f>_xll.qlCalendarAdvance(Calendar,R45,"1D","f")</f>
        <v>42198</v>
      </c>
      <c r="S46" s="390">
        <f>_xll.qlCalendarAdvance(Calendar,R46,$F$1,"mf",,Trigger)</f>
        <v>42382</v>
      </c>
      <c r="T46" s="391">
        <f>_xll.qlDayCounterYearFraction(DayCounter,R46,S46,,,Trigger)</f>
        <v>0.51111111111111107</v>
      </c>
      <c r="U46" s="348">
        <f>_xll.qlInterpolationInterpolate(B6Minterpolation,R46,TRUE)</f>
        <v>1.8849652174868585E-3</v>
      </c>
      <c r="V46" s="184">
        <f>_xll.qlYieldTSDiscount(Discounting,R46,,AllTriggers)</f>
        <v>1.0001801147915161</v>
      </c>
      <c r="W46" s="184">
        <f>_xll.qlYieldTSDiscount(Discounting,S46,,AllTriggers)</f>
        <v>1.0008169501852315</v>
      </c>
      <c r="X46" s="181">
        <f t="shared" si="5"/>
        <v>-1.2449652174868584E-3</v>
      </c>
    </row>
    <row r="47" spans="5:24" ht="11.25" customHeight="1" x14ac:dyDescent="0.2">
      <c r="E47" s="340"/>
      <c r="F47" s="340"/>
      <c r="G47" s="340"/>
      <c r="H47" s="155"/>
      <c r="K47" s="155"/>
      <c r="L47" s="155"/>
      <c r="R47" s="183">
        <f>_xll.qlCalendarAdvance(Calendar,R46,"1D","f")</f>
        <v>42199</v>
      </c>
      <c r="S47" s="390">
        <f>_xll.qlCalendarAdvance(Calendar,R47,$F$1,"mf",,Trigger)</f>
        <v>42383</v>
      </c>
      <c r="T47" s="391">
        <f>_xll.qlDayCounterYearFraction(DayCounter,R47,S47,,,Trigger)</f>
        <v>0.51111111111111107</v>
      </c>
      <c r="U47" s="348">
        <f>_xll.qlInterpolationInterpolate(B6Minterpolation,R47,TRUE)</f>
        <v>1.8859903243089455E-3</v>
      </c>
      <c r="V47" s="184">
        <f>_xll.qlYieldTSDiscount(Discounting,R47,,AllTriggers)</f>
        <v>1.0001834231020037</v>
      </c>
      <c r="W47" s="184">
        <f>_xll.qlYieldTSDiscount(Discounting,S47,,AllTriggers)</f>
        <v>1.000821096575389</v>
      </c>
      <c r="X47" s="181">
        <f t="shared" si="5"/>
        <v>-1.246598435438825E-3</v>
      </c>
    </row>
    <row r="48" spans="5:24" ht="11.25" customHeight="1" x14ac:dyDescent="0.2">
      <c r="E48" s="340"/>
      <c r="F48" s="340"/>
      <c r="G48" s="340"/>
      <c r="H48" s="155"/>
      <c r="K48" s="155"/>
      <c r="L48" s="155"/>
      <c r="R48" s="183">
        <f>_xll.qlCalendarAdvance(Calendar,R47,"1D","f")</f>
        <v>42200</v>
      </c>
      <c r="S48" s="390">
        <f>_xll.qlCalendarAdvance(Calendar,R48,$F$1,"mf",,Trigger)</f>
        <v>42384</v>
      </c>
      <c r="T48" s="391">
        <f>_xll.qlDayCounterYearFraction(DayCounter,R48,S48,,,Trigger)</f>
        <v>0.51111111111111107</v>
      </c>
      <c r="U48" s="348">
        <f>_xll.qlInterpolationInterpolate(B6Minterpolation,R48,TRUE)</f>
        <v>1.8870478122502293E-3</v>
      </c>
      <c r="V48" s="184">
        <f>_xll.qlYieldTSDiscount(Discounting,R48,,AllTriggers)</f>
        <v>1.0001867408469223</v>
      </c>
      <c r="W48" s="184">
        <f>_xll.qlYieldTSDiscount(Discounting,S48,,AllTriggers)</f>
        <v>1.0008252433496265</v>
      </c>
      <c r="X48" s="181">
        <f t="shared" si="5"/>
        <v>-1.2482139467715771E-3</v>
      </c>
    </row>
    <row r="49" spans="5:24" ht="11.25" customHeight="1" x14ac:dyDescent="0.2">
      <c r="E49" s="340"/>
      <c r="F49" s="340"/>
      <c r="G49" s="340"/>
      <c r="H49" s="155"/>
      <c r="K49" s="155"/>
      <c r="L49" s="155"/>
      <c r="R49" s="183">
        <f>_xll.qlCalendarAdvance(Calendar,R48,"1D","f")</f>
        <v>42201</v>
      </c>
      <c r="S49" s="390">
        <f>_xll.qlCalendarAdvance(Calendar,R49,$F$1,"mf",,Trigger)</f>
        <v>42387</v>
      </c>
      <c r="T49" s="391">
        <f>_xll.qlDayCounterYearFraction(DayCounter,R49,S49,,,Trigger)</f>
        <v>0.51666666666666672</v>
      </c>
      <c r="U49" s="348">
        <f>_xll.qlInterpolationInterpolate(B6Minterpolation,R49,TRUE)</f>
        <v>1.8881359217451904E-3</v>
      </c>
      <c r="V49" s="184">
        <f>_xll.qlYieldTSDiscount(Discounting,R49,,AllTriggers)</f>
        <v>1.0001900673313673</v>
      </c>
      <c r="W49" s="184">
        <f>_xll.qlYieldTSDiscount(Discounting,S49,,AllTriggers)</f>
        <v>1.0008376832277059</v>
      </c>
      <c r="X49" s="181">
        <f t="shared" si="5"/>
        <v>-1.2524010066281635E-3</v>
      </c>
    </row>
    <row r="50" spans="5:24" ht="11.25" customHeight="1" x14ac:dyDescent="0.2">
      <c r="E50" s="340"/>
      <c r="F50" s="340"/>
      <c r="G50" s="340"/>
      <c r="H50" s="155"/>
      <c r="K50" s="155"/>
      <c r="L50" s="155"/>
      <c r="R50" s="183">
        <f>_xll.qlCalendarAdvance(Calendar,R49,"1D","f")</f>
        <v>42202</v>
      </c>
      <c r="S50" s="390">
        <f>_xll.qlCalendarAdvance(Calendar,R50,$F$1,"mf",,Trigger)</f>
        <v>42387</v>
      </c>
      <c r="T50" s="391">
        <f>_xll.qlDayCounterYearFraction(DayCounter,R50,S50,,,Trigger)</f>
        <v>0.51388888888888884</v>
      </c>
      <c r="U50" s="348">
        <f>_xll.qlInterpolationInterpolate(B6Minterpolation,R50,TRUE)</f>
        <v>1.8892528932283098E-3</v>
      </c>
      <c r="V50" s="184">
        <f>_xll.qlYieldTSDiscount(Discounting,R50,,AllTriggers)</f>
        <v>1.0001934018604248</v>
      </c>
      <c r="W50" s="184">
        <f>_xll.qlYieldTSDiscount(Discounting,S50,,AllTriggers)</f>
        <v>1.0008376832277059</v>
      </c>
      <c r="X50" s="181">
        <f t="shared" si="5"/>
        <v>-1.2526873595185713E-3</v>
      </c>
    </row>
    <row r="51" spans="5:24" ht="11.25" customHeight="1" x14ac:dyDescent="0.2">
      <c r="E51" s="340"/>
      <c r="F51" s="340"/>
      <c r="G51" s="340"/>
      <c r="H51" s="155"/>
      <c r="K51" s="155"/>
      <c r="L51" s="155"/>
      <c r="R51" s="183">
        <f>_xll.qlCalendarAdvance(Calendar,R50,"1D","f")</f>
        <v>42205</v>
      </c>
      <c r="S51" s="390">
        <f>_xll.qlCalendarAdvance(Calendar,R51,$F$1,"mf",,Trigger)</f>
        <v>42389</v>
      </c>
      <c r="T51" s="391">
        <f>_xll.qlDayCounterYearFraction(DayCounter,R51,S51,,,Trigger)</f>
        <v>0.51111111111111107</v>
      </c>
      <c r="U51" s="348">
        <f>_xll.qlInterpolationInterpolate(B6Minterpolation,R51,TRUE)</f>
        <v>1.8927593839514231E-3</v>
      </c>
      <c r="V51" s="184">
        <f>_xll.qlYieldTSDiscount(Discounting,R51,,AllTriggers)</f>
        <v>1.0002034467659979</v>
      </c>
      <c r="W51" s="184">
        <f>_xll.qlYieldTSDiscount(Discounting,S51,,AllTriggers)</f>
        <v>1.0008459733600426</v>
      </c>
      <c r="X51" s="181">
        <f t="shared" si="5"/>
        <v>-1.2560546604362122E-3</v>
      </c>
    </row>
    <row r="52" spans="5:24" ht="11.25" customHeight="1" x14ac:dyDescent="0.2">
      <c r="E52" s="340"/>
      <c r="F52" s="340"/>
      <c r="G52" s="340"/>
      <c r="H52" s="155"/>
      <c r="K52" s="155"/>
      <c r="L52" s="155"/>
      <c r="R52" s="183">
        <f>_xll.qlCalendarAdvance(Calendar,R51,"1D","f")</f>
        <v>42206</v>
      </c>
      <c r="S52" s="390">
        <f>_xll.qlCalendarAdvance(Calendar,R52,$F$1,"mf",,Trigger)</f>
        <v>42390</v>
      </c>
      <c r="T52" s="391">
        <f>_xll.qlDayCounterYearFraction(DayCounter,R52,S52,,,Trigger)</f>
        <v>0.51111111111111107</v>
      </c>
      <c r="U52" s="348">
        <f>_xll.qlInterpolationInterpolate(B6Minterpolation,R52,TRUE)</f>
        <v>1.8939742077319817E-3</v>
      </c>
      <c r="V52" s="184">
        <f>_xll.qlYieldTSDiscount(Discounting,R52,,AllTriggers)</f>
        <v>1.0002068065241851</v>
      </c>
      <c r="W52" s="184">
        <f>_xll.qlYieldTSDiscount(Discounting,S52,,AllTriggers)</f>
        <v>1.0008501166655148</v>
      </c>
      <c r="X52" s="181">
        <f t="shared" si="5"/>
        <v>-1.2575811857903788E-3</v>
      </c>
    </row>
    <row r="53" spans="5:24" x14ac:dyDescent="0.2">
      <c r="R53" s="183">
        <f>_xll.qlCalendarAdvance(Calendar,R52,"1D","f")</f>
        <v>42207</v>
      </c>
      <c r="S53" s="390">
        <f>_xll.qlCalendarAdvance(Calendar,R53,$F$1,"mf",,Trigger)</f>
        <v>42391</v>
      </c>
      <c r="T53" s="391">
        <f>_xll.qlDayCounterYearFraction(DayCounter,R53,S53,,,Trigger)</f>
        <v>0.51111111111111107</v>
      </c>
      <c r="U53" s="348">
        <f>_xll.qlInterpolationInterpolate(B6Minterpolation,R53,TRUE)</f>
        <v>1.8952090956731015E-3</v>
      </c>
      <c r="V53" s="184">
        <f>_xll.qlYieldTSDiscount(Discounting,R53,,AllTriggers)</f>
        <v>1.0002101708522793</v>
      </c>
      <c r="W53" s="184">
        <f>_xll.qlYieldTSDiscount(Discounting,S53,,AllTriggers)</f>
        <v>1.0008542584306099</v>
      </c>
      <c r="X53" s="181">
        <f t="shared" si="5"/>
        <v>-1.2590957557435281E-3</v>
      </c>
    </row>
    <row r="54" spans="5:24" x14ac:dyDescent="0.2">
      <c r="R54" s="183">
        <f>_xll.qlCalendarAdvance(Calendar,R53,"1D","f")</f>
        <v>42208</v>
      </c>
      <c r="S54" s="390">
        <f>_xll.qlCalendarAdvance(Calendar,R54,$F$1,"mf",,Trigger)</f>
        <v>42394</v>
      </c>
      <c r="T54" s="391">
        <f>_xll.qlDayCounterYearFraction(DayCounter,R54,S54,,,Trigger)</f>
        <v>0.51666666666666672</v>
      </c>
      <c r="U54" s="348">
        <f>_xll.qlInterpolationInterpolate(B6Minterpolation,R54,TRUE)</f>
        <v>1.8964622882092633E-3</v>
      </c>
      <c r="V54" s="184">
        <f>_xll.qlYieldTSDiscount(Discounting,R54,,AllTriggers)</f>
        <v>1.000213539159885</v>
      </c>
      <c r="W54" s="184">
        <f>_xll.qlYieldTSDiscount(Discounting,S54,,AllTriggers)</f>
        <v>1.0008666717342034</v>
      </c>
      <c r="X54" s="181">
        <f t="shared" si="5"/>
        <v>-1.2630329282585639E-3</v>
      </c>
    </row>
    <row r="55" spans="5:24" x14ac:dyDescent="0.2">
      <c r="R55" s="183">
        <f>_xll.qlCalendarAdvance(Calendar,R54,"1D","f")</f>
        <v>42209</v>
      </c>
      <c r="S55" s="390">
        <f>_xll.qlCalendarAdvance(Calendar,R55,$F$1,"mf",,Trigger)</f>
        <v>42394</v>
      </c>
      <c r="T55" s="391">
        <f>_xll.qlDayCounterYearFraction(DayCounter,R55,S55,,,Trigger)</f>
        <v>0.51388888888888884</v>
      </c>
      <c r="U55" s="348">
        <f>_xll.qlInterpolationInterpolate(B6Minterpolation,R55,TRUE)</f>
        <v>1.897732025774948E-3</v>
      </c>
      <c r="V55" s="184">
        <f>_xll.qlYieldTSDiscount(Discounting,R55,,AllTriggers)</f>
        <v>1.0002169112748986</v>
      </c>
      <c r="W55" s="184">
        <f>_xll.qlYieldTSDiscount(Discounting,S55,,AllTriggers)</f>
        <v>1.0008666717342034</v>
      </c>
      <c r="X55" s="181">
        <f t="shared" si="5"/>
        <v>-1.2633038618712646E-3</v>
      </c>
    </row>
    <row r="56" spans="5:24" x14ac:dyDescent="0.2">
      <c r="R56" s="183">
        <f>_xll.qlCalendarAdvance(Calendar,R55,"1D","f")</f>
        <v>42212</v>
      </c>
      <c r="S56" s="390">
        <f>_xll.qlCalendarAdvance(Calendar,R56,$F$1,"mf",,Trigger)</f>
        <v>42396</v>
      </c>
      <c r="T56" s="391">
        <f>_xll.qlDayCounterYearFraction(DayCounter,R56,S56,,,Trigger)</f>
        <v>0.51111111111111107</v>
      </c>
      <c r="U56" s="348">
        <f>_xll.qlInterpolationInterpolate(B6Minterpolation,R56,TRUE)</f>
        <v>1.9016229129939454E-3</v>
      </c>
      <c r="V56" s="184">
        <f>_xll.qlYieldTSDiscount(Discounting,R56,,AllTriggers)</f>
        <v>1.0002270497890655</v>
      </c>
      <c r="W56" s="184">
        <f>_xll.qlYieldTSDiscount(Discounting,S56,,AllTriggers)</f>
        <v>1.0008749345451289</v>
      </c>
      <c r="X56" s="181">
        <f t="shared" si="5"/>
        <v>-1.266492511639572E-3</v>
      </c>
    </row>
    <row r="57" spans="5:24" x14ac:dyDescent="0.2">
      <c r="R57" s="183">
        <f>_xll.qlCalendarAdvance(Calendar,R56,"1D","f")</f>
        <v>42213</v>
      </c>
      <c r="S57" s="390">
        <f>_xll.qlCalendarAdvance(Calendar,R57,$F$1,"mf",,Trigger)</f>
        <v>42397</v>
      </c>
      <c r="T57" s="391">
        <f>_xll.qlDayCounterYearFraction(DayCounter,R57,S57,,,Trigger)</f>
        <v>0.51111111111111107</v>
      </c>
      <c r="U57" s="348">
        <f>_xll.qlInterpolationInterpolate(B6Minterpolation,R57,TRUE)</f>
        <v>1.9029412350225277E-3</v>
      </c>
      <c r="V57" s="184">
        <f>_xll.qlYieldTSDiscount(Discounting,R57,,AllTriggers)</f>
        <v>1.0002304364583856</v>
      </c>
      <c r="W57" s="184">
        <f>_xll.qlYieldTSDiscount(Discounting,S57,,AllTriggers)</f>
        <v>1.0008790614185201</v>
      </c>
      <c r="X57" s="181">
        <f t="shared" si="5"/>
        <v>-1.2679342429715E-3</v>
      </c>
    </row>
    <row r="58" spans="5:24" x14ac:dyDescent="0.2">
      <c r="R58" s="183">
        <f>_xll.qlCalendarAdvance(Calendar,R57,"1D","f")</f>
        <v>42214</v>
      </c>
      <c r="S58" s="390">
        <f>_xll.qlCalendarAdvance(Calendar,R58,$F$1,"mf",,Trigger)</f>
        <v>42398</v>
      </c>
      <c r="T58" s="391">
        <f>_xll.qlDayCounterYearFraction(DayCounter,R58,S58,,,Trigger)</f>
        <v>0.51111111111111107</v>
      </c>
      <c r="U58" s="348">
        <f>_xll.qlInterpolationInterpolate(B6Minterpolation,R58,TRUE)</f>
        <v>1.904267304253036E-3</v>
      </c>
      <c r="V58" s="184">
        <f>_xll.qlYieldTSDiscount(Discounting,R58,,AllTriggers)</f>
        <v>1.0002338265974469</v>
      </c>
      <c r="W58" s="184">
        <f>_xll.qlYieldTSDiscount(Discounting,S58,,AllTriggers)</f>
        <v>1.0008831850402349</v>
      </c>
      <c r="X58" s="181">
        <f t="shared" si="5"/>
        <v>-1.2693628275427915E-3</v>
      </c>
    </row>
    <row r="59" spans="5:24" x14ac:dyDescent="0.2">
      <c r="R59" s="183">
        <f>_xll.qlCalendarAdvance(Calendar,R58,"1D","f")</f>
        <v>42215</v>
      </c>
      <c r="S59" s="390">
        <f>_xll.qlCalendarAdvance(Calendar,R59,$F$1,"mf",,Trigger)</f>
        <v>42398</v>
      </c>
      <c r="T59" s="391">
        <f>_xll.qlDayCounterYearFraction(DayCounter,R59,S59,,,Trigger)</f>
        <v>0.5083333333333333</v>
      </c>
      <c r="U59" s="348">
        <f>_xll.qlInterpolationInterpolate(B6Minterpolation,R59,TRUE)</f>
        <v>1.905599361119951E-3</v>
      </c>
      <c r="V59" s="184">
        <f>_xll.qlYieldTSDiscount(Discounting,R59,,AllTriggers)</f>
        <v>1.0002372201387135</v>
      </c>
      <c r="W59" s="184">
        <f>_xll.qlYieldTSDiscount(Discounting,S59,,AllTriggers)</f>
        <v>1.0008831850402349</v>
      </c>
      <c r="X59" s="181">
        <f t="shared" si="5"/>
        <v>-1.2696293083319927E-3</v>
      </c>
    </row>
    <row r="60" spans="5:24" x14ac:dyDescent="0.2">
      <c r="R60" s="183">
        <f>_xll.qlCalendarAdvance(Calendar,R59,"1D","f")</f>
        <v>42216</v>
      </c>
      <c r="S60" s="390">
        <f>_xll.qlCalendarAdvance(Calendar,R60,$F$1,"mf",,Trigger)</f>
        <v>42398</v>
      </c>
      <c r="T60" s="391">
        <f>_xll.qlDayCounterYearFraction(DayCounter,R60,S60,,,Trigger)</f>
        <v>0.50555555555555554</v>
      </c>
      <c r="U60" s="348">
        <f>_xll.qlInterpolationInterpolate(B6Minterpolation,R60,TRUE)</f>
        <v>1.9069356460577535E-3</v>
      </c>
      <c r="V60" s="184">
        <f>_xll.qlYieldTSDiscount(Discounting,R60,,AllTriggers)</f>
        <v>1.0002406170146487</v>
      </c>
      <c r="W60" s="184">
        <f>_xll.qlYieldTSDiscount(Discounting,S60,,AllTriggers)</f>
        <v>1.0008831850402349</v>
      </c>
      <c r="X60" s="181">
        <f t="shared" si="5"/>
        <v>-1.2698921272540306E-3</v>
      </c>
    </row>
    <row r="61" spans="5:24" x14ac:dyDescent="0.2">
      <c r="R61" s="183">
        <f>_xll.qlCalendarAdvance(Calendar,R60,"1D","f")</f>
        <v>42219</v>
      </c>
      <c r="S61" s="390">
        <f>_xll.qlCalendarAdvance(Calendar,R61,$F$1,"mf",,Trigger)</f>
        <v>42403</v>
      </c>
      <c r="T61" s="391">
        <f>_xll.qlDayCounterYearFraction(DayCounter,R61,S61,,,Trigger)</f>
        <v>0.51111111111111107</v>
      </c>
      <c r="U61" s="348">
        <f>_xll.qlInterpolationInterpolate(B6Minterpolation,R61,TRUE)</f>
        <v>1.9109522736412918E-3</v>
      </c>
      <c r="V61" s="184">
        <f>_xll.qlYieldTSDiscount(Discounting,R61,,AllTriggers)</f>
        <v>1.0002500267744223</v>
      </c>
      <c r="W61" s="184">
        <f>_xll.qlYieldTSDiscount(Discounting,S61,,AllTriggers)</f>
        <v>1.0008993445072856</v>
      </c>
      <c r="X61" s="181">
        <f t="shared" si="5"/>
        <v>-1.2692627554623864E-3</v>
      </c>
    </row>
    <row r="62" spans="5:24" x14ac:dyDescent="0.2">
      <c r="R62" s="183">
        <f>_xll.qlCalendarAdvance(Calendar,R61,"1D","f")</f>
        <v>42220</v>
      </c>
      <c r="S62" s="390">
        <f>_xll.qlCalendarAdvance(Calendar,R62,$F$1,"mf",,Trigger)</f>
        <v>42404</v>
      </c>
      <c r="T62" s="391">
        <f>_xll.qlDayCounterYearFraction(DayCounter,R62,S62,,,Trigger)</f>
        <v>0.51111111111111107</v>
      </c>
      <c r="U62" s="348">
        <f>_xll.qlInterpolationInterpolate(B6Minterpolation,R62,TRUE)</f>
        <v>1.9122878752074503E-3</v>
      </c>
      <c r="V62" s="184">
        <f>_xll.qlYieldTSDiscount(Discounting,R62,,AllTriggers)</f>
        <v>1.0002534363109179</v>
      </c>
      <c r="W62" s="184">
        <f>_xll.qlYieldTSDiscount(Discounting,S62,,AllTriggers)</f>
        <v>1.0009034450669314</v>
      </c>
      <c r="X62" s="181">
        <f t="shared" si="5"/>
        <v>-1.2706083369314603E-3</v>
      </c>
    </row>
    <row r="63" spans="5:24" x14ac:dyDescent="0.2">
      <c r="R63" s="183">
        <f>_xll.qlCalendarAdvance(Calendar,R62,"1D","f")</f>
        <v>42221</v>
      </c>
      <c r="S63" s="390">
        <f>_xll.qlCalendarAdvance(Calendar,R63,$F$1,"mf",,Trigger)</f>
        <v>42405</v>
      </c>
      <c r="T63" s="391">
        <f>_xll.qlDayCounterYearFraction(DayCounter,R63,S63,,,Trigger)</f>
        <v>0.51111111111111107</v>
      </c>
      <c r="U63" s="348">
        <f>_xll.qlInterpolationInterpolate(B6Minterpolation,R63,TRUE)</f>
        <v>1.9136189070168995E-3</v>
      </c>
      <c r="V63" s="184">
        <f>_xll.qlYieldTSDiscount(Discounting,R63,,AllTriggers)</f>
        <v>1.0002568488443824</v>
      </c>
      <c r="W63" s="184">
        <f>_xll.qlYieldTSDiscount(Discounting,S63,,AllTriggers)</f>
        <v>1.0009075411969055</v>
      </c>
      <c r="X63" s="181">
        <f t="shared" si="5"/>
        <v>-1.2719393957956763E-3</v>
      </c>
    </row>
    <row r="64" spans="5:24" x14ac:dyDescent="0.2">
      <c r="R64" s="183">
        <f>_xll.qlCalendarAdvance(Calendar,R63,"1D","f")</f>
        <v>42222</v>
      </c>
      <c r="S64" s="390">
        <f>_xll.qlCalendarAdvance(Calendar,R64,$F$1,"mf",,Trigger)</f>
        <v>42408</v>
      </c>
      <c r="T64" s="391">
        <f>_xll.qlDayCounterYearFraction(DayCounter,R64,S64,,,Trigger)</f>
        <v>0.51666666666666672</v>
      </c>
      <c r="U64" s="348">
        <f>_xll.qlInterpolationInterpolate(B6Minterpolation,R64,TRUE)</f>
        <v>1.91494360950412E-3</v>
      </c>
      <c r="V64" s="184">
        <f>_xll.qlYieldTSDiscount(Discounting,R64,,AllTriggers)</f>
        <v>1.0002602643072738</v>
      </c>
      <c r="W64" s="184">
        <f>_xll.qlYieldTSDiscount(Discounting,S64,,AllTriggers)</f>
        <v>1.0009198013258063</v>
      </c>
      <c r="X64" s="181">
        <f t="shared" si="5"/>
        <v>-1.2753501928775717E-3</v>
      </c>
    </row>
    <row r="65" spans="18:24" x14ac:dyDescent="0.2">
      <c r="R65" s="183">
        <f>_xll.qlCalendarAdvance(Calendar,R64,"1D","f")</f>
        <v>42223</v>
      </c>
      <c r="S65" s="390">
        <f>_xll.qlCalendarAdvance(Calendar,R65,$F$1,"mf",,Trigger)</f>
        <v>42408</v>
      </c>
      <c r="T65" s="391">
        <f>_xll.qlDayCounterYearFraction(DayCounter,R65,S65,,,Trigger)</f>
        <v>0.51388888888888884</v>
      </c>
      <c r="U65" s="348">
        <f>_xll.qlInterpolationInterpolate(B6Minterpolation,R65,TRUE)</f>
        <v>1.9162602231035928E-3</v>
      </c>
      <c r="V65" s="184">
        <f>_xll.qlYieldTSDiscount(Discounting,R65,,AllTriggers)</f>
        <v>1.0002636826320486</v>
      </c>
      <c r="W65" s="184">
        <f>_xll.qlYieldTSDiscount(Discounting,S65,,AllTriggers)</f>
        <v>1.0009198013258063</v>
      </c>
      <c r="X65" s="181">
        <f t="shared" si="5"/>
        <v>-1.2755982152474815E-3</v>
      </c>
    </row>
    <row r="66" spans="18:24" x14ac:dyDescent="0.2">
      <c r="R66" s="183">
        <f>_xll.qlCalendarAdvance(Calendar,R65,"1D","f")</f>
        <v>42226</v>
      </c>
      <c r="S66" s="390">
        <f>_xll.qlCalendarAdvance(Calendar,R66,$F$1,"mf",,Trigger)</f>
        <v>42410</v>
      </c>
      <c r="T66" s="391">
        <f>_xll.qlDayCounterYearFraction(DayCounter,R66,S66,,,Trigger)</f>
        <v>0.51111111111111107</v>
      </c>
      <c r="U66" s="348">
        <f>_xll.qlInterpolationInterpolate(B6Minterpolation,R66,TRUE)</f>
        <v>1.9201439349203291E-3</v>
      </c>
      <c r="V66" s="184">
        <f>_xll.qlYieldTSDiscount(Discounting,R66,,AllTriggers)</f>
        <v>1.0002739541022323</v>
      </c>
      <c r="W66" s="184">
        <f>_xll.qlYieldTSDiscount(Discounting,S66,,AllTriggers)</f>
        <v>1.0009279495111827</v>
      </c>
      <c r="X66" s="181">
        <f t="shared" si="5"/>
        <v>-1.2783699721121171E-3</v>
      </c>
    </row>
    <row r="67" spans="18:24" x14ac:dyDescent="0.2">
      <c r="R67" s="183">
        <f>_xll.qlCalendarAdvance(Calendar,R66,"1D","f")</f>
        <v>42227</v>
      </c>
      <c r="S67" s="390">
        <f>_xll.qlCalendarAdvance(Calendar,R67,$F$1,"mf",,Trigger)</f>
        <v>42411</v>
      </c>
      <c r="T67" s="391">
        <f>_xll.qlDayCounterYearFraction(DayCounter,R67,S67,,,Trigger)</f>
        <v>0.51111111111111107</v>
      </c>
      <c r="U67" s="348">
        <f>_xll.qlInterpolationInterpolate(B6Minterpolation,R67,TRUE)</f>
        <v>1.9214105973136162E-3</v>
      </c>
      <c r="V67" s="184">
        <f>_xll.qlYieldTSDiscount(Discounting,R67,,AllTriggers)</f>
        <v>1.0002773831990941</v>
      </c>
      <c r="W67" s="184">
        <f>_xll.qlYieldTSDiscount(Discounting,S67,,AllTriggers)</f>
        <v>1.0009320155287775</v>
      </c>
      <c r="X67" s="181">
        <f t="shared" si="5"/>
        <v>-1.2796097679887311E-3</v>
      </c>
    </row>
    <row r="68" spans="18:24" x14ac:dyDescent="0.2">
      <c r="R68" s="183">
        <f>_xll.qlCalendarAdvance(Calendar,R67,"1D","f")</f>
        <v>42228</v>
      </c>
      <c r="S68" s="390">
        <f>_xll.qlCalendarAdvance(Calendar,R68,$F$1,"mf",,Trigger)</f>
        <v>42412</v>
      </c>
      <c r="T68" s="391">
        <f>_xll.qlDayCounterYearFraction(DayCounter,R68,S68,,,Trigger)</f>
        <v>0.51111111111111107</v>
      </c>
      <c r="U68" s="348">
        <f>_xll.qlInterpolationInterpolate(B6Minterpolation,R68,TRUE)</f>
        <v>1.9226603729915587E-3</v>
      </c>
      <c r="V68" s="184">
        <f>_xll.qlYieldTSDiscount(Discounting,R68,,AllTriggers)</f>
        <v>1.0002808148201112</v>
      </c>
      <c r="W68" s="184">
        <f>_xll.qlYieldTSDiscount(Discounting,S68,,AllTriggers)</f>
        <v>1.0009360759385595</v>
      </c>
      <c r="X68" s="181">
        <f t="shared" ref="X68:X131" si="9">(V68/W68-1)/T68</f>
        <v>-1.2808336654753494E-3</v>
      </c>
    </row>
    <row r="69" spans="18:24" x14ac:dyDescent="0.2">
      <c r="R69" s="183">
        <f>_xll.qlCalendarAdvance(Calendar,R68,"1D","f")</f>
        <v>42229</v>
      </c>
      <c r="S69" s="390">
        <f>_xll.qlCalendarAdvance(Calendar,R69,$F$1,"mf",,Trigger)</f>
        <v>42415</v>
      </c>
      <c r="T69" s="391">
        <f>_xll.qlDayCounterYearFraction(DayCounter,R69,S69,,,Trigger)</f>
        <v>0.51666666666666672</v>
      </c>
      <c r="U69" s="348">
        <f>_xll.qlInterpolationInterpolate(B6Minterpolation,R69,TRUE)</f>
        <v>1.9238915023886373E-3</v>
      </c>
      <c r="V69" s="184">
        <f>_xll.qlYieldTSDiscount(Discounting,R69,,AllTriggers)</f>
        <v>1.0002842488977353</v>
      </c>
      <c r="W69" s="184">
        <f>_xll.qlYieldTSDiscount(Discounting,S69,,AllTriggers)</f>
        <v>1.0009482218378487</v>
      </c>
      <c r="X69" s="181">
        <f t="shared" si="9"/>
        <v>-1.2838915023886371E-3</v>
      </c>
    </row>
    <row r="70" spans="18:24" x14ac:dyDescent="0.2">
      <c r="R70" s="183">
        <f>_xll.qlCalendarAdvance(Calendar,R69,"1D","f")</f>
        <v>42230</v>
      </c>
      <c r="S70" s="390">
        <f>_xll.qlCalendarAdvance(Calendar,R70,$F$1,"mf",,Trigger)</f>
        <v>42415</v>
      </c>
      <c r="T70" s="391">
        <f>_xll.qlDayCounterYearFraction(DayCounter,R70,S70,,,Trigger)</f>
        <v>0.51388888888888884</v>
      </c>
      <c r="U70" s="348">
        <f>_xll.qlInterpolationInterpolate(B6Minterpolation,R70,TRUE)</f>
        <v>1.9251025658464699E-3</v>
      </c>
      <c r="V70" s="184">
        <f>_xll.qlYieldTSDiscount(Discounting,R70,,AllTriggers)</f>
        <v>1.0002876853644167</v>
      </c>
      <c r="W70" s="184">
        <f>_xll.qlYieldTSDiscount(Discounting,S70,,AllTriggers)</f>
        <v>1.0009482218378487</v>
      </c>
      <c r="X70" s="181">
        <f t="shared" si="9"/>
        <v>-1.2841506129700386E-3</v>
      </c>
    </row>
    <row r="71" spans="18:24" x14ac:dyDescent="0.2">
      <c r="R71" s="183">
        <f>_xll.qlCalendarAdvance(Calendar,R70,"1D","f")</f>
        <v>42233</v>
      </c>
      <c r="S71" s="390">
        <f>_xll.qlCalendarAdvance(Calendar,R71,$F$1,"mf",,Trigger)</f>
        <v>42417</v>
      </c>
      <c r="T71" s="391">
        <f>_xll.qlDayCounterYearFraction(DayCounter,R71,S71,,,Trigger)</f>
        <v>0.51111111111111107</v>
      </c>
      <c r="U71" s="348">
        <f>_xll.qlInterpolationInterpolate(B6Minterpolation,R71,TRUE)</f>
        <v>1.9286161199147242E-3</v>
      </c>
      <c r="V71" s="184">
        <f>_xll.qlYieldTSDiscount(Discounting,R71,,AllTriggers)</f>
        <v>1.0002980084232997</v>
      </c>
      <c r="W71" s="184">
        <f>_xll.qlYieldTSDiscount(Discounting,S71,,AllTriggers)</f>
        <v>1.0009562879791025</v>
      </c>
      <c r="X71" s="181">
        <f t="shared" si="9"/>
        <v>-1.2867077981532325E-3</v>
      </c>
    </row>
    <row r="72" spans="18:24" x14ac:dyDescent="0.2">
      <c r="R72" s="183">
        <f>_xll.qlCalendarAdvance(Calendar,R71,"1D","f")</f>
        <v>42234</v>
      </c>
      <c r="S72" s="390">
        <f>_xll.qlCalendarAdvance(Calendar,R72,$F$1,"mf",,Trigger)</f>
        <v>42418</v>
      </c>
      <c r="T72" s="391">
        <f>_xll.qlDayCounterYearFraction(DayCounter,R72,S72,,,Trigger)</f>
        <v>0.51111111111111107</v>
      </c>
      <c r="U72" s="348">
        <f>_xll.qlInterpolationInterpolate(B6Minterpolation,R72,TRUE)</f>
        <v>1.92974835876008E-3</v>
      </c>
      <c r="V72" s="184">
        <f>_xll.qlYieldTSDiscount(Discounting,R72,,AllTriggers)</f>
        <v>1.0003014537707</v>
      </c>
      <c r="W72" s="184">
        <f>_xll.qlYieldTSDiscount(Discounting,S72,,AllTriggers)</f>
        <v>1.0009603112072671</v>
      </c>
      <c r="X72" s="181">
        <f t="shared" si="9"/>
        <v>-1.2878321779577124E-3</v>
      </c>
    </row>
    <row r="73" spans="18:24" x14ac:dyDescent="0.2">
      <c r="R73" s="183">
        <f>_xll.qlCalendarAdvance(Calendar,R72,"1D","f")</f>
        <v>42235</v>
      </c>
      <c r="S73" s="390">
        <f>_xll.qlCalendarAdvance(Calendar,R73,$F$1,"mf",,Trigger)</f>
        <v>42419</v>
      </c>
      <c r="T73" s="391">
        <f>_xll.qlDayCounterYearFraction(DayCounter,R73,S73,,,Trigger)</f>
        <v>0.51111111111111107</v>
      </c>
      <c r="U73" s="348">
        <f>_xll.qlInterpolationInterpolate(B6Minterpolation,R73,TRUE)</f>
        <v>1.9308615911455809E-3</v>
      </c>
      <c r="V73" s="184">
        <f>_xll.qlYieldTSDiscount(Discounting,R73,,AllTriggers)</f>
        <v>1.0003049011693979</v>
      </c>
      <c r="W73" s="184">
        <f>_xll.qlYieldTSDiscount(Discounting,S73,,AllTriggers)</f>
        <v>1.0009643276493478</v>
      </c>
      <c r="X73" s="181">
        <f t="shared" si="9"/>
        <v>-1.2889392835909682E-3</v>
      </c>
    </row>
    <row r="74" spans="18:24" x14ac:dyDescent="0.2">
      <c r="R74" s="183">
        <f>_xll.qlCalendarAdvance(Calendar,R73,"1D","f")</f>
        <v>42236</v>
      </c>
      <c r="S74" s="390">
        <f>_xll.qlCalendarAdvance(Calendar,R74,$F$1,"mf",,Trigger)</f>
        <v>42422</v>
      </c>
      <c r="T74" s="391">
        <f>_xll.qlDayCounterYearFraction(DayCounter,R74,S74,,,Trigger)</f>
        <v>0.51666666666666672</v>
      </c>
      <c r="U74" s="348">
        <f>_xll.qlInterpolationInterpolate(B6Minterpolation,R74,TRUE)</f>
        <v>1.9319560969485324E-3</v>
      </c>
      <c r="V74" s="184">
        <f>_xll.qlYieldTSDiscount(Discounting,R74,,AllTriggers)</f>
        <v>1.0003083505518378</v>
      </c>
      <c r="W74" s="184">
        <f>_xll.qlYieldTSDiscount(Discounting,S74,,AllTriggers)</f>
        <v>1.0009763345757272</v>
      </c>
      <c r="X74" s="181">
        <f t="shared" si="9"/>
        <v>-1.291611259570955E-3</v>
      </c>
    </row>
    <row r="75" spans="18:24" x14ac:dyDescent="0.2">
      <c r="R75" s="183">
        <f>_xll.qlCalendarAdvance(Calendar,R74,"1D","f")</f>
        <v>42237</v>
      </c>
      <c r="S75" s="390">
        <f>_xll.qlCalendarAdvance(Calendar,R75,$F$1,"mf",,Trigger)</f>
        <v>42422</v>
      </c>
      <c r="T75" s="391">
        <f>_xll.qlDayCounterYearFraction(DayCounter,R75,S75,,,Trigger)</f>
        <v>0.51388888888888884</v>
      </c>
      <c r="U75" s="348">
        <f>_xll.qlInterpolationInterpolate(B6Minterpolation,R75,TRUE)</f>
        <v>1.9330321560462405E-3</v>
      </c>
      <c r="V75" s="184">
        <f>_xll.qlYieldTSDiscount(Discounting,R75,,AllTriggers)</f>
        <v>1.0003118018504646</v>
      </c>
      <c r="W75" s="184">
        <f>_xll.qlYieldTSDiscount(Discounting,S75,,AllTriggers)</f>
        <v>1.0009763345757272</v>
      </c>
      <c r="X75" s="181">
        <f t="shared" si="9"/>
        <v>-1.2918834521908837E-3</v>
      </c>
    </row>
    <row r="76" spans="18:24" x14ac:dyDescent="0.2">
      <c r="R76" s="183">
        <f>_xll.qlCalendarAdvance(Calendar,R75,"1D","f")</f>
        <v>42240</v>
      </c>
      <c r="S76" s="390">
        <f>_xll.qlCalendarAdvance(Calendar,R76,$F$1,"mf",,Trigger)</f>
        <v>42424</v>
      </c>
      <c r="T76" s="391">
        <f>_xll.qlDayCounterYearFraction(DayCounter,R76,S76,,,Trigger)</f>
        <v>0.51111111111111107</v>
      </c>
      <c r="U76" s="348">
        <f>_xll.qlInterpolationInterpolate(B6Minterpolation,R76,TRUE)</f>
        <v>1.9361524518809591E-3</v>
      </c>
      <c r="V76" s="184">
        <f>_xll.qlYieldTSDiscount(Discounting,R76,,AllTriggers)</f>
        <v>1.0003221665678945</v>
      </c>
      <c r="W76" s="184">
        <f>_xll.qlYieldTSDiscount(Discounting,S76,,AllTriggers)</f>
        <v>1.0009843021766904</v>
      </c>
      <c r="X76" s="181">
        <f t="shared" si="9"/>
        <v>-1.2942088203027335E-3</v>
      </c>
    </row>
    <row r="77" spans="18:24" x14ac:dyDescent="0.2">
      <c r="R77" s="183">
        <f>_xll.qlCalendarAdvance(Calendar,R76,"1D","f")</f>
        <v>42241</v>
      </c>
      <c r="S77" s="390">
        <f>_xll.qlCalendarAdvance(Calendar,R77,$F$1,"mf",,Trigger)</f>
        <v>42425</v>
      </c>
      <c r="T77" s="391">
        <f>_xll.qlDayCounterYearFraction(DayCounter,R77,S77,,,Trigger)</f>
        <v>0.51111111111111107</v>
      </c>
      <c r="U77" s="348">
        <f>_xll.qlInterpolationInterpolate(B6Minterpolation,R77,TRUE)</f>
        <v>1.9371575229307494E-3</v>
      </c>
      <c r="V77" s="184">
        <f>_xll.qlYieldTSDiscount(Discounting,R77,,AllTriggers)</f>
        <v>1.0003256248556927</v>
      </c>
      <c r="W77" s="184">
        <f>_xll.qlYieldTSDiscount(Discounting,S77,,AllTriggers)</f>
        <v>1.0009882743671503</v>
      </c>
      <c r="X77" s="181">
        <f t="shared" si="9"/>
        <v>-1.295208153572782E-3</v>
      </c>
    </row>
    <row r="78" spans="18:24" x14ac:dyDescent="0.2">
      <c r="R78" s="183">
        <f>_xll.qlCalendarAdvance(Calendar,R77,"1D","f")</f>
        <v>42242</v>
      </c>
      <c r="S78" s="390">
        <f>_xll.qlCalendarAdvance(Calendar,R78,$F$1,"mf",,Trigger)</f>
        <v>42426</v>
      </c>
      <c r="T78" s="391">
        <f>_xll.qlDayCounterYearFraction(DayCounter,R78,S78,,,Trigger)</f>
        <v>0.51111111111111107</v>
      </c>
      <c r="U78" s="348">
        <f>_xll.qlInterpolationInterpolate(B6Minterpolation,R78,TRUE)</f>
        <v>1.9381455466618242E-3</v>
      </c>
      <c r="V78" s="184">
        <f>_xll.qlYieldTSDiscount(Discounting,R78,,AllTriggers)</f>
        <v>1.0003290847218851</v>
      </c>
      <c r="W78" s="184">
        <f>_xll.qlYieldTSDiscount(Discounting,S78,,AllTriggers)</f>
        <v>1.00099223859313</v>
      </c>
      <c r="X78" s="181">
        <f t="shared" si="9"/>
        <v>-1.2961888368912473E-3</v>
      </c>
    </row>
    <row r="79" spans="18:24" x14ac:dyDescent="0.2">
      <c r="R79" s="183">
        <f>_xll.qlCalendarAdvance(Calendar,R78,"1D","f")</f>
        <v>42243</v>
      </c>
      <c r="S79" s="390">
        <f>_xll.qlCalendarAdvance(Calendar,R79,$F$1,"mf",,Trigger)</f>
        <v>42429</v>
      </c>
      <c r="T79" s="391">
        <f>_xll.qlDayCounterYearFraction(DayCounter,R79,S79,,,Trigger)</f>
        <v>0.51666666666666672</v>
      </c>
      <c r="U79" s="348">
        <f>_xll.qlInterpolationInterpolate(B6Minterpolation,R79,TRUE)</f>
        <v>1.9391168029514894E-3</v>
      </c>
      <c r="V79" s="184">
        <f>_xll.qlYieldTSDiscount(Discounting,R79,,AllTriggers)</f>
        <v>1.0003325460989105</v>
      </c>
      <c r="W79" s="184">
        <f>_xll.qlYieldTSDiscount(Discounting,S79,,AllTriggers)</f>
        <v>1.0010040818006538</v>
      </c>
      <c r="X79" s="181">
        <f t="shared" si="9"/>
        <v>-1.2984427767418374E-3</v>
      </c>
    </row>
    <row r="80" spans="18:24" x14ac:dyDescent="0.2">
      <c r="R80" s="183">
        <f>_xll.qlCalendarAdvance(Calendar,R79,"1D","f")</f>
        <v>42244</v>
      </c>
      <c r="S80" s="390">
        <f>_xll.qlCalendarAdvance(Calendar,R80,$F$1,"mf",,Trigger)</f>
        <v>42429</v>
      </c>
      <c r="T80" s="391">
        <f>_xll.qlDayCounterYearFraction(DayCounter,R80,S80,,,Trigger)</f>
        <v>0.51388888888888884</v>
      </c>
      <c r="U80" s="348">
        <f>_xll.qlInterpolationInterpolate(B6Minterpolation,R80,TRUE)</f>
        <v>1.940071571677051E-3</v>
      </c>
      <c r="V80" s="184">
        <f>_xll.qlYieldTSDiscount(Discounting,R80,,AllTriggers)</f>
        <v>1.0003360089192068</v>
      </c>
      <c r="W80" s="184">
        <f>_xll.qlYieldTSDiscount(Discounting,S80,,AllTriggers)</f>
        <v>1.0010040818006538</v>
      </c>
      <c r="X80" s="181">
        <f t="shared" si="9"/>
        <v>-1.2987296844081308E-3</v>
      </c>
    </row>
    <row r="81" spans="18:24" x14ac:dyDescent="0.2">
      <c r="R81" s="183">
        <f>_xll.qlCalendarAdvance(Calendar,R80,"1D","f")</f>
        <v>42247</v>
      </c>
      <c r="S81" s="390">
        <f>_xll.qlCalendarAdvance(Calendar,R81,$F$1,"mf",,Trigger)</f>
        <v>42429</v>
      </c>
      <c r="T81" s="391">
        <f>_xll.qlDayCounterYearFraction(DayCounter,R81,S81,,,Trigger)</f>
        <v>0.50555555555555554</v>
      </c>
      <c r="U81" s="348">
        <f>_xll.qlInterpolationInterpolate(B6Minterpolation,R81,TRUE)</f>
        <v>1.9428397512421685E-3</v>
      </c>
      <c r="V81" s="184">
        <f>_xll.qlYieldTSDiscount(Discounting,R81,,AllTriggers)</f>
        <v>1.0003464053640847</v>
      </c>
      <c r="W81" s="184">
        <f>_xll.qlYieldTSDiscount(Discounting,S81,,AllTriggers)</f>
        <v>1.0010040818006538</v>
      </c>
      <c r="X81" s="181">
        <f t="shared" si="9"/>
        <v>-1.2995935477314066E-3</v>
      </c>
    </row>
    <row r="82" spans="18:24" x14ac:dyDescent="0.2">
      <c r="R82" s="183">
        <f>_xll.qlCalendarAdvance(Calendar,R81,"1D","f")</f>
        <v>42248</v>
      </c>
      <c r="S82" s="390">
        <f>_xll.qlCalendarAdvance(Calendar,R82,$F$1,"mf",,Trigger)</f>
        <v>42430</v>
      </c>
      <c r="T82" s="391">
        <f>_xll.qlDayCounterYearFraction(DayCounter,R82,S82,,,Trigger)</f>
        <v>0.50555555555555554</v>
      </c>
      <c r="U82" s="348">
        <f>_xll.qlInterpolationInterpolate(B6Minterpolation,R82,TRUE)</f>
        <v>1.9437313684843712E-3</v>
      </c>
      <c r="V82" s="184">
        <f>_xll.qlYieldTSDiscount(Discounting,R82,,AllTriggers)</f>
        <v>1.0003498732818237</v>
      </c>
      <c r="W82" s="184">
        <f>_xll.qlYieldTSDiscount(Discounting,S82,,AllTriggers)</f>
        <v>1.0009993037154568</v>
      </c>
      <c r="X82" s="181">
        <f t="shared" si="9"/>
        <v>-1.2833052592090518E-3</v>
      </c>
    </row>
    <row r="83" spans="18:24" x14ac:dyDescent="0.2">
      <c r="R83" s="183">
        <f>_xll.qlCalendarAdvance(Calendar,R82,"1D","f")</f>
        <v>42249</v>
      </c>
      <c r="S83" s="390">
        <f>_xll.qlCalendarAdvance(Calendar,R83,$F$1,"mf",,Trigger)</f>
        <v>42431</v>
      </c>
      <c r="T83" s="391">
        <f>_xll.qlDayCounterYearFraction(DayCounter,R83,S83,,,Trigger)</f>
        <v>0.50555555555555554</v>
      </c>
      <c r="U83" s="348">
        <f>_xll.qlInterpolationInterpolate(B6Minterpolation,R83,TRUE)</f>
        <v>1.9446078975489983E-3</v>
      </c>
      <c r="V83" s="184">
        <f>_xll.qlYieldTSDiscount(Discounting,R83,,AllTriggers)</f>
        <v>1.0003533423050084</v>
      </c>
      <c r="W83" s="184">
        <f>_xll.qlYieldTSDiscount(Discounting,S83,,AllTriggers)</f>
        <v>1.001003225559582</v>
      </c>
      <c r="X83" s="181">
        <f t="shared" si="9"/>
        <v>-1.2841950234241054E-3</v>
      </c>
    </row>
    <row r="84" spans="18:24" x14ac:dyDescent="0.2">
      <c r="R84" s="183">
        <f>_xll.qlCalendarAdvance(Calendar,R83,"1D","f")</f>
        <v>42250</v>
      </c>
      <c r="S84" s="390">
        <f>_xll.qlCalendarAdvance(Calendar,R84,$F$1,"mf",,Trigger)</f>
        <v>42432</v>
      </c>
      <c r="T84" s="391">
        <f>_xll.qlDayCounterYearFraction(DayCounter,R84,S84,,,Trigger)</f>
        <v>0.50555555555555554</v>
      </c>
      <c r="U84" s="348">
        <f>_xll.qlInterpolationInterpolate(B6Minterpolation,R84,TRUE)</f>
        <v>1.9454696183133556E-3</v>
      </c>
      <c r="V84" s="184">
        <f>_xll.qlYieldTSDiscount(Discounting,R84,,AllTriggers)</f>
        <v>1.0003568123660713</v>
      </c>
      <c r="W84" s="184">
        <f>_xll.qlYieldTSDiscount(Discounting,S84,,AllTriggers)</f>
        <v>1.0010071384291543</v>
      </c>
      <c r="X84" s="181">
        <f t="shared" si="9"/>
        <v>-1.2850650073059633E-3</v>
      </c>
    </row>
    <row r="85" spans="18:24" x14ac:dyDescent="0.2">
      <c r="R85" s="183">
        <f>_xll.qlCalendarAdvance(Calendar,R84,"1D","f")</f>
        <v>42251</v>
      </c>
      <c r="S85" s="390">
        <f>_xll.qlCalendarAdvance(Calendar,R85,$F$1,"mf",,Trigger)</f>
        <v>42433</v>
      </c>
      <c r="T85" s="391">
        <f>_xll.qlDayCounterYearFraction(DayCounter,R85,S85,,,Trigger)</f>
        <v>0.50555555555555554</v>
      </c>
      <c r="U85" s="348">
        <f>_xll.qlInterpolationInterpolate(B6Minterpolation,R85,TRUE)</f>
        <v>1.9463168106547486E-3</v>
      </c>
      <c r="V85" s="184">
        <f>_xll.qlYieldTSDiscount(Discounting,R85,,AllTriggers)</f>
        <v>1.0003602833974437</v>
      </c>
      <c r="W85" s="184">
        <f>_xll.qlYieldTSDiscount(Discounting,S85,,AllTriggers)</f>
        <v>1.0010110421558085</v>
      </c>
      <c r="X85" s="181">
        <f t="shared" si="9"/>
        <v>-1.2859150121498368E-3</v>
      </c>
    </row>
    <row r="86" spans="18:24" x14ac:dyDescent="0.2">
      <c r="R86" s="183">
        <f>_xll.qlCalendarAdvance(Calendar,R85,"1D","f")</f>
        <v>42254</v>
      </c>
      <c r="S86" s="390">
        <f>_xll.qlCalendarAdvance(Calendar,R86,$F$1,"mf",,Trigger)</f>
        <v>42436</v>
      </c>
      <c r="T86" s="391">
        <f>_xll.qlDayCounterYearFraction(DayCounter,R86,S86,,,Trigger)</f>
        <v>0.50555555555555554</v>
      </c>
      <c r="U86" s="348">
        <f>_xll.qlInterpolationInterpolate(B6Minterpolation,R86,TRUE)</f>
        <v>1.9487740159141996E-3</v>
      </c>
      <c r="V86" s="184">
        <f>_xll.qlYieldTSDiscount(Discounting,R86,,AllTriggers)</f>
        <v>1.0003707016377152</v>
      </c>
      <c r="W86" s="184">
        <f>_xll.qlYieldTSDiscount(Discounting,S86,,AllTriggers)</f>
        <v>1.0010226967945721</v>
      </c>
      <c r="X86" s="181">
        <f t="shared" si="9"/>
        <v>-1.2883431654012697E-3</v>
      </c>
    </row>
    <row r="87" spans="18:24" x14ac:dyDescent="0.2">
      <c r="R87" s="183">
        <f>_xll.qlCalendarAdvance(Calendar,R86,"1D","f")</f>
        <v>42255</v>
      </c>
      <c r="S87" s="390">
        <f>_xll.qlCalendarAdvance(Calendar,R87,$F$1,"mf",,Trigger)</f>
        <v>42437</v>
      </c>
      <c r="T87" s="391">
        <f>_xll.qlDayCounterYearFraction(DayCounter,R87,S87,,,Trigger)</f>
        <v>0.50555555555555554</v>
      </c>
      <c r="U87" s="348">
        <f>_xll.qlInterpolationInterpolate(B6Minterpolation,R87,TRUE)</f>
        <v>1.9495658933367929E-3</v>
      </c>
      <c r="V87" s="184">
        <f>_xll.qlYieldTSDiscount(Discounting,R87,,AllTriggers)</f>
        <v>1.000374175874619</v>
      </c>
      <c r="W87" s="184">
        <f>_xll.qlYieldTSDiscount(Discounting,S87,,AllTriggers)</f>
        <v>1.0010265622658516</v>
      </c>
      <c r="X87" s="181">
        <f t="shared" si="9"/>
        <v>-1.2891112670374107E-3</v>
      </c>
    </row>
    <row r="88" spans="18:24" x14ac:dyDescent="0.2">
      <c r="R88" s="183">
        <f>_xll.qlCalendarAdvance(Calendar,R87,"1D","f")</f>
        <v>42256</v>
      </c>
      <c r="S88" s="390">
        <f>_xll.qlCalendarAdvance(Calendar,R88,$F$1,"mf",,Trigger)</f>
        <v>42438</v>
      </c>
      <c r="T88" s="391">
        <f>_xll.qlDayCounterYearFraction(DayCounter,R88,S88,,,Trigger)</f>
        <v>0.50555555555555554</v>
      </c>
      <c r="U88" s="348">
        <f>_xll.qlInterpolationInterpolate(B6Minterpolation,R88,TRUE)</f>
        <v>1.9503446417229503E-3</v>
      </c>
      <c r="V88" s="184">
        <f>_xll.qlYieldTSDiscount(Discounting,R88,,AllTriggers)</f>
        <v>1.0003776507439746</v>
      </c>
      <c r="W88" s="184">
        <f>_xll.qlYieldTSDiscount(Discounting,S88,,AllTriggers)</f>
        <v>1.0010304177523508</v>
      </c>
      <c r="X88" s="181">
        <f t="shared" si="9"/>
        <v>-1.2898583961065721E-3</v>
      </c>
    </row>
    <row r="89" spans="18:24" x14ac:dyDescent="0.2">
      <c r="R89" s="183">
        <f>_xll.qlCalendarAdvance(Calendar,R88,"1D","f")</f>
        <v>42257</v>
      </c>
      <c r="S89" s="390">
        <f>_xll.qlCalendarAdvance(Calendar,R89,$F$1,"mf",,Trigger)</f>
        <v>42439</v>
      </c>
      <c r="T89" s="391">
        <f>_xll.qlDayCounterYearFraction(DayCounter,R89,S89,,,Trigger)</f>
        <v>0.50555555555555554</v>
      </c>
      <c r="U89" s="348">
        <f>_xll.qlInterpolationInterpolate(B6Minterpolation,R89,TRUE)</f>
        <v>1.9511105409499776E-3</v>
      </c>
      <c r="V89" s="184">
        <f>_xll.qlYieldTSDiscount(Discounting,R89,,AllTriggers)</f>
        <v>1.000381126206233</v>
      </c>
      <c r="W89" s="184">
        <f>_xll.qlYieldTSDiscount(Discounting,S89,,AllTriggers)</f>
        <v>1.0010342630856892</v>
      </c>
      <c r="X89" s="181">
        <f t="shared" si="9"/>
        <v>-1.2905842985221118E-3</v>
      </c>
    </row>
    <row r="90" spans="18:24" x14ac:dyDescent="0.2">
      <c r="R90" s="183">
        <f>_xll.qlCalendarAdvance(Calendar,R89,"1D","f")</f>
        <v>42258</v>
      </c>
      <c r="S90" s="390">
        <f>_xll.qlCalendarAdvance(Calendar,R90,$F$1,"mf",,Trigger)</f>
        <v>42440</v>
      </c>
      <c r="T90" s="391">
        <f>_xll.qlDayCounterYearFraction(DayCounter,R90,S90,,,Trigger)</f>
        <v>0.50555555555555554</v>
      </c>
      <c r="U90" s="348">
        <f>_xll.qlInterpolationInterpolate(B6Minterpolation,R90,TRUE)</f>
        <v>1.9518638708951805E-3</v>
      </c>
      <c r="V90" s="184">
        <f>_xll.qlYieldTSDiscount(Discounting,R90,,AllTriggers)</f>
        <v>1.0003846023339462</v>
      </c>
      <c r="W90" s="184">
        <f>_xll.qlYieldTSDiscount(Discounting,S90,,AllTriggers)</f>
        <v>1.0010380980974858</v>
      </c>
      <c r="X90" s="181">
        <f t="shared" si="9"/>
        <v>-1.2912884986917171E-3</v>
      </c>
    </row>
    <row r="91" spans="18:24" x14ac:dyDescent="0.2">
      <c r="R91" s="183">
        <f>_xll.qlCalendarAdvance(Calendar,R90,"1D","f")</f>
        <v>42261</v>
      </c>
      <c r="S91" s="390">
        <f>_xll.qlCalendarAdvance(Calendar,R91,$F$1,"mf",,Trigger)</f>
        <v>42443</v>
      </c>
      <c r="T91" s="391">
        <f>_xll.qlDayCounterYearFraction(DayCounter,R91,S91,,,Trigger)</f>
        <v>0.50555555555555554</v>
      </c>
      <c r="U91" s="348">
        <f>_xll.qlInterpolationInterpolate(B6Minterpolation,R91,TRUE)</f>
        <v>1.9540512438128996E-3</v>
      </c>
      <c r="V91" s="184">
        <f>_xll.qlYieldTSDiscount(Discounting,R91,,AllTriggers)</f>
        <v>1.0003950357156131</v>
      </c>
      <c r="W91" s="184">
        <f>_xll.qlYieldTSDiscount(Discounting,S91,,AllTriggers)</f>
        <v>1.0010495395197725</v>
      </c>
      <c r="X91" s="181">
        <f t="shared" si="9"/>
        <v>-1.2932655759946886E-3</v>
      </c>
    </row>
    <row r="92" spans="18:24" x14ac:dyDescent="0.2">
      <c r="R92" s="183">
        <f>_xll.qlCalendarAdvance(Calendar,R91,"1D","f")</f>
        <v>42262</v>
      </c>
      <c r="S92" s="390">
        <f>_xll.qlCalendarAdvance(Calendar,R92,$F$1,"mf",,Trigger)</f>
        <v>42444</v>
      </c>
      <c r="T92" s="391">
        <f>_xll.qlDayCounterYearFraction(DayCounter,R92,S92,,,Trigger)</f>
        <v>0.50555555555555554</v>
      </c>
      <c r="U92" s="348">
        <f>_xll.qlInterpolationInterpolate(B6Minterpolation,R92,TRUE)</f>
        <v>1.9547570954038616E-3</v>
      </c>
      <c r="V92" s="184">
        <f>_xll.qlYieldTSDiscount(Discounting,R92,,AllTriggers)</f>
        <v>1.0003985155109503</v>
      </c>
      <c r="W92" s="184">
        <f>_xll.qlYieldTSDiscount(Discounting,S92,,AllTriggers)</f>
        <v>1.0010533315615384</v>
      </c>
      <c r="X92" s="181">
        <f t="shared" si="9"/>
        <v>-1.293877657451636E-3</v>
      </c>
    </row>
    <row r="93" spans="18:24" x14ac:dyDescent="0.2">
      <c r="R93" s="183">
        <f>_xll.qlCalendarAdvance(Calendar,R92,"1D","f")</f>
        <v>42263</v>
      </c>
      <c r="S93" s="390">
        <f>_xll.qlCalendarAdvance(Calendar,R93,$F$1,"mf",,Trigger)</f>
        <v>42445</v>
      </c>
      <c r="T93" s="391">
        <f>_xll.qlDayCounterYearFraction(DayCounter,R93,S93,,,Trigger)</f>
        <v>0.50555555555555554</v>
      </c>
      <c r="U93" s="348">
        <f>_xll.qlInterpolationInterpolate(B6Minterpolation,R93,TRUE)</f>
        <v>1.9554517770995275E-3</v>
      </c>
      <c r="V93" s="184">
        <f>_xll.qlYieldTSDiscount(Discounting,R93,,AllTriggers)</f>
        <v>1.0004019964746511</v>
      </c>
      <c r="W93" s="184">
        <f>_xll.qlYieldTSDiscount(Discounting,S93,,AllTriggers)</f>
        <v>1.00105711243982</v>
      </c>
      <c r="X93" s="181">
        <f t="shared" si="9"/>
        <v>-1.2944653817990673E-3</v>
      </c>
    </row>
    <row r="94" spans="18:24" x14ac:dyDescent="0.2">
      <c r="R94" s="183">
        <f>_xll.qlCalendarAdvance(Calendar,R93,"1D","f")</f>
        <v>42264</v>
      </c>
      <c r="S94" s="390">
        <f>_xll.qlCalendarAdvance(Calendar,R94,$F$1,"mf",,Trigger)</f>
        <v>42446</v>
      </c>
      <c r="T94" s="391">
        <f>_xll.qlDayCounterYearFraction(DayCounter,R94,S94,,,Trigger)</f>
        <v>0.50555555555555554</v>
      </c>
      <c r="U94" s="348">
        <f>_xll.qlInterpolationInterpolate(B6Minterpolation,R94,TRUE)</f>
        <v>1.9561355687772028E-3</v>
      </c>
      <c r="V94" s="184">
        <f>_xll.qlYieldTSDiscount(Discounting,R94,,AllTriggers)</f>
        <v>1.0004054787073016</v>
      </c>
      <c r="W94" s="184">
        <f>_xll.qlYieldTSDiscount(Discounting,S94,,AllTriggers)</f>
        <v>1.0010608820752711</v>
      </c>
      <c r="X94" s="181">
        <f t="shared" si="9"/>
        <v>-1.2950283939032576E-3</v>
      </c>
    </row>
    <row r="95" spans="18:24" x14ac:dyDescent="0.2">
      <c r="R95" s="183">
        <f>_xll.qlCalendarAdvance(Calendar,R94,"1D","f")</f>
        <v>42265</v>
      </c>
      <c r="S95" s="390">
        <f>_xll.qlCalendarAdvance(Calendar,R95,$F$1,"mf",,Trigger)</f>
        <v>42447</v>
      </c>
      <c r="T95" s="391">
        <f>_xll.qlDayCounterYearFraction(DayCounter,R95,S95,,,Trigger)</f>
        <v>0.50555555555555554</v>
      </c>
      <c r="U95" s="348">
        <f>_xll.qlInterpolationInterpolate(B6Minterpolation,R95,TRUE)</f>
        <v>1.956808750314194E-3</v>
      </c>
      <c r="V95" s="184">
        <f>_xll.qlYieldTSDiscount(Discounting,R95,,AllTriggers)</f>
        <v>1.0004089623094894</v>
      </c>
      <c r="W95" s="184">
        <f>_xll.qlYieldTSDiscount(Discounting,S95,,AllTriggers)</f>
        <v>1.0010646407447401</v>
      </c>
      <c r="X95" s="181">
        <f t="shared" si="9"/>
        <v>-1.2955670419806083E-3</v>
      </c>
    </row>
    <row r="96" spans="18:24" x14ac:dyDescent="0.2">
      <c r="R96" s="183">
        <f>_xll.qlCalendarAdvance(Calendar,R95,"1D","f")</f>
        <v>42268</v>
      </c>
      <c r="S96" s="390">
        <f>_xll.qlCalendarAdvance(Calendar,R96,$F$1,"mf",,Trigger)</f>
        <v>42450</v>
      </c>
      <c r="T96" s="391">
        <f>_xll.qlDayCounterYearFraction(DayCounter,R96,S96,,,Trigger)</f>
        <v>0.50555555555555554</v>
      </c>
      <c r="U96" s="348">
        <f>_xll.qlInterpolationInterpolate(B6Minterpolation,R96,TRUE)</f>
        <v>1.9587674328541151E-3</v>
      </c>
      <c r="V96" s="184">
        <f>_xll.qlYieldTSDiscount(Discounting,R96,,AllTriggers)</f>
        <v>1.0004194223391687</v>
      </c>
      <c r="W96" s="184">
        <f>_xll.qlYieldTSDiscount(Discounting,S96,,AllTriggers)</f>
        <v>1.0010758546163154</v>
      </c>
      <c r="X96" s="181">
        <f t="shared" si="9"/>
        <v>-1.2970420426101563E-3</v>
      </c>
    </row>
    <row r="97" spans="18:24" x14ac:dyDescent="0.2">
      <c r="R97" s="183">
        <f>_xll.qlCalendarAdvance(Calendar,R96,"1D","f")</f>
        <v>42269</v>
      </c>
      <c r="S97" s="390">
        <f>_xll.qlCalendarAdvance(Calendar,R97,$F$1,"mf",,Trigger)</f>
        <v>42451</v>
      </c>
      <c r="T97" s="391">
        <f>_xll.qlDayCounterYearFraction(DayCounter,R97,S97,,,Trigger)</f>
        <v>0.50555555555555554</v>
      </c>
      <c r="U97" s="348">
        <f>_xll.qlInterpolationInterpolate(B6Minterpolation,R97,TRUE)</f>
        <v>1.9594009726014239E-3</v>
      </c>
      <c r="V97" s="184">
        <f>_xll.qlYieldTSDiscount(Discounting,R97,,AllTriggers)</f>
        <v>1.000422912425406</v>
      </c>
      <c r="W97" s="184">
        <f>_xll.qlYieldTSDiscount(Discounting,S97,,AllTriggers)</f>
        <v>1.0010795730809445</v>
      </c>
      <c r="X97" s="181">
        <f t="shared" si="9"/>
        <v>-1.2974884751268249E-3</v>
      </c>
    </row>
    <row r="98" spans="18:24" x14ac:dyDescent="0.2">
      <c r="R98" s="183">
        <f>_xll.qlCalendarAdvance(Calendar,R97,"1D","f")</f>
        <v>42270</v>
      </c>
      <c r="S98" s="390">
        <f>_xll.qlCalendarAdvance(Calendar,R98,$F$1,"mf",,Trigger)</f>
        <v>42452</v>
      </c>
      <c r="T98" s="391">
        <f>_xll.qlDayCounterYearFraction(DayCounter,R98,S98,,,Trigger)</f>
        <v>0.50555555555555554</v>
      </c>
      <c r="U98" s="348">
        <f>_xll.qlInterpolationInterpolate(B6Minterpolation,R98,TRUE)</f>
        <v>1.9600253015945768E-3</v>
      </c>
      <c r="V98" s="184">
        <f>_xll.qlYieldTSDiscount(Discounting,R98,,AllTriggers)</f>
        <v>1.0004264043841384</v>
      </c>
      <c r="W98" s="184">
        <f>_xll.qlYieldTSDiscount(Discounting,S98,,AllTriggers)</f>
        <v>1.0010832824091647</v>
      </c>
      <c r="X98" s="181">
        <f t="shared" si="9"/>
        <v>-1.297913163882416E-3</v>
      </c>
    </row>
    <row r="99" spans="18:24" x14ac:dyDescent="0.2">
      <c r="R99" s="183">
        <f>_xll.qlCalendarAdvance(Calendar,R98,"1D","f")</f>
        <v>42271</v>
      </c>
      <c r="S99" s="390">
        <f>_xll.qlCalendarAdvance(Calendar,R99,$F$1,"mf",,Trigger)</f>
        <v>42453</v>
      </c>
      <c r="T99" s="391">
        <f>_xll.qlDayCounterYearFraction(DayCounter,R99,S99,,,Trigger)</f>
        <v>0.50555555555555554</v>
      </c>
      <c r="U99" s="348">
        <f>_xll.qlInterpolationInterpolate(B6Minterpolation,R99,TRUE)</f>
        <v>1.9606406997108787E-3</v>
      </c>
      <c r="V99" s="184">
        <f>_xll.qlYieldTSDiscount(Discounting,R99,,AllTriggers)</f>
        <v>1.0004298983159614</v>
      </c>
      <c r="W99" s="184">
        <f>_xll.qlYieldTSDiscount(Discounting,S99,,AllTriggers)</f>
        <v>1.0010869829669069</v>
      </c>
      <c r="X99" s="181">
        <f t="shared" si="9"/>
        <v>-1.2983166329254266E-3</v>
      </c>
    </row>
    <row r="100" spans="18:24" x14ac:dyDescent="0.2">
      <c r="R100" s="183">
        <f>_xll.qlCalendarAdvance(Calendar,R99,"1D","f")</f>
        <v>42272</v>
      </c>
      <c r="S100" s="390">
        <f>_xll.qlCalendarAdvance(Calendar,R100,$F$1,"mf",,Trigger)</f>
        <v>42458</v>
      </c>
      <c r="T100" s="391">
        <f>_xll.qlDayCounterYearFraction(DayCounter,R100,S100,,,Trigger)</f>
        <v>0.51666666666666672</v>
      </c>
      <c r="U100" s="348">
        <f>_xll.qlInterpolationInterpolate(B6Minterpolation,R100,TRUE)</f>
        <v>1.9612474468276354E-3</v>
      </c>
      <c r="V100" s="184">
        <f>_xll.qlYieldTSDiscount(Discounting,R100,,AllTriggers)</f>
        <v>1.0004333943214723</v>
      </c>
      <c r="W100" s="184">
        <f>_xll.qlYieldTSDiscount(Discounting,S100,,AllTriggers)</f>
        <v>1.0011053670064547</v>
      </c>
      <c r="X100" s="181">
        <f t="shared" si="9"/>
        <v>-1.299156249060482E-3</v>
      </c>
    </row>
    <row r="101" spans="18:24" x14ac:dyDescent="0.2">
      <c r="R101" s="183">
        <f>_xll.qlCalendarAdvance(Calendar,R100,"1D","f")</f>
        <v>42275</v>
      </c>
      <c r="S101" s="390">
        <f>_xll.qlCalendarAdvance(Calendar,R101,$F$1,"mf",,Trigger)</f>
        <v>42458</v>
      </c>
      <c r="T101" s="391">
        <f>_xll.qlDayCounterYearFraction(DayCounter,R101,S101,,,Trigger)</f>
        <v>0.5083333333333333</v>
      </c>
      <c r="U101" s="348">
        <f>_xll.qlInterpolationInterpolate(B6Minterpolation,R101,TRUE)</f>
        <v>1.9630185809536935E-3</v>
      </c>
      <c r="V101" s="184">
        <f>_xll.qlYieldTSDiscount(Discounting,R101,,AllTriggers)</f>
        <v>1.0004438957861259</v>
      </c>
      <c r="W101" s="184">
        <f>_xll.qlYieldTSDiscount(Discounting,S101,,AllTriggers)</f>
        <v>1.0011053670064547</v>
      </c>
      <c r="X101" s="181">
        <f t="shared" si="9"/>
        <v>-1.2998180836391166E-3</v>
      </c>
    </row>
    <row r="102" spans="18:24" x14ac:dyDescent="0.2">
      <c r="R102" s="183">
        <f>_xll.qlCalendarAdvance(Calendar,R101,"1D","f")</f>
        <v>42276</v>
      </c>
      <c r="S102" s="390">
        <f>_xll.qlCalendarAdvance(Calendar,R102,$F$1,"mf",,Trigger)</f>
        <v>42458</v>
      </c>
      <c r="T102" s="391">
        <f>_xll.qlDayCounterYearFraction(DayCounter,R102,S102,,,Trigger)</f>
        <v>0.50555555555555554</v>
      </c>
      <c r="U102" s="348">
        <f>_xll.qlInterpolationInterpolate(B6Minterpolation,R102,TRUE)</f>
        <v>1.9635935228453278E-3</v>
      </c>
      <c r="V102" s="184">
        <f>_xll.qlYieldTSDiscount(Discounting,R102,,AllTriggers)</f>
        <v>1.0004474010923892</v>
      </c>
      <c r="W102" s="184">
        <f>_xll.qlYieldTSDiscount(Discounting,S102,,AllTriggers)</f>
        <v>1.0011053670064547</v>
      </c>
      <c r="X102" s="181">
        <f t="shared" si="9"/>
        <v>-1.3000340240933849E-3</v>
      </c>
    </row>
    <row r="103" spans="18:24" x14ac:dyDescent="0.2">
      <c r="R103" s="183">
        <f>_xll.qlCalendarAdvance(Calendar,R102,"1D","f")</f>
        <v>42277</v>
      </c>
      <c r="S103" s="390">
        <f>_xll.qlCalendarAdvance(Calendar,R103,$F$1,"mf",,Trigger)</f>
        <v>42459</v>
      </c>
      <c r="T103" s="391">
        <f>_xll.qlDayCounterYearFraction(DayCounter,R103,S103,,,Trigger)</f>
        <v>0.50555555555555554</v>
      </c>
      <c r="U103" s="348">
        <f>_xll.qlInterpolationInterpolate(B6Minterpolation,R103,TRUE)</f>
        <v>1.964161213123945E-3</v>
      </c>
      <c r="V103" s="184">
        <f>_xll.qlYieldTSDiscount(Discounting,R103,,AllTriggers)</f>
        <v>1.0004509089753477</v>
      </c>
      <c r="W103" s="184">
        <f>_xll.qlYieldTSDiscount(Discounting,S103,,AllTriggers)</f>
        <v>1.00110902262621</v>
      </c>
      <c r="X103" s="181">
        <f t="shared" si="9"/>
        <v>-1.3003211798321326E-3</v>
      </c>
    </row>
    <row r="104" spans="18:24" x14ac:dyDescent="0.2">
      <c r="R104" s="183">
        <f>_xll.qlCalendarAdvance(Calendar,R103,"1D","f")</f>
        <v>42278</v>
      </c>
      <c r="S104" s="390">
        <f>_xll.qlCalendarAdvance(Calendar,R104,$F$1,"mf",,Trigger)</f>
        <v>42461</v>
      </c>
      <c r="T104" s="391">
        <f>_xll.qlDayCounterYearFraction(DayCounter,R104,S104,,,Trigger)</f>
        <v>0.5083333333333333</v>
      </c>
      <c r="U104" s="348">
        <f>_xll.qlInterpolationInterpolate(B6Minterpolation,R104,TRUE)</f>
        <v>1.9647219316668517E-3</v>
      </c>
      <c r="V104" s="184">
        <f>_xll.qlYieldTSDiscount(Discounting,R104,,AllTriggers)</f>
        <v>1.0004517183086745</v>
      </c>
      <c r="W104" s="184">
        <f>_xll.qlYieldTSDiscount(Discounting,S104,,AllTriggers)</f>
        <v>1.0011104090190359</v>
      </c>
      <c r="X104" s="181">
        <f t="shared" si="9"/>
        <v>-1.2943477485759362E-3</v>
      </c>
    </row>
    <row r="105" spans="18:24" x14ac:dyDescent="0.2">
      <c r="R105" s="183">
        <f>_xll.qlCalendarAdvance(Calendar,R104,"1D","f")</f>
        <v>42279</v>
      </c>
      <c r="S105" s="390">
        <f>_xll.qlCalendarAdvance(Calendar,R105,$F$1,"mf",,Trigger)</f>
        <v>42464</v>
      </c>
      <c r="T105" s="391">
        <f>_xll.qlDayCounterYearFraction(DayCounter,R105,S105,,,Trigger)</f>
        <v>0.51388888888888884</v>
      </c>
      <c r="U105" s="348">
        <f>_xll.qlInterpolationInterpolate(B6Minterpolation,R105,TRUE)</f>
        <v>1.965275958351353E-3</v>
      </c>
      <c r="V105" s="184">
        <f>_xll.qlYieldTSDiscount(Discounting,R105,,AllTriggers)</f>
        <v>1.0004552316373565</v>
      </c>
      <c r="W105" s="184">
        <f>_xll.qlYieldTSDiscount(Discounting,S105,,AllTriggers)</f>
        <v>1.0011213082620281</v>
      </c>
      <c r="X105" s="181">
        <f t="shared" si="9"/>
        <v>-1.2946973526306764E-3</v>
      </c>
    </row>
    <row r="106" spans="18:24" x14ac:dyDescent="0.2">
      <c r="R106" s="183">
        <f>_xll.qlCalendarAdvance(Calendar,R105,"1D","f")</f>
        <v>42282</v>
      </c>
      <c r="S106" s="390">
        <f>_xll.qlCalendarAdvance(Calendar,R106,$F$1,"mf",,Trigger)</f>
        <v>42465</v>
      </c>
      <c r="T106" s="391">
        <f>_xll.qlDayCounterYearFraction(DayCounter,R106,S106,,,Trigger)</f>
        <v>0.5083333333333333</v>
      </c>
      <c r="U106" s="348">
        <f>_xll.qlInterpolationInterpolate(B6Minterpolation,R106,TRUE)</f>
        <v>1.9669006860274824E-3</v>
      </c>
      <c r="V106" s="184">
        <f>_xll.qlYieldTSDiscount(Discounting,R106,,AllTriggers)</f>
        <v>1.0004657892968982</v>
      </c>
      <c r="W106" s="184">
        <f>_xll.qlYieldTSDiscount(Discounting,S106,,AllTriggers)</f>
        <v>1.0011249320973548</v>
      </c>
      <c r="X106" s="181">
        <f t="shared" si="9"/>
        <v>-1.2952173300061871E-3</v>
      </c>
    </row>
    <row r="107" spans="18:24" x14ac:dyDescent="0.2">
      <c r="R107" s="183">
        <f>_xll.qlCalendarAdvance(Calendar,R106,"1D","f")</f>
        <v>42283</v>
      </c>
      <c r="S107" s="390">
        <f>_xll.qlCalendarAdvance(Calendar,R107,$F$1,"mf",,Trigger)</f>
        <v>42466</v>
      </c>
      <c r="T107" s="391">
        <f>_xll.qlDayCounterYearFraction(DayCounter,R107,S107,,,Trigger)</f>
        <v>0.5083333333333333</v>
      </c>
      <c r="U107" s="348">
        <f>_xll.qlInterpolationInterpolate(B6Minterpolation,R107,TRUE)</f>
        <v>1.9674307440514199E-3</v>
      </c>
      <c r="V107" s="184">
        <f>_xll.qlYieldTSDiscount(Discounting,R107,,AllTriggers)</f>
        <v>1.0004693147432813</v>
      </c>
      <c r="W107" s="184">
        <f>_xll.qlYieldTSDiscount(Discounting,S107,,AllTriggers)</f>
        <v>1.001128551919843</v>
      </c>
      <c r="X107" s="181">
        <f t="shared" si="9"/>
        <v>-1.2953980954579745E-3</v>
      </c>
    </row>
    <row r="108" spans="18:24" x14ac:dyDescent="0.2">
      <c r="R108" s="183">
        <f>_xll.qlCalendarAdvance(Calendar,R107,"1D","f")</f>
        <v>42284</v>
      </c>
      <c r="S108" s="390">
        <f>_xll.qlCalendarAdvance(Calendar,R108,$F$1,"mf",,Trigger)</f>
        <v>42467</v>
      </c>
      <c r="T108" s="391">
        <f>_xll.qlDayCounterYearFraction(DayCounter,R108,S108,,,Trigger)</f>
        <v>0.5083333333333333</v>
      </c>
      <c r="U108" s="348">
        <f>_xll.qlInterpolationInterpolate(B6Minterpolation,R108,TRUE)</f>
        <v>1.96795550960348E-3</v>
      </c>
      <c r="V108" s="184">
        <f>_xll.qlYieldTSDiscount(Discounting,R108,,AllTriggers)</f>
        <v>1.0004728434706216</v>
      </c>
      <c r="W108" s="184">
        <f>_xll.qlYieldTSDiscount(Discounting,S108,,AllTriggers)</f>
        <v>1.001132168095499</v>
      </c>
      <c r="X108" s="181">
        <f t="shared" si="9"/>
        <v>-1.2955652512959982E-3</v>
      </c>
    </row>
    <row r="109" spans="18:24" x14ac:dyDescent="0.2">
      <c r="R109" s="183">
        <f>_xll.qlCalendarAdvance(Calendar,R108,"1D","f")</f>
        <v>42285</v>
      </c>
      <c r="S109" s="390">
        <f>_xll.qlCalendarAdvance(Calendar,R109,$F$1,"mf",,Trigger)</f>
        <v>42468</v>
      </c>
      <c r="T109" s="391">
        <f>_xll.qlDayCounterYearFraction(DayCounter,R109,S109,,,Trigger)</f>
        <v>0.5083333333333333</v>
      </c>
      <c r="U109" s="348">
        <f>_xll.qlInterpolationInterpolate(B6Minterpolation,R109,TRUE)</f>
        <v>1.9684752625609694E-3</v>
      </c>
      <c r="V109" s="184">
        <f>_xll.qlYieldTSDiscount(Discounting,R109,,AllTriggers)</f>
        <v>1.0004763755795345</v>
      </c>
      <c r="W109" s="184">
        <f>_xll.qlYieldTSDiscount(Discounting,S109,,AllTriggers)</f>
        <v>1.0011357809903345</v>
      </c>
      <c r="X109" s="181">
        <f t="shared" si="9"/>
        <v>-1.2957193186946183E-3</v>
      </c>
    </row>
    <row r="110" spans="18:24" x14ac:dyDescent="0.2">
      <c r="R110" s="183">
        <f>_xll.qlCalendarAdvance(Calendar,R109,"1D","f")</f>
        <v>42286</v>
      </c>
      <c r="S110" s="390">
        <f>_xll.qlCalendarAdvance(Calendar,R110,$F$1,"mf",,Trigger)</f>
        <v>42471</v>
      </c>
      <c r="T110" s="391">
        <f>_xll.qlDayCounterYearFraction(DayCounter,R110,S110,,,Trigger)</f>
        <v>0.51388888888888884</v>
      </c>
      <c r="U110" s="348">
        <f>_xll.qlInterpolationInterpolate(B6Minterpolation,R110,TRUE)</f>
        <v>1.9689902828011934E-3</v>
      </c>
      <c r="V110" s="184">
        <f>_xll.qlYieldTSDiscount(Discounting,R110,,AllTriggers)</f>
        <v>1.0004799111706371</v>
      </c>
      <c r="W110" s="184">
        <f>_xll.qlYieldTSDiscount(Discounting,S110,,AllTriggers)</f>
        <v>1.0011466036501127</v>
      </c>
      <c r="X110" s="181">
        <f t="shared" si="9"/>
        <v>-1.2958616878867779E-3</v>
      </c>
    </row>
    <row r="111" spans="18:24" x14ac:dyDescent="0.2">
      <c r="R111" s="183">
        <f>_xll.qlCalendarAdvance(Calendar,R110,"1D","f")</f>
        <v>42289</v>
      </c>
      <c r="S111" s="390">
        <f>_xll.qlCalendarAdvance(Calendar,R111,$F$1,"mf",,Trigger)</f>
        <v>42472</v>
      </c>
      <c r="T111" s="391">
        <f>_xll.qlDayCounterYearFraction(DayCounter,R111,S111,,,Trigger)</f>
        <v>0.5083333333333333</v>
      </c>
      <c r="U111" s="348">
        <f>_xll.qlInterpolationInterpolate(B6Minterpolation,R111,TRUE)</f>
        <v>1.9705097459913287E-3</v>
      </c>
      <c r="V111" s="184">
        <f>_xll.qlYieldTSDiscount(Discounting,R111,,AllTriggers)</f>
        <v>1.0004905398432749</v>
      </c>
      <c r="W111" s="184">
        <f>_xll.qlYieldTSDiscount(Discounting,S111,,AllTriggers)</f>
        <v>1.0011502070818872</v>
      </c>
      <c r="X111" s="181">
        <f t="shared" si="9"/>
        <v>-1.2962151273525734E-3</v>
      </c>
    </row>
    <row r="112" spans="18:24" x14ac:dyDescent="0.2">
      <c r="R112" s="183">
        <f>_xll.qlCalendarAdvance(Calendar,R111,"1D","f")</f>
        <v>42290</v>
      </c>
      <c r="S112" s="390">
        <f>_xll.qlCalendarAdvance(Calendar,R112,$F$1,"mf",,Trigger)</f>
        <v>42473</v>
      </c>
      <c r="T112" s="391">
        <f>_xll.qlDayCounterYearFraction(DayCounter,R112,S112,,,Trigger)</f>
        <v>0.5083333333333333</v>
      </c>
      <c r="U112" s="348">
        <f>_xll.qlInterpolationInterpolate(B6Minterpolation,R112,TRUE)</f>
        <v>1.9710086341355472E-3</v>
      </c>
      <c r="V112" s="184">
        <f>_xll.qlYieldTSDiscount(Discounting,R112,,AllTriggers)</f>
        <v>1.0004940903693356</v>
      </c>
      <c r="W112" s="184">
        <f>_xll.qlYieldTSDiscount(Discounting,S112,,AllTriggers)</f>
        <v>1.001153809062979</v>
      </c>
      <c r="X112" s="181">
        <f t="shared" si="9"/>
        <v>-1.2963115701457785E-3</v>
      </c>
    </row>
    <row r="113" spans="18:24" x14ac:dyDescent="0.2">
      <c r="R113" s="183">
        <f>_xll.qlCalendarAdvance(Calendar,R112,"1D","f")</f>
        <v>42291</v>
      </c>
      <c r="S113" s="390">
        <f>_xll.qlCalendarAdvance(Calendar,R113,$F$1,"mf",,Trigger)</f>
        <v>42474</v>
      </c>
      <c r="T113" s="391">
        <f>_xll.qlDayCounterYearFraction(DayCounter,R113,S113,,,Trigger)</f>
        <v>0.5083333333333333</v>
      </c>
      <c r="U113" s="348">
        <f>_xll.qlInterpolationInterpolate(B6Minterpolation,R113,TRUE)</f>
        <v>1.9715041889490285E-3</v>
      </c>
      <c r="V113" s="184">
        <f>_xll.qlYieldTSDiscount(Discounting,R113,,AllTriggers)</f>
        <v>1.000497644880693</v>
      </c>
      <c r="W113" s="184">
        <f>_xll.qlYieldTSDiscount(Discounting,S113,,AllTriggers)</f>
        <v>1.0011574099594307</v>
      </c>
      <c r="X113" s="181">
        <f t="shared" si="9"/>
        <v>-1.2963980515332942E-3</v>
      </c>
    </row>
    <row r="114" spans="18:24" x14ac:dyDescent="0.2">
      <c r="R114" s="183">
        <f>_xll.qlCalendarAdvance(Calendar,R113,"1D","f")</f>
        <v>42292</v>
      </c>
      <c r="S114" s="390">
        <f>_xll.qlCalendarAdvance(Calendar,R114,$F$1,"mf",,Trigger)</f>
        <v>42475</v>
      </c>
      <c r="T114" s="391">
        <f>_xll.qlDayCounterYearFraction(DayCounter,R114,S114,,,Trigger)</f>
        <v>0.5083333333333333</v>
      </c>
      <c r="U114" s="348">
        <f>_xll.qlInterpolationInterpolate(B6Minterpolation,R114,TRUE)</f>
        <v>1.9719966903090787E-3</v>
      </c>
      <c r="V114" s="184">
        <f>_xll.qlYieldTSDiscount(Discounting,R114,,AllTriggers)</f>
        <v>1.0005012034779732</v>
      </c>
      <c r="W114" s="184">
        <f>_xll.qlYieldTSDiscount(Discounting,S114,,AllTriggers)</f>
        <v>1.001161010137291</v>
      </c>
      <c r="X114" s="181">
        <f t="shared" si="9"/>
        <v>-1.2964750926866416E-3</v>
      </c>
    </row>
    <row r="115" spans="18:24" x14ac:dyDescent="0.2">
      <c r="R115" s="183">
        <f>_xll.qlCalendarAdvance(Calendar,R114,"1D","f")</f>
        <v>42293</v>
      </c>
      <c r="S115" s="390">
        <f>_xll.qlCalendarAdvance(Calendar,R115,$F$1,"mf",,Trigger)</f>
        <v>42478</v>
      </c>
      <c r="T115" s="391">
        <f>_xll.qlDayCounterYearFraction(DayCounter,R115,S115,,,Trigger)</f>
        <v>0.51388888888888884</v>
      </c>
      <c r="U115" s="348">
        <f>_xll.qlInterpolationInterpolate(B6Minterpolation,R115,TRUE)</f>
        <v>1.9724864180930032E-3</v>
      </c>
      <c r="V115" s="184">
        <f>_xll.qlYieldTSDiscount(Discounting,R115,,AllTriggers)</f>
        <v>1.0005047662618032</v>
      </c>
      <c r="W115" s="184">
        <f>_xll.qlYieldTSDiscount(Discounting,S115,,AllTriggers)</f>
        <v>1.001171810019889</v>
      </c>
      <c r="X115" s="181">
        <f t="shared" si="9"/>
        <v>-1.2965118312607258E-3</v>
      </c>
    </row>
    <row r="116" spans="18:24" x14ac:dyDescent="0.2">
      <c r="R116" s="183">
        <f>_xll.qlCalendarAdvance(Calendar,R115,"1D","f")</f>
        <v>42296</v>
      </c>
      <c r="S116" s="390">
        <f>_xll.qlCalendarAdvance(Calendar,R116,$F$1,"mf",,Trigger)</f>
        <v>42479</v>
      </c>
      <c r="T116" s="391">
        <f>_xll.qlDayCounterYearFraction(DayCounter,R116,S116,,,Trigger)</f>
        <v>0.5083333333333333</v>
      </c>
      <c r="U116" s="348">
        <f>_xll.qlInterpolationInterpolate(B6Minterpolation,R116,TRUE)</f>
        <v>1.973941758761079E-3</v>
      </c>
      <c r="V116" s="184">
        <f>_xll.qlYieldTSDiscount(Discounting,R116,,AllTriggers)</f>
        <v>1.0005154807388885</v>
      </c>
      <c r="W116" s="184">
        <f>_xll.qlYieldTSDiscount(Discounting,S116,,AllTriggers)</f>
        <v>1.0011754109839754</v>
      </c>
      <c r="X116" s="181">
        <f t="shared" si="9"/>
        <v>-1.2966992783830966E-3</v>
      </c>
    </row>
    <row r="117" spans="18:24" x14ac:dyDescent="0.2">
      <c r="R117" s="183">
        <f>_xll.qlCalendarAdvance(Calendar,R116,"1D","f")</f>
        <v>42297</v>
      </c>
      <c r="S117" s="390">
        <f>_xll.qlCalendarAdvance(Calendar,R117,$F$1,"mf",,Trigger)</f>
        <v>42480</v>
      </c>
      <c r="T117" s="391">
        <f>_xll.qlDayCounterYearFraction(DayCounter,R117,S117,,,Trigger)</f>
        <v>0.5083333333333333</v>
      </c>
      <c r="U117" s="348">
        <f>_xll.qlInterpolationInterpolate(B6Minterpolation,R117,TRUE)</f>
        <v>1.9744231910135573E-3</v>
      </c>
      <c r="V117" s="184">
        <f>_xll.qlYieldTSDiscount(Discounting,R117,,AllTriggers)</f>
        <v>1.0005190612752213</v>
      </c>
      <c r="W117" s="184">
        <f>_xll.qlYieldTSDiscount(Discounting,S117,,AllTriggers)</f>
        <v>1.0011790130597924</v>
      </c>
      <c r="X117" s="181">
        <f t="shared" si="9"/>
        <v>-1.2967369359309963E-3</v>
      </c>
    </row>
    <row r="118" spans="18:24" x14ac:dyDescent="0.2">
      <c r="R118" s="183">
        <f>_xll.qlCalendarAdvance(Calendar,R117,"1D","f")</f>
        <v>42298</v>
      </c>
      <c r="S118" s="390">
        <f>_xll.qlCalendarAdvance(Calendar,R118,$F$1,"mf",,Trigger)</f>
        <v>42481</v>
      </c>
      <c r="T118" s="391">
        <f>_xll.qlDayCounterYearFraction(DayCounter,R118,S118,,,Trigger)</f>
        <v>0.5083333333333333</v>
      </c>
      <c r="U118" s="348">
        <f>_xll.qlInterpolationInterpolate(B6Minterpolation,R118,TRUE)</f>
        <v>1.9749032490764379E-3</v>
      </c>
      <c r="V118" s="184">
        <f>_xll.qlYieldTSDiscount(Discounting,R118,,AllTriggers)</f>
        <v>1.0005226465012629</v>
      </c>
      <c r="W118" s="184">
        <f>_xll.qlYieldTSDiscount(Discounting,S118,,AllTriggers)</f>
        <v>1.0011826166134203</v>
      </c>
      <c r="X118" s="181">
        <f t="shared" si="9"/>
        <v>-1.296768280269924E-3</v>
      </c>
    </row>
    <row r="119" spans="18:24" x14ac:dyDescent="0.2">
      <c r="R119" s="183">
        <f>_xll.qlCalendarAdvance(Calendar,R118,"1D","f")</f>
        <v>42299</v>
      </c>
      <c r="S119" s="390">
        <f>_xll.qlCalendarAdvance(Calendar,R119,$F$1,"mf",,Trigger)</f>
        <v>42482</v>
      </c>
      <c r="T119" s="391">
        <f>_xll.qlDayCounterYearFraction(DayCounter,R119,S119,,,Trigger)</f>
        <v>0.5083333333333333</v>
      </c>
      <c r="U119" s="348">
        <f>_xll.qlInterpolationInterpolate(B6Minterpolation,R119,TRUE)</f>
        <v>1.9753822128270272E-3</v>
      </c>
      <c r="V119" s="184">
        <f>_xll.qlYieldTSDiscount(Discounting,R119,,AllTriggers)</f>
        <v>1.0005262365176497</v>
      </c>
      <c r="W119" s="184">
        <f>_xll.qlYieldTSDiscount(Discounting,S119,,AllTriggers)</f>
        <v>1.0011862220109444</v>
      </c>
      <c r="X119" s="181">
        <f t="shared" si="9"/>
        <v>-1.2967938325689984E-3</v>
      </c>
    </row>
    <row r="120" spans="18:24" x14ac:dyDescent="0.2">
      <c r="R120" s="183">
        <f>_xll.qlCalendarAdvance(Calendar,R119,"1D","f")</f>
        <v>42300</v>
      </c>
      <c r="S120" s="390">
        <f>_xll.qlCalendarAdvance(Calendar,R120,$F$1,"mf",,Trigger)</f>
        <v>42485</v>
      </c>
      <c r="T120" s="391">
        <f>_xll.qlDayCounterYearFraction(DayCounter,R120,S120,,,Trigger)</f>
        <v>0.51388888888888884</v>
      </c>
      <c r="U120" s="348">
        <f>_xll.qlInterpolationInterpolate(B6Minterpolation,R120,TRUE)</f>
        <v>1.9758603621426304E-3</v>
      </c>
      <c r="V120" s="184">
        <f>_xll.qlYieldTSDiscount(Discounting,R120,,AllTriggers)</f>
        <v>1.0005298314250195</v>
      </c>
      <c r="W120" s="184">
        <f>_xll.qlYieldTSDiscount(Discounting,S120,,AllTriggers)</f>
        <v>1.0011970529278289</v>
      </c>
      <c r="X120" s="181">
        <f t="shared" si="9"/>
        <v>-1.296824610742824E-3</v>
      </c>
    </row>
    <row r="121" spans="18:24" x14ac:dyDescent="0.2">
      <c r="R121" s="183">
        <f>_xll.qlCalendarAdvance(Calendar,R120,"1D","f")</f>
        <v>42303</v>
      </c>
      <c r="S121" s="390">
        <f>_xll.qlCalendarAdvance(Calendar,R121,$F$1,"mf",,Trigger)</f>
        <v>42486</v>
      </c>
      <c r="T121" s="391">
        <f>_xll.qlDayCounterYearFraction(DayCounter,R121,S121,,,Trigger)</f>
        <v>0.5083333333333333</v>
      </c>
      <c r="U121" s="348">
        <f>_xll.qlInterpolationInterpolate(B6Minterpolation,R121,TRUE)</f>
        <v>1.9772927222525809E-3</v>
      </c>
      <c r="V121" s="184">
        <f>_xll.qlYieldTSDiscount(Discounting,R121,,AllTriggers)</f>
        <v>1.0005406464994275</v>
      </c>
      <c r="W121" s="184">
        <f>_xll.qlYieldTSDiscount(Discounting,S121,,AllTriggers)</f>
        <v>1.0012006693618991</v>
      </c>
      <c r="X121" s="181">
        <f t="shared" si="9"/>
        <v>-1.2968485447768774E-3</v>
      </c>
    </row>
    <row r="122" spans="18:24" x14ac:dyDescent="0.2">
      <c r="R122" s="183">
        <f>_xll.qlCalendarAdvance(Calendar,R121,"1D","f")</f>
        <v>42304</v>
      </c>
      <c r="S122" s="390">
        <f>_xll.qlCalendarAdvance(Calendar,R122,$F$1,"mf",,Trigger)</f>
        <v>42487</v>
      </c>
      <c r="T122" s="391">
        <f>_xll.qlDayCounterYearFraction(DayCounter,R122,S122,,,Trigger)</f>
        <v>0.5083333333333333</v>
      </c>
      <c r="U122" s="348">
        <f>_xll.qlInterpolationInterpolate(B6Minterpolation,R122,TRUE)</f>
        <v>1.9777704126012967E-3</v>
      </c>
      <c r="V122" s="184">
        <f>_xll.qlYieldTSDiscount(Discounting,R122,,AllTriggers)</f>
        <v>1.0005442619771374</v>
      </c>
      <c r="W122" s="184">
        <f>_xll.qlYieldTSDiscount(Discounting,S122,,AllTriggers)</f>
        <v>1.0012042894703721</v>
      </c>
      <c r="X122" s="181">
        <f t="shared" si="9"/>
        <v>-1.2968529544318138E-3</v>
      </c>
    </row>
    <row r="123" spans="18:24" x14ac:dyDescent="0.2">
      <c r="R123" s="183">
        <f>_xll.qlCalendarAdvance(Calendar,R122,"1D","f")</f>
        <v>42305</v>
      </c>
      <c r="S123" s="390">
        <f>_xll.qlCalendarAdvance(Calendar,R123,$F$1,"mf",,Trigger)</f>
        <v>42488</v>
      </c>
      <c r="T123" s="391">
        <f>_xll.qlDayCounterYearFraction(DayCounter,R123,S123,,,Trigger)</f>
        <v>0.5083333333333333</v>
      </c>
      <c r="U123" s="348">
        <f>_xll.qlInterpolationInterpolate(B6Minterpolation,R123,TRUE)</f>
        <v>1.9782486879015553E-3</v>
      </c>
      <c r="V123" s="184">
        <f>_xll.qlYieldTSDiscount(Discounting,R123,,AllTriggers)</f>
        <v>1.0005478828490424</v>
      </c>
      <c r="W123" s="184">
        <f>_xll.qlYieldTSDiscount(Discounting,S123,,AllTriggers)</f>
        <v>1.0012079135131182</v>
      </c>
      <c r="X123" s="181">
        <f t="shared" si="9"/>
        <v>-1.2968544904461896E-3</v>
      </c>
    </row>
    <row r="124" spans="18:24" x14ac:dyDescent="0.2">
      <c r="R124" s="183">
        <f>_xll.qlCalendarAdvance(Calendar,R123,"1D","f")</f>
        <v>42306</v>
      </c>
      <c r="S124" s="390">
        <f>_xll.qlCalendarAdvance(Calendar,R124,$F$1,"mf",,Trigger)</f>
        <v>42489</v>
      </c>
      <c r="T124" s="391">
        <f>_xll.qlDayCounterYearFraction(DayCounter,R124,S124,,,Trigger)</f>
        <v>0.5083333333333333</v>
      </c>
      <c r="U124" s="348">
        <f>_xll.qlInterpolationInterpolate(B6Minterpolation,R124,TRUE)</f>
        <v>1.9787278280306614E-3</v>
      </c>
      <c r="V124" s="184">
        <f>_xll.qlYieldTSDiscount(Discounting,R124,,AllTriggers)</f>
        <v>1.0005515092179895</v>
      </c>
      <c r="W124" s="184">
        <f>_xll.qlYieldTSDiscount(Discounting,S124,,AllTriggers)</f>
        <v>1.0012115413250211</v>
      </c>
      <c r="X124" s="181">
        <f t="shared" si="9"/>
        <v>-1.2968526265618422E-3</v>
      </c>
    </row>
    <row r="125" spans="18:24" x14ac:dyDescent="0.2">
      <c r="R125" s="183">
        <f>_xll.qlCalendarAdvance(Calendar,R124,"1D","f")</f>
        <v>42307</v>
      </c>
      <c r="S125" s="390">
        <f>_xll.qlCalendarAdvance(Calendar,R125,$F$1,"mf",,Trigger)</f>
        <v>42489</v>
      </c>
      <c r="T125" s="391">
        <f>_xll.qlDayCounterYearFraction(DayCounter,R125,S125,,,Trigger)</f>
        <v>0.50555555555555554</v>
      </c>
      <c r="U125" s="348">
        <f>_xll.qlInterpolationInterpolate(B6Minterpolation,R125,TRUE)</f>
        <v>1.9792081128659216E-3</v>
      </c>
      <c r="V125" s="184">
        <f>_xll.qlYieldTSDiscount(Discounting,R125,,AllTriggers)</f>
        <v>1.0005551411956288</v>
      </c>
      <c r="W125" s="184">
        <f>_xll.qlYieldTSDiscount(Discounting,S125,,AllTriggers)</f>
        <v>1.0012115413250211</v>
      </c>
      <c r="X125" s="181">
        <f t="shared" si="9"/>
        <v>-1.2968027521897108E-3</v>
      </c>
    </row>
    <row r="126" spans="18:24" x14ac:dyDescent="0.2">
      <c r="R126" s="183">
        <f>_xll.qlCalendarAdvance(Calendar,R125,"1D","f")</f>
        <v>42310</v>
      </c>
      <c r="S126" s="390">
        <f>_xll.qlCalendarAdvance(Calendar,R126,$F$1,"mf",,Trigger)</f>
        <v>42492</v>
      </c>
      <c r="T126" s="391">
        <f>_xll.qlDayCounterYearFraction(DayCounter,R126,S126,,,Trigger)</f>
        <v>0.50555555555555554</v>
      </c>
      <c r="U126" s="348">
        <f>_xll.qlInterpolationInterpolate(B6Minterpolation,R126,TRUE)</f>
        <v>1.9806586343816815E-3</v>
      </c>
      <c r="V126" s="184">
        <f>_xll.qlYieldTSDiscount(Discounting,R126,,AllTriggers)</f>
        <v>1.0005630702210155</v>
      </c>
      <c r="W126" s="184">
        <f>_xll.qlYieldTSDiscount(Discounting,S126,,AllTriggers)</f>
        <v>1.0012196412391301</v>
      </c>
      <c r="X126" s="181">
        <f t="shared" si="9"/>
        <v>-1.2971298708798684E-3</v>
      </c>
    </row>
    <row r="127" spans="18:24" x14ac:dyDescent="0.2">
      <c r="R127" s="183">
        <f>_xll.qlCalendarAdvance(Calendar,R126,"1D","f")</f>
        <v>42311</v>
      </c>
      <c r="S127" s="390">
        <f>_xll.qlCalendarAdvance(Calendar,R127,$F$1,"mf",,Trigger)</f>
        <v>42493</v>
      </c>
      <c r="T127" s="391">
        <f>_xll.qlDayCounterYearFraction(DayCounter,R127,S127,,,Trigger)</f>
        <v>0.50555555555555554</v>
      </c>
      <c r="U127" s="348">
        <f>_xll.qlInterpolationInterpolate(B6Minterpolation,R127,TRUE)</f>
        <v>1.9811462968146133E-3</v>
      </c>
      <c r="V127" s="184">
        <f>_xll.qlYieldTSDiscount(Discounting,R127,,AllTriggers)</f>
        <v>1.0005667257609969</v>
      </c>
      <c r="W127" s="184">
        <f>_xll.qlYieldTSDiscount(Discounting,S127,,AllTriggers)</f>
        <v>1.0012232814037545</v>
      </c>
      <c r="X127" s="181">
        <f t="shared" si="9"/>
        <v>-1.2970947792465329E-3</v>
      </c>
    </row>
    <row r="128" spans="18:24" x14ac:dyDescent="0.2">
      <c r="R128" s="183">
        <f>_xll.qlCalendarAdvance(Calendar,R127,"1D","f")</f>
        <v>42312</v>
      </c>
      <c r="S128" s="390">
        <f>_xll.qlCalendarAdvance(Calendar,R128,$F$1,"mf",,Trigger)</f>
        <v>42494</v>
      </c>
      <c r="T128" s="391">
        <f>_xll.qlDayCounterYearFraction(DayCounter,R128,S128,,,Trigger)</f>
        <v>0.50555555555555554</v>
      </c>
      <c r="U128" s="348">
        <f>_xll.qlInterpolationInterpolate(B6Minterpolation,R128,TRUE)</f>
        <v>1.9816365033402273E-3</v>
      </c>
      <c r="V128" s="184">
        <f>_xll.qlYieldTSDiscount(Discounting,R128,,AllTriggers)</f>
        <v>1.0005703874789305</v>
      </c>
      <c r="W128" s="184">
        <f>_xll.qlYieldTSDiscount(Discounting,S128,,AllTriggers)</f>
        <v>1.001226923980653</v>
      </c>
      <c r="X128" s="181">
        <f t="shared" si="9"/>
        <v>-1.2970522452769996E-3</v>
      </c>
    </row>
    <row r="129" spans="18:24" x14ac:dyDescent="0.2">
      <c r="R129" s="183">
        <f>_xll.qlCalendarAdvance(Calendar,R128,"1D","f")</f>
        <v>42313</v>
      </c>
      <c r="S129" s="390">
        <f>_xll.qlCalendarAdvance(Calendar,R129,$F$1,"mf",,Trigger)</f>
        <v>42495</v>
      </c>
      <c r="T129" s="391">
        <f>_xll.qlDayCounterYearFraction(DayCounter,R129,S129,,,Trigger)</f>
        <v>0.50555555555555554</v>
      </c>
      <c r="U129" s="348">
        <f>_xll.qlInterpolationInterpolate(B6Minterpolation,R129,TRUE)</f>
        <v>1.9821295338358288E-3</v>
      </c>
      <c r="V129" s="184">
        <f>_xll.qlYieldTSDiscount(Discounting,R129,,AllTriggers)</f>
        <v>1.0005740554886771</v>
      </c>
      <c r="W129" s="184">
        <f>_xll.qlYieldTSDiscount(Discounting,S129,,AllTriggers)</f>
        <v>1.0012305686984404</v>
      </c>
      <c r="X129" s="181">
        <f t="shared" si="9"/>
        <v>-1.2970015083157739E-3</v>
      </c>
    </row>
    <row r="130" spans="18:24" x14ac:dyDescent="0.2">
      <c r="R130" s="183">
        <f>_xll.qlCalendarAdvance(Calendar,R129,"1D","f")</f>
        <v>42314</v>
      </c>
      <c r="S130" s="390">
        <f>_xll.qlCalendarAdvance(Calendar,R130,$F$1,"mf",,Trigger)</f>
        <v>42496</v>
      </c>
      <c r="T130" s="391">
        <f>_xll.qlDayCounterYearFraction(DayCounter,R130,S130,,,Trigger)</f>
        <v>0.50555555555555554</v>
      </c>
      <c r="U130" s="348">
        <f>_xll.qlInterpolationInterpolate(B6Minterpolation,R130,TRUE)</f>
        <v>1.9826256681787242E-3</v>
      </c>
      <c r="V130" s="184">
        <f>_xll.qlYieldTSDiscount(Discounting,R130,,AllTriggers)</f>
        <v>1.0005777299040994</v>
      </c>
      <c r="W130" s="184">
        <f>_xll.qlYieldTSDiscount(Discounting,S130,,AllTriggers)</f>
        <v>1.0012342152857261</v>
      </c>
      <c r="X130" s="181">
        <f t="shared" si="9"/>
        <v>-1.2969418077038472E-3</v>
      </c>
    </row>
    <row r="131" spans="18:24" x14ac:dyDescent="0.2">
      <c r="R131" s="183">
        <f>_xll.qlCalendarAdvance(Calendar,R130,"1D","f")</f>
        <v>42317</v>
      </c>
      <c r="S131" s="390">
        <f>_xll.qlCalendarAdvance(Calendar,R131,$F$1,"mf",,Trigger)</f>
        <v>42499</v>
      </c>
      <c r="T131" s="391">
        <f>_xll.qlDayCounterYearFraction(DayCounter,R131,S131,,,Trigger)</f>
        <v>0.50555555555555554</v>
      </c>
      <c r="U131" s="348">
        <f>_xll.qlInterpolationInterpolate(B6Minterpolation,R131,TRUE)</f>
        <v>1.9841354930642276E-3</v>
      </c>
      <c r="V131" s="184">
        <f>_xll.qlYieldTSDiscount(Discounting,R131,,AllTriggers)</f>
        <v>1.0005887927230701</v>
      </c>
      <c r="W131" s="184">
        <f>_xll.qlYieldTSDiscount(Discounting,S131,,AllTriggers)</f>
        <v>1.001245163550615</v>
      </c>
      <c r="X131" s="181">
        <f t="shared" si="9"/>
        <v>-1.2967013173996928E-3</v>
      </c>
    </row>
    <row r="132" spans="18:24" x14ac:dyDescent="0.2">
      <c r="R132" s="183">
        <f>_xll.qlCalendarAdvance(Calendar,R131,"1D","f")</f>
        <v>42318</v>
      </c>
      <c r="S132" s="390">
        <f>_xll.qlCalendarAdvance(Calendar,R132,$F$1,"mf",,Trigger)</f>
        <v>42500</v>
      </c>
      <c r="T132" s="391">
        <f>_xll.qlDayCounterYearFraction(DayCounter,R132,S132,,,Trigger)</f>
        <v>0.50555555555555554</v>
      </c>
      <c r="U132" s="348">
        <f>_xll.qlInterpolationInterpolate(B6Minterpolation,R132,TRUE)</f>
        <v>1.9846468415693538E-3</v>
      </c>
      <c r="V132" s="184">
        <f>_xll.qlYieldTSDiscount(Discounting,R132,,AllTriggers)</f>
        <v>1.0005924938998549</v>
      </c>
      <c r="W132" s="184">
        <f>_xll.qlYieldTSDiscount(Discounting,S132,,AllTriggers)</f>
        <v>1.0012488149019159</v>
      </c>
      <c r="X132" s="181">
        <f t="shared" ref="X132:X195" si="10">(V132/W132-1)/T132</f>
        <v>-1.2965981556153031E-3</v>
      </c>
    </row>
    <row r="133" spans="18:24" x14ac:dyDescent="0.2">
      <c r="R133" s="183">
        <f>_xll.qlCalendarAdvance(Calendar,R132,"1D","f")</f>
        <v>42319</v>
      </c>
      <c r="S133" s="390">
        <f>_xll.qlCalendarAdvance(Calendar,R133,$F$1,"mf",,Trigger)</f>
        <v>42501</v>
      </c>
      <c r="T133" s="391">
        <f>_xll.qlDayCounterYearFraction(DayCounter,R133,S133,,,Trigger)</f>
        <v>0.50555555555555554</v>
      </c>
      <c r="U133" s="348">
        <f>_xll.qlInterpolationInterpolate(B6Minterpolation,R133,TRUE)</f>
        <v>1.9851626933083013E-3</v>
      </c>
      <c r="V133" s="184">
        <f>_xll.qlYieldTSDiscount(Discounting,R133,,AllTriggers)</f>
        <v>1.0005962020516546</v>
      </c>
      <c r="W133" s="184">
        <f>_xll.qlYieldTSDiscount(Discounting,S133,,AllTriggers)</f>
        <v>1.0012524667657061</v>
      </c>
      <c r="X133" s="181">
        <f t="shared" si="10"/>
        <v>-1.2964822268928574E-3</v>
      </c>
    </row>
    <row r="134" spans="18:24" x14ac:dyDescent="0.2">
      <c r="R134" s="183">
        <f>_xll.qlCalendarAdvance(Calendar,R133,"1D","f")</f>
        <v>42320</v>
      </c>
      <c r="S134" s="390">
        <f>_xll.qlCalendarAdvance(Calendar,R134,$F$1,"mf",,Trigger)</f>
        <v>42502</v>
      </c>
      <c r="T134" s="391">
        <f>_xll.qlDayCounterYearFraction(DayCounter,R134,S134,,,Trigger)</f>
        <v>0.50555555555555554</v>
      </c>
      <c r="U134" s="348">
        <f>_xll.qlInterpolationInterpolate(B6Minterpolation,R134,TRUE)</f>
        <v>1.9856833281583766E-3</v>
      </c>
      <c r="V134" s="184">
        <f>_xll.qlYieldTSDiscount(Discounting,R134,,AllTriggers)</f>
        <v>1.0005999172923425</v>
      </c>
      <c r="W134" s="184">
        <f>_xll.qlYieldTSDiscount(Discounting,S134,,AllTriggers)</f>
        <v>1.001256118870572</v>
      </c>
      <c r="X134" s="181">
        <f t="shared" si="10"/>
        <v>-1.2963527705724684E-3</v>
      </c>
    </row>
    <row r="135" spans="18:24" x14ac:dyDescent="0.2">
      <c r="R135" s="183">
        <f>_xll.qlCalendarAdvance(Calendar,R134,"1D","f")</f>
        <v>42321</v>
      </c>
      <c r="S135" s="390">
        <f>_xll.qlCalendarAdvance(Calendar,R135,$F$1,"mf",,Trigger)</f>
        <v>42503</v>
      </c>
      <c r="T135" s="391">
        <f>_xll.qlDayCounterYearFraction(DayCounter,R135,S135,,,Trigger)</f>
        <v>0.50555555555555554</v>
      </c>
      <c r="U135" s="348">
        <f>_xll.qlInterpolationInterpolate(B6Minterpolation,R135,TRUE)</f>
        <v>1.9862090259968853E-3</v>
      </c>
      <c r="V135" s="184">
        <f>_xll.qlYieldTSDiscount(Discounting,R135,,AllTriggers)</f>
        <v>1.0006036397357938</v>
      </c>
      <c r="W135" s="184">
        <f>_xll.qlYieldTSDiscount(Discounting,S135,,AllTriggers)</f>
        <v>1.0012597709450963</v>
      </c>
      <c r="X135" s="181">
        <f t="shared" si="10"/>
        <v>-1.2962090259968854E-3</v>
      </c>
    </row>
    <row r="136" spans="18:24" x14ac:dyDescent="0.2">
      <c r="R136" s="183">
        <f>_xll.qlCalendarAdvance(Calendar,R135,"1D","f")</f>
        <v>42324</v>
      </c>
      <c r="S136" s="390">
        <f>_xll.qlCalendarAdvance(Calendar,R136,$F$1,"mf",,Trigger)</f>
        <v>42506</v>
      </c>
      <c r="T136" s="391">
        <f>_xll.qlDayCounterYearFraction(DayCounter,R136,S136,,,Trigger)</f>
        <v>0.50555555555555554</v>
      </c>
      <c r="U136" s="348">
        <f>_xll.qlInterpolationInterpolate(B6Minterpolation,R136,TRUE)</f>
        <v>1.9878179330909242E-3</v>
      </c>
      <c r="V136" s="184">
        <f>_xll.qlYieldTSDiscount(Discounting,R136,,AllTriggers)</f>
        <v>1.0006148514215074</v>
      </c>
      <c r="W136" s="184">
        <f>_xll.qlYieldTSDiscount(Discounting,S136,,AllTriggers)</f>
        <v>1.0012707242723817</v>
      </c>
      <c r="X136" s="181">
        <f t="shared" si="10"/>
        <v>-1.2956844561295611E-3</v>
      </c>
    </row>
    <row r="137" spans="18:24" x14ac:dyDescent="0.2">
      <c r="R137" s="183">
        <f>_xll.qlCalendarAdvance(Calendar,R136,"1D","f")</f>
        <v>42325</v>
      </c>
      <c r="S137" s="390">
        <f>_xll.qlCalendarAdvance(Calendar,R137,$F$1,"mf",,Trigger)</f>
        <v>42507</v>
      </c>
      <c r="T137" s="391">
        <f>_xll.qlDayCounterYearFraction(DayCounter,R137,S137,,,Trigger)</f>
        <v>0.50555555555555554</v>
      </c>
      <c r="U137" s="348">
        <f>_xll.qlInterpolationInterpolate(B6Minterpolation,R137,TRUE)</f>
        <v>1.9883648136699151E-3</v>
      </c>
      <c r="V137" s="184">
        <f>_xll.qlYieldTSDiscount(Discounting,R137,,AllTriggers)</f>
        <v>1.0006186038148013</v>
      </c>
      <c r="W137" s="184">
        <f>_xll.qlYieldTSDiscount(Discounting,S137,,AllTriggers)</f>
        <v>1.0012743735112828</v>
      </c>
      <c r="X137" s="181">
        <f t="shared" si="10"/>
        <v>-1.2954759519235724E-3</v>
      </c>
    </row>
    <row r="138" spans="18:24" x14ac:dyDescent="0.2">
      <c r="R138" s="183">
        <f>_xll.qlCalendarAdvance(Calendar,R137,"1D","f")</f>
        <v>42326</v>
      </c>
      <c r="S138" s="390">
        <f>_xll.qlCalendarAdvance(Calendar,R138,$F$1,"mf",,Trigger)</f>
        <v>42508</v>
      </c>
      <c r="T138" s="391">
        <f>_xll.qlDayCounterYearFraction(DayCounter,R138,S138,,,Trigger)</f>
        <v>0.50555555555555554</v>
      </c>
      <c r="U138" s="348">
        <f>_xll.qlInterpolationInterpolate(B6Minterpolation,R138,TRUE)</f>
        <v>1.9889169449570743E-3</v>
      </c>
      <c r="V138" s="184">
        <f>_xll.qlYieldTSDiscount(Discounting,R138,,AllTriggers)</f>
        <v>1.0006223639802621</v>
      </c>
      <c r="W138" s="184">
        <f>_xll.qlYieldTSDiscount(Discounting,S138,,AllTriggers)</f>
        <v>1.0012780213626946</v>
      </c>
      <c r="X138" s="181">
        <f t="shared" si="10"/>
        <v>-1.295249356156807E-3</v>
      </c>
    </row>
    <row r="139" spans="18:24" x14ac:dyDescent="0.2">
      <c r="R139" s="183">
        <f>_xll.qlCalendarAdvance(Calendar,R138,"1D","f")</f>
        <v>42327</v>
      </c>
      <c r="S139" s="390">
        <f>_xll.qlCalendarAdvance(Calendar,R139,$F$1,"mf",,Trigger)</f>
        <v>42509</v>
      </c>
      <c r="T139" s="391">
        <f>_xll.qlDayCounterYearFraction(DayCounter,R139,S139,,,Trigger)</f>
        <v>0.50555555555555554</v>
      </c>
      <c r="U139" s="348">
        <f>_xll.qlInterpolationInterpolate(B6Minterpolation,R139,TRUE)</f>
        <v>1.9894743039130087E-3</v>
      </c>
      <c r="V139" s="184">
        <f>_xll.qlYieldTSDiscount(Discounting,R139,,AllTriggers)</f>
        <v>1.0006261320317766</v>
      </c>
      <c r="W139" s="184">
        <f>_xll.qlYieldTSDiscount(Discounting,S139,,AllTriggers)</f>
        <v>1.0012816675551754</v>
      </c>
      <c r="X139" s="181">
        <f t="shared" si="10"/>
        <v>-1.2950039081641072E-3</v>
      </c>
    </row>
    <row r="140" spans="18:24" x14ac:dyDescent="0.2">
      <c r="R140" s="183">
        <f>_xll.qlCalendarAdvance(Calendar,R139,"1D","f")</f>
        <v>42328</v>
      </c>
      <c r="S140" s="390">
        <f>_xll.qlCalendarAdvance(Calendar,R140,$F$1,"mf",,Trigger)</f>
        <v>42510</v>
      </c>
      <c r="T140" s="391">
        <f>_xll.qlDayCounterYearFraction(DayCounter,R140,S140,,,Trigger)</f>
        <v>0.50555555555555554</v>
      </c>
      <c r="U140" s="348">
        <f>_xll.qlInterpolationInterpolate(B6Minterpolation,R140,TRUE)</f>
        <v>1.9900368674983251E-3</v>
      </c>
      <c r="V140" s="184">
        <f>_xll.qlYieldTSDiscount(Discounting,R140,,AllTriggers)</f>
        <v>1.0006299080832328</v>
      </c>
      <c r="W140" s="184">
        <f>_xll.qlYieldTSDiscount(Discounting,S140,,AllTriggers)</f>
        <v>1.0012853118172802</v>
      </c>
      <c r="X140" s="181">
        <f t="shared" si="10"/>
        <v>-1.2947388472827315E-3</v>
      </c>
    </row>
    <row r="141" spans="18:24" x14ac:dyDescent="0.2">
      <c r="R141" s="183">
        <f>_xll.qlCalendarAdvance(Calendar,R140,"1D","f")</f>
        <v>42331</v>
      </c>
      <c r="S141" s="390">
        <f>_xll.qlCalendarAdvance(Calendar,R141,$F$1,"mf",,Trigger)</f>
        <v>42513</v>
      </c>
      <c r="T141" s="391">
        <f>_xll.qlDayCounterYearFraction(DayCounter,R141,S141,,,Trigger)</f>
        <v>0.50555555555555554</v>
      </c>
      <c r="U141" s="348">
        <f>_xll.qlInterpolationInterpolate(B6Minterpolation,R141,TRUE)</f>
        <v>1.9917555556366417E-3</v>
      </c>
      <c r="V141" s="184">
        <f>_xll.qlYieldTSDiscount(Discounting,R141,,AllTriggers)</f>
        <v>1.0006412853761648</v>
      </c>
      <c r="W141" s="184">
        <f>_xll.qlYieldTSDiscount(Discounting,S141,,AllTriggers)</f>
        <v>1.0012962303068251</v>
      </c>
      <c r="X141" s="181">
        <f t="shared" si="10"/>
        <v>-1.2938183806437782E-3</v>
      </c>
    </row>
    <row r="142" spans="18:24" x14ac:dyDescent="0.2">
      <c r="R142" s="183">
        <f>_xll.qlCalendarAdvance(Calendar,R141,"1D","f")</f>
        <v>42332</v>
      </c>
      <c r="S142" s="390">
        <f>_xll.qlCalendarAdvance(Calendar,R142,$F$1,"mf",,Trigger)</f>
        <v>42514</v>
      </c>
      <c r="T142" s="391">
        <f>_xll.qlDayCounterYearFraction(DayCounter,R142,S142,,,Trigger)</f>
        <v>0.50555555555555554</v>
      </c>
      <c r="U142" s="348">
        <f>_xll.qlInterpolationInterpolate(B6Minterpolation,R142,TRUE)</f>
        <v>1.9923387073455603E-3</v>
      </c>
      <c r="V142" s="184">
        <f>_xll.qlYieldTSDiscount(Discounting,R142,,AllTriggers)</f>
        <v>1.0006450945663097</v>
      </c>
      <c r="W142" s="184">
        <f>_xll.qlYieldTSDiscount(Discounting,S142,,AllTriggers)</f>
        <v>1.0012998641328932</v>
      </c>
      <c r="X142" s="181">
        <f t="shared" si="10"/>
        <v>-1.2934672615416332E-3</v>
      </c>
    </row>
    <row r="143" spans="18:24" x14ac:dyDescent="0.2">
      <c r="R143" s="183">
        <f>_xll.qlCalendarAdvance(Calendar,R142,"1D","f")</f>
        <v>42333</v>
      </c>
      <c r="S143" s="390">
        <f>_xll.qlCalendarAdvance(Calendar,R143,$F$1,"mf",,Trigger)</f>
        <v>42515</v>
      </c>
      <c r="T143" s="391">
        <f>_xll.qlDayCounterYearFraction(DayCounter,R143,S143,,,Trigger)</f>
        <v>0.50555555555555554</v>
      </c>
      <c r="U143" s="348">
        <f>_xll.qlInterpolationInterpolate(B6Minterpolation,R143,TRUE)</f>
        <v>1.9929269484868979E-3</v>
      </c>
      <c r="V143" s="184">
        <f>_xll.qlYieldTSDiscount(Discounting,R143,,AllTriggers)</f>
        <v>1.0006489123258671</v>
      </c>
      <c r="W143" s="184">
        <f>_xll.qlYieldTSDiscount(Discounting,S143,,AllTriggers)</f>
        <v>1.0013034946713</v>
      </c>
      <c r="X143" s="181">
        <f t="shared" si="10"/>
        <v>-1.2930927262133874E-3</v>
      </c>
    </row>
    <row r="144" spans="18:24" x14ac:dyDescent="0.2">
      <c r="R144" s="183">
        <f>_xll.qlCalendarAdvance(Calendar,R143,"1D","f")</f>
        <v>42334</v>
      </c>
      <c r="S144" s="390">
        <f>_xll.qlCalendarAdvance(Calendar,R144,$F$1,"mf",,Trigger)</f>
        <v>42516</v>
      </c>
      <c r="T144" s="391">
        <f>_xll.qlDayCounterYearFraction(DayCounter,R144,S144,,,Trigger)</f>
        <v>0.50555555555555554</v>
      </c>
      <c r="U144" s="348">
        <f>_xll.qlInterpolationInterpolate(B6Minterpolation,R144,TRUE)</f>
        <v>1.993520256021261E-3</v>
      </c>
      <c r="V144" s="184">
        <f>_xll.qlYieldTSDiscount(Discounting,R144,,AllTriggers)</f>
        <v>1.0006527387687358</v>
      </c>
      <c r="W144" s="184">
        <f>_xll.qlYieldTSDiscount(Discounting,S144,,AllTriggers)</f>
        <v>1.0013071216505758</v>
      </c>
      <c r="X144" s="181">
        <f t="shared" si="10"/>
        <v>-1.2926940139875148E-3</v>
      </c>
    </row>
    <row r="145" spans="18:24" x14ac:dyDescent="0.2">
      <c r="R145" s="183">
        <f>_xll.qlCalendarAdvance(Calendar,R144,"1D","f")</f>
        <v>42335</v>
      </c>
      <c r="S145" s="390">
        <f>_xll.qlCalendarAdvance(Calendar,R145,$F$1,"mf",,Trigger)</f>
        <v>42517</v>
      </c>
      <c r="T145" s="391">
        <f>_xll.qlDayCounterYearFraction(DayCounter,R145,S145,,,Trigger)</f>
        <v>0.50555555555555554</v>
      </c>
      <c r="U145" s="348">
        <f>_xll.qlInterpolationInterpolate(B6Minterpolation,R145,TRUE)</f>
        <v>1.9941186069092572E-3</v>
      </c>
      <c r="V145" s="184">
        <f>_xll.qlYieldTSDiscount(Discounting,R145,,AllTriggers)</f>
        <v>1.0006565740088189</v>
      </c>
      <c r="W145" s="184">
        <f>_xll.qlYieldTSDiscount(Discounting,S145,,AllTriggers)</f>
        <v>1.0013107447992484</v>
      </c>
      <c r="X145" s="181">
        <f t="shared" si="10"/>
        <v>-1.2922703641905131E-3</v>
      </c>
    </row>
    <row r="146" spans="18:24" x14ac:dyDescent="0.2">
      <c r="R146" s="183">
        <f>_xll.qlCalendarAdvance(Calendar,R145,"1D","f")</f>
        <v>42338</v>
      </c>
      <c r="S146" s="390">
        <f>_xll.qlCalendarAdvance(Calendar,R146,$F$1,"mf",,Trigger)</f>
        <v>42520</v>
      </c>
      <c r="T146" s="391">
        <f>_xll.qlDayCounterYearFraction(DayCounter,R146,S146,,,Trigger)</f>
        <v>0.50555555555555554</v>
      </c>
      <c r="U146" s="348">
        <f>_xll.qlInterpolationInterpolate(B6Minterpolation,R146,TRUE)</f>
        <v>1.9959436893011175E-3</v>
      </c>
      <c r="V146" s="184">
        <f>_xll.qlYieldTSDiscount(Discounting,R146,,AllTriggers)</f>
        <v>1.0006681336513989</v>
      </c>
      <c r="W146" s="184">
        <f>_xll.qlYieldTSDiscount(Discounting,S146,,AllTriggers)</f>
        <v>1.00132158854686</v>
      </c>
      <c r="X146" s="181">
        <f t="shared" si="10"/>
        <v>-1.2908421826236577E-3</v>
      </c>
    </row>
    <row r="147" spans="18:24" x14ac:dyDescent="0.2">
      <c r="R147" s="183">
        <f>_xll.qlCalendarAdvance(Calendar,R146,"1D","f")</f>
        <v>42339</v>
      </c>
      <c r="S147" s="390">
        <f>_xll.qlCalendarAdvance(Calendar,R147,$F$1,"mf",,Trigger)</f>
        <v>42522</v>
      </c>
      <c r="T147" s="391">
        <f>_xll.qlDayCounterYearFraction(DayCounter,R147,S147,,,Trigger)</f>
        <v>0.5083333333333333</v>
      </c>
      <c r="U147" s="348">
        <f>_xll.qlInterpolationInterpolate(B6Minterpolation,R147,TRUE)</f>
        <v>1.9965619832097194E-3</v>
      </c>
      <c r="V147" s="184">
        <f>_xll.qlYieldTSDiscount(Discounting,R147,,AllTriggers)</f>
        <v>1.000666001187364</v>
      </c>
      <c r="W147" s="184">
        <f>_xll.qlYieldTSDiscount(Discounting,S147,,AllTriggers)</f>
        <v>1.0013287935817428</v>
      </c>
      <c r="X147" s="181">
        <f t="shared" si="10"/>
        <v>-1.3021236370495983E-3</v>
      </c>
    </row>
    <row r="148" spans="18:24" x14ac:dyDescent="0.2">
      <c r="R148" s="183">
        <f>_xll.qlCalendarAdvance(Calendar,R147,"1D","f")</f>
        <v>42340</v>
      </c>
      <c r="S148" s="390">
        <f>_xll.qlCalendarAdvance(Calendar,R148,$F$1,"mf",,Trigger)</f>
        <v>42523</v>
      </c>
      <c r="T148" s="391">
        <f>_xll.qlDayCounterYearFraction(DayCounter,R148,S148,,,Trigger)</f>
        <v>0.5083333333333333</v>
      </c>
      <c r="U148" s="348">
        <f>_xll.qlInterpolationInterpolate(B6Minterpolation,R148,TRUE)</f>
        <v>1.99718520527499E-3</v>
      </c>
      <c r="V148" s="184">
        <f>_xll.qlYieldTSDiscount(Discounting,R148,,AllTriggers)</f>
        <v>1.0006698820988276</v>
      </c>
      <c r="W148" s="184">
        <f>_xll.qlYieldTSDiscount(Discounting,S148,,AllTriggers)</f>
        <v>1.0013323880456502</v>
      </c>
      <c r="X148" s="181">
        <f t="shared" si="10"/>
        <v>-1.3015562092580687E-3</v>
      </c>
    </row>
    <row r="149" spans="18:24" x14ac:dyDescent="0.2">
      <c r="R149" s="183">
        <f>_xll.qlCalendarAdvance(Calendar,R148,"1D","f")</f>
        <v>42341</v>
      </c>
      <c r="S149" s="390">
        <f>_xll.qlCalendarAdvance(Calendar,R149,$F$1,"mf",,Trigger)</f>
        <v>42524</v>
      </c>
      <c r="T149" s="391">
        <f>_xll.qlDayCounterYearFraction(DayCounter,R149,S149,,,Trigger)</f>
        <v>0.5083333333333333</v>
      </c>
      <c r="U149" s="348">
        <f>_xll.qlInterpolationInterpolate(B6Minterpolation,R149,TRUE)</f>
        <v>1.9978133324575374E-3</v>
      </c>
      <c r="V149" s="184">
        <f>_xll.qlYieldTSDiscount(Discounting,R149,,AllTriggers)</f>
        <v>1.0006737724909009</v>
      </c>
      <c r="W149" s="184">
        <f>_xll.qlYieldTSDiscount(Discounting,S149,,AllTriggers)</f>
        <v>1.0013359767785368</v>
      </c>
      <c r="X149" s="181">
        <f t="shared" si="10"/>
        <v>-1.3009589083922519E-3</v>
      </c>
    </row>
    <row r="150" spans="18:24" x14ac:dyDescent="0.2">
      <c r="R150" s="183">
        <f>_xll.qlCalendarAdvance(Calendar,R149,"1D","f")</f>
        <v>42342</v>
      </c>
      <c r="S150" s="390">
        <f>_xll.qlCalendarAdvance(Calendar,R150,$F$1,"mf",,Trigger)</f>
        <v>42527</v>
      </c>
      <c r="T150" s="391">
        <f>_xll.qlDayCounterYearFraction(DayCounter,R150,S150,,,Trigger)</f>
        <v>0.51388888888888884</v>
      </c>
      <c r="U150" s="348">
        <f>_xll.qlInterpolationInterpolate(B6Minterpolation,R150,TRUE)</f>
        <v>1.9984463417179687E-3</v>
      </c>
      <c r="V150" s="184">
        <f>_xll.qlYieldTSDiscount(Discounting,R150,,AllTriggers)</f>
        <v>1.0006776724774993</v>
      </c>
      <c r="W150" s="184">
        <f>_xll.qlYieldTSDiscount(Discounting,S150,,AllTriggers)</f>
        <v>1.0013467058760175</v>
      </c>
      <c r="X150" s="181">
        <f t="shared" si="10"/>
        <v>-1.3001519073356663E-3</v>
      </c>
    </row>
    <row r="151" spans="18:24" x14ac:dyDescent="0.2">
      <c r="R151" s="183">
        <f>_xll.qlCalendarAdvance(Calendar,R150,"1D","f")</f>
        <v>42345</v>
      </c>
      <c r="S151" s="390">
        <f>_xll.qlCalendarAdvance(Calendar,R151,$F$1,"mf",,Trigger)</f>
        <v>42528</v>
      </c>
      <c r="T151" s="391">
        <f>_xll.qlDayCounterYearFraction(DayCounter,R151,S151,,,Trigger)</f>
        <v>0.5083333333333333</v>
      </c>
      <c r="U151" s="348">
        <f>_xll.qlInterpolationInterpolate(B6Minterpolation,R151,TRUE)</f>
        <v>2.0003744315726388E-3</v>
      </c>
      <c r="V151" s="184">
        <f>_xll.qlYieldTSDiscount(Discounting,R151,,AllTriggers)</f>
        <v>1.0006894311436276</v>
      </c>
      <c r="W151" s="184">
        <f>_xll.qlYieldTSDiscount(Discounting,S151,,AllTriggers)</f>
        <v>1.0013502689697475</v>
      </c>
      <c r="X151" s="181">
        <f t="shared" si="10"/>
        <v>-1.2982558436881618E-3</v>
      </c>
    </row>
    <row r="152" spans="18:24" x14ac:dyDescent="0.2">
      <c r="R152" s="183">
        <f>_xll.qlCalendarAdvance(Calendar,R151,"1D","f")</f>
        <v>42346</v>
      </c>
      <c r="S152" s="390">
        <f>_xll.qlCalendarAdvance(Calendar,R152,$F$1,"mf",,Trigger)</f>
        <v>42529</v>
      </c>
      <c r="T152" s="391">
        <f>_xll.qlDayCounterYearFraction(DayCounter,R152,S152,,,Trigger)</f>
        <v>0.5083333333333333</v>
      </c>
      <c r="U152" s="348">
        <f>_xll.qlInterpolationInterpolate(B6Minterpolation,R152,TRUE)</f>
        <v>2.0010267387506782E-3</v>
      </c>
      <c r="V152" s="184">
        <f>_xll.qlYieldTSDiscount(Discounting,R152,,AllTriggers)</f>
        <v>1.0006933706475194</v>
      </c>
      <c r="W152" s="184">
        <f>_xll.qlYieldTSDiscount(Discounting,S152,,AllTriggers)</f>
        <v>1.0013538249749017</v>
      </c>
      <c r="X152" s="181">
        <f t="shared" si="10"/>
        <v>-1.2974978295560431E-3</v>
      </c>
    </row>
    <row r="153" spans="18:24" x14ac:dyDescent="0.2">
      <c r="R153" s="183">
        <f>_xll.qlCalendarAdvance(Calendar,R152,"1D","f")</f>
        <v>42347</v>
      </c>
      <c r="S153" s="390">
        <f>_xll.qlCalendarAdvance(Calendar,R153,$F$1,"mf",,Trigger)</f>
        <v>42530</v>
      </c>
      <c r="T153" s="391">
        <f>_xll.qlDayCounterYearFraction(DayCounter,R153,S153,,,Trigger)</f>
        <v>0.5083333333333333</v>
      </c>
      <c r="U153" s="348">
        <f>_xll.qlInterpolationInterpolate(B6Minterpolation,R153,TRUE)</f>
        <v>2.0016838128096379E-3</v>
      </c>
      <c r="V153" s="184">
        <f>_xll.qlYieldTSDiscount(Discounting,R153,,AllTriggers)</f>
        <v>1.0006973203155429</v>
      </c>
      <c r="W153" s="184">
        <f>_xll.qlYieldTSDiscount(Discounting,S153,,AllTriggers)</f>
        <v>1.0013573736681189</v>
      </c>
      <c r="X153" s="181">
        <f t="shared" si="10"/>
        <v>-1.2967054977270436E-3</v>
      </c>
    </row>
    <row r="154" spans="18:24" x14ac:dyDescent="0.2">
      <c r="R154" s="183">
        <f>_xll.qlCalendarAdvance(Calendar,R153,"1D","f")</f>
        <v>42348</v>
      </c>
      <c r="S154" s="390">
        <f>_xll.qlCalendarAdvance(Calendar,R154,$F$1,"mf",,Trigger)</f>
        <v>42531</v>
      </c>
      <c r="T154" s="391">
        <f>_xll.qlDayCounterYearFraction(DayCounter,R154,S154,,,Trigger)</f>
        <v>0.5083333333333333</v>
      </c>
      <c r="U154" s="348">
        <f>_xll.qlInterpolationInterpolate(B6Minterpolation,R154,TRUE)</f>
        <v>2.0023456307101247E-3</v>
      </c>
      <c r="V154" s="184">
        <f>_xll.qlYieldTSDiscount(Discounting,R154,,AllTriggers)</f>
        <v>1.0007012801968453</v>
      </c>
      <c r="W154" s="184">
        <f>_xll.qlYieldTSDiscount(Discounting,S154,,AllTriggers)</f>
        <v>1.0013609150186817</v>
      </c>
      <c r="X154" s="181">
        <f t="shared" si="10"/>
        <v>-1.2958786916911669E-3</v>
      </c>
    </row>
    <row r="155" spans="18:24" x14ac:dyDescent="0.2">
      <c r="R155" s="183">
        <f>_xll.qlCalendarAdvance(Calendar,R154,"1D","f")</f>
        <v>42349</v>
      </c>
      <c r="S155" s="390">
        <f>_xll.qlCalendarAdvance(Calendar,R155,$F$1,"mf",,Trigger)</f>
        <v>42534</v>
      </c>
      <c r="T155" s="391">
        <f>_xll.qlDayCounterYearFraction(DayCounter,R155,S155,,,Trigger)</f>
        <v>0.51388888888888884</v>
      </c>
      <c r="U155" s="348">
        <f>_xll.qlInterpolationInterpolate(B6Minterpolation,R155,TRUE)</f>
        <v>2.0030121694127466E-3</v>
      </c>
      <c r="V155" s="184">
        <f>_xll.qlYieldTSDiscount(Discounting,R155,,AllTriggers)</f>
        <v>1.0007052500814493</v>
      </c>
      <c r="W155" s="184">
        <f>_xll.qlYieldTSDiscount(Discounting,S155,,AllTriggers)</f>
        <v>1.0013714951888881</v>
      </c>
      <c r="X155" s="181">
        <f t="shared" si="10"/>
        <v>-1.2947012892376086E-3</v>
      </c>
    </row>
    <row r="156" spans="18:24" x14ac:dyDescent="0.2">
      <c r="R156" s="183">
        <f>_xll.qlCalendarAdvance(Calendar,R155,"1D","f")</f>
        <v>42352</v>
      </c>
      <c r="S156" s="390">
        <f>_xll.qlCalendarAdvance(Calendar,R156,$F$1,"mf",,Trigger)</f>
        <v>42535</v>
      </c>
      <c r="T156" s="391">
        <f>_xll.qlDayCounterYearFraction(DayCounter,R156,S156,,,Trigger)</f>
        <v>0.5083333333333333</v>
      </c>
      <c r="U156" s="348">
        <f>_xll.qlInterpolationInterpolate(B6Minterpolation,R156,TRUE)</f>
        <v>2.0050398799394916E-3</v>
      </c>
      <c r="V156" s="184">
        <f>_xll.qlYieldTSDiscount(Discounting,R156,,AllTriggers)</f>
        <v>1.0007172170074365</v>
      </c>
      <c r="W156" s="184">
        <f>_xll.qlYieldTSDiscount(Discounting,S156,,AllTriggers)</f>
        <v>1.0013750073432792</v>
      </c>
      <c r="X156" s="181">
        <f t="shared" si="10"/>
        <v>-1.2922369401462519E-3</v>
      </c>
    </row>
    <row r="157" spans="18:24" x14ac:dyDescent="0.2">
      <c r="R157" s="183">
        <f>_xll.qlCalendarAdvance(Calendar,R156,"1D","f")</f>
        <v>42353</v>
      </c>
      <c r="S157" s="390">
        <f>_xll.qlCalendarAdvance(Calendar,R157,$F$1,"mf",,Trigger)</f>
        <v>42536</v>
      </c>
      <c r="T157" s="391">
        <f>_xll.qlDayCounterYearFraction(DayCounter,R157,S157,,,Trigger)</f>
        <v>0.5083333333333333</v>
      </c>
      <c r="U157" s="348">
        <f>_xll.qlInterpolationInterpolate(B6Minterpolation,R157,TRUE)</f>
        <v>2.0057250714567245E-3</v>
      </c>
      <c r="V157" s="184">
        <f>_xll.qlYieldTSDiscount(Discounting,R157,,AllTriggers)</f>
        <v>1.0007212241575918</v>
      </c>
      <c r="W157" s="184">
        <f>_xll.qlYieldTSDiscount(Discounting,S157,,AllTriggers)</f>
        <v>1.0013785122422403</v>
      </c>
      <c r="X157" s="181">
        <f t="shared" si="10"/>
        <v>-1.2912457422286285E-3</v>
      </c>
    </row>
    <row r="158" spans="18:24" x14ac:dyDescent="0.2">
      <c r="R158" s="183">
        <f>_xll.qlCalendarAdvance(Calendar,R157,"1D","f")</f>
        <v>42354</v>
      </c>
      <c r="S158" s="390">
        <f>_xll.qlCalendarAdvance(Calendar,R158,$F$1,"mf",,Trigger)</f>
        <v>42537</v>
      </c>
      <c r="T158" s="391">
        <f>_xll.qlDayCounterYearFraction(DayCounter,R158,S158,,,Trigger)</f>
        <v>0.5083333333333333</v>
      </c>
      <c r="U158" s="348">
        <f>_xll.qlInterpolationInterpolate(B6Minterpolation,R158,TRUE)</f>
        <v>2.0064148685791281E-3</v>
      </c>
      <c r="V158" s="184">
        <f>_xll.qlYieldTSDiscount(Discounting,R158,,AllTriggers)</f>
        <v>1.0007252399372006</v>
      </c>
      <c r="W158" s="184">
        <f>_xll.qlYieldTSDiscount(Discounting,S158,,AllTriggers)</f>
        <v>1.0013820099032182</v>
      </c>
      <c r="X158" s="181">
        <f t="shared" si="10"/>
        <v>-1.2902233890254406E-3</v>
      </c>
    </row>
    <row r="159" spans="18:24" x14ac:dyDescent="0.2">
      <c r="R159" s="183">
        <f>_xll.qlCalendarAdvance(Calendar,R158,"1D","f")</f>
        <v>42355</v>
      </c>
      <c r="S159" s="390">
        <f>_xll.qlCalendarAdvance(Calendar,R159,$F$1,"mf",,Trigger)</f>
        <v>42538</v>
      </c>
      <c r="T159" s="391">
        <f>_xll.qlDayCounterYearFraction(DayCounter,R159,S159,,,Trigger)</f>
        <v>0.5083333333333333</v>
      </c>
      <c r="U159" s="348">
        <f>_xll.qlInterpolationInterpolate(B6Minterpolation,R159,TRUE)</f>
        <v>2.0071092482673099E-3</v>
      </c>
      <c r="V159" s="184">
        <f>_xll.qlYieldTSDiscount(Discounting,R159,,AllTriggers)</f>
        <v>1.0007292640714809</v>
      </c>
      <c r="W159" s="184">
        <f>_xll.qlYieldTSDiscount(Discounting,S159,,AllTriggers)</f>
        <v>1.0013855003436591</v>
      </c>
      <c r="X159" s="181">
        <f t="shared" si="10"/>
        <v>-1.2891704548980117E-3</v>
      </c>
    </row>
    <row r="160" spans="18:24" x14ac:dyDescent="0.2">
      <c r="R160" s="183">
        <f>_xll.qlCalendarAdvance(Calendar,R159,"1D","f")</f>
        <v>42356</v>
      </c>
      <c r="S160" s="390">
        <f>_xll.qlCalendarAdvance(Calendar,R160,$F$1,"mf",,Trigger)</f>
        <v>42541</v>
      </c>
      <c r="T160" s="391">
        <f>_xll.qlDayCounterYearFraction(DayCounter,R160,S160,,,Trigger)</f>
        <v>0.51388888888888884</v>
      </c>
      <c r="U160" s="348">
        <f>_xll.qlInterpolationInterpolate(B6Minterpolation,R160,TRUE)</f>
        <v>2.0078081874818771E-3</v>
      </c>
      <c r="V160" s="184">
        <f>_xll.qlYieldTSDiscount(Discounting,R160,,AllTriggers)</f>
        <v>1.0007332962856457</v>
      </c>
      <c r="W160" s="184">
        <f>_xll.qlYieldTSDiscount(Discounting,S160,,AllTriggers)</f>
        <v>1.0013959285162313</v>
      </c>
      <c r="X160" s="181">
        <f t="shared" si="10"/>
        <v>-1.2876490367518408E-3</v>
      </c>
    </row>
    <row r="161" spans="18:24" x14ac:dyDescent="0.2">
      <c r="R161" s="183">
        <f>_xll.qlCalendarAdvance(Calendar,R160,"1D","f")</f>
        <v>42359</v>
      </c>
      <c r="S161" s="390">
        <f>_xll.qlCalendarAdvance(Calendar,R161,$F$1,"mf",,Trigger)</f>
        <v>42542</v>
      </c>
      <c r="T161" s="391">
        <f>_xll.qlDayCounterYearFraction(DayCounter,R161,S161,,,Trigger)</f>
        <v>0.5083333333333333</v>
      </c>
      <c r="U161" s="348">
        <f>_xll.qlInterpolationInterpolate(B6Minterpolation,R161,TRUE)</f>
        <v>2.0099321318899637E-3</v>
      </c>
      <c r="V161" s="184">
        <f>_xll.qlYieldTSDiscount(Discounting,R161,,AllTriggers)</f>
        <v>1.0007454386595234</v>
      </c>
      <c r="W161" s="184">
        <f>_xll.qlYieldTSDiscount(Discounting,S161,,AllTriggers)</f>
        <v>1.0013993902489975</v>
      </c>
      <c r="X161" s="181">
        <f t="shared" si="10"/>
        <v>-1.2846643963981285E-3</v>
      </c>
    </row>
    <row r="162" spans="18:24" x14ac:dyDescent="0.2">
      <c r="R162" s="183">
        <f>_xll.qlCalendarAdvance(Calendar,R161,"1D","f")</f>
        <v>42360</v>
      </c>
      <c r="S162" s="390">
        <f>_xll.qlCalendarAdvance(Calendar,R162,$F$1,"mf",,Trigger)</f>
        <v>42543</v>
      </c>
      <c r="T162" s="391">
        <f>_xll.qlDayCounterYearFraction(DayCounter,R162,S162,,,Trigger)</f>
        <v>0.5083333333333333</v>
      </c>
      <c r="U162" s="348">
        <f>_xll.qlInterpolationInterpolate(B6Minterpolation,R162,TRUE)</f>
        <v>2.0106490788161448E-3</v>
      </c>
      <c r="V162" s="184">
        <f>_xll.qlYieldTSDiscount(Discounting,R162,,AllTriggers)</f>
        <v>1.0007495004452798</v>
      </c>
      <c r="W162" s="184">
        <f>_xll.qlYieldTSDiscount(Discounting,S162,,AllTriggers)</f>
        <v>1.0014028448484658</v>
      </c>
      <c r="X162" s="181">
        <f t="shared" si="10"/>
        <v>-1.2834671730868198E-3</v>
      </c>
    </row>
    <row r="163" spans="18:24" x14ac:dyDescent="0.2">
      <c r="R163" s="183">
        <f>_xll.qlCalendarAdvance(Calendar,R162,"1D","f")</f>
        <v>42361</v>
      </c>
      <c r="S163" s="390">
        <f>_xll.qlCalendarAdvance(Calendar,R163,$F$1,"mf",,Trigger)</f>
        <v>42544</v>
      </c>
      <c r="T163" s="391">
        <f>_xll.qlDayCounterYearFraction(DayCounter,R163,S163,,,Trigger)</f>
        <v>0.5083333333333333</v>
      </c>
      <c r="U163" s="348">
        <f>_xll.qlInterpolationInterpolate(B6Minterpolation,R163,TRUE)</f>
        <v>2.0113704700717478E-3</v>
      </c>
      <c r="V163" s="184">
        <f>_xll.qlYieldTSDiscount(Discounting,R163,,AllTriggers)</f>
        <v>1.0007535689369256</v>
      </c>
      <c r="W163" s="184">
        <f>_xll.qlYieldTSDiscount(Discounting,S163,,AllTriggers)</f>
        <v>1.0014062923320843</v>
      </c>
      <c r="X163" s="181">
        <f t="shared" si="10"/>
        <v>-1.2822428150244532E-3</v>
      </c>
    </row>
    <row r="164" spans="18:24" x14ac:dyDescent="0.2">
      <c r="R164" s="183">
        <f>_xll.qlCalendarAdvance(Calendar,R163,"1D","f")</f>
        <v>42362</v>
      </c>
      <c r="S164" s="390">
        <f>_xll.qlCalendarAdvance(Calendar,R164,$F$1,"mf",,Trigger)</f>
        <v>42545</v>
      </c>
      <c r="T164" s="391">
        <f>_xll.qlDayCounterYearFraction(DayCounter,R164,S164,,,Trigger)</f>
        <v>0.5083333333333333</v>
      </c>
      <c r="U164" s="348">
        <f>_xll.qlInterpolationInterpolate(B6Minterpolation,R164,TRUE)</f>
        <v>2.0120962826173797E-3</v>
      </c>
      <c r="V164" s="184">
        <f>_xll.qlYieldTSDiscount(Discounting,R164,,AllTriggers)</f>
        <v>1.000757643859649</v>
      </c>
      <c r="W164" s="184">
        <f>_xll.qlYieldTSDiscount(Discounting,S164,,AllTriggers)</f>
        <v>1.001409732717303</v>
      </c>
      <c r="X164" s="181">
        <f t="shared" si="10"/>
        <v>-1.2809918965747543E-3</v>
      </c>
    </row>
    <row r="165" spans="18:24" x14ac:dyDescent="0.2">
      <c r="R165" s="183">
        <f>_xll.qlCalendarAdvance(Calendar,R164,"1D","f")</f>
        <v>42366</v>
      </c>
      <c r="S165" s="390">
        <f>_xll.qlCalendarAdvance(Calendar,R165,$F$1,"mf",,Trigger)</f>
        <v>42549</v>
      </c>
      <c r="T165" s="391">
        <f>_xll.qlDayCounterYearFraction(DayCounter,R165,S165,,,Trigger)</f>
        <v>0.5083333333333333</v>
      </c>
      <c r="U165" s="348">
        <f>_xll.qlInterpolationInterpolate(B6Minterpolation,R165,TRUE)</f>
        <v>2.0150432849123413E-3</v>
      </c>
      <c r="V165" s="184">
        <f>_xll.qlYieldTSDiscount(Discounting,R165,,AllTriggers)</f>
        <v>1.0007740023649234</v>
      </c>
      <c r="W165" s="184">
        <f>_xll.qlYieldTSDiscount(Discounting,S165,,AllTriggers)</f>
        <v>1.001423423623178</v>
      </c>
      <c r="X165" s="181">
        <f t="shared" si="10"/>
        <v>-1.2757341061749735E-3</v>
      </c>
    </row>
    <row r="166" spans="18:24" x14ac:dyDescent="0.2">
      <c r="R166" s="183">
        <f>_xll.qlCalendarAdvance(Calendar,R165,"1D","f")</f>
        <v>42367</v>
      </c>
      <c r="S166" s="390">
        <f>_xll.qlCalendarAdvance(Calendar,R166,$F$1,"mf",,Trigger)</f>
        <v>42550</v>
      </c>
      <c r="T166" s="391">
        <f>_xll.qlDayCounterYearFraction(DayCounter,R166,S166,,,Trigger)</f>
        <v>0.5083333333333333</v>
      </c>
      <c r="U166" s="348">
        <f>_xll.qlInterpolationInterpolate(B6Minterpolation,R166,TRUE)</f>
        <v>2.0157908583172263E-3</v>
      </c>
      <c r="V166" s="184">
        <f>_xll.qlYieldTSDiscount(Discounting,R166,,AllTriggers)</f>
        <v>1.0007781053207008</v>
      </c>
      <c r="W166" s="184">
        <f>_xll.qlYieldTSDiscount(Discounting,S166,,AllTriggers)</f>
        <v>1.0014268287781503</v>
      </c>
      <c r="X166" s="181">
        <f t="shared" si="10"/>
        <v>-1.2743590012464692E-3</v>
      </c>
    </row>
    <row r="167" spans="18:24" x14ac:dyDescent="0.2">
      <c r="R167" s="183">
        <f>_xll.qlCalendarAdvance(Calendar,R166,"1D","f")</f>
        <v>42368</v>
      </c>
      <c r="S167" s="390">
        <f>_xll.qlCalendarAdvance(Calendar,R167,$F$1,"mf",,Trigger)</f>
        <v>42551</v>
      </c>
      <c r="T167" s="391">
        <f>_xll.qlDayCounterYearFraction(DayCounter,R167,S167,,,Trigger)</f>
        <v>0.5083333333333333</v>
      </c>
      <c r="U167" s="348">
        <f>_xll.qlInterpolationInterpolate(B6Minterpolation,R167,TRUE)</f>
        <v>2.0165427147757838E-3</v>
      </c>
      <c r="V167" s="184">
        <f>_xll.qlYieldTSDiscount(Discounting,R167,,AllTriggers)</f>
        <v>1.0007822130585915</v>
      </c>
      <c r="W167" s="184">
        <f>_xll.qlYieldTSDiscount(Discounting,S167,,AllTriggers)</f>
        <v>1.0014302269394266</v>
      </c>
      <c r="X167" s="181">
        <f t="shared" si="10"/>
        <v>-1.2729607821182305E-3</v>
      </c>
    </row>
    <row r="168" spans="18:24" x14ac:dyDescent="0.2">
      <c r="R168" s="183">
        <f>_xll.qlCalendarAdvance(Calendar,R167,"1D","f")</f>
        <v>42369</v>
      </c>
      <c r="S168" s="390">
        <f>_xll.qlCalendarAdvance(Calendar,R168,$F$1,"mf",,Trigger)</f>
        <v>42551</v>
      </c>
      <c r="T168" s="391">
        <f>_xll.qlDayCounterYearFraction(DayCounter,R168,S168,,,Trigger)</f>
        <v>0.50555555555555554</v>
      </c>
      <c r="U168" s="348">
        <f>_xll.qlInterpolationInterpolate(B6Minterpolation,R168,TRUE)</f>
        <v>2.017298831248621E-3</v>
      </c>
      <c r="V168" s="184">
        <f>_xll.qlYieldTSDiscount(Discounting,R168,,AllTriggers)</f>
        <v>1.0007863253037526</v>
      </c>
      <c r="W168" s="184">
        <f>_xll.qlYieldTSDiscount(Discounting,S168,,AllTriggers)</f>
        <v>1.0014302269394266</v>
      </c>
      <c r="X168" s="181">
        <f t="shared" si="10"/>
        <v>-1.2718325778322719E-3</v>
      </c>
    </row>
    <row r="169" spans="18:24" x14ac:dyDescent="0.2">
      <c r="R169" s="183">
        <f>_xll.qlCalendarAdvance(Calendar,R168,"1D","f")</f>
        <v>42373</v>
      </c>
      <c r="S169" s="390">
        <f>_xll.qlCalendarAdvance(Calendar,R169,$F$1,"mf",,Trigger)</f>
        <v>42555</v>
      </c>
      <c r="T169" s="391">
        <f>_xll.qlDayCounterYearFraction(DayCounter,R169,S169,,,Trigger)</f>
        <v>0.50555555555555554</v>
      </c>
      <c r="U169" s="348">
        <f>_xll.qlInterpolationInterpolate(B6Minterpolation,R169,TRUE)</f>
        <v>2.0203654364949111E-3</v>
      </c>
      <c r="V169" s="184">
        <f>_xll.qlYieldTSDiscount(Discounting,R169,,AllTriggers)</f>
        <v>1.0007796953150905</v>
      </c>
      <c r="W169" s="184">
        <f>_xll.qlYieldTSDiscount(Discounting,S169,,AllTriggers)</f>
        <v>1.0014437499966193</v>
      </c>
      <c r="X169" s="181">
        <f t="shared" si="10"/>
        <v>-1.3116211017112161E-3</v>
      </c>
    </row>
    <row r="170" spans="18:24" x14ac:dyDescent="0.2">
      <c r="R170" s="183">
        <f>_xll.qlCalendarAdvance(Calendar,R169,"1D","f")</f>
        <v>42374</v>
      </c>
      <c r="S170" s="390">
        <f>_xll.qlCalendarAdvance(Calendar,R170,$F$1,"mf",,Trigger)</f>
        <v>42556</v>
      </c>
      <c r="T170" s="391">
        <f>_xll.qlDayCounterYearFraction(DayCounter,R170,S170,,,Trigger)</f>
        <v>0.50555555555555554</v>
      </c>
      <c r="U170" s="348">
        <f>_xll.qlInterpolationInterpolate(B6Minterpolation,R170,TRUE)</f>
        <v>2.0211425074482554E-3</v>
      </c>
      <c r="V170" s="184">
        <f>_xll.qlYieldTSDiscount(Discounting,R170,,AllTriggers)</f>
        <v>1.0007838258783879</v>
      </c>
      <c r="W170" s="184">
        <f>_xll.qlYieldTSDiscount(Discounting,S170,,AllTriggers)</f>
        <v>1.0014471134512046</v>
      </c>
      <c r="X170" s="181">
        <f t="shared" si="10"/>
        <v>-1.3101015312320986E-3</v>
      </c>
    </row>
    <row r="171" spans="18:24" x14ac:dyDescent="0.2">
      <c r="R171" s="183">
        <f>_xll.qlCalendarAdvance(Calendar,R170,"1D","f")</f>
        <v>42375</v>
      </c>
      <c r="S171" s="390">
        <f>_xll.qlCalendarAdvance(Calendar,R171,$F$1,"mf",,Trigger)</f>
        <v>42557</v>
      </c>
      <c r="T171" s="391">
        <f>_xll.qlDayCounterYearFraction(DayCounter,R171,S171,,,Trigger)</f>
        <v>0.50555555555555554</v>
      </c>
      <c r="U171" s="348">
        <f>_xll.qlInterpolationInterpolate(B6Minterpolation,R171,TRUE)</f>
        <v>2.0219237001795226E-3</v>
      </c>
      <c r="V171" s="184">
        <f>_xll.qlYieldTSDiscount(Discounting,R171,,AllTriggers)</f>
        <v>1.0007879592997391</v>
      </c>
      <c r="W171" s="184">
        <f>_xll.qlYieldTSDiscount(Discounting,S171,,AllTriggers)</f>
        <v>1.0014504700168116</v>
      </c>
      <c r="X171" s="181">
        <f t="shared" si="10"/>
        <v>-1.308562728042612E-3</v>
      </c>
    </row>
    <row r="172" spans="18:24" x14ac:dyDescent="0.2">
      <c r="R172" s="183">
        <f>_xll.qlCalendarAdvance(Calendar,R171,"1D","f")</f>
        <v>42376</v>
      </c>
      <c r="S172" s="390">
        <f>_xll.qlCalendarAdvance(Calendar,R172,$F$1,"mf",,Trigger)</f>
        <v>42558</v>
      </c>
      <c r="T172" s="391">
        <f>_xll.qlDayCounterYearFraction(DayCounter,R172,S172,,,Trigger)</f>
        <v>0.50555555555555554</v>
      </c>
      <c r="U172" s="348">
        <f>_xll.qlInterpolationInterpolate(B6Minterpolation,R172,TRUE)</f>
        <v>2.0227089916493206E-3</v>
      </c>
      <c r="V172" s="184">
        <f>_xll.qlYieldTSDiscount(Discounting,R172,,AllTriggers)</f>
        <v>1.0007920953042759</v>
      </c>
      <c r="W172" s="184">
        <f>_xll.qlYieldTSDiscount(Discounting,S172,,AllTriggers)</f>
        <v>1.0014538197108951</v>
      </c>
      <c r="X172" s="181">
        <f t="shared" si="10"/>
        <v>-1.3070052696629853E-3</v>
      </c>
    </row>
    <row r="173" spans="18:24" x14ac:dyDescent="0.2">
      <c r="R173" s="183">
        <f>_xll.qlCalendarAdvance(Calendar,R172,"1D","f")</f>
        <v>42377</v>
      </c>
      <c r="S173" s="390">
        <f>_xll.qlCalendarAdvance(Calendar,R173,$F$1,"mf",,Trigger)</f>
        <v>42559</v>
      </c>
      <c r="T173" s="391">
        <f>_xll.qlDayCounterYearFraction(DayCounter,R173,S173,,,Trigger)</f>
        <v>0.50555555555555554</v>
      </c>
      <c r="U173" s="348">
        <f>_xll.qlInterpolationInterpolate(B6Minterpolation,R173,TRUE)</f>
        <v>2.0234983588182558E-3</v>
      </c>
      <c r="V173" s="184">
        <f>_xll.qlYieldTSDiscount(Discounting,R173,,AllTriggers)</f>
        <v>1.0007962336171268</v>
      </c>
      <c r="W173" s="184">
        <f>_xll.qlYieldTSDiscount(Discounting,S173,,AllTriggers)</f>
        <v>1.0014571625509099</v>
      </c>
      <c r="X173" s="181">
        <f t="shared" si="10"/>
        <v>-1.3054297336130088E-3</v>
      </c>
    </row>
    <row r="174" spans="18:24" x14ac:dyDescent="0.2">
      <c r="R174" s="183">
        <f>_xll.qlCalendarAdvance(Calendar,R173,"1D","f")</f>
        <v>42380</v>
      </c>
      <c r="S174" s="390">
        <f>_xll.qlCalendarAdvance(Calendar,R174,$F$1,"mf",,Trigger)</f>
        <v>42562</v>
      </c>
      <c r="T174" s="391">
        <f>_xll.qlDayCounterYearFraction(DayCounter,R174,S174,,,Trigger)</f>
        <v>0.50555555555555554</v>
      </c>
      <c r="U174" s="348">
        <f>_xll.qlInterpolationInterpolate(B6Minterpolation,R174,TRUE)</f>
        <v>2.0258906841259606E-3</v>
      </c>
      <c r="V174" s="184">
        <f>_xll.qlYieldTSDiscount(Discounting,R174,,AllTriggers)</f>
        <v>1.0008086596567678</v>
      </c>
      <c r="W174" s="184">
        <f>_xll.qlYieldTSDiscount(Discounting,S174,,AllTriggers)</f>
        <v>1.0014671501210932</v>
      </c>
      <c r="X174" s="181">
        <f t="shared" si="10"/>
        <v>-1.300600434668311E-3</v>
      </c>
    </row>
    <row r="175" spans="18:24" x14ac:dyDescent="0.2">
      <c r="R175" s="183">
        <f>_xll.qlCalendarAdvance(Calendar,R174,"1D","f")</f>
        <v>42381</v>
      </c>
      <c r="S175" s="390">
        <f>_xll.qlCalendarAdvance(Calendar,R175,$F$1,"mf",,Trigger)</f>
        <v>42563</v>
      </c>
      <c r="T175" s="391">
        <f>_xll.qlDayCounterYearFraction(DayCounter,R175,S175,,,Trigger)</f>
        <v>0.50555555555555554</v>
      </c>
      <c r="U175" s="348">
        <f>_xll.qlInterpolationInterpolate(B6Minterpolation,R175,TRUE)</f>
        <v>2.0266961236975194E-3</v>
      </c>
      <c r="V175" s="184">
        <f>_xll.qlYieldTSDiscount(Discounting,R175,,AllTriggers)</f>
        <v>1.0008128044540578</v>
      </c>
      <c r="W175" s="184">
        <f>_xll.qlYieldTSDiscount(Discounting,S175,,AllTriggers)</f>
        <v>1.0014704657193867</v>
      </c>
      <c r="X175" s="181">
        <f t="shared" si="10"/>
        <v>-1.2989583631701945E-3</v>
      </c>
    </row>
    <row r="176" spans="18:24" x14ac:dyDescent="0.2">
      <c r="R176" s="183">
        <f>_xll.qlCalendarAdvance(Calendar,R175,"1D","f")</f>
        <v>42382</v>
      </c>
      <c r="S176" s="390">
        <f>_xll.qlCalendarAdvance(Calendar,R176,$F$1,"mf",,Trigger)</f>
        <v>42564</v>
      </c>
      <c r="T176" s="391">
        <f>_xll.qlDayCounterYearFraction(DayCounter,R176,S176,,,Trigger)</f>
        <v>0.50555555555555554</v>
      </c>
      <c r="U176" s="348">
        <f>_xll.qlInterpolationInterpolate(B6Minterpolation,R176,TRUE)</f>
        <v>2.0275055237712518E-3</v>
      </c>
      <c r="V176" s="184">
        <f>_xll.qlYieldTSDiscount(Discounting,R176,,AllTriggers)</f>
        <v>1.0008169501852315</v>
      </c>
      <c r="W176" s="184">
        <f>_xll.qlYieldTSDiscount(Discounting,S176,,AllTriggers)</f>
        <v>1.0014737745508906</v>
      </c>
      <c r="X176" s="181">
        <f t="shared" si="10"/>
        <v>-1.2973011016254947E-3</v>
      </c>
    </row>
    <row r="177" spans="18:24" x14ac:dyDescent="0.2">
      <c r="R177" s="183">
        <f>_xll.qlCalendarAdvance(Calendar,R176,"1D","f")</f>
        <v>42383</v>
      </c>
      <c r="S177" s="390">
        <f>_xll.qlCalendarAdvance(Calendar,R177,$F$1,"mf",,Trigger)</f>
        <v>42565</v>
      </c>
      <c r="T177" s="391">
        <f>_xll.qlDayCounterYearFraction(DayCounter,R177,S177,,,Trigger)</f>
        <v>0.50555555555555554</v>
      </c>
      <c r="U177" s="348">
        <f>_xll.qlInterpolationInterpolate(B6Minterpolation,R177,TRUE)</f>
        <v>2.0283188613077654E-3</v>
      </c>
      <c r="V177" s="184">
        <f>_xll.qlYieldTSDiscount(Discounting,R177,,AllTriggers)</f>
        <v>1.000821096575389</v>
      </c>
      <c r="W177" s="184">
        <f>_xll.qlYieldTSDiscount(Discounting,S177,,AllTriggers)</f>
        <v>1.0014770766330614</v>
      </c>
      <c r="X177" s="181">
        <f t="shared" si="10"/>
        <v>-1.2956292275630059E-3</v>
      </c>
    </row>
    <row r="178" spans="18:24" x14ac:dyDescent="0.2">
      <c r="R178" s="183">
        <f>_xll.qlCalendarAdvance(Calendar,R177,"1D","f")</f>
        <v>42384</v>
      </c>
      <c r="S178" s="390">
        <f>_xll.qlCalendarAdvance(Calendar,R178,$F$1,"mf",,Trigger)</f>
        <v>42566</v>
      </c>
      <c r="T178" s="391">
        <f>_xll.qlDayCounterYearFraction(DayCounter,R178,S178,,,Trigger)</f>
        <v>0.50555555555555554</v>
      </c>
      <c r="U178" s="348">
        <f>_xll.qlInterpolationInterpolate(B6Minterpolation,R178,TRUE)</f>
        <v>2.0291361132676673E-3</v>
      </c>
      <c r="V178" s="184">
        <f>_xll.qlYieldTSDiscount(Discounting,R178,,AllTriggers)</f>
        <v>1.0008252433496265</v>
      </c>
      <c r="W178" s="184">
        <f>_xll.qlYieldTSDiscount(Discounting,S178,,AllTriggers)</f>
        <v>1.0014803719833567</v>
      </c>
      <c r="X178" s="181">
        <f t="shared" si="10"/>
        <v>-1.2939433185130591E-3</v>
      </c>
    </row>
    <row r="179" spans="18:24" x14ac:dyDescent="0.2">
      <c r="R179" s="183">
        <f>_xll.qlCalendarAdvance(Calendar,R178,"1D","f")</f>
        <v>42387</v>
      </c>
      <c r="S179" s="390">
        <f>_xll.qlCalendarAdvance(Calendar,R179,$F$1,"mf",,Trigger)</f>
        <v>42569</v>
      </c>
      <c r="T179" s="391">
        <f>_xll.qlDayCounterYearFraction(DayCounter,R179,S179,,,Trigger)</f>
        <v>0.50555555555555554</v>
      </c>
      <c r="U179" s="348">
        <f>_xll.qlInterpolationInterpolate(B6Minterpolation,R179,TRUE)</f>
        <v>2.0316111252937767E-3</v>
      </c>
      <c r="V179" s="184">
        <f>_xll.qlYieldTSDiscount(Discounting,R179,,AllTriggers)</f>
        <v>1.0008376832277059</v>
      </c>
      <c r="W179" s="184">
        <f>_xll.qlYieldTSDiscount(Discounting,S179,,AllTriggers)</f>
        <v>1.0014902178175675</v>
      </c>
      <c r="X179" s="181">
        <f t="shared" si="10"/>
        <v>-1.2888071567773596E-3</v>
      </c>
    </row>
    <row r="180" spans="18:24" x14ac:dyDescent="0.2">
      <c r="R180" s="183">
        <f>_xll.qlCalendarAdvance(Calendar,R179,"1D","f")</f>
        <v>42388</v>
      </c>
      <c r="S180" s="390">
        <f>_xll.qlCalendarAdvance(Calendar,R180,$F$1,"mf",,Trigger)</f>
        <v>42570</v>
      </c>
      <c r="T180" s="391">
        <f>_xll.qlDayCounterYearFraction(DayCounter,R180,S180,,,Trigger)</f>
        <v>0.50555555555555554</v>
      </c>
      <c r="U180" s="348">
        <f>_xll.qlInterpolationInterpolate(B6Minterpolation,R180,TRUE)</f>
        <v>2.0324438045533047E-3</v>
      </c>
      <c r="V180" s="184">
        <f>_xll.qlYieldTSDiscount(Discounting,R180,,AllTriggers)</f>
        <v>1.000841828789129</v>
      </c>
      <c r="W180" s="184">
        <f>_xll.qlYieldTSDiscount(Discounting,S180,,AllTriggers)</f>
        <v>1.0014934864149407</v>
      </c>
      <c r="X180" s="181">
        <f t="shared" si="10"/>
        <v>-1.2870708831221793E-3</v>
      </c>
    </row>
    <row r="181" spans="18:24" x14ac:dyDescent="0.2">
      <c r="R181" s="183">
        <f>_xll.qlCalendarAdvance(Calendar,R180,"1D","f")</f>
        <v>42389</v>
      </c>
      <c r="S181" s="390">
        <f>_xll.qlCalendarAdvance(Calendar,R181,$F$1,"mf",,Trigger)</f>
        <v>42571</v>
      </c>
      <c r="T181" s="391">
        <f>_xll.qlDayCounterYearFraction(DayCounter,R181,S181,,,Trigger)</f>
        <v>0.50555555555555554</v>
      </c>
      <c r="U181" s="348">
        <f>_xll.qlInterpolationInterpolate(B6Minterpolation,R181,TRUE)</f>
        <v>2.0332802830392576E-3</v>
      </c>
      <c r="V181" s="184">
        <f>_xll.qlYieldTSDiscount(Discounting,R181,,AllTriggers)</f>
        <v>1.0008459733600426</v>
      </c>
      <c r="W181" s="184">
        <f>_xll.qlYieldTSDiscount(Discounting,S181,,AllTriggers)</f>
        <v>1.0014967483677304</v>
      </c>
      <c r="X181" s="181">
        <f t="shared" si="10"/>
        <v>-1.2853234621599654E-3</v>
      </c>
    </row>
    <row r="182" spans="18:24" x14ac:dyDescent="0.2">
      <c r="R182" s="183">
        <f>_xll.qlCalendarAdvance(Calendar,R181,"1D","f")</f>
        <v>42390</v>
      </c>
      <c r="S182" s="390">
        <f>_xll.qlCalendarAdvance(Calendar,R182,$F$1,"mf",,Trigger)</f>
        <v>42572</v>
      </c>
      <c r="T182" s="391">
        <f>_xll.qlDayCounterYearFraction(DayCounter,R182,S182,,,Trigger)</f>
        <v>0.50555555555555554</v>
      </c>
      <c r="U182" s="348">
        <f>_xll.qlInterpolationInterpolate(B6Minterpolation,R182,TRUE)</f>
        <v>2.0341205377122423E-3</v>
      </c>
      <c r="V182" s="184">
        <f>_xll.qlYieldTSDiscount(Discounting,R182,,AllTriggers)</f>
        <v>1.0008501166655148</v>
      </c>
      <c r="W182" s="184">
        <f>_xll.qlYieldTSDiscount(Discounting,S182,,AllTriggers)</f>
        <v>1.0015000036933963</v>
      </c>
      <c r="X182" s="181">
        <f t="shared" si="10"/>
        <v>-1.2835654714331275E-3</v>
      </c>
    </row>
    <row r="183" spans="18:24" x14ac:dyDescent="0.2">
      <c r="R183" s="183">
        <f>_xll.qlCalendarAdvance(Calendar,R182,"1D","f")</f>
        <v>42391</v>
      </c>
      <c r="S183" s="390">
        <f>_xll.qlCalendarAdvance(Calendar,R183,$F$1,"mf",,Trigger)</f>
        <v>42573</v>
      </c>
      <c r="T183" s="391">
        <f>_xll.qlDayCounterYearFraction(DayCounter,R183,S183,,,Trigger)</f>
        <v>0.50555555555555554</v>
      </c>
      <c r="U183" s="348">
        <f>_xll.qlInterpolationInterpolate(B6Minterpolation,R183,TRUE)</f>
        <v>2.0349645455328661E-3</v>
      </c>
      <c r="V183" s="184">
        <f>_xll.qlYieldTSDiscount(Discounting,R183,,AllTriggers)</f>
        <v>1.0008542584306099</v>
      </c>
      <c r="W183" s="184">
        <f>_xll.qlYieldTSDiscount(Discounting,S183,,AllTriggers)</f>
        <v>1.0015032524093972</v>
      </c>
      <c r="X183" s="181">
        <f t="shared" si="10"/>
        <v>-1.2817974884823185E-3</v>
      </c>
    </row>
    <row r="184" spans="18:24" x14ac:dyDescent="0.2">
      <c r="R184" s="183">
        <f>_xll.qlCalendarAdvance(Calendar,R183,"1D","f")</f>
        <v>42394</v>
      </c>
      <c r="S184" s="390">
        <f>_xll.qlCalendarAdvance(Calendar,R184,$F$1,"mf",,Trigger)</f>
        <v>42576</v>
      </c>
      <c r="T184" s="391">
        <f>_xll.qlDayCounterYearFraction(DayCounter,R184,S184,,,Trigger)</f>
        <v>0.50555555555555554</v>
      </c>
      <c r="U184" s="348">
        <f>_xll.qlInterpolationInterpolate(B6Minterpolation,R184,TRUE)</f>
        <v>2.0375188574866454E-3</v>
      </c>
      <c r="V184" s="184">
        <f>_xll.qlYieldTSDiscount(Discounting,R184,,AllTriggers)</f>
        <v>1.0008666717342034</v>
      </c>
      <c r="W184" s="184">
        <f>_xll.qlYieldTSDiscount(Discounting,S184,,AllTriggers)</f>
        <v>1.0015129590740193</v>
      </c>
      <c r="X184" s="181">
        <f t="shared" si="10"/>
        <v>-1.2764393617582515E-3</v>
      </c>
    </row>
    <row r="185" spans="18:24" x14ac:dyDescent="0.2">
      <c r="R185" s="183">
        <f>_xll.qlCalendarAdvance(Calendar,R184,"1D","f")</f>
        <v>42395</v>
      </c>
      <c r="S185" s="390">
        <f>_xll.qlCalendarAdvance(Calendar,R185,$F$1,"mf",,Trigger)</f>
        <v>42577</v>
      </c>
      <c r="T185" s="391">
        <f>_xll.qlDayCounterYearFraction(DayCounter,R185,S185,,,Trigger)</f>
        <v>0.50555555555555554</v>
      </c>
      <c r="U185" s="348">
        <f>_xll.qlInterpolationInterpolate(B6Minterpolation,R185,TRUE)</f>
        <v>2.0383776475038987E-3</v>
      </c>
      <c r="V185" s="184">
        <f>_xll.qlYieldTSDiscount(Discounting,R185,,AllTriggers)</f>
        <v>1.0008708045883383</v>
      </c>
      <c r="W185" s="184">
        <f>_xll.qlYieldTSDiscount(Discounting,S185,,AllTriggers)</f>
        <v>1.001516181525969</v>
      </c>
      <c r="X185" s="181">
        <f t="shared" si="10"/>
        <v>-1.2746371853892356E-3</v>
      </c>
    </row>
    <row r="186" spans="18:24" x14ac:dyDescent="0.2">
      <c r="R186" s="183">
        <f>_xll.qlCalendarAdvance(Calendar,R185,"1D","f")</f>
        <v>42396</v>
      </c>
      <c r="S186" s="390">
        <f>_xll.qlCalendarAdvance(Calendar,R186,$F$1,"mf",,Trigger)</f>
        <v>42578</v>
      </c>
      <c r="T186" s="391">
        <f>_xll.qlDayCounterYearFraction(DayCounter,R186,S186,,,Trigger)</f>
        <v>0.50555555555555554</v>
      </c>
      <c r="U186" s="348">
        <f>_xll.qlInterpolationInterpolate(B6Minterpolation,R186,TRUE)</f>
        <v>2.039240075471827E-3</v>
      </c>
      <c r="V186" s="184">
        <f>_xll.qlYieldTSDiscount(Discounting,R186,,AllTriggers)</f>
        <v>1.0008749345451289</v>
      </c>
      <c r="W186" s="184">
        <f>_xll.qlYieldTSDiscount(Discounting,S186,,AllTriggers)</f>
        <v>1.001519397455559</v>
      </c>
      <c r="X186" s="181">
        <f t="shared" si="10"/>
        <v>-1.2728278694244916E-3</v>
      </c>
    </row>
    <row r="187" spans="18:24" x14ac:dyDescent="0.2">
      <c r="R187" s="183">
        <f>_xll.qlCalendarAdvance(Calendar,R186,"1D","f")</f>
        <v>42397</v>
      </c>
      <c r="S187" s="390">
        <f>_xll.qlCalendarAdvance(Calendar,R187,$F$1,"mf",,Trigger)</f>
        <v>42579</v>
      </c>
      <c r="T187" s="391">
        <f>_xll.qlDayCounterYearFraction(DayCounter,R187,S187,,,Trigger)</f>
        <v>0.50555555555555554</v>
      </c>
      <c r="U187" s="348">
        <f>_xll.qlInterpolationInterpolate(B6Minterpolation,R187,TRUE)</f>
        <v>2.040106118351038E-3</v>
      </c>
      <c r="V187" s="184">
        <f>_xll.qlYieldTSDiscount(Discounting,R187,,AllTriggers)</f>
        <v>1.0008790614185201</v>
      </c>
      <c r="W187" s="184">
        <f>_xll.qlYieldTSDiscount(Discounting,S187,,AllTriggers)</f>
        <v>1.0015226068802512</v>
      </c>
      <c r="X187" s="181">
        <f t="shared" si="10"/>
        <v>-1.2710118158246828E-3</v>
      </c>
    </row>
    <row r="188" spans="18:24" x14ac:dyDescent="0.2">
      <c r="R188" s="183">
        <f>_xll.qlCalendarAdvance(Calendar,R187,"1D","f")</f>
        <v>42398</v>
      </c>
      <c r="S188" s="390">
        <f>_xll.qlCalendarAdvance(Calendar,R188,$F$1,"mf",,Trigger)</f>
        <v>42580</v>
      </c>
      <c r="T188" s="391">
        <f>_xll.qlDayCounterYearFraction(DayCounter,R188,S188,,,Trigger)</f>
        <v>0.50555555555555554</v>
      </c>
      <c r="U188" s="348">
        <f>_xll.qlInterpolationInterpolate(B6Minterpolation,R188,TRUE)</f>
        <v>2.0409757531021392E-3</v>
      </c>
      <c r="V188" s="184">
        <f>_xll.qlYieldTSDiscount(Discounting,R188,,AllTriggers)</f>
        <v>1.0008831850402349</v>
      </c>
      <c r="W188" s="184">
        <f>_xll.qlYieldTSDiscount(Discounting,S188,,AllTriggers)</f>
        <v>1.0015258098175082</v>
      </c>
      <c r="X188" s="181">
        <f t="shared" si="10"/>
        <v>-1.2691893914343851E-3</v>
      </c>
    </row>
    <row r="189" spans="18:24" x14ac:dyDescent="0.2">
      <c r="R189" s="183">
        <f>_xll.qlCalendarAdvance(Calendar,R188,"1D","f")</f>
        <v>42401</v>
      </c>
      <c r="S189" s="390">
        <f>_xll.qlCalendarAdvance(Calendar,R189,$F$1,"mf",,Trigger)</f>
        <v>42583</v>
      </c>
      <c r="T189" s="391">
        <f>_xll.qlDayCounterYearFraction(DayCounter,R189,S189,,,Trigger)</f>
        <v>0.50555555555555554</v>
      </c>
      <c r="U189" s="348">
        <f>_xll.qlInterpolationInterpolate(B6Minterpolation,R189,TRUE)</f>
        <v>2.0436059781928544E-3</v>
      </c>
      <c r="V189" s="184">
        <f>_xll.qlYieldTSDiscount(Discounting,R189,,AllTriggers)</f>
        <v>1.0008911307721575</v>
      </c>
      <c r="W189" s="184">
        <f>_xll.qlYieldTSDiscount(Discounting,S189,,AllTriggers)</f>
        <v>1.0015353798792945</v>
      </c>
      <c r="X189" s="181">
        <f t="shared" si="10"/>
        <v>-1.2723852984520944E-3</v>
      </c>
    </row>
    <row r="190" spans="18:24" x14ac:dyDescent="0.2">
      <c r="R190" s="183">
        <f>_xll.qlCalendarAdvance(Calendar,R189,"1D","f")</f>
        <v>42402</v>
      </c>
      <c r="S190" s="390">
        <f>_xll.qlCalendarAdvance(Calendar,R190,$F$1,"mf",,Trigger)</f>
        <v>42584</v>
      </c>
      <c r="T190" s="391">
        <f>_xll.qlDayCounterYearFraction(DayCounter,R190,S190,,,Trigger)</f>
        <v>0.50555555555555554</v>
      </c>
      <c r="U190" s="348">
        <f>_xll.qlInterpolationInterpolate(B6Minterpolation,R190,TRUE)</f>
        <v>2.0444897500375876E-3</v>
      </c>
      <c r="V190" s="184">
        <f>_xll.qlYieldTSDiscount(Discounting,R190,,AllTriggers)</f>
        <v>1.0008952396862634</v>
      </c>
      <c r="W190" s="184">
        <f>_xll.qlYieldTSDiscount(Discounting,S190,,AllTriggers)</f>
        <v>1.0015385570414399</v>
      </c>
      <c r="X190" s="181">
        <f t="shared" si="10"/>
        <v>-1.2705410674762486E-3</v>
      </c>
    </row>
    <row r="191" spans="18:24" x14ac:dyDescent="0.2">
      <c r="R191" s="183">
        <f>_xll.qlCalendarAdvance(Calendar,R190,"1D","f")</f>
        <v>42403</v>
      </c>
      <c r="S191" s="390">
        <f>_xll.qlCalendarAdvance(Calendar,R191,$F$1,"mf",,Trigger)</f>
        <v>42585</v>
      </c>
      <c r="T191" s="391">
        <f>_xll.qlDayCounterYearFraction(DayCounter,R191,S191,,,Trigger)</f>
        <v>0.50555555555555554</v>
      </c>
      <c r="U191" s="348">
        <f>_xll.qlInterpolationInterpolate(B6Minterpolation,R191,TRUE)</f>
        <v>2.0453769985572471E-3</v>
      </c>
      <c r="V191" s="184">
        <f>_xll.qlYieldTSDiscount(Discounting,R191,,AllTriggers)</f>
        <v>1.0008993445072856</v>
      </c>
      <c r="W191" s="184">
        <f>_xll.qlYieldTSDiscount(Discounting,S191,,AllTriggers)</f>
        <v>1.0015417278034666</v>
      </c>
      <c r="X191" s="181">
        <f t="shared" si="10"/>
        <v>-1.2686922999674952E-3</v>
      </c>
    </row>
    <row r="192" spans="18:24" x14ac:dyDescent="0.2">
      <c r="R192" s="183">
        <f>_xll.qlCalendarAdvance(Calendar,R191,"1D","f")</f>
        <v>42404</v>
      </c>
      <c r="S192" s="390">
        <f>_xll.qlCalendarAdvance(Calendar,R192,$F$1,"mf",,Trigger)</f>
        <v>42586</v>
      </c>
      <c r="T192" s="391">
        <f>_xll.qlDayCounterYearFraction(DayCounter,R192,S192,,,Trigger)</f>
        <v>0.50555555555555554</v>
      </c>
      <c r="U192" s="348">
        <f>_xll.qlInterpolationInterpolate(B6Minterpolation,R192,TRUE)</f>
        <v>2.0462677007124399E-3</v>
      </c>
      <c r="V192" s="184">
        <f>_xll.qlYieldTSDiscount(Discounting,R192,,AllTriggers)</f>
        <v>1.0009034450669314</v>
      </c>
      <c r="W192" s="184">
        <f>_xll.qlYieldTSDiscount(Discounting,S192,,AllTriggers)</f>
        <v>1.0015448921828394</v>
      </c>
      <c r="X192" s="181">
        <f t="shared" si="10"/>
        <v>-1.2668393627763403E-3</v>
      </c>
    </row>
    <row r="193" spans="18:24" x14ac:dyDescent="0.2">
      <c r="R193" s="183">
        <f>_xll.qlCalendarAdvance(Calendar,R192,"1D","f")</f>
        <v>42405</v>
      </c>
      <c r="S193" s="390">
        <f>_xll.qlCalendarAdvance(Calendar,R193,$F$1,"mf",,Trigger)</f>
        <v>42587</v>
      </c>
      <c r="T193" s="391">
        <f>_xll.qlDayCounterYearFraction(DayCounter,R193,S193,,,Trigger)</f>
        <v>0.50555555555555554</v>
      </c>
      <c r="U193" s="348">
        <f>_xll.qlInterpolationInterpolate(B6Minterpolation,R193,TRUE)</f>
        <v>2.0471618334637733E-3</v>
      </c>
      <c r="V193" s="184">
        <f>_xll.qlYieldTSDiscount(Discounting,R193,,AllTriggers)</f>
        <v>1.0009075411969055</v>
      </c>
      <c r="W193" s="184">
        <f>_xll.qlYieldTSDiscount(Discounting,S193,,AllTriggers)</f>
        <v>1.0015480501970226</v>
      </c>
      <c r="X193" s="181">
        <f t="shared" si="10"/>
        <v>-1.2649826227541681E-3</v>
      </c>
    </row>
    <row r="194" spans="18:24" x14ac:dyDescent="0.2">
      <c r="R194" s="183">
        <f>_xll.qlCalendarAdvance(Calendar,R193,"1D","f")</f>
        <v>42408</v>
      </c>
      <c r="S194" s="390">
        <f>_xll.qlCalendarAdvance(Calendar,R194,$F$1,"mf",,Trigger)</f>
        <v>42590</v>
      </c>
      <c r="T194" s="391">
        <f>_xll.qlDayCounterYearFraction(DayCounter,R194,S194,,,Trigger)</f>
        <v>0.50555555555555554</v>
      </c>
      <c r="U194" s="348">
        <f>_xll.qlInterpolationInterpolate(B6Minterpolation,R194,TRUE)</f>
        <v>2.0498645849006901E-3</v>
      </c>
      <c r="V194" s="184">
        <f>_xll.qlYieldTSDiscount(Discounting,R194,,AllTriggers)</f>
        <v>1.0009198013258063</v>
      </c>
      <c r="W194" s="184">
        <f>_xll.qlYieldTSDiscount(Discounting,S194,,AllTriggers)</f>
        <v>1.0015574862230887</v>
      </c>
      <c r="X194" s="181">
        <f t="shared" si="10"/>
        <v>-1.2593932542344993E-3</v>
      </c>
    </row>
    <row r="195" spans="18:24" x14ac:dyDescent="0.2">
      <c r="R195" s="183">
        <f>_xll.qlCalendarAdvance(Calendar,R194,"1D","f")</f>
        <v>42409</v>
      </c>
      <c r="S195" s="390">
        <f>_xll.qlCalendarAdvance(Calendar,R195,$F$1,"mf",,Trigger)</f>
        <v>42591</v>
      </c>
      <c r="T195" s="391">
        <f>_xll.qlDayCounterYearFraction(DayCounter,R195,S195,,,Trigger)</f>
        <v>0.50555555555555554</v>
      </c>
      <c r="U195" s="348">
        <f>_xll.qlInterpolationInterpolate(B6Minterpolation,R195,TRUE)</f>
        <v>2.0507722096426589E-3</v>
      </c>
      <c r="V195" s="184">
        <f>_xll.qlYieldTSDiscount(Discounting,R195,,AllTriggers)</f>
        <v>1.0009238780540886</v>
      </c>
      <c r="W195" s="184">
        <f>_xll.qlYieldTSDiscount(Discounting,S195,,AllTriggers)</f>
        <v>1.0015606189511685</v>
      </c>
      <c r="X195" s="181">
        <f t="shared" si="10"/>
        <v>-1.2575249714275771E-3</v>
      </c>
    </row>
    <row r="196" spans="18:24" x14ac:dyDescent="0.2">
      <c r="R196" s="183">
        <f>_xll.qlCalendarAdvance(Calendar,R195,"1D","f")</f>
        <v>42410</v>
      </c>
      <c r="S196" s="390">
        <f>_xll.qlCalendarAdvance(Calendar,R196,$F$1,"mf",,Trigger)</f>
        <v>42592</v>
      </c>
      <c r="T196" s="391">
        <f>_xll.qlDayCounterYearFraction(DayCounter,R196,S196,,,Trigger)</f>
        <v>0.50555555555555554</v>
      </c>
      <c r="U196" s="348">
        <f>_xll.qlInterpolationInterpolate(B6Minterpolation,R196,TRUE)</f>
        <v>2.0516831497838046E-3</v>
      </c>
      <c r="V196" s="184">
        <f>_xll.qlYieldTSDiscount(Discounting,R196,,AllTriggers)</f>
        <v>1.0009279495111827</v>
      </c>
      <c r="W196" s="184">
        <f>_xll.qlYieldTSDiscount(Discounting,S196,,AllTriggers)</f>
        <v>1.0015637454013882</v>
      </c>
      <c r="X196" s="181">
        <f t="shared" ref="X196:X259" si="11">(V196/W196-1)/T196</f>
        <v>-1.2556547200683009E-3</v>
      </c>
    </row>
    <row r="197" spans="18:24" x14ac:dyDescent="0.2">
      <c r="R197" s="183">
        <f>_xll.qlCalendarAdvance(Calendar,R196,"1D","f")</f>
        <v>42411</v>
      </c>
      <c r="S197" s="390">
        <f>_xll.qlCalendarAdvance(Calendar,R197,$F$1,"mf",,Trigger)</f>
        <v>42593</v>
      </c>
      <c r="T197" s="391">
        <f>_xll.qlDayCounterYearFraction(DayCounter,R197,S197,,,Trigger)</f>
        <v>0.50555555555555554</v>
      </c>
      <c r="U197" s="348">
        <f>_xll.qlInterpolationInterpolate(B6Minterpolation,R197,TRUE)</f>
        <v>2.0525973822847344E-3</v>
      </c>
      <c r="V197" s="184">
        <f>_xll.qlYieldTSDiscount(Discounting,R197,,AllTriggers)</f>
        <v>1.0009320155287775</v>
      </c>
      <c r="W197" s="184">
        <f>_xll.qlYieldTSDiscount(Discounting,S197,,AllTriggers)</f>
        <v>1.001566865591214</v>
      </c>
      <c r="X197" s="181">
        <f t="shared" si="11"/>
        <v>-1.2537828670148628E-3</v>
      </c>
    </row>
    <row r="198" spans="18:24" x14ac:dyDescent="0.2">
      <c r="R198" s="183">
        <f>_xll.qlCalendarAdvance(Calendar,R197,"1D","f")</f>
        <v>42412</v>
      </c>
      <c r="S198" s="390">
        <f>_xll.qlCalendarAdvance(Calendar,R198,$F$1,"mf",,Trigger)</f>
        <v>42594</v>
      </c>
      <c r="T198" s="391">
        <f>_xll.qlDayCounterYearFraction(DayCounter,R198,S198,,,Trigger)</f>
        <v>0.50555555555555554</v>
      </c>
      <c r="U198" s="348">
        <f>_xll.qlInterpolationInterpolate(B6Minterpolation,R198,TRUE)</f>
        <v>2.0535148841060555E-3</v>
      </c>
      <c r="V198" s="184">
        <f>_xll.qlYieldTSDiscount(Discounting,R198,,AllTriggers)</f>
        <v>1.0009360759385595</v>
      </c>
      <c r="W198" s="184">
        <f>_xll.qlYieldTSDiscount(Discounting,S198,,AllTriggers)</f>
        <v>1.0015699795381134</v>
      </c>
      <c r="X198" s="181">
        <f t="shared" si="11"/>
        <v>-1.2519097791280902E-3</v>
      </c>
    </row>
    <row r="199" spans="18:24" x14ac:dyDescent="0.2">
      <c r="R199" s="183">
        <f>_xll.qlCalendarAdvance(Calendar,R198,"1D","f")</f>
        <v>42415</v>
      </c>
      <c r="S199" s="390">
        <f>_xll.qlCalendarAdvance(Calendar,R199,$F$1,"mf",,Trigger)</f>
        <v>42597</v>
      </c>
      <c r="T199" s="391">
        <f>_xll.qlDayCounterYearFraction(DayCounter,R199,S199,,,Trigger)</f>
        <v>0.50555555555555554</v>
      </c>
      <c r="U199" s="348">
        <f>_xll.qlInterpolationInterpolate(B6Minterpolation,R199,TRUE)</f>
        <v>2.0562867750984399E-3</v>
      </c>
      <c r="V199" s="184">
        <f>_xll.qlYieldTSDiscount(Discounting,R199,,AllTriggers)</f>
        <v>1.0009482218378487</v>
      </c>
      <c r="W199" s="184">
        <f>_xll.qlYieldTSDiscount(Discounting,S199,,AllTriggers)</f>
        <v>1.0015792840959281</v>
      </c>
      <c r="X199" s="181">
        <f t="shared" si="11"/>
        <v>-1.2462867750984397E-3</v>
      </c>
    </row>
    <row r="200" spans="18:24" x14ac:dyDescent="0.2">
      <c r="R200" s="183">
        <f>_xll.qlCalendarAdvance(Calendar,R199,"1D","f")</f>
        <v>42416</v>
      </c>
      <c r="S200" s="390">
        <f>_xll.qlCalendarAdvance(Calendar,R200,$F$1,"mf",,Trigger)</f>
        <v>42598</v>
      </c>
      <c r="T200" s="391">
        <f>_xll.qlDayCounterYearFraction(DayCounter,R200,S200,,,Trigger)</f>
        <v>0.50555555555555554</v>
      </c>
      <c r="U200" s="348">
        <f>_xll.qlInterpolationInterpolate(B6Minterpolation,R200,TRUE)</f>
        <v>2.0572171072559499E-3</v>
      </c>
      <c r="V200" s="184">
        <f>_xll.qlYieldTSDiscount(Discounting,R200,,AllTriggers)</f>
        <v>1.0009522581331867</v>
      </c>
      <c r="W200" s="184">
        <f>_xll.qlYieldTSDiscount(Discounting,S200,,AllTriggers)</f>
        <v>1.0015823732557907</v>
      </c>
      <c r="X200" s="181">
        <f t="shared" si="11"/>
        <v>-1.2444124362365194E-3</v>
      </c>
    </row>
    <row r="201" spans="18:24" x14ac:dyDescent="0.2">
      <c r="R201" s="183">
        <f>_xll.qlCalendarAdvance(Calendar,R200,"1D","f")</f>
        <v>42417</v>
      </c>
      <c r="S201" s="390">
        <f>_xll.qlCalendarAdvance(Calendar,R201,$F$1,"mf",,Trigger)</f>
        <v>42599</v>
      </c>
      <c r="T201" s="391">
        <f>_xll.qlDayCounterYearFraction(DayCounter,R201,S201,,,Trigger)</f>
        <v>0.50555555555555554</v>
      </c>
      <c r="U201" s="348">
        <f>_xll.qlInterpolationInterpolate(B6Minterpolation,R201,TRUE)</f>
        <v>2.05815049422819E-3</v>
      </c>
      <c r="V201" s="184">
        <f>_xll.qlYieldTSDiscount(Discounting,R201,,AllTriggers)</f>
        <v>1.0009562879791025</v>
      </c>
      <c r="W201" s="184">
        <f>_xll.qlYieldTSDiscount(Discounting,S201,,AllTriggers)</f>
        <v>1.0015854563200164</v>
      </c>
      <c r="X201" s="181">
        <f t="shared" si="11"/>
        <v>-1.2425388151859041E-3</v>
      </c>
    </row>
    <row r="202" spans="18:24" x14ac:dyDescent="0.2">
      <c r="R202" s="183">
        <f>_xll.qlCalendarAdvance(Calendar,R201,"1D","f")</f>
        <v>42418</v>
      </c>
      <c r="S202" s="390">
        <f>_xll.qlCalendarAdvance(Calendar,R202,$F$1,"mf",,Trigger)</f>
        <v>42600</v>
      </c>
      <c r="T202" s="391">
        <f>_xll.qlDayCounterYearFraction(DayCounter,R202,S202,,,Trigger)</f>
        <v>0.50555555555555554</v>
      </c>
      <c r="U202" s="348">
        <f>_xll.qlInterpolationInterpolate(B6Minterpolation,R202,TRUE)</f>
        <v>2.0590868136670711E-3</v>
      </c>
      <c r="V202" s="184">
        <f>_xll.qlYieldTSDiscount(Discounting,R202,,AllTriggers)</f>
        <v>1.0009603112072671</v>
      </c>
      <c r="W202" s="184">
        <f>_xll.qlYieldTSDiscount(Discounting,S202,,AllTriggers)</f>
        <v>1.0015885333660242</v>
      </c>
      <c r="X202" s="181">
        <f t="shared" si="11"/>
        <v>-1.2406663971338688E-3</v>
      </c>
    </row>
    <row r="203" spans="18:24" x14ac:dyDescent="0.2">
      <c r="R203" s="183">
        <f>_xll.qlCalendarAdvance(Calendar,R202,"1D","f")</f>
        <v>42419</v>
      </c>
      <c r="S203" s="390">
        <f>_xll.qlCalendarAdvance(Calendar,R203,$F$1,"mf",,Trigger)</f>
        <v>42601</v>
      </c>
      <c r="T203" s="391">
        <f>_xll.qlDayCounterYearFraction(DayCounter,R203,S203,,,Trigger)</f>
        <v>0.50555555555555554</v>
      </c>
      <c r="U203" s="348">
        <f>_xll.qlInterpolationInterpolate(B6Minterpolation,R203,TRUE)</f>
        <v>2.0600259432245029E-3</v>
      </c>
      <c r="V203" s="184">
        <f>_xll.qlYieldTSDiscount(Discounting,R203,,AllTriggers)</f>
        <v>1.0009643276493478</v>
      </c>
      <c r="W203" s="184">
        <f>_xll.qlYieldTSDiscount(Discounting,S203,,AllTriggers)</f>
        <v>1.0015916044712341</v>
      </c>
      <c r="X203" s="181">
        <f t="shared" si="11"/>
        <v>-1.2387956672718606E-3</v>
      </c>
    </row>
    <row r="204" spans="18:24" x14ac:dyDescent="0.2">
      <c r="R204" s="183">
        <f>_xll.qlCalendarAdvance(Calendar,R203,"1D","f")</f>
        <v>42422</v>
      </c>
      <c r="S204" s="390">
        <f>_xll.qlCalendarAdvance(Calendar,R204,$F$1,"mf",,Trigger)</f>
        <v>42604</v>
      </c>
      <c r="T204" s="391">
        <f>_xll.qlDayCounterYearFraction(DayCounter,R204,S204,,,Trigger)</f>
        <v>0.50555555555555554</v>
      </c>
      <c r="U204" s="348">
        <f>_xll.qlInterpolationInterpolate(B6Minterpolation,R204,TRUE)</f>
        <v>2.0628589691272037E-3</v>
      </c>
      <c r="V204" s="184">
        <f>_xll.qlYieldTSDiscount(Discounting,R204,,AllTriggers)</f>
        <v>1.0009763345757272</v>
      </c>
      <c r="W204" s="184">
        <f>_xll.qlYieldTSDiscount(Discounting,S204,,AllTriggers)</f>
        <v>1.0016007829162932</v>
      </c>
      <c r="X204" s="181">
        <f t="shared" si="11"/>
        <v>-1.2331984587536512E-3</v>
      </c>
    </row>
    <row r="205" spans="18:24" x14ac:dyDescent="0.2">
      <c r="R205" s="183">
        <f>_xll.qlCalendarAdvance(Calendar,R204,"1D","f")</f>
        <v>42423</v>
      </c>
      <c r="S205" s="390">
        <f>_xll.qlCalendarAdvance(Calendar,R205,$F$1,"mf",,Trigger)</f>
        <v>42605</v>
      </c>
      <c r="T205" s="391">
        <f>_xll.qlDayCounterYearFraction(DayCounter,R205,S205,,,Trigger)</f>
        <v>0.50555555555555554</v>
      </c>
      <c r="U205" s="348">
        <f>_xll.qlInterpolationInterpolate(B6Minterpolation,R205,TRUE)</f>
        <v>2.0638081156779398E-3</v>
      </c>
      <c r="V205" s="184">
        <f>_xll.qlYieldTSDiscount(Discounting,R205,,AllTriggers)</f>
        <v>1.0009803221901004</v>
      </c>
      <c r="W205" s="184">
        <f>_xll.qlYieldTSDiscount(Discounting,S205,,AllTriggers)</f>
        <v>1.001603831032533</v>
      </c>
      <c r="X205" s="181">
        <f t="shared" si="11"/>
        <v>-1.2313393335881874E-3</v>
      </c>
    </row>
    <row r="206" spans="18:24" x14ac:dyDescent="0.2">
      <c r="R206" s="183">
        <f>_xll.qlCalendarAdvance(Calendar,R205,"1D","f")</f>
        <v>42424</v>
      </c>
      <c r="S206" s="390">
        <f>_xll.qlCalendarAdvance(Calendar,R206,$F$1,"mf",,Trigger)</f>
        <v>42606</v>
      </c>
      <c r="T206" s="391">
        <f>_xll.qlDayCounterYearFraction(DayCounter,R206,S206,,,Trigger)</f>
        <v>0.50555555555555554</v>
      </c>
      <c r="U206" s="348">
        <f>_xll.qlInterpolationInterpolate(B6Minterpolation,R206,TRUE)</f>
        <v>2.0647594606067773E-3</v>
      </c>
      <c r="V206" s="184">
        <f>_xll.qlYieldTSDiscount(Discounting,R206,,AllTriggers)</f>
        <v>1.0009843021766904</v>
      </c>
      <c r="W206" s="184">
        <f>_xll.qlYieldTSDiscount(Discounting,S206,,AllTriggers)</f>
        <v>1.0016068735950909</v>
      </c>
      <c r="X206" s="181">
        <f t="shared" si="11"/>
        <v>-1.2294843225908508E-3</v>
      </c>
    </row>
    <row r="207" spans="18:24" x14ac:dyDescent="0.2">
      <c r="R207" s="183">
        <f>_xll.qlCalendarAdvance(Calendar,R206,"1D","f")</f>
        <v>42425</v>
      </c>
      <c r="S207" s="390">
        <f>_xll.qlCalendarAdvance(Calendar,R207,$F$1,"mf",,Trigger)</f>
        <v>42607</v>
      </c>
      <c r="T207" s="391">
        <f>_xll.qlDayCounterYearFraction(DayCounter,R207,S207,,,Trigger)</f>
        <v>0.50555555555555554</v>
      </c>
      <c r="U207" s="348">
        <f>_xll.qlInterpolationInterpolate(B6Minterpolation,R207,TRUE)</f>
        <v>2.065712881565626E-3</v>
      </c>
      <c r="V207" s="184">
        <f>_xll.qlYieldTSDiscount(Discounting,R207,,AllTriggers)</f>
        <v>1.0009882743671503</v>
      </c>
      <c r="W207" s="184">
        <f>_xll.qlYieldTSDiscount(Discounting,S207,,AllTriggers)</f>
        <v>1.0016099106813929</v>
      </c>
      <c r="X207" s="181">
        <f t="shared" si="11"/>
        <v>-1.227633910962312E-3</v>
      </c>
    </row>
    <row r="208" spans="18:24" x14ac:dyDescent="0.2">
      <c r="R208" s="183">
        <f>_xll.qlCalendarAdvance(Calendar,R207,"1D","f")</f>
        <v>42426</v>
      </c>
      <c r="S208" s="390">
        <f>_xll.qlCalendarAdvance(Calendar,R208,$F$1,"mf",,Trigger)</f>
        <v>42608</v>
      </c>
      <c r="T208" s="391">
        <f>_xll.qlDayCounterYearFraction(DayCounter,R208,S208,,,Trigger)</f>
        <v>0.50555555555555554</v>
      </c>
      <c r="U208" s="348">
        <f>_xll.qlInterpolationInterpolate(B6Minterpolation,R208,TRUE)</f>
        <v>2.0666682562063962E-3</v>
      </c>
      <c r="V208" s="184">
        <f>_xll.qlYieldTSDiscount(Discounting,R208,,AllTriggers)</f>
        <v>1.00099223859313</v>
      </c>
      <c r="W208" s="184">
        <f>_xll.qlYieldTSDiscount(Discounting,S208,,AllTriggers)</f>
        <v>1.0016129423688667</v>
      </c>
      <c r="X208" s="181">
        <f t="shared" si="11"/>
        <v>-1.2257885839060969E-3</v>
      </c>
    </row>
    <row r="209" spans="18:24" x14ac:dyDescent="0.2">
      <c r="R209" s="183">
        <f>_xll.qlCalendarAdvance(Calendar,R208,"1D","f")</f>
        <v>42429</v>
      </c>
      <c r="S209" s="390">
        <f>_xll.qlCalendarAdvance(Calendar,R209,$F$1,"mf",,Trigger)</f>
        <v>42611</v>
      </c>
      <c r="T209" s="391">
        <f>_xll.qlDayCounterYearFraction(DayCounter,R209,S209,,,Trigger)</f>
        <v>0.50555555555555554</v>
      </c>
      <c r="U209" s="348">
        <f>_xll.qlInterpolationInterpolate(B6Minterpolation,R209,TRUE)</f>
        <v>2.0695448787393374E-3</v>
      </c>
      <c r="V209" s="184">
        <f>_xll.qlYieldTSDiscount(Discounting,R209,,AllTriggers)</f>
        <v>1.0010040818006538</v>
      </c>
      <c r="W209" s="184">
        <f>_xll.qlYieldTSDiscount(Discounting,S209,,AllTriggers)</f>
        <v>1.0016220058126053</v>
      </c>
      <c r="X209" s="181">
        <f t="shared" si="11"/>
        <v>-1.2202879622198264E-3</v>
      </c>
    </row>
    <row r="210" spans="18:24" x14ac:dyDescent="0.2">
      <c r="R210" s="183">
        <f>_xll.qlCalendarAdvance(Calendar,R209,"1D","f")</f>
        <v>42430</v>
      </c>
      <c r="S210" s="390">
        <f>_xll.qlCalendarAdvance(Calendar,R210,$F$1,"mf",,Trigger)</f>
        <v>42614</v>
      </c>
      <c r="T210" s="391">
        <f>_xll.qlDayCounterYearFraction(DayCounter,R210,S210,,,Trigger)</f>
        <v>0.51111111111111107</v>
      </c>
      <c r="U210" s="348">
        <f>_xll.qlInterpolationInterpolate(B6Minterpolation,R210,TRUE)</f>
        <v>2.0705068446268951E-3</v>
      </c>
      <c r="V210" s="184">
        <f>_xll.qlYieldTSDiscount(Discounting,R210,,AllTriggers)</f>
        <v>1.0009993037154568</v>
      </c>
      <c r="W210" s="184">
        <f>_xll.qlYieldTSDiscount(Discounting,S210,,AllTriggers)</f>
        <v>1.0016310234543695</v>
      </c>
      <c r="X210" s="181">
        <f t="shared" si="11"/>
        <v>-1.2339607832412764E-3</v>
      </c>
    </row>
    <row r="211" spans="18:24" x14ac:dyDescent="0.2">
      <c r="R211" s="183">
        <f>_xll.qlCalendarAdvance(Calendar,R210,"1D","f")</f>
        <v>42431</v>
      </c>
      <c r="S211" s="390">
        <f>_xll.qlCalendarAdvance(Calendar,R211,$F$1,"mf",,Trigger)</f>
        <v>42615</v>
      </c>
      <c r="T211" s="391">
        <f>_xll.qlDayCounterYearFraction(DayCounter,R211,S211,,,Trigger)</f>
        <v>0.51111111111111107</v>
      </c>
      <c r="U211" s="348">
        <f>_xll.qlInterpolationInterpolate(B6Minterpolation,R211,TRUE)</f>
        <v>2.0714701524559248E-3</v>
      </c>
      <c r="V211" s="184">
        <f>_xll.qlYieldTSDiscount(Discounting,R211,,AllTriggers)</f>
        <v>1.001003225559582</v>
      </c>
      <c r="W211" s="184">
        <f>_xll.qlYieldTSDiscount(Discounting,S211,,AllTriggers)</f>
        <v>1.0016340195180946</v>
      </c>
      <c r="X211" s="181">
        <f t="shared" si="11"/>
        <v>-1.2321487376555219E-3</v>
      </c>
    </row>
    <row r="212" spans="18:24" x14ac:dyDescent="0.2">
      <c r="R212" s="183">
        <f>_xll.qlCalendarAdvance(Calendar,R211,"1D","f")</f>
        <v>42432</v>
      </c>
      <c r="S212" s="390">
        <f>_xll.qlCalendarAdvance(Calendar,R212,$F$1,"mf",,Trigger)</f>
        <v>42618</v>
      </c>
      <c r="T212" s="391">
        <f>_xll.qlDayCounterYearFraction(DayCounter,R212,S212,,,Trigger)</f>
        <v>0.51666666666666672</v>
      </c>
      <c r="U212" s="348">
        <f>_xll.qlInterpolationInterpolate(B6Minterpolation,R212,TRUE)</f>
        <v>2.072434679878337E-3</v>
      </c>
      <c r="V212" s="184">
        <f>_xll.qlYieldTSDiscount(Discounting,R212,,AllTriggers)</f>
        <v>1.0010071384291543</v>
      </c>
      <c r="W212" s="184">
        <f>_xll.qlYieldTSDiscount(Discounting,S212,,AllTriggers)</f>
        <v>1.0016429793427759</v>
      </c>
      <c r="X212" s="181">
        <f t="shared" si="11"/>
        <v>-1.2286412007035002E-3</v>
      </c>
    </row>
    <row r="213" spans="18:24" x14ac:dyDescent="0.2">
      <c r="R213" s="183">
        <f>_xll.qlCalendarAdvance(Calendar,R212,"1D","f")</f>
        <v>42433</v>
      </c>
      <c r="S213" s="390">
        <f>_xll.qlCalendarAdvance(Calendar,R213,$F$1,"mf",,Trigger)</f>
        <v>42618</v>
      </c>
      <c r="T213" s="391">
        <f>_xll.qlDayCounterYearFraction(DayCounter,R213,S213,,,Trigger)</f>
        <v>0.51388888888888884</v>
      </c>
      <c r="U213" s="348">
        <f>_xll.qlInterpolationInterpolate(B6Minterpolation,R213,TRUE)</f>
        <v>2.0734003045460416E-3</v>
      </c>
      <c r="V213" s="184">
        <f>_xll.qlYieldTSDiscount(Discounting,R213,,AllTriggers)</f>
        <v>1.0010110421558085</v>
      </c>
      <c r="W213" s="184">
        <f>_xll.qlYieldTSDiscount(Discounting,S213,,AllTriggers)</f>
        <v>1.0016429793427759</v>
      </c>
      <c r="X213" s="181">
        <f t="shared" si="11"/>
        <v>-1.2276985237579404E-3</v>
      </c>
    </row>
    <row r="214" spans="18:24" x14ac:dyDescent="0.2">
      <c r="R214" s="183">
        <f>_xll.qlCalendarAdvance(Calendar,R213,"1D","f")</f>
        <v>42436</v>
      </c>
      <c r="S214" s="390">
        <f>_xll.qlCalendarAdvance(Calendar,R214,$F$1,"mf",,Trigger)</f>
        <v>42620</v>
      </c>
      <c r="T214" s="391">
        <f>_xll.qlDayCounterYearFraction(DayCounter,R214,S214,,,Trigger)</f>
        <v>0.51111111111111107</v>
      </c>
      <c r="U214" s="348">
        <f>_xll.qlInterpolationInterpolate(B6Minterpolation,R214,TRUE)</f>
        <v>2.0763025385400098E-3</v>
      </c>
      <c r="V214" s="184">
        <f>_xll.qlYieldTSDiscount(Discounting,R214,,AllTriggers)</f>
        <v>1.0010226967945721</v>
      </c>
      <c r="W214" s="184">
        <f>_xll.qlYieldTSDiscount(Discounting,S214,,AllTriggers)</f>
        <v>1.0016489296948619</v>
      </c>
      <c r="X214" s="181">
        <f t="shared" si="11"/>
        <v>-1.2232212772880417E-3</v>
      </c>
    </row>
    <row r="215" spans="18:24" x14ac:dyDescent="0.2">
      <c r="R215" s="183">
        <f>_xll.qlCalendarAdvance(Calendar,R214,"1D","f")</f>
        <v>42437</v>
      </c>
      <c r="S215" s="390">
        <f>_xll.qlCalendarAdvance(Calendar,R215,$F$1,"mf",,Trigger)</f>
        <v>42621</v>
      </c>
      <c r="T215" s="391">
        <f>_xll.qlDayCounterYearFraction(DayCounter,R215,S215,,,Trigger)</f>
        <v>0.51111111111111107</v>
      </c>
      <c r="U215" s="348">
        <f>_xll.qlInterpolationInterpolate(B6Minterpolation,R215,TRUE)</f>
        <v>2.0772713287079848E-3</v>
      </c>
      <c r="V215" s="184">
        <f>_xll.qlYieldTSDiscount(Discounting,R215,,AllTriggers)</f>
        <v>1.0010265622658516</v>
      </c>
      <c r="W215" s="184">
        <f>_xll.qlYieldTSDiscount(Discounting,S215,,AllTriggers)</f>
        <v>1.0016518982439124</v>
      </c>
      <c r="X215" s="181">
        <f t="shared" si="11"/>
        <v>-1.2214656982943415E-3</v>
      </c>
    </row>
    <row r="216" spans="18:24" x14ac:dyDescent="0.2">
      <c r="R216" s="183">
        <f>_xll.qlCalendarAdvance(Calendar,R215,"1D","f")</f>
        <v>42438</v>
      </c>
      <c r="S216" s="390">
        <f>_xll.qlCalendarAdvance(Calendar,R216,$F$1,"mf",,Trigger)</f>
        <v>42622</v>
      </c>
      <c r="T216" s="391">
        <f>_xll.qlDayCounterYearFraction(DayCounter,R216,S216,,,Trigger)</f>
        <v>0.51111111111111107</v>
      </c>
      <c r="U216" s="348">
        <f>_xll.qlInterpolationInterpolate(B6Minterpolation,R216,TRUE)</f>
        <v>2.0782406043808026E-3</v>
      </c>
      <c r="V216" s="184">
        <f>_xll.qlYieldTSDiscount(Discounting,R216,,AllTriggers)</f>
        <v>1.0010304177523508</v>
      </c>
      <c r="W216" s="184">
        <f>_xll.qlYieldTSDiscount(Discounting,S216,,AllTriggers)</f>
        <v>1.0016548624782229</v>
      </c>
      <c r="X216" s="181">
        <f t="shared" si="11"/>
        <v>-1.2197212101895008E-3</v>
      </c>
    </row>
    <row r="217" spans="18:24" x14ac:dyDescent="0.2">
      <c r="R217" s="183">
        <f>_xll.qlCalendarAdvance(Calendar,R216,"1D","f")</f>
        <v>42439</v>
      </c>
      <c r="S217" s="390">
        <f>_xll.qlCalendarAdvance(Calendar,R217,$F$1,"mf",,Trigger)</f>
        <v>42625</v>
      </c>
      <c r="T217" s="391">
        <f>_xll.qlDayCounterYearFraction(DayCounter,R217,S217,,,Trigger)</f>
        <v>0.51666666666666672</v>
      </c>
      <c r="U217" s="348">
        <f>_xll.qlInterpolationInterpolate(B6Minterpolation,R217,TRUE)</f>
        <v>2.0792102432103735E-3</v>
      </c>
      <c r="V217" s="184">
        <f>_xll.qlYieldTSDiscount(Discounting,R217,,AllTriggers)</f>
        <v>1.0010342630856892</v>
      </c>
      <c r="W217" s="184">
        <f>_xll.qlYieldTSDiscount(Discounting,S217,,AllTriggers)</f>
        <v>1.0016637300671412</v>
      </c>
      <c r="X217" s="181">
        <f t="shared" si="11"/>
        <v>-1.2162995956988714E-3</v>
      </c>
    </row>
    <row r="218" spans="18:24" x14ac:dyDescent="0.2">
      <c r="R218" s="183">
        <f>_xll.qlCalendarAdvance(Calendar,R217,"1D","f")</f>
        <v>42440</v>
      </c>
      <c r="S218" s="390">
        <f>_xll.qlCalendarAdvance(Calendar,R218,$F$1,"mf",,Trigger)</f>
        <v>42625</v>
      </c>
      <c r="T218" s="391">
        <f>_xll.qlDayCounterYearFraction(DayCounter,R218,S218,,,Trigger)</f>
        <v>0.51388888888888884</v>
      </c>
      <c r="U218" s="348">
        <f>_xll.qlInterpolationInterpolate(B6Minterpolation,R218,TRUE)</f>
        <v>2.0801801228486076E-3</v>
      </c>
      <c r="V218" s="184">
        <f>_xll.qlYieldTSDiscount(Discounting,R218,,AllTriggers)</f>
        <v>1.0010380980974858</v>
      </c>
      <c r="W218" s="184">
        <f>_xll.qlYieldTSDiscount(Discounting,S218,,AllTriggers)</f>
        <v>1.0016637300671412</v>
      </c>
      <c r="X218" s="181">
        <f t="shared" si="11"/>
        <v>-1.2154238577884553E-3</v>
      </c>
    </row>
    <row r="219" spans="18:24" x14ac:dyDescent="0.2">
      <c r="R219" s="183">
        <f>_xll.qlCalendarAdvance(Calendar,R218,"1D","f")</f>
        <v>42443</v>
      </c>
      <c r="S219" s="390">
        <f>_xll.qlCalendarAdvance(Calendar,R219,$F$1,"mf",,Trigger)</f>
        <v>42627</v>
      </c>
      <c r="T219" s="391">
        <f>_xll.qlDayCounterYearFraction(DayCounter,R219,S219,,,Trigger)</f>
        <v>0.51111111111111107</v>
      </c>
      <c r="U219" s="348">
        <f>_xll.qlInterpolationInterpolate(B6Minterpolation,R219,TRUE)</f>
        <v>2.0830899831343896E-3</v>
      </c>
      <c r="V219" s="184">
        <f>_xll.qlYieldTSDiscount(Discounting,R219,,AllTriggers)</f>
        <v>1.0010495395197725</v>
      </c>
      <c r="W219" s="184">
        <f>_xll.qlYieldTSDiscount(Discounting,S219,,AllTriggers)</f>
        <v>1.0016696216391874</v>
      </c>
      <c r="X219" s="181">
        <f t="shared" si="11"/>
        <v>-1.2111819311202132E-3</v>
      </c>
    </row>
    <row r="220" spans="18:24" x14ac:dyDescent="0.2">
      <c r="R220" s="183">
        <f>_xll.qlCalendarAdvance(Calendar,R219,"1D","f")</f>
        <v>42444</v>
      </c>
      <c r="S220" s="390">
        <f>_xll.qlCalendarAdvance(Calendar,R220,$F$1,"mf",,Trigger)</f>
        <v>42628</v>
      </c>
      <c r="T220" s="391">
        <f>_xll.qlDayCounterYearFraction(DayCounter,R220,S220,,,Trigger)</f>
        <v>0.51111111111111107</v>
      </c>
      <c r="U220" s="348">
        <f>_xll.qlInterpolationInterpolate(B6Minterpolation,R220,TRUE)</f>
        <v>2.0840596025263778E-3</v>
      </c>
      <c r="V220" s="184">
        <f>_xll.qlYieldTSDiscount(Discounting,R220,,AllTriggers)</f>
        <v>1.0010533315615384</v>
      </c>
      <c r="W220" s="184">
        <f>_xll.qlYieldTSDiscount(Discounting,S220,,AllTriggers)</f>
        <v>1.0016725616113791</v>
      </c>
      <c r="X220" s="181">
        <f t="shared" si="11"/>
        <v>-1.2095140672388604E-3</v>
      </c>
    </row>
    <row r="221" spans="18:24" x14ac:dyDescent="0.2">
      <c r="R221" s="183">
        <f>_xll.qlCalendarAdvance(Calendar,R220,"1D","f")</f>
        <v>42445</v>
      </c>
      <c r="S221" s="390">
        <f>_xll.qlCalendarAdvance(Calendar,R221,$F$1,"mf",,Trigger)</f>
        <v>42629</v>
      </c>
      <c r="T221" s="391">
        <f>_xll.qlDayCounterYearFraction(DayCounter,R221,S221,,,Trigger)</f>
        <v>0.51111111111111107</v>
      </c>
      <c r="U221" s="348">
        <f>_xll.qlInterpolationInterpolate(B6Minterpolation,R221,TRUE)</f>
        <v>2.085028850986579E-3</v>
      </c>
      <c r="V221" s="184">
        <f>_xll.qlYieldTSDiscount(Discounting,R221,,AllTriggers)</f>
        <v>1.00105711243982</v>
      </c>
      <c r="W221" s="184">
        <f>_xll.qlYieldTSDiscount(Discounting,S221,,AllTriggers)</f>
        <v>1.0016754978109468</v>
      </c>
      <c r="X221" s="181">
        <f t="shared" si="11"/>
        <v>-1.2078606538882795E-3</v>
      </c>
    </row>
    <row r="222" spans="18:24" x14ac:dyDescent="0.2">
      <c r="R222" s="183">
        <f>_xll.qlCalendarAdvance(Calendar,R221,"1D","f")</f>
        <v>42446</v>
      </c>
      <c r="S222" s="390">
        <f>_xll.qlCalendarAdvance(Calendar,R222,$F$1,"mf",,Trigger)</f>
        <v>42632</v>
      </c>
      <c r="T222" s="391">
        <f>_xll.qlDayCounterYearFraction(DayCounter,R222,S222,,,Trigger)</f>
        <v>0.51666666666666672</v>
      </c>
      <c r="U222" s="348">
        <f>_xll.qlInterpolationInterpolate(B6Minterpolation,R222,TRUE)</f>
        <v>2.0859976061669045E-3</v>
      </c>
      <c r="V222" s="184">
        <f>_xll.qlYieldTSDiscount(Discounting,R222,,AllTriggers)</f>
        <v>1.0010608820752711</v>
      </c>
      <c r="W222" s="184">
        <f>_xll.qlYieldTSDiscount(Discounting,S222,,AllTriggers)</f>
        <v>1.0016842845484022</v>
      </c>
      <c r="X222" s="181">
        <f t="shared" si="11"/>
        <v>-1.2045566157710631E-3</v>
      </c>
    </row>
    <row r="223" spans="18:24" x14ac:dyDescent="0.2">
      <c r="R223" s="183">
        <f>_xll.qlCalendarAdvance(Calendar,R222,"1D","f")</f>
        <v>42447</v>
      </c>
      <c r="S223" s="390">
        <f>_xll.qlCalendarAdvance(Calendar,R223,$F$1,"mf",,Trigger)</f>
        <v>42632</v>
      </c>
      <c r="T223" s="391">
        <f>_xll.qlDayCounterYearFraction(DayCounter,R223,S223,,,Trigger)</f>
        <v>0.51388888888888884</v>
      </c>
      <c r="U223" s="348">
        <f>_xll.qlInterpolationInterpolate(B6Minterpolation,R223,TRUE)</f>
        <v>2.0869657457192638E-3</v>
      </c>
      <c r="V223" s="184">
        <f>_xll.qlYieldTSDiscount(Discounting,R223,,AllTriggers)</f>
        <v>1.0010646407447401</v>
      </c>
      <c r="W223" s="184">
        <f>_xll.qlYieldTSDiscount(Discounting,S223,,AllTriggers)</f>
        <v>1.0016842845484022</v>
      </c>
      <c r="X223" s="181">
        <f t="shared" si="11"/>
        <v>-1.2037658634231297E-3</v>
      </c>
    </row>
    <row r="224" spans="18:24" x14ac:dyDescent="0.2">
      <c r="R224" s="183">
        <f>_xll.qlCalendarAdvance(Calendar,R223,"1D","f")</f>
        <v>42450</v>
      </c>
      <c r="S224" s="390">
        <f>_xll.qlCalendarAdvance(Calendar,R224,$F$1,"mf",,Trigger)</f>
        <v>42634</v>
      </c>
      <c r="T224" s="391">
        <f>_xll.qlDayCounterYearFraction(DayCounter,R224,S224,,,Trigger)</f>
        <v>0.51111111111111107</v>
      </c>
      <c r="U224" s="348">
        <f>_xll.qlInterpolationInterpolate(B6Minterpolation,R224,TRUE)</f>
        <v>2.0898652471276467E-3</v>
      </c>
      <c r="V224" s="184">
        <f>_xll.qlYieldTSDiscount(Discounting,R224,,AllTriggers)</f>
        <v>1.0010758546163154</v>
      </c>
      <c r="W224" s="184">
        <f>_xll.qlYieldTSDiscount(Discounting,S224,,AllTriggers)</f>
        <v>1.0016901249301775</v>
      </c>
      <c r="X224" s="181">
        <f t="shared" si="11"/>
        <v>-1.199805401752743E-3</v>
      </c>
    </row>
    <row r="225" spans="18:24" x14ac:dyDescent="0.2">
      <c r="R225" s="183">
        <f>_xll.qlCalendarAdvance(Calendar,R224,"1D","f")</f>
        <v>42451</v>
      </c>
      <c r="S225" s="390">
        <f>_xll.qlCalendarAdvance(Calendar,R225,$F$1,"mf",,Trigger)</f>
        <v>42635</v>
      </c>
      <c r="T225" s="391">
        <f>_xll.qlDayCounterYearFraction(DayCounter,R225,S225,,,Trigger)</f>
        <v>0.51111111111111107</v>
      </c>
      <c r="U225" s="348">
        <f>_xll.qlInterpolationInterpolate(B6Minterpolation,R225,TRUE)</f>
        <v>2.0908297006872428E-3</v>
      </c>
      <c r="V225" s="184">
        <f>_xll.qlYieldTSDiscount(Discounting,R225,,AllTriggers)</f>
        <v>1.0010795730809445</v>
      </c>
      <c r="W225" s="184">
        <f>_xll.qlYieldTSDiscount(Discounting,S225,,AllTriggers)</f>
        <v>1.0016930401204649</v>
      </c>
      <c r="X225" s="181">
        <f t="shared" si="11"/>
        <v>-1.1982329426161466E-3</v>
      </c>
    </row>
    <row r="226" spans="18:24" x14ac:dyDescent="0.2">
      <c r="R226" s="183">
        <f>_xll.qlCalendarAdvance(Calendar,R225,"1D","f")</f>
        <v>42452</v>
      </c>
      <c r="S226" s="390">
        <f>_xll.qlCalendarAdvance(Calendar,R226,$F$1,"mf",,Trigger)</f>
        <v>42636</v>
      </c>
      <c r="T226" s="391">
        <f>_xll.qlDayCounterYearFraction(DayCounter,R226,S226,,,Trigger)</f>
        <v>0.51111111111111107</v>
      </c>
      <c r="U226" s="348">
        <f>_xll.qlInterpolationInterpolate(B6Minterpolation,R226,TRUE)</f>
        <v>2.0917929268784237E-3</v>
      </c>
      <c r="V226" s="184">
        <f>_xll.qlYieldTSDiscount(Discounting,R226,,AllTriggers)</f>
        <v>1.0010832824091647</v>
      </c>
      <c r="W226" s="184">
        <f>_xll.qlYieldTSDiscount(Discounting,S226,,AllTriggers)</f>
        <v>1.0016959520802915</v>
      </c>
      <c r="X226" s="181">
        <f t="shared" si="11"/>
        <v>-1.1966720320433946E-3</v>
      </c>
    </row>
    <row r="227" spans="18:24" x14ac:dyDescent="0.2">
      <c r="R227" s="183">
        <f>_xll.qlCalendarAdvance(Calendar,R226,"1D","f")</f>
        <v>42453</v>
      </c>
      <c r="S227" s="390">
        <f>_xll.qlCalendarAdvance(Calendar,R227,$F$1,"mf",,Trigger)</f>
        <v>42639</v>
      </c>
      <c r="T227" s="391">
        <f>_xll.qlDayCounterYearFraction(DayCounter,R227,S227,,,Trigger)</f>
        <v>0.51666666666666672</v>
      </c>
      <c r="U227" s="348">
        <f>_xll.qlInterpolationInterpolate(B6Minterpolation,R227,TRUE)</f>
        <v>2.0927548033530989E-3</v>
      </c>
      <c r="V227" s="184">
        <f>_xll.qlYieldTSDiscount(Discounting,R227,,AllTriggers)</f>
        <v>1.0010869829669069</v>
      </c>
      <c r="W227" s="184">
        <f>_xll.qlYieldTSDiscount(Discounting,S227,,AllTriggers)</f>
        <v>1.001704669351567</v>
      </c>
      <c r="X227" s="181">
        <f t="shared" si="11"/>
        <v>-1.1934875332065436E-3</v>
      </c>
    </row>
    <row r="228" spans="18:24" x14ac:dyDescent="0.2">
      <c r="R228" s="183">
        <f>_xll.qlCalendarAdvance(Calendar,R227,"1D","f")</f>
        <v>42458</v>
      </c>
      <c r="S228" s="390">
        <f>_xll.qlCalendarAdvance(Calendar,R228,$F$1,"mf",,Trigger)</f>
        <v>42642</v>
      </c>
      <c r="T228" s="391">
        <f>_xll.qlDayCounterYearFraction(DayCounter,R228,S228,,,Trigger)</f>
        <v>0.51111111111111107</v>
      </c>
      <c r="U228" s="348">
        <f>_xll.qlInterpolationInterpolate(B6Minterpolation,R228,TRUE)</f>
        <v>2.0975396577957496E-3</v>
      </c>
      <c r="V228" s="184">
        <f>_xll.qlYieldTSDiscount(Discounting,R228,,AllTriggers)</f>
        <v>1.0011053670064547</v>
      </c>
      <c r="W228" s="184">
        <f>_xll.qlYieldTSDiscount(Discounting,S228,,AllTriggers)</f>
        <v>1.0017133603371524</v>
      </c>
      <c r="X228" s="181">
        <f t="shared" si="11"/>
        <v>-1.1875175233323101E-3</v>
      </c>
    </row>
    <row r="229" spans="18:24" x14ac:dyDescent="0.2">
      <c r="R229" s="183">
        <f>_xll.qlCalendarAdvance(Calendar,R228,"1D","f")</f>
        <v>42459</v>
      </c>
      <c r="S229" s="390">
        <f>_xll.qlCalendarAdvance(Calendar,R229,$F$1,"mf",,Trigger)</f>
        <v>42643</v>
      </c>
      <c r="T229" s="391">
        <f>_xll.qlDayCounterYearFraction(DayCounter,R229,S229,,,Trigger)</f>
        <v>0.51111111111111107</v>
      </c>
      <c r="U229" s="348">
        <f>_xll.qlInterpolationInterpolate(B6Minterpolation,R229,TRUE)</f>
        <v>2.0984908666615049E-3</v>
      </c>
      <c r="V229" s="184">
        <f>_xll.qlYieldTSDiscount(Discounting,R229,,AllTriggers)</f>
        <v>1.00110902262621</v>
      </c>
      <c r="W229" s="184">
        <f>_xll.qlYieldTSDiscount(Discounting,S229,,AllTriggers)</f>
        <v>1.001716251852562</v>
      </c>
      <c r="X229" s="181">
        <f t="shared" si="11"/>
        <v>-1.1860216701045042E-3</v>
      </c>
    </row>
    <row r="230" spans="18:24" x14ac:dyDescent="0.2">
      <c r="R230" s="183">
        <f>_xll.qlCalendarAdvance(Calendar,R229,"1D","f")</f>
        <v>42460</v>
      </c>
      <c r="S230" s="390">
        <f>_xll.qlCalendarAdvance(Calendar,R230,$F$1,"mf",,Trigger)</f>
        <v>42643</v>
      </c>
      <c r="T230" s="391">
        <f>_xll.qlDayCounterYearFraction(DayCounter,R230,S230,,,Trigger)</f>
        <v>0.5083333333333333</v>
      </c>
      <c r="U230" s="348">
        <f>_xll.qlInterpolationInterpolate(B6Minterpolation,R230,TRUE)</f>
        <v>2.0994398693741259E-3</v>
      </c>
      <c r="V230" s="184">
        <f>_xll.qlYieldTSDiscount(Discounting,R230,,AllTriggers)</f>
        <v>1.0011126720371657</v>
      </c>
      <c r="W230" s="184">
        <f>_xll.qlYieldTSDiscount(Discounting,S230,,AllTriggers)</f>
        <v>1.001716251852562</v>
      </c>
      <c r="X230" s="181">
        <f t="shared" si="11"/>
        <v>-1.1853357938961635E-3</v>
      </c>
    </row>
    <row r="231" spans="18:24" x14ac:dyDescent="0.2">
      <c r="R231" s="183">
        <f>_xll.qlCalendarAdvance(Calendar,R230,"1D","f")</f>
        <v>42461</v>
      </c>
      <c r="S231" s="390">
        <f>_xll.qlCalendarAdvance(Calendar,R231,$F$1,"mf",,Trigger)</f>
        <v>42646</v>
      </c>
      <c r="T231" s="391">
        <f>_xll.qlDayCounterYearFraction(DayCounter,R231,S231,,,Trigger)</f>
        <v>0.51388888888888884</v>
      </c>
      <c r="U231" s="348">
        <f>_xll.qlInterpolationInterpolate(B6Minterpolation,R231,TRUE)</f>
        <v>2.1003865435855226E-3</v>
      </c>
      <c r="V231" s="184">
        <f>_xll.qlYieldTSDiscount(Discounting,R231,,AllTriggers)</f>
        <v>1.0011104090190359</v>
      </c>
      <c r="W231" s="184">
        <f>_xll.qlYieldTSDiscount(Discounting,S231,,AllTriggers)</f>
        <v>1.001724911043903</v>
      </c>
      <c r="X231" s="181">
        <f t="shared" si="11"/>
        <v>-1.1937286483368083E-3</v>
      </c>
    </row>
    <row r="232" spans="18:24" x14ac:dyDescent="0.2">
      <c r="R232" s="183">
        <f>_xll.qlCalendarAdvance(Calendar,R231,"1D","f")</f>
        <v>42464</v>
      </c>
      <c r="S232" s="390">
        <f>_xll.qlCalendarAdvance(Calendar,R232,$F$1,"mf",,Trigger)</f>
        <v>42647</v>
      </c>
      <c r="T232" s="391">
        <f>_xll.qlDayCounterYearFraction(DayCounter,R232,S232,,,Trigger)</f>
        <v>0.5083333333333333</v>
      </c>
      <c r="U232" s="348">
        <f>_xll.qlInterpolationInterpolate(B6Minterpolation,R232,TRUE)</f>
        <v>2.1032113717314666E-3</v>
      </c>
      <c r="V232" s="184">
        <f>_xll.qlYieldTSDiscount(Discounting,R232,,AllTriggers)</f>
        <v>1.0011213082620281</v>
      </c>
      <c r="W232" s="184">
        <f>_xll.qlYieldTSDiscount(Discounting,S232,,AllTriggers)</f>
        <v>1.0017277925809338</v>
      </c>
      <c r="X232" s="181">
        <f t="shared" si="11"/>
        <v>-1.1910260600538822E-3</v>
      </c>
    </row>
    <row r="233" spans="18:24" x14ac:dyDescent="0.2">
      <c r="R233" s="183">
        <f>_xll.qlCalendarAdvance(Calendar,R232,"1D","f")</f>
        <v>42465</v>
      </c>
      <c r="S233" s="390">
        <f>_xll.qlCalendarAdvance(Calendar,R233,$F$1,"mf",,Trigger)</f>
        <v>42648</v>
      </c>
      <c r="T233" s="391">
        <f>_xll.qlDayCounterYearFraction(DayCounter,R233,S233,,,Trigger)</f>
        <v>0.5083333333333333</v>
      </c>
      <c r="U233" s="348">
        <f>_xll.qlInterpolationInterpolate(B6Minterpolation,R233,TRUE)</f>
        <v>2.1041475084570662E-3</v>
      </c>
      <c r="V233" s="184">
        <f>_xll.qlYieldTSDiscount(Discounting,R233,,AllTriggers)</f>
        <v>1.0011249320973548</v>
      </c>
      <c r="W233" s="184">
        <f>_xll.qlYieldTSDiscount(Discounting,S233,,AllTriggers)</f>
        <v>1.001730671817032</v>
      </c>
      <c r="X233" s="181">
        <f t="shared" si="11"/>
        <v>-1.189560382048689E-3</v>
      </c>
    </row>
    <row r="234" spans="18:24" x14ac:dyDescent="0.2">
      <c r="R234" s="183">
        <f>_xll.qlCalendarAdvance(Calendar,R233,"1D","f")</f>
        <v>42466</v>
      </c>
      <c r="S234" s="390">
        <f>_xll.qlCalendarAdvance(Calendar,R234,$F$1,"mf",,Trigger)</f>
        <v>42649</v>
      </c>
      <c r="T234" s="391">
        <f>_xll.qlDayCounterYearFraction(DayCounter,R234,S234,,,Trigger)</f>
        <v>0.5083333333333333</v>
      </c>
      <c r="U234" s="348">
        <f>_xll.qlInterpolationInterpolate(B6Minterpolation,R234,TRUE)</f>
        <v>2.1050807049409924E-3</v>
      </c>
      <c r="V234" s="184">
        <f>_xll.qlYieldTSDiscount(Discounting,R234,,AllTriggers)</f>
        <v>1.001128551919843</v>
      </c>
      <c r="W234" s="184">
        <f>_xll.qlYieldTSDiscount(Discounting,S234,,AllTriggers)</f>
        <v>1.0017335488296639</v>
      </c>
      <c r="X234" s="181">
        <f t="shared" si="11"/>
        <v>-1.1880982290908538E-3</v>
      </c>
    </row>
    <row r="235" spans="18:24" x14ac:dyDescent="0.2">
      <c r="R235" s="183">
        <f>_xll.qlCalendarAdvance(Calendar,R234,"1D","f")</f>
        <v>42467</v>
      </c>
      <c r="S235" s="390">
        <f>_xll.qlCalendarAdvance(Calendar,R235,$F$1,"mf",,Trigger)</f>
        <v>42650</v>
      </c>
      <c r="T235" s="391">
        <f>_xll.qlDayCounterYearFraction(DayCounter,R235,S235,,,Trigger)</f>
        <v>0.5083333333333333</v>
      </c>
      <c r="U235" s="348">
        <f>_xll.qlInterpolationInterpolate(B6Minterpolation,R235,TRUE)</f>
        <v>2.1060108388351543E-3</v>
      </c>
      <c r="V235" s="184">
        <f>_xll.qlYieldTSDiscount(Discounting,R235,,AllTriggers)</f>
        <v>1.001132168095499</v>
      </c>
      <c r="W235" s="184">
        <f>_xll.qlYieldTSDiscount(Discounting,S235,,AllTriggers)</f>
        <v>1.0017364236962976</v>
      </c>
      <c r="X235" s="181">
        <f t="shared" si="11"/>
        <v>-1.1866390344162543E-3</v>
      </c>
    </row>
    <row r="236" spans="18:24" x14ac:dyDescent="0.2">
      <c r="R236" s="183">
        <f>_xll.qlCalendarAdvance(Calendar,R235,"1D","f")</f>
        <v>42468</v>
      </c>
      <c r="S236" s="390">
        <f>_xll.qlCalendarAdvance(Calendar,R236,$F$1,"mf",,Trigger)</f>
        <v>42653</v>
      </c>
      <c r="T236" s="391">
        <f>_xll.qlDayCounterYearFraction(DayCounter,R236,S236,,,Trigger)</f>
        <v>0.51388888888888884</v>
      </c>
      <c r="U236" s="348">
        <f>_xll.qlInterpolationInterpolate(B6Minterpolation,R236,TRUE)</f>
        <v>2.1069377877914628E-3</v>
      </c>
      <c r="V236" s="184">
        <f>_xll.qlYieldTSDiscount(Discounting,R236,,AllTriggers)</f>
        <v>1.0011357809903345</v>
      </c>
      <c r="W236" s="184">
        <f>_xll.qlYieldTSDiscount(Discounting,S236,,AllTriggers)</f>
        <v>1.0017450361948961</v>
      </c>
      <c r="X236" s="181">
        <f t="shared" si="11"/>
        <v>-1.1835124233471538E-3</v>
      </c>
    </row>
    <row r="237" spans="18:24" x14ac:dyDescent="0.2">
      <c r="R237" s="183">
        <f>_xll.qlCalendarAdvance(Calendar,R236,"1D","f")</f>
        <v>42471</v>
      </c>
      <c r="S237" s="390">
        <f>_xll.qlCalendarAdvance(Calendar,R237,$F$1,"mf",,Trigger)</f>
        <v>42654</v>
      </c>
      <c r="T237" s="391">
        <f>_xll.qlDayCounterYearFraction(DayCounter,R237,S237,,,Trigger)</f>
        <v>0.5083333333333333</v>
      </c>
      <c r="U237" s="348">
        <f>_xll.qlInterpolationInterpolate(B6Minterpolation,R237,TRUE)</f>
        <v>2.1096983015523678E-3</v>
      </c>
      <c r="V237" s="184">
        <f>_xll.qlYieldTSDiscount(Discounting,R237,,AllTriggers)</f>
        <v>1.0011466036501127</v>
      </c>
      <c r="W237" s="184">
        <f>_xll.qlYieldTSDiscount(Discounting,S237,,AllTriggers)</f>
        <v>1.0017479032522287</v>
      </c>
      <c r="X237" s="181">
        <f t="shared" si="11"/>
        <v>-1.1808205031812876E-3</v>
      </c>
    </row>
    <row r="238" spans="18:24" x14ac:dyDescent="0.2">
      <c r="R238" s="183">
        <f>_xll.qlCalendarAdvance(Calendar,R237,"1D","f")</f>
        <v>42472</v>
      </c>
      <c r="S238" s="390">
        <f>_xll.qlCalendarAdvance(Calendar,R238,$F$1,"mf",,Trigger)</f>
        <v>42655</v>
      </c>
      <c r="T238" s="391">
        <f>_xll.qlDayCounterYearFraction(DayCounter,R238,S238,,,Trigger)</f>
        <v>0.5083333333333333</v>
      </c>
      <c r="U238" s="348">
        <f>_xll.qlInterpolationInterpolate(B6Minterpolation,R238,TRUE)</f>
        <v>2.1106112872763625E-3</v>
      </c>
      <c r="V238" s="184">
        <f>_xll.qlYieldTSDiscount(Discounting,R238,,AllTriggers)</f>
        <v>1.0011502070818872</v>
      </c>
      <c r="W238" s="184">
        <f>_xll.qlYieldTSDiscount(Discounting,S238,,AllTriggers)</f>
        <v>1.0017507685509142</v>
      </c>
      <c r="X238" s="181">
        <f t="shared" si="11"/>
        <v>-1.1793675983845964E-3</v>
      </c>
    </row>
    <row r="239" spans="18:24" x14ac:dyDescent="0.2">
      <c r="R239" s="183">
        <f>_xll.qlCalendarAdvance(Calendar,R238,"1D","f")</f>
        <v>42473</v>
      </c>
      <c r="S239" s="390">
        <f>_xll.qlCalendarAdvance(Calendar,R239,$F$1,"mf",,Trigger)</f>
        <v>42656</v>
      </c>
      <c r="T239" s="391">
        <f>_xll.qlDayCounterYearFraction(DayCounter,R239,S239,,,Trigger)</f>
        <v>0.5083333333333333</v>
      </c>
      <c r="U239" s="348">
        <f>_xll.qlInterpolationInterpolate(B6Minterpolation,R239,TRUE)</f>
        <v>2.1115204763220547E-3</v>
      </c>
      <c r="V239" s="184">
        <f>_xll.qlYieldTSDiscount(Discounting,R239,,AllTriggers)</f>
        <v>1.001153809062979</v>
      </c>
      <c r="W239" s="184">
        <f>_xll.qlYieldTSDiscount(Discounting,S239,,AllTriggers)</f>
        <v>1.0017536321684253</v>
      </c>
      <c r="X239" s="181">
        <f t="shared" si="11"/>
        <v>-1.1779142512438202E-3</v>
      </c>
    </row>
    <row r="240" spans="18:24" x14ac:dyDescent="0.2">
      <c r="R240" s="183">
        <f>_xll.qlCalendarAdvance(Calendar,R239,"1D","f")</f>
        <v>42474</v>
      </c>
      <c r="S240" s="390">
        <f>_xll.qlCalendarAdvance(Calendar,R240,$F$1,"mf",,Trigger)</f>
        <v>42657</v>
      </c>
      <c r="T240" s="391">
        <f>_xll.qlDayCounterYearFraction(DayCounter,R240,S240,,,Trigger)</f>
        <v>0.5083333333333333</v>
      </c>
      <c r="U240" s="348">
        <f>_xll.qlInterpolationInterpolate(B6Minterpolation,R240,TRUE)</f>
        <v>2.1124257463413535E-3</v>
      </c>
      <c r="V240" s="184">
        <f>_xll.qlYieldTSDiscount(Discounting,R240,,AllTriggers)</f>
        <v>1.0011574099594307</v>
      </c>
      <c r="W240" s="184">
        <f>_xll.qlYieldTSDiscount(Discounting,S240,,AllTriggers)</f>
        <v>1.0017564941822357</v>
      </c>
      <c r="X240" s="181">
        <f t="shared" si="11"/>
        <v>-1.1764598949830435E-3</v>
      </c>
    </row>
    <row r="241" spans="18:24" x14ac:dyDescent="0.2">
      <c r="R241" s="183">
        <f>_xll.qlCalendarAdvance(Calendar,R240,"1D","f")</f>
        <v>42475</v>
      </c>
      <c r="S241" s="390">
        <f>_xll.qlCalendarAdvance(Calendar,R241,$F$1,"mf",,Trigger)</f>
        <v>42660</v>
      </c>
      <c r="T241" s="391">
        <f>_xll.qlDayCounterYearFraction(DayCounter,R241,S241,,,Trigger)</f>
        <v>0.51388888888888884</v>
      </c>
      <c r="U241" s="348">
        <f>_xll.qlInterpolationInterpolate(B6Minterpolation,R241,TRUE)</f>
        <v>2.1133269749861695E-3</v>
      </c>
      <c r="V241" s="184">
        <f>_xll.qlYieldTSDiscount(Discounting,R241,,AllTriggers)</f>
        <v>1.001161010137291</v>
      </c>
      <c r="W241" s="184">
        <f>_xll.qlYieldTSDiscount(Discounting,S241,,AllTriggers)</f>
        <v>1.0017650713762145</v>
      </c>
      <c r="X241" s="181">
        <f t="shared" si="11"/>
        <v>-1.1733993853185294E-3</v>
      </c>
    </row>
    <row r="242" spans="18:24" x14ac:dyDescent="0.2">
      <c r="R242" s="183">
        <f>_xll.qlCalendarAdvance(Calendar,R241,"1D","f")</f>
        <v>42478</v>
      </c>
      <c r="S242" s="390">
        <f>_xll.qlCalendarAdvance(Calendar,R242,$F$1,"mf",,Trigger)</f>
        <v>42661</v>
      </c>
      <c r="T242" s="391">
        <f>_xll.qlDayCounterYearFraction(DayCounter,R242,S242,,,Trigger)</f>
        <v>0.5083333333333333</v>
      </c>
      <c r="U242" s="348">
        <f>_xll.qlInterpolationInterpolate(B6Minterpolation,R242,TRUE)</f>
        <v>2.1160051891928218E-3</v>
      </c>
      <c r="V242" s="184">
        <f>_xll.qlYieldTSDiscount(Discounting,R242,,AllTriggers)</f>
        <v>1.001171810019889</v>
      </c>
      <c r="W242" s="184">
        <f>_xll.qlYieldTSDiscount(Discounting,S242,,AllTriggers)</f>
        <v>1.0017679277499785</v>
      </c>
      <c r="X242" s="181">
        <f t="shared" si="11"/>
        <v>-1.1706210431425507E-3</v>
      </c>
    </row>
    <row r="243" spans="18:24" x14ac:dyDescent="0.2">
      <c r="R243" s="183">
        <f>_xll.qlCalendarAdvance(Calendar,R242,"1D","f")</f>
        <v>42479</v>
      </c>
      <c r="S243" s="390">
        <f>_xll.qlCalendarAdvance(Calendar,R243,$F$1,"mf",,Trigger)</f>
        <v>42662</v>
      </c>
      <c r="T243" s="391">
        <f>_xll.qlDayCounterYearFraction(DayCounter,R243,S243,,,Trigger)</f>
        <v>0.5083333333333333</v>
      </c>
      <c r="U243" s="348">
        <f>_xll.qlInterpolationInterpolate(B6Minterpolation,R243,TRUE)</f>
        <v>2.1168890288588075E-3</v>
      </c>
      <c r="V243" s="184">
        <f>_xll.qlYieldTSDiscount(Discounting,R243,,AllTriggers)</f>
        <v>1.0011754109839754</v>
      </c>
      <c r="W243" s="184">
        <f>_xll.qlYieldTSDiscount(Discounting,S243,,AllTriggers)</f>
        <v>1.0017707829074243</v>
      </c>
      <c r="X243" s="181">
        <f t="shared" si="11"/>
        <v>-1.1691531395692126E-3</v>
      </c>
    </row>
    <row r="244" spans="18:24" x14ac:dyDescent="0.2">
      <c r="R244" s="183">
        <f>_xll.qlCalendarAdvance(Calendar,R243,"1D","f")</f>
        <v>42480</v>
      </c>
      <c r="S244" s="390">
        <f>_xll.qlCalendarAdvance(Calendar,R244,$F$1,"mf",,Trigger)</f>
        <v>42663</v>
      </c>
      <c r="T244" s="391">
        <f>_xll.qlDayCounterYearFraction(DayCounter,R244,S244,,,Trigger)</f>
        <v>0.5083333333333333</v>
      </c>
      <c r="U244" s="348">
        <f>_xll.qlInterpolationInterpolate(B6Minterpolation,R244,TRUE)</f>
        <v>2.1177682154098609E-3</v>
      </c>
      <c r="V244" s="184">
        <f>_xll.qlYieldTSDiscount(Discounting,R244,,AllTriggers)</f>
        <v>1.0011790130597924</v>
      </c>
      <c r="W244" s="184">
        <f>_xll.qlYieldTSDiscount(Discounting,S244,,AllTriggers)</f>
        <v>1.0017736369260311</v>
      </c>
      <c r="X244" s="181">
        <f t="shared" si="11"/>
        <v>-1.1676808261793187E-3</v>
      </c>
    </row>
    <row r="245" spans="18:24" x14ac:dyDescent="0.2">
      <c r="R245" s="183">
        <f>_xll.qlCalendarAdvance(Calendar,R244,"1D","f")</f>
        <v>42481</v>
      </c>
      <c r="S245" s="390">
        <f>_xll.qlCalendarAdvance(Calendar,R245,$F$1,"mf",,Trigger)</f>
        <v>42664</v>
      </c>
      <c r="T245" s="391">
        <f>_xll.qlDayCounterYearFraction(DayCounter,R245,S245,,,Trigger)</f>
        <v>0.5083333333333333</v>
      </c>
      <c r="U245" s="348">
        <f>_xll.qlInterpolationInterpolate(B6Minterpolation,R245,TRUE)</f>
        <v>2.1186426264978922E-3</v>
      </c>
      <c r="V245" s="184">
        <f>_xll.qlYieldTSDiscount(Discounting,R245,,AllTriggers)</f>
        <v>1.0011826166134203</v>
      </c>
      <c r="W245" s="184">
        <f>_xll.qlYieldTSDiscount(Discounting,S245,,AllTriggers)</f>
        <v>1.0017764898832791</v>
      </c>
      <c r="X245" s="181">
        <f t="shared" si="11"/>
        <v>-1.1662035361840676E-3</v>
      </c>
    </row>
    <row r="246" spans="18:24" x14ac:dyDescent="0.2">
      <c r="R246" s="183">
        <f>_xll.qlCalendarAdvance(Calendar,R245,"1D","f")</f>
        <v>42482</v>
      </c>
      <c r="S246" s="390">
        <f>_xll.qlCalendarAdvance(Calendar,R246,$F$1,"mf",,Trigger)</f>
        <v>42667</v>
      </c>
      <c r="T246" s="391">
        <f>_xll.qlDayCounterYearFraction(DayCounter,R246,S246,,,Trigger)</f>
        <v>0.51388888888888884</v>
      </c>
      <c r="U246" s="348">
        <f>_xll.qlInterpolationInterpolate(B6Minterpolation,R246,TRUE)</f>
        <v>2.1195121397748116E-3</v>
      </c>
      <c r="V246" s="184">
        <f>_xll.qlYieldTSDiscount(Discounting,R246,,AllTriggers)</f>
        <v>1.0011862220109444</v>
      </c>
      <c r="W246" s="184">
        <f>_xll.qlYieldTSDiscount(Discounting,S246,,AllTriggers)</f>
        <v>1.0017850431616835</v>
      </c>
      <c r="X246" s="181">
        <f t="shared" si="11"/>
        <v>-1.1631972333602638E-3</v>
      </c>
    </row>
    <row r="247" spans="18:24" x14ac:dyDescent="0.2">
      <c r="R247" s="183">
        <f>_xll.qlCalendarAdvance(Calendar,R246,"1D","f")</f>
        <v>42485</v>
      </c>
      <c r="S247" s="390">
        <f>_xll.qlCalendarAdvance(Calendar,R247,$F$1,"mf",,Trigger)</f>
        <v>42668</v>
      </c>
      <c r="T247" s="391">
        <f>_xll.qlDayCounterYearFraction(DayCounter,R247,S247,,,Trigger)</f>
        <v>0.5083333333333333</v>
      </c>
      <c r="U247" s="348">
        <f>_xll.qlInterpolationInterpolate(B6Minterpolation,R247,TRUE)</f>
        <v>2.1220900692579979E-3</v>
      </c>
      <c r="V247" s="184">
        <f>_xll.qlYieldTSDiscount(Discounting,R247,,AllTriggers)</f>
        <v>1.0011970529278289</v>
      </c>
      <c r="W247" s="184">
        <f>_xll.qlYieldTSDiscount(Discounting,S247,,AllTriggers)</f>
        <v>1.0017878926483139</v>
      </c>
      <c r="X247" s="181">
        <f t="shared" si="11"/>
        <v>-1.1602332743142687E-3</v>
      </c>
    </row>
    <row r="248" spans="18:24" x14ac:dyDescent="0.2">
      <c r="R248" s="183">
        <f>_xll.qlCalendarAdvance(Calendar,R247,"1D","f")</f>
        <v>42486</v>
      </c>
      <c r="S248" s="390">
        <f>_xll.qlCalendarAdvance(Calendar,R248,$F$1,"mf",,Trigger)</f>
        <v>42669</v>
      </c>
      <c r="T248" s="391">
        <f>_xll.qlDayCounterYearFraction(DayCounter,R248,S248,,,Trigger)</f>
        <v>0.5083333333333333</v>
      </c>
      <c r="U248" s="348">
        <f>_xll.qlInterpolationInterpolate(B6Minterpolation,R248,TRUE)</f>
        <v>2.1229387678095698E-3</v>
      </c>
      <c r="V248" s="184">
        <f>_xll.qlYieldTSDiscount(Discounting,R248,,AllTriggers)</f>
        <v>1.0012006693618991</v>
      </c>
      <c r="W248" s="184">
        <f>_xll.qlYieldTSDiscount(Discounting,S248,,AllTriggers)</f>
        <v>1.0017907414609992</v>
      </c>
      <c r="X248" s="181">
        <f t="shared" si="11"/>
        <v>-1.1587225993997074E-3</v>
      </c>
    </row>
    <row r="249" spans="18:24" x14ac:dyDescent="0.2">
      <c r="R249" s="183">
        <f>_xll.qlCalendarAdvance(Calendar,R248,"1D","f")</f>
        <v>42487</v>
      </c>
      <c r="S249" s="390">
        <f>_xll.qlCalendarAdvance(Calendar,R249,$F$1,"mf",,Trigger)</f>
        <v>42670</v>
      </c>
      <c r="T249" s="391">
        <f>_xll.qlDayCounterYearFraction(DayCounter,R249,S249,,,Trigger)</f>
        <v>0.5083333333333333</v>
      </c>
      <c r="U249" s="348">
        <f>_xll.qlInterpolationInterpolate(B6Minterpolation,R249,TRUE)</f>
        <v>2.1237819568095803E-3</v>
      </c>
      <c r="V249" s="184">
        <f>_xll.qlYieldTSDiscount(Discounting,R249,,AllTriggers)</f>
        <v>1.0012042894703721</v>
      </c>
      <c r="W249" s="184">
        <f>_xll.qlYieldTSDiscount(Discounting,S249,,AllTriggers)</f>
        <v>1.0017935896772243</v>
      </c>
      <c r="X249" s="181">
        <f t="shared" si="11"/>
        <v>-1.1572035471105054E-3</v>
      </c>
    </row>
    <row r="250" spans="18:24" x14ac:dyDescent="0.2">
      <c r="R250" s="183">
        <f>_xll.qlCalendarAdvance(Calendar,R249,"1D","f")</f>
        <v>42488</v>
      </c>
      <c r="S250" s="390">
        <f>_xll.qlCalendarAdvance(Calendar,R250,$F$1,"mf",,Trigger)</f>
        <v>42671</v>
      </c>
      <c r="T250" s="391">
        <f>_xll.qlDayCounterYearFraction(DayCounter,R250,S250,,,Trigger)</f>
        <v>0.5083333333333333</v>
      </c>
      <c r="U250" s="348">
        <f>_xll.qlInterpolationInterpolate(B6Minterpolation,R250,TRUE)</f>
        <v>2.1246195139099392E-3</v>
      </c>
      <c r="V250" s="184">
        <f>_xll.qlYieldTSDiscount(Discounting,R250,,AllTriggers)</f>
        <v>1.0012079135131182</v>
      </c>
      <c r="W250" s="184">
        <f>_xll.qlYieldTSDiscount(Discounting,S250,,AllTriggers)</f>
        <v>1.0017964373744759</v>
      </c>
      <c r="X250" s="181">
        <f t="shared" si="11"/>
        <v>-1.1556757592817986E-3</v>
      </c>
    </row>
    <row r="251" spans="18:24" x14ac:dyDescent="0.2">
      <c r="R251" s="183">
        <f>_xll.qlCalendarAdvance(Calendar,R250,"1D","f")</f>
        <v>42489</v>
      </c>
      <c r="S251" s="390">
        <f>_xll.qlCalendarAdvance(Calendar,R251,$F$1,"mf",,Trigger)</f>
        <v>42674</v>
      </c>
      <c r="T251" s="391">
        <f>_xll.qlDayCounterYearFraction(DayCounter,R251,S251,,,Trigger)</f>
        <v>0.51388888888888884</v>
      </c>
      <c r="U251" s="348">
        <f>_xll.qlInterpolationInterpolate(B6Minterpolation,R251,TRUE)</f>
        <v>2.1254513167625571E-3</v>
      </c>
      <c r="V251" s="184">
        <f>_xll.qlYieldTSDiscount(Discounting,R251,,AllTriggers)</f>
        <v>1.0012115413250211</v>
      </c>
      <c r="W251" s="184">
        <f>_xll.qlYieldTSDiscount(Discounting,S251,,AllTriggers)</f>
        <v>1.0018049781272633</v>
      </c>
      <c r="X251" s="181">
        <f t="shared" si="11"/>
        <v>-1.1527153135703944E-3</v>
      </c>
    </row>
    <row r="252" spans="18:24" x14ac:dyDescent="0.2">
      <c r="R252" s="183">
        <f>_xll.qlCalendarAdvance(Calendar,R251,"1D","f")</f>
        <v>42492</v>
      </c>
      <c r="S252" s="390">
        <f>_xll.qlCalendarAdvance(Calendar,R252,$F$1,"mf",,Trigger)</f>
        <v>42676</v>
      </c>
      <c r="T252" s="391">
        <f>_xll.qlDayCounterYearFraction(DayCounter,R252,S252,,,Trigger)</f>
        <v>0.51111111111111107</v>
      </c>
      <c r="U252" s="348">
        <f>_xll.qlInterpolationInterpolate(B6Minterpolation,R252,TRUE)</f>
        <v>2.1279109763530646E-3</v>
      </c>
      <c r="V252" s="184">
        <f>_xll.qlYieldTSDiscount(Discounting,R252,,AllTriggers)</f>
        <v>1.0012196412391301</v>
      </c>
      <c r="W252" s="184">
        <f>_xll.qlYieldTSDiscount(Discounting,S252,,AllTriggers)</f>
        <v>1.0018106707882068</v>
      </c>
      <c r="X252" s="181">
        <f t="shared" si="11"/>
        <v>-1.154272154365636E-3</v>
      </c>
    </row>
    <row r="253" spans="18:24" x14ac:dyDescent="0.2">
      <c r="R253" s="183">
        <f>_xll.qlCalendarAdvance(Calendar,R252,"1D","f")</f>
        <v>42493</v>
      </c>
      <c r="S253" s="390">
        <f>_xll.qlCalendarAdvance(Calendar,R253,$F$1,"mf",,Trigger)</f>
        <v>42677</v>
      </c>
      <c r="T253" s="391">
        <f>_xll.qlDayCounterYearFraction(DayCounter,R253,S253,,,Trigger)</f>
        <v>0.51111111111111107</v>
      </c>
      <c r="U253" s="348">
        <f>_xll.qlInterpolationInterpolate(B6Minterpolation,R253,TRUE)</f>
        <v>2.1287185387338183E-3</v>
      </c>
      <c r="V253" s="184">
        <f>_xll.qlYieldTSDiscount(Discounting,R253,,AllTriggers)</f>
        <v>1.0012232814037545</v>
      </c>
      <c r="W253" s="184">
        <f>_xll.qlYieldTSDiscount(Discounting,S253,,AllTriggers)</f>
        <v>1.0018135169988762</v>
      </c>
      <c r="X253" s="181">
        <f t="shared" si="11"/>
        <v>-1.1527182988344349E-3</v>
      </c>
    </row>
    <row r="254" spans="18:24" x14ac:dyDescent="0.2">
      <c r="R254" s="183">
        <f>_xll.qlCalendarAdvance(Calendar,R253,"1D","f")</f>
        <v>42494</v>
      </c>
      <c r="S254" s="390">
        <f>_xll.qlCalendarAdvance(Calendar,R254,$F$1,"mf",,Trigger)</f>
        <v>42678</v>
      </c>
      <c r="T254" s="391">
        <f>_xll.qlDayCounterYearFraction(DayCounter,R254,S254,,,Trigger)</f>
        <v>0.51111111111111107</v>
      </c>
      <c r="U254" s="348">
        <f>_xll.qlInterpolationInterpolate(B6Minterpolation,R254,TRUE)</f>
        <v>2.1295197351263815E-3</v>
      </c>
      <c r="V254" s="184">
        <f>_xll.qlYieldTSDiscount(Discounting,R254,,AllTriggers)</f>
        <v>1.001226923980653</v>
      </c>
      <c r="W254" s="184">
        <f>_xll.qlYieldTSDiscount(Discounting,S254,,AllTriggers)</f>
        <v>1.0018163632330002</v>
      </c>
      <c r="X254" s="181">
        <f t="shared" si="11"/>
        <v>-1.1511597868019625E-3</v>
      </c>
    </row>
    <row r="255" spans="18:24" x14ac:dyDescent="0.2">
      <c r="R255" s="183">
        <f>_xll.qlCalendarAdvance(Calendar,R254,"1D","f")</f>
        <v>42495</v>
      </c>
      <c r="S255" s="390">
        <f>_xll.qlCalendarAdvance(Calendar,R255,$F$1,"mf",,Trigger)</f>
        <v>42681</v>
      </c>
      <c r="T255" s="391">
        <f>_xll.qlDayCounterYearFraction(DayCounter,R255,S255,,,Trigger)</f>
        <v>0.51666666666666672</v>
      </c>
      <c r="U255" s="348">
        <f>_xll.qlInterpolationInterpolate(B6Minterpolation,R255,TRUE)</f>
        <v>2.1303144431826641E-3</v>
      </c>
      <c r="V255" s="184">
        <f>_xll.qlYieldTSDiscount(Discounting,R255,,AllTriggers)</f>
        <v>1.0012305686984404</v>
      </c>
      <c r="W255" s="184">
        <f>_xll.qlYieldTSDiscount(Discounting,S255,,AllTriggers)</f>
        <v>1.0018249028510369</v>
      </c>
      <c r="X255" s="181">
        <f t="shared" si="11"/>
        <v>-1.1482287603772989E-3</v>
      </c>
    </row>
    <row r="256" spans="18:24" x14ac:dyDescent="0.2">
      <c r="R256" s="183">
        <f>_xll.qlCalendarAdvance(Calendar,R255,"1D","f")</f>
        <v>42496</v>
      </c>
      <c r="S256" s="390">
        <f>_xll.qlCalendarAdvance(Calendar,R256,$F$1,"mf",,Trigger)</f>
        <v>42681</v>
      </c>
      <c r="T256" s="391">
        <f>_xll.qlDayCounterYearFraction(DayCounter,R256,S256,,,Trigger)</f>
        <v>0.51388888888888884</v>
      </c>
      <c r="U256" s="348">
        <f>_xll.qlInterpolationInterpolate(B6Minterpolation,R256,TRUE)</f>
        <v>2.1311025405545765E-3</v>
      </c>
      <c r="V256" s="184">
        <f>_xll.qlYieldTSDiscount(Discounting,R256,,AllTriggers)</f>
        <v>1.0012342152857261</v>
      </c>
      <c r="W256" s="184">
        <f>_xll.qlYieldTSDiscount(Discounting,S256,,AllTriggers)</f>
        <v>1.0018249028510369</v>
      </c>
      <c r="X256" s="181">
        <f t="shared" si="11"/>
        <v>-1.1473522666146743E-3</v>
      </c>
    </row>
    <row r="257" spans="18:24" x14ac:dyDescent="0.2">
      <c r="R257" s="183">
        <f>_xll.qlCalendarAdvance(Calendar,R256,"1D","f")</f>
        <v>42499</v>
      </c>
      <c r="S257" s="390">
        <f>_xll.qlCalendarAdvance(Calendar,R257,$F$1,"mf",,Trigger)</f>
        <v>42683</v>
      </c>
      <c r="T257" s="391">
        <f>_xll.qlDayCounterYearFraction(DayCounter,R257,S257,,,Trigger)</f>
        <v>0.51111111111111107</v>
      </c>
      <c r="U257" s="348">
        <f>_xll.qlInterpolationInterpolate(B6Minterpolation,R257,TRUE)</f>
        <v>2.1334259450831914E-3</v>
      </c>
      <c r="V257" s="184">
        <f>_xll.qlYieldTSDiscount(Discounting,R257,,AllTriggers)</f>
        <v>1.001245163550615</v>
      </c>
      <c r="W257" s="184">
        <f>_xll.qlYieldTSDiscount(Discounting,S257,,AllTriggers)</f>
        <v>1.0018305974677351</v>
      </c>
      <c r="X257" s="181">
        <f t="shared" si="11"/>
        <v>-1.1433212247307959E-3</v>
      </c>
    </row>
    <row r="258" spans="18:24" x14ac:dyDescent="0.2">
      <c r="R258" s="183">
        <f>_xll.qlCalendarAdvance(Calendar,R257,"1D","f")</f>
        <v>42500</v>
      </c>
      <c r="S258" s="390">
        <f>_xll.qlCalendarAdvance(Calendar,R258,$F$1,"mf",,Trigger)</f>
        <v>42684</v>
      </c>
      <c r="T258" s="391">
        <f>_xll.qlDayCounterYearFraction(DayCounter,R258,S258,,,Trigger)</f>
        <v>0.51111111111111107</v>
      </c>
      <c r="U258" s="348">
        <f>_xll.qlInterpolationInterpolate(B6Minterpolation,R258,TRUE)</f>
        <v>2.1341863762367225E-3</v>
      </c>
      <c r="V258" s="184">
        <f>_xll.qlYieldTSDiscount(Discounting,R258,,AllTriggers)</f>
        <v>1.0012488149019159</v>
      </c>
      <c r="W258" s="184">
        <f>_xll.qlYieldTSDiscount(Discounting,S258,,AllTriggers)</f>
        <v>1.0018334454699767</v>
      </c>
      <c r="X258" s="181">
        <f t="shared" si="11"/>
        <v>-1.1417490810905243E-3</v>
      </c>
    </row>
    <row r="259" spans="18:24" x14ac:dyDescent="0.2">
      <c r="R259" s="183">
        <f>_xll.qlCalendarAdvance(Calendar,R258,"1D","f")</f>
        <v>42501</v>
      </c>
      <c r="S259" s="390">
        <f>_xll.qlCalendarAdvance(Calendar,R259,$F$1,"mf",,Trigger)</f>
        <v>42685</v>
      </c>
      <c r="T259" s="391">
        <f>_xll.qlDayCounterYearFraction(DayCounter,R259,S259,,,Trigger)</f>
        <v>0.51111111111111107</v>
      </c>
      <c r="U259" s="348">
        <f>_xll.qlInterpolationInterpolate(B6Minterpolation,R259,TRUE)</f>
        <v>2.1349395849654339E-3</v>
      </c>
      <c r="V259" s="184">
        <f>_xll.qlYieldTSDiscount(Discounting,R259,,AllTriggers)</f>
        <v>1.0012524667657061</v>
      </c>
      <c r="W259" s="184">
        <f>_xll.qlYieldTSDiscount(Discounting,S259,,AllTriggers)</f>
        <v>1.0018362940381442</v>
      </c>
      <c r="X259" s="181">
        <f t="shared" si="11"/>
        <v>-1.1401770501027488E-3</v>
      </c>
    </row>
    <row r="260" spans="18:24" x14ac:dyDescent="0.2">
      <c r="R260" s="183">
        <f>_xll.qlCalendarAdvance(Calendar,R259,"1D","f")</f>
        <v>42502</v>
      </c>
      <c r="S260" s="390">
        <f>_xll.qlCalendarAdvance(Calendar,R260,$F$1,"mf",,Trigger)</f>
        <v>42688</v>
      </c>
      <c r="T260" s="391">
        <f>_xll.qlDayCounterYearFraction(DayCounter,R260,S260,,,Trigger)</f>
        <v>0.51666666666666672</v>
      </c>
      <c r="U260" s="348">
        <f>_xll.qlInterpolationInterpolate(B6Minterpolation,R260,TRUE)</f>
        <v>2.1356854489212357E-3</v>
      </c>
      <c r="V260" s="184">
        <f>_xll.qlYieldTSDiscount(Discounting,R260,,AllTriggers)</f>
        <v>1.001256118870572</v>
      </c>
      <c r="W260" s="184">
        <f>_xll.qlYieldTSDiscount(Discounting,S260,,AllTriggers)</f>
        <v>1.0018448439132035</v>
      </c>
      <c r="X260" s="181">
        <f t="shared" ref="X260:X262" si="12">(V260/W260-1)/T260</f>
        <v>-1.1373695551472158E-3</v>
      </c>
    </row>
    <row r="261" spans="18:24" x14ac:dyDescent="0.2">
      <c r="R261" s="183">
        <f>_xll.qlCalendarAdvance(Calendar,R260,"1D","f")</f>
        <v>42503</v>
      </c>
      <c r="S261" s="390">
        <f>_xll.qlCalendarAdvance(Calendar,R261,$F$1,"mf",,Trigger)</f>
        <v>42688</v>
      </c>
      <c r="T261" s="391">
        <f>_xll.qlDayCounterYearFraction(DayCounter,R261,S261,,,Trigger)</f>
        <v>0.51388888888888884</v>
      </c>
      <c r="U261" s="348">
        <f>_xll.qlInterpolationInterpolate(B6Minterpolation,R261,TRUE)</f>
        <v>2.1364238457560378E-3</v>
      </c>
      <c r="V261" s="184">
        <f>_xll.qlYieldTSDiscount(Discounting,R261,,AllTriggers)</f>
        <v>1.0012597709450963</v>
      </c>
      <c r="W261" s="184">
        <f>_xll.qlYieldTSDiscount(Discounting,S261,,AllTriggers)</f>
        <v>1.0018448439132035</v>
      </c>
      <c r="X261" s="181">
        <f t="shared" si="12"/>
        <v>-1.1364238457560378E-3</v>
      </c>
    </row>
    <row r="262" spans="18:24" x14ac:dyDescent="0.2">
      <c r="R262" s="187">
        <f>_xll.qlCalendarAdvance(Calendar,R261,"1D","f")</f>
        <v>42506</v>
      </c>
      <c r="S262" s="392">
        <f>_xll.qlCalendarAdvance(Calendar,R262,$F$1,"mf",,Trigger)</f>
        <v>42690</v>
      </c>
      <c r="T262" s="393">
        <f>_xll.qlDayCounterYearFraction(DayCounter,R262,S262,,,Trigger)</f>
        <v>0.51111111111111107</v>
      </c>
      <c r="U262" s="350">
        <f>_xll.qlInterpolationInterpolate(B6Minterpolation,R262,TRUE)</f>
        <v>2.138593745228659E-3</v>
      </c>
      <c r="V262" s="188">
        <f>_xll.qlYieldTSDiscount(Discounting,R262,,AllTriggers)</f>
        <v>1.0012707242723817</v>
      </c>
      <c r="W262" s="188">
        <f>_xll.qlYieldTSDiscount(Discounting,S262,,AllTriggers)</f>
        <v>1.0018505475666208</v>
      </c>
      <c r="X262" s="190">
        <f t="shared" si="12"/>
        <v>-1.1323414283582601E-3</v>
      </c>
    </row>
    <row r="263" spans="18:24" x14ac:dyDescent="0.2">
      <c r="R263" s="342"/>
      <c r="S263" s="342"/>
      <c r="T263" s="342"/>
      <c r="U263" s="385"/>
      <c r="V263" s="385"/>
      <c r="W263" s="385"/>
      <c r="X263" s="154"/>
    </row>
    <row r="264" spans="18:24" x14ac:dyDescent="0.2">
      <c r="R264" s="342"/>
      <c r="S264" s="342"/>
      <c r="T264" s="342"/>
      <c r="U264" s="385"/>
      <c r="V264" s="385"/>
      <c r="W264" s="385"/>
      <c r="X264" s="154"/>
    </row>
    <row r="265" spans="18:24" x14ac:dyDescent="0.2">
      <c r="R265" s="342"/>
      <c r="S265" s="342"/>
      <c r="T265" s="342"/>
      <c r="U265" s="385"/>
      <c r="V265" s="385"/>
      <c r="W265" s="385"/>
      <c r="X265" s="154"/>
    </row>
    <row r="266" spans="18:24" x14ac:dyDescent="0.2">
      <c r="R266" s="342"/>
      <c r="S266" s="342"/>
      <c r="T266" s="342"/>
      <c r="U266" s="385"/>
      <c r="V266" s="385"/>
      <c r="W266" s="385"/>
      <c r="X266" s="154"/>
    </row>
    <row r="267" spans="18:24" x14ac:dyDescent="0.2">
      <c r="R267" s="342"/>
      <c r="S267" s="342"/>
      <c r="T267" s="342"/>
      <c r="U267" s="385"/>
      <c r="V267" s="385"/>
      <c r="W267" s="385"/>
      <c r="X267" s="154"/>
    </row>
    <row r="268" spans="18:24" x14ac:dyDescent="0.2">
      <c r="R268" s="342"/>
      <c r="S268" s="342"/>
      <c r="T268" s="342"/>
      <c r="U268" s="385"/>
      <c r="V268" s="385"/>
      <c r="W268" s="385"/>
      <c r="X268" s="154"/>
    </row>
    <row r="269" spans="18:24" x14ac:dyDescent="0.2">
      <c r="R269" s="342"/>
      <c r="S269" s="342"/>
      <c r="T269" s="342"/>
      <c r="U269" s="385"/>
      <c r="V269" s="385"/>
      <c r="W269" s="385"/>
      <c r="X269" s="154"/>
    </row>
    <row r="270" spans="18:24" x14ac:dyDescent="0.2">
      <c r="R270" s="342"/>
      <c r="S270" s="342"/>
      <c r="T270" s="342"/>
      <c r="U270" s="385"/>
      <c r="V270" s="385"/>
      <c r="W270" s="385"/>
      <c r="X270" s="154"/>
    </row>
    <row r="271" spans="18:24" x14ac:dyDescent="0.2">
      <c r="R271" s="342"/>
      <c r="S271" s="342"/>
      <c r="T271" s="342"/>
      <c r="U271" s="385"/>
      <c r="V271" s="385"/>
      <c r="W271" s="385"/>
      <c r="X271" s="154"/>
    </row>
    <row r="272" spans="18:24" x14ac:dyDescent="0.2">
      <c r="R272" s="342"/>
      <c r="S272" s="342"/>
      <c r="T272" s="342"/>
      <c r="U272" s="385"/>
      <c r="V272" s="385"/>
      <c r="W272" s="385"/>
      <c r="X272" s="154"/>
    </row>
    <row r="273" spans="18:24" x14ac:dyDescent="0.2">
      <c r="R273" s="342"/>
      <c r="S273" s="342"/>
      <c r="T273" s="342"/>
      <c r="U273" s="385"/>
      <c r="V273" s="385"/>
      <c r="W273" s="385"/>
      <c r="X273" s="154"/>
    </row>
    <row r="274" spans="18:24" x14ac:dyDescent="0.2">
      <c r="R274" s="342"/>
      <c r="S274" s="342"/>
      <c r="T274" s="342"/>
      <c r="U274" s="385"/>
      <c r="V274" s="385"/>
      <c r="W274" s="385"/>
      <c r="X274" s="154"/>
    </row>
    <row r="275" spans="18:24" x14ac:dyDescent="0.2">
      <c r="R275" s="342"/>
      <c r="S275" s="342"/>
      <c r="T275" s="342"/>
      <c r="U275" s="385"/>
      <c r="V275" s="385"/>
      <c r="W275" s="385"/>
      <c r="X275" s="154"/>
    </row>
    <row r="276" spans="18:24" x14ac:dyDescent="0.2">
      <c r="R276" s="342"/>
      <c r="S276" s="342"/>
      <c r="T276" s="342"/>
      <c r="U276" s="385"/>
      <c r="V276" s="385"/>
      <c r="W276" s="385"/>
      <c r="X276" s="154"/>
    </row>
    <row r="277" spans="18:24" x14ac:dyDescent="0.2">
      <c r="R277" s="342"/>
      <c r="S277" s="342"/>
      <c r="T277" s="342"/>
      <c r="U277" s="385"/>
      <c r="V277" s="385"/>
      <c r="W277" s="385"/>
      <c r="X277" s="154"/>
    </row>
    <row r="278" spans="18:24" x14ac:dyDescent="0.2">
      <c r="R278" s="342"/>
      <c r="S278" s="342"/>
      <c r="T278" s="342"/>
      <c r="U278" s="385"/>
      <c r="V278" s="385"/>
      <c r="W278" s="385"/>
      <c r="X278" s="154"/>
    </row>
    <row r="279" spans="18:24" x14ac:dyDescent="0.2">
      <c r="R279" s="342"/>
      <c r="S279" s="342"/>
      <c r="T279" s="342"/>
      <c r="U279" s="385"/>
      <c r="V279" s="385"/>
      <c r="W279" s="385"/>
      <c r="X279" s="154"/>
    </row>
    <row r="280" spans="18:24" x14ac:dyDescent="0.2">
      <c r="R280" s="342"/>
      <c r="S280" s="342"/>
      <c r="T280" s="342"/>
      <c r="U280" s="385"/>
      <c r="V280" s="385"/>
      <c r="W280" s="385"/>
      <c r="X280" s="154"/>
    </row>
    <row r="281" spans="18:24" x14ac:dyDescent="0.2">
      <c r="R281" s="342"/>
      <c r="S281" s="342"/>
      <c r="T281" s="342"/>
      <c r="U281" s="385"/>
      <c r="V281" s="385"/>
      <c r="W281" s="385"/>
      <c r="X281" s="154"/>
    </row>
    <row r="282" spans="18:24" x14ac:dyDescent="0.2">
      <c r="R282" s="342"/>
      <c r="S282" s="342"/>
      <c r="T282" s="342"/>
      <c r="U282" s="385"/>
      <c r="V282" s="385"/>
      <c r="W282" s="385"/>
      <c r="X282" s="154"/>
    </row>
    <row r="283" spans="18:24" x14ac:dyDescent="0.2">
      <c r="R283" s="342"/>
      <c r="S283" s="342"/>
      <c r="T283" s="342"/>
      <c r="U283" s="385"/>
      <c r="V283" s="385"/>
      <c r="W283" s="385"/>
      <c r="X283" s="154"/>
    </row>
    <row r="284" spans="18:24" x14ac:dyDescent="0.2">
      <c r="R284" s="342"/>
      <c r="S284" s="342"/>
      <c r="T284" s="342"/>
      <c r="U284" s="385"/>
      <c r="V284" s="385"/>
      <c r="W284" s="385"/>
      <c r="X284" s="154"/>
    </row>
    <row r="285" spans="18:24" x14ac:dyDescent="0.2">
      <c r="R285" s="342"/>
      <c r="S285" s="342"/>
      <c r="T285" s="342"/>
      <c r="U285" s="385"/>
      <c r="V285" s="385"/>
      <c r="W285" s="385"/>
      <c r="X285" s="154"/>
    </row>
    <row r="286" spans="18:24" x14ac:dyDescent="0.2">
      <c r="R286" s="342"/>
      <c r="S286" s="342"/>
      <c r="T286" s="342"/>
      <c r="U286" s="385"/>
      <c r="V286" s="385"/>
      <c r="W286" s="385"/>
      <c r="X286" s="154"/>
    </row>
    <row r="287" spans="18:24" x14ac:dyDescent="0.2">
      <c r="R287" s="342"/>
      <c r="S287" s="342"/>
      <c r="T287" s="342"/>
      <c r="U287" s="385"/>
      <c r="V287" s="385"/>
      <c r="W287" s="385"/>
      <c r="X287" s="154"/>
    </row>
    <row r="288" spans="18:24" x14ac:dyDescent="0.2">
      <c r="R288" s="342"/>
      <c r="S288" s="342"/>
      <c r="T288" s="342"/>
      <c r="U288" s="385"/>
      <c r="V288" s="385"/>
      <c r="W288" s="385"/>
      <c r="X288" s="154"/>
    </row>
    <row r="289" spans="18:24" x14ac:dyDescent="0.2">
      <c r="R289" s="342"/>
      <c r="S289" s="342"/>
      <c r="T289" s="342"/>
      <c r="U289" s="385"/>
      <c r="V289" s="385"/>
      <c r="W289" s="385"/>
      <c r="X289" s="154"/>
    </row>
    <row r="290" spans="18:24" x14ac:dyDescent="0.2">
      <c r="R290" s="342"/>
      <c r="S290" s="342"/>
      <c r="T290" s="342"/>
      <c r="U290" s="385"/>
      <c r="V290" s="385"/>
      <c r="W290" s="385"/>
      <c r="X290" s="154"/>
    </row>
    <row r="291" spans="18:24" x14ac:dyDescent="0.2">
      <c r="R291" s="342"/>
      <c r="S291" s="342"/>
      <c r="T291" s="342"/>
      <c r="U291" s="385"/>
      <c r="V291" s="385"/>
      <c r="W291" s="385"/>
      <c r="X291" s="154"/>
    </row>
    <row r="292" spans="18:24" x14ac:dyDescent="0.2">
      <c r="R292" s="342"/>
      <c r="S292" s="342"/>
      <c r="T292" s="342"/>
      <c r="U292" s="385"/>
      <c r="V292" s="385"/>
      <c r="W292" s="385"/>
      <c r="X292" s="154"/>
    </row>
    <row r="293" spans="18:24" x14ac:dyDescent="0.2">
      <c r="R293" s="342"/>
      <c r="S293" s="342"/>
      <c r="T293" s="342"/>
      <c r="U293" s="385"/>
      <c r="V293" s="385"/>
      <c r="W293" s="385"/>
      <c r="X293" s="154"/>
    </row>
    <row r="294" spans="18:24" x14ac:dyDescent="0.2">
      <c r="R294" s="342"/>
      <c r="S294" s="342"/>
      <c r="T294" s="342"/>
      <c r="U294" s="385"/>
      <c r="V294" s="385"/>
      <c r="W294" s="385"/>
      <c r="X294" s="154"/>
    </row>
    <row r="295" spans="18:24" x14ac:dyDescent="0.2">
      <c r="R295" s="342"/>
      <c r="S295" s="342"/>
      <c r="T295" s="342"/>
      <c r="U295" s="385"/>
      <c r="V295" s="385"/>
      <c r="W295" s="385"/>
      <c r="X295" s="154"/>
    </row>
    <row r="296" spans="18:24" x14ac:dyDescent="0.2">
      <c r="R296" s="342"/>
      <c r="S296" s="342"/>
      <c r="T296" s="342"/>
      <c r="U296" s="385"/>
      <c r="V296" s="385"/>
      <c r="W296" s="385"/>
      <c r="X296" s="154"/>
    </row>
    <row r="297" spans="18:24" x14ac:dyDescent="0.2">
      <c r="R297" s="342"/>
      <c r="S297" s="342"/>
      <c r="T297" s="342"/>
      <c r="U297" s="385"/>
      <c r="V297" s="385"/>
      <c r="W297" s="385"/>
      <c r="X297" s="154"/>
    </row>
    <row r="298" spans="18:24" x14ac:dyDescent="0.2">
      <c r="R298" s="342"/>
      <c r="S298" s="342"/>
      <c r="T298" s="342"/>
      <c r="U298" s="385"/>
      <c r="V298" s="385"/>
      <c r="W298" s="385"/>
      <c r="X298" s="154"/>
    </row>
    <row r="299" spans="18:24" x14ac:dyDescent="0.2">
      <c r="R299" s="342"/>
      <c r="S299" s="342"/>
      <c r="T299" s="342"/>
      <c r="U299" s="385"/>
      <c r="V299" s="385"/>
      <c r="W299" s="385"/>
      <c r="X299" s="154"/>
    </row>
    <row r="300" spans="18:24" x14ac:dyDescent="0.2">
      <c r="R300" s="342"/>
      <c r="S300" s="342"/>
      <c r="T300" s="342"/>
      <c r="U300" s="385"/>
      <c r="V300" s="385"/>
      <c r="W300" s="385"/>
      <c r="X300" s="154"/>
    </row>
    <row r="301" spans="18:24" x14ac:dyDescent="0.2">
      <c r="R301" s="342"/>
      <c r="S301" s="342"/>
      <c r="T301" s="342"/>
      <c r="U301" s="385"/>
      <c r="V301" s="385"/>
      <c r="W301" s="385"/>
      <c r="X301" s="154"/>
    </row>
    <row r="302" spans="18:24" x14ac:dyDescent="0.2">
      <c r="R302" s="342"/>
      <c r="S302" s="342"/>
      <c r="T302" s="342"/>
      <c r="U302" s="385"/>
      <c r="V302" s="385"/>
      <c r="W302" s="385"/>
      <c r="X302" s="154"/>
    </row>
    <row r="303" spans="18:24" x14ac:dyDescent="0.2">
      <c r="R303" s="342"/>
      <c r="S303" s="342"/>
      <c r="T303" s="342"/>
      <c r="U303" s="385"/>
      <c r="V303" s="385"/>
      <c r="W303" s="385"/>
      <c r="X303" s="154"/>
    </row>
    <row r="304" spans="18:24" x14ac:dyDescent="0.2">
      <c r="R304" s="342"/>
      <c r="S304" s="342"/>
      <c r="T304" s="342"/>
      <c r="U304" s="385"/>
      <c r="V304" s="385"/>
      <c r="W304" s="385"/>
      <c r="X304" s="154"/>
    </row>
    <row r="305" spans="18:24" x14ac:dyDescent="0.2">
      <c r="R305" s="342"/>
      <c r="S305" s="342"/>
      <c r="T305" s="342"/>
      <c r="U305" s="385"/>
      <c r="V305" s="385"/>
      <c r="W305" s="385"/>
      <c r="X305" s="154"/>
    </row>
    <row r="306" spans="18:24" x14ac:dyDescent="0.2">
      <c r="R306" s="342"/>
      <c r="S306" s="342"/>
      <c r="T306" s="342"/>
      <c r="U306" s="385"/>
      <c r="V306" s="385"/>
      <c r="W306" s="385"/>
      <c r="X306" s="154"/>
    </row>
    <row r="307" spans="18:24" x14ac:dyDescent="0.2">
      <c r="R307" s="342"/>
      <c r="S307" s="342"/>
      <c r="T307" s="342"/>
      <c r="U307" s="385"/>
      <c r="V307" s="385"/>
      <c r="W307" s="385"/>
      <c r="X307" s="154"/>
    </row>
    <row r="308" spans="18:24" x14ac:dyDescent="0.2">
      <c r="R308" s="342"/>
      <c r="S308" s="342"/>
      <c r="T308" s="342"/>
      <c r="U308" s="385"/>
      <c r="V308" s="385"/>
      <c r="W308" s="385"/>
      <c r="X308" s="154"/>
    </row>
    <row r="309" spans="18:24" x14ac:dyDescent="0.2">
      <c r="R309" s="342"/>
      <c r="S309" s="342"/>
      <c r="T309" s="342"/>
      <c r="U309" s="385"/>
      <c r="V309" s="385"/>
      <c r="W309" s="385"/>
      <c r="X309" s="154"/>
    </row>
    <row r="310" spans="18:24" x14ac:dyDescent="0.2">
      <c r="R310" s="342"/>
      <c r="S310" s="342"/>
      <c r="T310" s="342"/>
      <c r="U310" s="385"/>
      <c r="V310" s="385"/>
      <c r="W310" s="385"/>
      <c r="X310" s="154"/>
    </row>
    <row r="311" spans="18:24" x14ac:dyDescent="0.2">
      <c r="R311" s="342"/>
      <c r="S311" s="342"/>
      <c r="T311" s="342"/>
      <c r="U311" s="385"/>
      <c r="V311" s="385"/>
      <c r="W311" s="385"/>
      <c r="X311" s="154"/>
    </row>
    <row r="312" spans="18:24" x14ac:dyDescent="0.2">
      <c r="R312" s="342"/>
      <c r="S312" s="342"/>
      <c r="T312" s="342"/>
      <c r="U312" s="385"/>
      <c r="V312" s="385"/>
      <c r="W312" s="385"/>
      <c r="X312" s="154"/>
    </row>
    <row r="313" spans="18:24" x14ac:dyDescent="0.2">
      <c r="R313" s="342"/>
      <c r="S313" s="342"/>
      <c r="T313" s="342"/>
      <c r="U313" s="385"/>
      <c r="V313" s="385"/>
      <c r="W313" s="385"/>
      <c r="X313" s="154"/>
    </row>
    <row r="314" spans="18:24" x14ac:dyDescent="0.2">
      <c r="R314" s="342"/>
      <c r="S314" s="342"/>
      <c r="T314" s="342"/>
      <c r="U314" s="385"/>
      <c r="V314" s="385"/>
      <c r="W314" s="385"/>
      <c r="X314" s="154"/>
    </row>
    <row r="315" spans="18:24" x14ac:dyDescent="0.2">
      <c r="R315" s="342"/>
      <c r="S315" s="342"/>
      <c r="T315" s="342"/>
      <c r="U315" s="385"/>
      <c r="V315" s="385"/>
      <c r="W315" s="385"/>
      <c r="X315" s="154"/>
    </row>
    <row r="316" spans="18:24" x14ac:dyDescent="0.2">
      <c r="R316" s="342"/>
      <c r="S316" s="342"/>
      <c r="T316" s="342"/>
      <c r="U316" s="385"/>
      <c r="V316" s="385"/>
      <c r="W316" s="385"/>
      <c r="X316" s="154"/>
    </row>
    <row r="317" spans="18:24" x14ac:dyDescent="0.2">
      <c r="R317" s="342"/>
      <c r="S317" s="342"/>
      <c r="T317" s="342"/>
      <c r="U317" s="385"/>
      <c r="V317" s="385"/>
      <c r="W317" s="385"/>
      <c r="X317" s="154"/>
    </row>
    <row r="318" spans="18:24" x14ac:dyDescent="0.2">
      <c r="R318" s="342"/>
      <c r="S318" s="342"/>
      <c r="T318" s="342"/>
      <c r="U318" s="385"/>
      <c r="V318" s="385"/>
      <c r="W318" s="385"/>
      <c r="X318" s="154"/>
    </row>
    <row r="319" spans="18:24" x14ac:dyDescent="0.2">
      <c r="R319" s="342"/>
      <c r="S319" s="342"/>
      <c r="T319" s="342"/>
      <c r="U319" s="385"/>
      <c r="V319" s="385"/>
      <c r="W319" s="385"/>
      <c r="X319" s="154"/>
    </row>
    <row r="320" spans="18:24" x14ac:dyDescent="0.2">
      <c r="R320" s="342"/>
      <c r="S320" s="342"/>
      <c r="T320" s="342"/>
      <c r="U320" s="385"/>
      <c r="V320" s="385"/>
      <c r="W320" s="385"/>
      <c r="X320" s="154"/>
    </row>
    <row r="321" spans="18:24" x14ac:dyDescent="0.2">
      <c r="R321" s="342"/>
      <c r="S321" s="342"/>
      <c r="T321" s="342"/>
      <c r="U321" s="385"/>
      <c r="V321" s="385"/>
      <c r="W321" s="385"/>
      <c r="X321" s="154"/>
    </row>
    <row r="322" spans="18:24" x14ac:dyDescent="0.2">
      <c r="R322" s="342"/>
      <c r="S322" s="342"/>
      <c r="T322" s="342"/>
      <c r="U322" s="385"/>
      <c r="V322" s="385"/>
      <c r="W322" s="385"/>
      <c r="X322" s="154"/>
    </row>
    <row r="323" spans="18:24" x14ac:dyDescent="0.2">
      <c r="R323" s="342"/>
      <c r="S323" s="342"/>
      <c r="T323" s="342"/>
      <c r="U323" s="385"/>
      <c r="V323" s="385"/>
      <c r="W323" s="385"/>
      <c r="X323" s="154"/>
    </row>
    <row r="324" spans="18:24" x14ac:dyDescent="0.2">
      <c r="R324" s="342"/>
      <c r="S324" s="342"/>
      <c r="T324" s="342"/>
      <c r="U324" s="385"/>
      <c r="V324" s="385"/>
      <c r="W324" s="385"/>
      <c r="X324" s="154"/>
    </row>
    <row r="325" spans="18:24" x14ac:dyDescent="0.2">
      <c r="R325" s="342"/>
      <c r="S325" s="342"/>
      <c r="T325" s="342"/>
      <c r="U325" s="385"/>
      <c r="V325" s="385"/>
      <c r="W325" s="385"/>
      <c r="X325" s="154"/>
    </row>
    <row r="326" spans="18:24" x14ac:dyDescent="0.2">
      <c r="R326" s="342"/>
      <c r="S326" s="342"/>
      <c r="T326" s="342"/>
      <c r="U326" s="385"/>
      <c r="V326" s="385"/>
      <c r="W326" s="385"/>
      <c r="X326" s="154"/>
    </row>
    <row r="327" spans="18:24" x14ac:dyDescent="0.2">
      <c r="R327" s="342"/>
      <c r="S327" s="342"/>
      <c r="T327" s="342"/>
      <c r="U327" s="385"/>
      <c r="V327" s="385"/>
      <c r="W327" s="385"/>
      <c r="X327" s="154"/>
    </row>
    <row r="328" spans="18:24" x14ac:dyDescent="0.2">
      <c r="R328" s="342"/>
      <c r="S328" s="342"/>
      <c r="T328" s="342"/>
      <c r="U328" s="385"/>
      <c r="V328" s="385"/>
      <c r="W328" s="385"/>
      <c r="X328" s="154"/>
    </row>
    <row r="329" spans="18:24" x14ac:dyDescent="0.2">
      <c r="R329" s="342"/>
      <c r="S329" s="342"/>
      <c r="T329" s="342"/>
      <c r="U329" s="385"/>
      <c r="V329" s="385"/>
      <c r="W329" s="385"/>
      <c r="X329" s="154"/>
    </row>
    <row r="330" spans="18:24" x14ac:dyDescent="0.2">
      <c r="R330" s="342"/>
      <c r="S330" s="342"/>
      <c r="T330" s="342"/>
      <c r="U330" s="385"/>
      <c r="V330" s="385"/>
      <c r="W330" s="385"/>
      <c r="X330" s="154"/>
    </row>
    <row r="331" spans="18:24" x14ac:dyDescent="0.2">
      <c r="R331" s="342"/>
      <c r="S331" s="342"/>
      <c r="T331" s="342"/>
      <c r="U331" s="385"/>
      <c r="V331" s="385"/>
      <c r="W331" s="385"/>
      <c r="X331" s="154"/>
    </row>
    <row r="332" spans="18:24" x14ac:dyDescent="0.2">
      <c r="R332" s="342"/>
      <c r="S332" s="342"/>
      <c r="T332" s="342"/>
      <c r="U332" s="385"/>
      <c r="V332" s="385"/>
      <c r="W332" s="385"/>
      <c r="X332" s="154"/>
    </row>
    <row r="333" spans="18:24" x14ac:dyDescent="0.2">
      <c r="R333" s="342"/>
      <c r="S333" s="342"/>
      <c r="T333" s="342"/>
      <c r="U333" s="385"/>
      <c r="V333" s="385"/>
      <c r="W333" s="385"/>
      <c r="X333" s="154"/>
    </row>
    <row r="334" spans="18:24" x14ac:dyDescent="0.2">
      <c r="R334" s="342"/>
      <c r="S334" s="342"/>
      <c r="T334" s="342"/>
      <c r="U334" s="385"/>
      <c r="V334" s="385"/>
      <c r="W334" s="385"/>
      <c r="X334" s="154"/>
    </row>
    <row r="335" spans="18:24" x14ac:dyDescent="0.2">
      <c r="R335" s="342"/>
      <c r="S335" s="342"/>
      <c r="T335" s="342"/>
      <c r="U335" s="385"/>
      <c r="V335" s="385"/>
      <c r="W335" s="385"/>
      <c r="X335" s="154"/>
    </row>
    <row r="336" spans="18:24" x14ac:dyDescent="0.2">
      <c r="R336" s="342"/>
      <c r="S336" s="342"/>
      <c r="T336" s="342"/>
      <c r="U336" s="385"/>
      <c r="V336" s="385"/>
      <c r="W336" s="385"/>
      <c r="X336" s="154"/>
    </row>
    <row r="337" spans="18:24" x14ac:dyDescent="0.2">
      <c r="R337" s="342"/>
      <c r="S337" s="342"/>
      <c r="T337" s="342"/>
      <c r="U337" s="385"/>
      <c r="V337" s="385"/>
      <c r="W337" s="385"/>
      <c r="X337" s="154"/>
    </row>
    <row r="338" spans="18:24" x14ac:dyDescent="0.2">
      <c r="R338" s="342"/>
      <c r="S338" s="342"/>
      <c r="T338" s="342"/>
      <c r="U338" s="385"/>
      <c r="V338" s="385"/>
      <c r="W338" s="385"/>
      <c r="X338" s="154"/>
    </row>
    <row r="339" spans="18:24" x14ac:dyDescent="0.2">
      <c r="R339" s="342"/>
      <c r="S339" s="342"/>
      <c r="T339" s="342"/>
      <c r="U339" s="385"/>
      <c r="V339" s="385"/>
      <c r="W339" s="385"/>
      <c r="X339" s="154"/>
    </row>
    <row r="340" spans="18:24" x14ac:dyDescent="0.2">
      <c r="R340" s="342"/>
      <c r="S340" s="342"/>
      <c r="T340" s="342"/>
      <c r="U340" s="385"/>
      <c r="V340" s="385"/>
      <c r="W340" s="385"/>
      <c r="X340" s="154"/>
    </row>
    <row r="341" spans="18:24" x14ac:dyDescent="0.2">
      <c r="R341" s="342"/>
      <c r="S341" s="342"/>
      <c r="T341" s="342"/>
      <c r="U341" s="385"/>
      <c r="V341" s="385"/>
      <c r="W341" s="385"/>
      <c r="X341" s="154"/>
    </row>
    <row r="342" spans="18:24" x14ac:dyDescent="0.2">
      <c r="R342" s="342"/>
      <c r="S342" s="342"/>
      <c r="T342" s="342"/>
      <c r="U342" s="385"/>
      <c r="V342" s="385"/>
      <c r="W342" s="385"/>
      <c r="X342" s="154"/>
    </row>
    <row r="343" spans="18:24" x14ac:dyDescent="0.2">
      <c r="R343" s="342"/>
      <c r="S343" s="342"/>
      <c r="T343" s="342"/>
      <c r="U343" s="385"/>
      <c r="V343" s="385"/>
      <c r="W343" s="385"/>
      <c r="X343" s="154"/>
    </row>
    <row r="344" spans="18:24" x14ac:dyDescent="0.2">
      <c r="R344" s="342"/>
      <c r="S344" s="342"/>
      <c r="T344" s="342"/>
      <c r="U344" s="385"/>
      <c r="V344" s="385"/>
      <c r="W344" s="385"/>
      <c r="X344" s="154"/>
    </row>
    <row r="345" spans="18:24" x14ac:dyDescent="0.2">
      <c r="R345" s="342"/>
      <c r="S345" s="342"/>
      <c r="T345" s="342"/>
      <c r="U345" s="385"/>
      <c r="V345" s="385"/>
      <c r="W345" s="385"/>
      <c r="X345" s="154"/>
    </row>
    <row r="346" spans="18:24" x14ac:dyDescent="0.2">
      <c r="R346" s="342"/>
      <c r="S346" s="342"/>
      <c r="T346" s="342"/>
      <c r="U346" s="385"/>
      <c r="V346" s="385"/>
      <c r="W346" s="385"/>
      <c r="X346" s="154"/>
    </row>
    <row r="347" spans="18:24" x14ac:dyDescent="0.2">
      <c r="R347" s="342"/>
      <c r="S347" s="342"/>
      <c r="T347" s="342"/>
      <c r="U347" s="385"/>
      <c r="V347" s="385"/>
      <c r="W347" s="385"/>
      <c r="X347" s="154"/>
    </row>
    <row r="348" spans="18:24" x14ac:dyDescent="0.2">
      <c r="R348" s="342"/>
      <c r="S348" s="342"/>
      <c r="T348" s="342"/>
      <c r="U348" s="385"/>
      <c r="V348" s="385"/>
      <c r="W348" s="385"/>
      <c r="X348" s="154"/>
    </row>
    <row r="349" spans="18:24" x14ac:dyDescent="0.2">
      <c r="R349" s="342"/>
      <c r="S349" s="342"/>
      <c r="T349" s="342"/>
      <c r="U349" s="385"/>
      <c r="V349" s="385"/>
      <c r="W349" s="385"/>
      <c r="X349" s="154"/>
    </row>
    <row r="350" spans="18:24" x14ac:dyDescent="0.2">
      <c r="R350" s="342"/>
      <c r="S350" s="342"/>
      <c r="T350" s="342"/>
      <c r="U350" s="385"/>
      <c r="V350" s="385"/>
      <c r="W350" s="385"/>
      <c r="X350" s="154"/>
    </row>
    <row r="351" spans="18:24" x14ac:dyDescent="0.2">
      <c r="R351" s="342"/>
      <c r="S351" s="342"/>
      <c r="T351" s="342"/>
      <c r="U351" s="385"/>
      <c r="V351" s="385"/>
      <c r="W351" s="385"/>
      <c r="X351" s="154"/>
    </row>
    <row r="352" spans="18:24" x14ac:dyDescent="0.2">
      <c r="R352" s="342"/>
      <c r="S352" s="342"/>
      <c r="T352" s="342"/>
      <c r="U352" s="385"/>
      <c r="V352" s="385"/>
      <c r="W352" s="385"/>
      <c r="X352" s="154"/>
    </row>
    <row r="353" spans="18:24" x14ac:dyDescent="0.2">
      <c r="R353" s="342"/>
      <c r="S353" s="342"/>
      <c r="T353" s="342"/>
      <c r="U353" s="385"/>
      <c r="V353" s="385"/>
      <c r="W353" s="385"/>
      <c r="X353" s="154"/>
    </row>
    <row r="354" spans="18:24" x14ac:dyDescent="0.2">
      <c r="R354" s="342"/>
      <c r="S354" s="342"/>
      <c r="T354" s="342"/>
      <c r="U354" s="385"/>
      <c r="V354" s="385"/>
      <c r="W354" s="385"/>
      <c r="X354" s="154"/>
    </row>
    <row r="355" spans="18:24" x14ac:dyDescent="0.2">
      <c r="R355" s="342"/>
      <c r="S355" s="342"/>
      <c r="T355" s="342"/>
      <c r="U355" s="385"/>
      <c r="V355" s="385"/>
      <c r="W355" s="385"/>
      <c r="X355" s="154"/>
    </row>
    <row r="356" spans="18:24" x14ac:dyDescent="0.2">
      <c r="R356" s="342"/>
      <c r="S356" s="342"/>
      <c r="T356" s="342"/>
      <c r="U356" s="385"/>
      <c r="V356" s="385"/>
      <c r="W356" s="385"/>
      <c r="X356" s="154"/>
    </row>
    <row r="357" spans="18:24" x14ac:dyDescent="0.2">
      <c r="R357" s="342"/>
      <c r="S357" s="342"/>
      <c r="T357" s="342"/>
      <c r="U357" s="385"/>
      <c r="V357" s="385"/>
      <c r="W357" s="385"/>
      <c r="X357" s="154"/>
    </row>
    <row r="358" spans="18:24" x14ac:dyDescent="0.2">
      <c r="R358" s="342"/>
      <c r="S358" s="342"/>
      <c r="T358" s="342"/>
      <c r="U358" s="385"/>
      <c r="V358" s="385"/>
      <c r="W358" s="385"/>
      <c r="X358" s="154"/>
    </row>
    <row r="359" spans="18:24" x14ac:dyDescent="0.2">
      <c r="R359" s="342"/>
      <c r="S359" s="342"/>
      <c r="T359" s="342"/>
      <c r="U359" s="385"/>
      <c r="V359" s="385"/>
      <c r="W359" s="385"/>
      <c r="X359" s="154"/>
    </row>
    <row r="360" spans="18:24" x14ac:dyDescent="0.2">
      <c r="R360" s="342"/>
      <c r="S360" s="342"/>
      <c r="T360" s="342"/>
      <c r="U360" s="385"/>
      <c r="V360" s="385"/>
      <c r="W360" s="385"/>
      <c r="X360" s="154"/>
    </row>
    <row r="361" spans="18:24" x14ac:dyDescent="0.2">
      <c r="R361" s="342"/>
      <c r="S361" s="342"/>
      <c r="T361" s="342"/>
      <c r="U361" s="385"/>
      <c r="V361" s="385"/>
      <c r="W361" s="385"/>
      <c r="X361" s="154"/>
    </row>
    <row r="362" spans="18:24" x14ac:dyDescent="0.2">
      <c r="R362" s="342"/>
      <c r="S362" s="342"/>
      <c r="T362" s="342"/>
      <c r="U362" s="385"/>
      <c r="V362" s="385"/>
      <c r="W362" s="385"/>
      <c r="X362" s="154"/>
    </row>
    <row r="363" spans="18:24" x14ac:dyDescent="0.2">
      <c r="R363" s="342"/>
      <c r="S363" s="342"/>
      <c r="T363" s="342"/>
      <c r="U363" s="385"/>
      <c r="V363" s="385"/>
      <c r="W363" s="385"/>
      <c r="X363" s="154"/>
    </row>
    <row r="364" spans="18:24" x14ac:dyDescent="0.2">
      <c r="R364" s="342"/>
      <c r="S364" s="342"/>
      <c r="T364" s="342"/>
      <c r="U364" s="385"/>
      <c r="V364" s="385"/>
      <c r="W364" s="385"/>
      <c r="X364" s="154"/>
    </row>
    <row r="365" spans="18:24" x14ac:dyDescent="0.2">
      <c r="R365" s="342"/>
      <c r="S365" s="342"/>
      <c r="T365" s="342"/>
      <c r="U365" s="385"/>
      <c r="V365" s="385"/>
      <c r="W365" s="385"/>
      <c r="X365" s="154"/>
    </row>
    <row r="366" spans="18:24" x14ac:dyDescent="0.2">
      <c r="R366" s="342"/>
      <c r="S366" s="342"/>
      <c r="T366" s="342"/>
      <c r="U366" s="385"/>
      <c r="V366" s="385"/>
      <c r="W366" s="385"/>
      <c r="X366" s="154"/>
    </row>
    <row r="367" spans="18:24" x14ac:dyDescent="0.2">
      <c r="R367" s="342"/>
      <c r="S367" s="342"/>
      <c r="T367" s="342"/>
      <c r="U367" s="385"/>
      <c r="V367" s="385"/>
      <c r="W367" s="385"/>
      <c r="X367" s="154"/>
    </row>
    <row r="368" spans="18:24" x14ac:dyDescent="0.2">
      <c r="R368" s="342"/>
      <c r="S368" s="342"/>
      <c r="T368" s="342"/>
      <c r="U368" s="385"/>
      <c r="V368" s="385"/>
      <c r="W368" s="385"/>
      <c r="X368" s="154"/>
    </row>
    <row r="369" spans="18:24" x14ac:dyDescent="0.2">
      <c r="R369" s="342"/>
      <c r="S369" s="342"/>
      <c r="T369" s="342"/>
      <c r="U369" s="385"/>
      <c r="V369" s="385"/>
      <c r="W369" s="385"/>
      <c r="X369" s="154"/>
    </row>
    <row r="370" spans="18:24" x14ac:dyDescent="0.2">
      <c r="R370" s="342"/>
      <c r="S370" s="342"/>
      <c r="T370" s="342"/>
      <c r="U370" s="385"/>
      <c r="V370" s="385"/>
      <c r="W370" s="385"/>
      <c r="X370" s="154"/>
    </row>
    <row r="371" spans="18:24" x14ac:dyDescent="0.2">
      <c r="R371" s="342"/>
      <c r="S371" s="342"/>
      <c r="T371" s="342"/>
      <c r="U371" s="385"/>
      <c r="V371" s="385"/>
      <c r="W371" s="385"/>
      <c r="X371" s="154"/>
    </row>
    <row r="372" spans="18:24" x14ac:dyDescent="0.2">
      <c r="R372" s="342"/>
      <c r="S372" s="342"/>
      <c r="T372" s="342"/>
      <c r="U372" s="385"/>
      <c r="V372" s="385"/>
      <c r="W372" s="385"/>
      <c r="X372" s="154"/>
    </row>
    <row r="373" spans="18:24" x14ac:dyDescent="0.2">
      <c r="R373" s="342"/>
      <c r="S373" s="342"/>
      <c r="T373" s="342"/>
      <c r="U373" s="385"/>
      <c r="V373" s="385"/>
      <c r="W373" s="385"/>
      <c r="X373" s="154"/>
    </row>
    <row r="374" spans="18:24" x14ac:dyDescent="0.2">
      <c r="R374" s="342"/>
      <c r="S374" s="342"/>
      <c r="T374" s="342"/>
      <c r="U374" s="385"/>
      <c r="V374" s="385"/>
      <c r="W374" s="385"/>
      <c r="X374" s="154"/>
    </row>
    <row r="375" spans="18:24" x14ac:dyDescent="0.2">
      <c r="R375" s="342"/>
      <c r="S375" s="342"/>
      <c r="T375" s="342"/>
      <c r="U375" s="385"/>
      <c r="V375" s="385"/>
      <c r="W375" s="385"/>
      <c r="X375" s="154"/>
    </row>
    <row r="376" spans="18:24" x14ac:dyDescent="0.2">
      <c r="R376" s="342"/>
      <c r="S376" s="342"/>
      <c r="T376" s="342"/>
      <c r="U376" s="385"/>
      <c r="V376" s="385"/>
      <c r="W376" s="385"/>
      <c r="X376" s="154"/>
    </row>
    <row r="377" spans="18:24" x14ac:dyDescent="0.2">
      <c r="R377" s="342"/>
      <c r="S377" s="342"/>
      <c r="T377" s="342"/>
      <c r="U377" s="385"/>
      <c r="V377" s="385"/>
      <c r="W377" s="385"/>
      <c r="X377" s="154"/>
    </row>
    <row r="378" spans="18:24" x14ac:dyDescent="0.2">
      <c r="R378" s="342"/>
      <c r="S378" s="342"/>
      <c r="T378" s="342"/>
      <c r="U378" s="385"/>
      <c r="V378" s="385"/>
      <c r="W378" s="385"/>
      <c r="X378" s="154"/>
    </row>
    <row r="379" spans="18:24" x14ac:dyDescent="0.2">
      <c r="R379" s="342"/>
      <c r="S379" s="342"/>
      <c r="T379" s="342"/>
      <c r="U379" s="385"/>
      <c r="V379" s="385"/>
      <c r="W379" s="385"/>
      <c r="X379" s="154"/>
    </row>
    <row r="380" spans="18:24" x14ac:dyDescent="0.2">
      <c r="R380" s="342"/>
      <c r="S380" s="342"/>
      <c r="T380" s="342"/>
      <c r="U380" s="385"/>
      <c r="V380" s="385"/>
      <c r="W380" s="385"/>
      <c r="X380" s="154"/>
    </row>
    <row r="381" spans="18:24" x14ac:dyDescent="0.2">
      <c r="R381" s="342"/>
      <c r="S381" s="342"/>
      <c r="T381" s="342"/>
      <c r="U381" s="385"/>
      <c r="V381" s="385"/>
      <c r="W381" s="385"/>
      <c r="X381" s="154"/>
    </row>
    <row r="382" spans="18:24" x14ac:dyDescent="0.2">
      <c r="R382" s="342"/>
      <c r="S382" s="342"/>
      <c r="T382" s="342"/>
      <c r="U382" s="385"/>
      <c r="V382" s="385"/>
      <c r="W382" s="385"/>
      <c r="X382" s="154"/>
    </row>
    <row r="383" spans="18:24" x14ac:dyDescent="0.2">
      <c r="R383" s="342"/>
      <c r="S383" s="342"/>
      <c r="T383" s="342"/>
      <c r="U383" s="385"/>
      <c r="V383" s="385"/>
      <c r="W383" s="385"/>
      <c r="X383" s="154"/>
    </row>
    <row r="384" spans="18:24" x14ac:dyDescent="0.2">
      <c r="R384" s="342"/>
      <c r="S384" s="342"/>
      <c r="T384" s="342"/>
      <c r="U384" s="385"/>
      <c r="V384" s="385"/>
      <c r="W384" s="385"/>
      <c r="X384" s="154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showGridLines="0" topLeftCell="N1" workbookViewId="0">
      <selection activeCell="Y30" sqref="Y30"/>
    </sheetView>
  </sheetViews>
  <sheetFormatPr defaultRowHeight="11.25" outlineLevelCol="1" x14ac:dyDescent="0.2"/>
  <cols>
    <col min="1" max="1" width="3.1640625" style="319" hidden="1" customWidth="1" outlineLevel="1"/>
    <col min="2" max="2" width="6.83203125" style="319" hidden="1" customWidth="1" outlineLevel="1"/>
    <col min="3" max="4" width="7" style="319" hidden="1" customWidth="1" outlineLevel="1"/>
    <col min="5" max="5" width="7" style="336" hidden="1" customWidth="1" outlineLevel="1"/>
    <col min="6" max="6" width="3.5" style="336" hidden="1" customWidth="1" outlineLevel="1"/>
    <col min="7" max="7" width="8.1640625" style="319" hidden="1" customWidth="1" outlineLevel="1"/>
    <col min="8" max="8" width="22.6640625" style="319" hidden="1" customWidth="1" outlineLevel="1"/>
    <col min="9" max="9" width="23.83203125" style="319" hidden="1" customWidth="1" outlineLevel="1"/>
    <col min="10" max="10" width="9.33203125" style="319" hidden="1" customWidth="1" outlineLevel="1"/>
    <col min="11" max="11" width="31.1640625" style="319" hidden="1" customWidth="1" outlineLevel="1"/>
    <col min="12" max="12" width="17.83203125" style="338" hidden="1" customWidth="1" outlineLevel="1"/>
    <col min="13" max="13" width="26.33203125" style="319" hidden="1" customWidth="1" outlineLevel="1"/>
    <col min="14" max="14" width="3.5" style="319" bestFit="1" customWidth="1" collapsed="1"/>
    <col min="15" max="15" width="3.5" style="319" bestFit="1" customWidth="1"/>
    <col min="16" max="16" width="31.1640625" style="319" bestFit="1" customWidth="1"/>
    <col min="17" max="21" width="20.1640625" style="319" bestFit="1" customWidth="1"/>
    <col min="22" max="22" width="17.83203125" style="319" hidden="1" customWidth="1" outlineLevel="1"/>
    <col min="23" max="23" width="14.1640625" style="319" hidden="1" customWidth="1" outlineLevel="1"/>
    <col min="24" max="24" width="10.5" style="319" bestFit="1" customWidth="1" collapsed="1"/>
    <col min="25" max="25" width="11.6640625" style="319" bestFit="1" customWidth="1"/>
    <col min="26" max="27" width="20.1640625" style="319" bestFit="1" customWidth="1"/>
    <col min="28" max="28" width="9.33203125" style="319" bestFit="1" customWidth="1"/>
    <col min="29" max="29" width="17.83203125" style="319" customWidth="1"/>
    <col min="30" max="31" width="10.5" style="319" bestFit="1" customWidth="1"/>
    <col min="32" max="32" width="11.6640625" style="319" bestFit="1" customWidth="1"/>
    <col min="33" max="33" width="17.83203125" style="319" bestFit="1" customWidth="1"/>
    <col min="34" max="34" width="10.5" style="319" bestFit="1" customWidth="1"/>
    <col min="35" max="16384" width="9.33203125" style="319"/>
  </cols>
  <sheetData>
    <row r="1" spans="1:23" ht="11.25" customHeight="1" x14ac:dyDescent="0.2">
      <c r="E1" s="319"/>
      <c r="F1" s="319"/>
      <c r="K1" s="319" t="s">
        <v>27</v>
      </c>
      <c r="L1" s="319" t="str">
        <f>_xll.qlEuribor(,K1,,,Trigger)</f>
        <v>obj_00572#0000</v>
      </c>
      <c r="M1" s="319" t="str">
        <f>_xll.ohRangeRetrieveError(L1)</f>
        <v/>
      </c>
    </row>
    <row r="2" spans="1:23" ht="24" customHeight="1" x14ac:dyDescent="0.2">
      <c r="A2" s="332"/>
      <c r="B2" s="320" t="s">
        <v>161</v>
      </c>
      <c r="C2" s="320" t="s">
        <v>124</v>
      </c>
      <c r="D2" s="320"/>
      <c r="E2" s="321"/>
      <c r="F2" s="321"/>
      <c r="G2" s="320" t="s">
        <v>125</v>
      </c>
      <c r="H2" s="320" t="s">
        <v>126</v>
      </c>
      <c r="I2" s="320" t="s">
        <v>127</v>
      </c>
      <c r="J2" s="320" t="s">
        <v>128</v>
      </c>
      <c r="K2" s="320" t="s">
        <v>77</v>
      </c>
      <c r="L2" s="320" t="s">
        <v>78</v>
      </c>
      <c r="M2" s="322" t="s">
        <v>36</v>
      </c>
      <c r="N2" s="335"/>
      <c r="O2" s="335"/>
      <c r="P2" s="323" t="s">
        <v>129</v>
      </c>
      <c r="Q2" s="323" t="s">
        <v>79</v>
      </c>
      <c r="R2" s="323" t="s">
        <v>128</v>
      </c>
      <c r="S2" s="323" t="s">
        <v>80</v>
      </c>
      <c r="T2" s="320" t="s">
        <v>81</v>
      </c>
      <c r="U2" s="320" t="s">
        <v>82</v>
      </c>
      <c r="V2" s="13"/>
      <c r="W2" s="13"/>
    </row>
    <row r="3" spans="1:23" ht="11.25" customHeight="1" x14ac:dyDescent="0.2">
      <c r="A3" s="333"/>
      <c r="B3" s="42"/>
      <c r="C3" s="42" t="s">
        <v>132</v>
      </c>
      <c r="D3" s="71"/>
      <c r="E3" s="72"/>
      <c r="F3" s="72"/>
      <c r="G3" s="69"/>
      <c r="H3" s="69"/>
      <c r="I3" s="69"/>
      <c r="J3" s="73"/>
      <c r="K3" s="63" t="str">
        <f>PROPER((Currency))&amp;IborType&amp;K1&amp;"LastFixing"&amp;QuoteSuffix</f>
        <v>Euribor1YLastFixing_Quote</v>
      </c>
      <c r="L3" s="70" t="str">
        <f>_xll.qlDepositRateHelper(,K3,L1,,Trigger)</f>
        <v>obj_005ce#0000</v>
      </c>
      <c r="M3" s="81" t="str">
        <f>_xll.ohRangeRetrieveError(L3)</f>
        <v/>
      </c>
      <c r="N3" s="334"/>
      <c r="O3" s="334"/>
      <c r="P3" s="49" t="str">
        <f>_xll.qlRateHelperQuoteName(L3,Trigger)</f>
        <v>Euribor1YLastFixing_Quote</v>
      </c>
      <c r="Q3" s="50">
        <f>_xll.qlQuoteValue(K3,AllTriggers)</f>
        <v>1.6799999999999999E-3</v>
      </c>
      <c r="R3" s="87" t="str">
        <f>IF(ISBLANK(J3),"--",_xll.qlSwapRateHelperSpread(L3,AllTriggers))</f>
        <v>--</v>
      </c>
      <c r="S3" s="49" t="b">
        <v>1</v>
      </c>
      <c r="T3" s="51">
        <f>_xll.qlRateHelperEarliestDate(L3,Trigger)</f>
        <v>42137</v>
      </c>
      <c r="U3" s="51">
        <f>_xll.qlRateHelperLatestDate(L3,Trigger)</f>
        <v>42503</v>
      </c>
      <c r="V3" s="13"/>
      <c r="W3" s="13"/>
    </row>
    <row r="4" spans="1:23" ht="11.25" customHeight="1" x14ac:dyDescent="0.2">
      <c r="A4" s="333"/>
      <c r="B4" s="84"/>
      <c r="C4" s="84" t="s">
        <v>55</v>
      </c>
      <c r="D4" s="86">
        <v>12</v>
      </c>
      <c r="E4" s="85" t="s">
        <v>37</v>
      </c>
      <c r="F4" s="85">
        <v>24</v>
      </c>
      <c r="G4" s="69"/>
      <c r="H4" s="69"/>
      <c r="I4" s="69"/>
      <c r="J4" s="73"/>
      <c r="K4" s="63" t="str">
        <f>Currency&amp;D4&amp;E4&amp;F4&amp;"F"&amp;QuoteSuffix</f>
        <v>EUR12x24F_Quote</v>
      </c>
      <c r="L4" s="70" t="str">
        <f>_xll.qlFraRateHelper(,K4,C4,L1)</f>
        <v>obj_00574#0000</v>
      </c>
      <c r="M4" s="81" t="str">
        <f>_xll.ohRangeRetrieveError(L4)</f>
        <v/>
      </c>
      <c r="N4" s="334"/>
      <c r="O4" s="334"/>
      <c r="P4" s="49" t="str">
        <f>_xll.qlRateHelperQuoteName(L4,Trigger)</f>
        <v>EUR12x24F_Quote</v>
      </c>
      <c r="Q4" s="50">
        <f>_xll.qlQuoteValue(K4,AllTriggers)</f>
        <v>2.2599999999999999E-3</v>
      </c>
      <c r="R4" s="87" t="str">
        <f>IF(ISBLANK(J4),"--",_xll.qlSwapRateHelperSpread(L4,AllTriggers))</f>
        <v>--</v>
      </c>
      <c r="S4" s="49" t="b">
        <v>1</v>
      </c>
      <c r="T4" s="51">
        <f>_xll.qlRateHelperEarliestDate(L4,Trigger)</f>
        <v>42503</v>
      </c>
      <c r="U4" s="51">
        <f>_xll.qlRateHelperLatestDate(L4,Trigger)</f>
        <v>42870</v>
      </c>
      <c r="V4" s="13"/>
      <c r="W4" s="13"/>
    </row>
    <row r="5" spans="1:23" ht="11.25" customHeight="1" x14ac:dyDescent="0.2">
      <c r="A5" s="333"/>
      <c r="B5" s="74">
        <v>2</v>
      </c>
      <c r="C5" s="74" t="s">
        <v>132</v>
      </c>
      <c r="D5" s="75" t="s">
        <v>83</v>
      </c>
      <c r="E5" s="76" t="s">
        <v>84</v>
      </c>
      <c r="F5" s="76" t="s">
        <v>85</v>
      </c>
      <c r="G5" s="74" t="s">
        <v>134</v>
      </c>
      <c r="H5" s="77" t="s">
        <v>130</v>
      </c>
      <c r="I5" s="77" t="s">
        <v>140</v>
      </c>
      <c r="J5" s="78">
        <v>0</v>
      </c>
      <c r="K5" s="79" t="str">
        <f t="shared" ref="K5:K10" si="0">Currency&amp;D5&amp;$E5&amp;$F5&amp;"_Quote"</f>
        <v>EURAB12EBASIS3Y_Quote</v>
      </c>
      <c r="L5" s="80" t="str">
        <f>_xll.qlSwapRateHelper2(,K5,B5,F5,Calendar,G5,H5,I5,$L$1,J5,C5,Discounting,,Trigger)</f>
        <v>obj_00579#0000</v>
      </c>
      <c r="M5" s="81" t="str">
        <f>_xll.ohRangeRetrieveError(L5)</f>
        <v/>
      </c>
      <c r="N5" s="334"/>
      <c r="O5" s="334"/>
      <c r="P5" s="49" t="str">
        <f>_xll.qlRateHelperQuoteName(L5,Trigger)</f>
        <v>EURAB12EBASIS3Y_Quote</v>
      </c>
      <c r="Q5" s="50">
        <f>_xll.qlQuoteValue(K5,AllTriggers)</f>
        <v>2.7599999999999999E-3</v>
      </c>
      <c r="R5" s="87">
        <f>IF(ISBLANK(J5),"--",_xll.qlSwapRateHelperSpread(L5,AllTriggers))</f>
        <v>0</v>
      </c>
      <c r="S5" s="49" t="b">
        <v>1</v>
      </c>
      <c r="T5" s="51">
        <f>_xll.qlRateHelperEarliestDate(L5,Trigger)</f>
        <v>42137</v>
      </c>
      <c r="U5" s="51">
        <f>_xll.qlRateHelperLatestDate(L5,Trigger)</f>
        <v>43234</v>
      </c>
      <c r="V5" s="13"/>
      <c r="W5" s="13"/>
    </row>
    <row r="6" spans="1:23" ht="11.25" customHeight="1" x14ac:dyDescent="0.2">
      <c r="A6" s="333"/>
      <c r="B6" s="42">
        <v>2</v>
      </c>
      <c r="C6" s="42" t="s">
        <v>132</v>
      </c>
      <c r="D6" s="43" t="s">
        <v>83</v>
      </c>
      <c r="E6" s="44" t="s">
        <v>84</v>
      </c>
      <c r="F6" s="44" t="s">
        <v>86</v>
      </c>
      <c r="G6" s="42" t="s">
        <v>134</v>
      </c>
      <c r="H6" s="45" t="s">
        <v>130</v>
      </c>
      <c r="I6" s="45" t="s">
        <v>140</v>
      </c>
      <c r="J6" s="46">
        <v>0</v>
      </c>
      <c r="K6" s="47" t="str">
        <f t="shared" si="0"/>
        <v>EURAB12EBASIS4Y_Quote</v>
      </c>
      <c r="L6" s="48" t="str">
        <f>_xll.qlSwapRateHelper2(,K6,B6,F6,Calendar,G6,H6,I6,$L$1,J6,C6,Discounting,,Trigger)</f>
        <v>obj_00573#0000</v>
      </c>
      <c r="M6" s="49" t="str">
        <f>_xll.ohRangeRetrieveError(L6)</f>
        <v/>
      </c>
      <c r="N6" s="334"/>
      <c r="O6" s="334"/>
      <c r="P6" s="49" t="str">
        <f>_xll.qlRateHelperQuoteName(L6,Trigger)</f>
        <v>EURAB12EBASIS4Y_Quote</v>
      </c>
      <c r="Q6" s="50">
        <f>_xll.qlQuoteValue(K6,AllTriggers)</f>
        <v>3.7400000000000003E-3</v>
      </c>
      <c r="R6" s="87">
        <f>IF(ISBLANK(J6),"--",_xll.qlSwapRateHelperSpread(L6,AllTriggers))</f>
        <v>0</v>
      </c>
      <c r="S6" s="49" t="b">
        <v>1</v>
      </c>
      <c r="T6" s="51">
        <f>_xll.qlRateHelperEarliestDate(L6,Trigger)</f>
        <v>42137</v>
      </c>
      <c r="U6" s="51">
        <f>_xll.qlRateHelperLatestDate(L6,Trigger)</f>
        <v>43598</v>
      </c>
      <c r="V6" s="13"/>
      <c r="W6" s="13"/>
    </row>
    <row r="7" spans="1:23" ht="11.25" customHeight="1" x14ac:dyDescent="0.2">
      <c r="A7" s="332"/>
      <c r="B7" s="42">
        <v>2</v>
      </c>
      <c r="C7" s="42" t="s">
        <v>132</v>
      </c>
      <c r="D7" s="43" t="s">
        <v>83</v>
      </c>
      <c r="E7" s="44" t="s">
        <v>84</v>
      </c>
      <c r="F7" s="44" t="s">
        <v>87</v>
      </c>
      <c r="G7" s="42" t="s">
        <v>134</v>
      </c>
      <c r="H7" s="45" t="s">
        <v>130</v>
      </c>
      <c r="I7" s="45" t="s">
        <v>140</v>
      </c>
      <c r="J7" s="46">
        <v>0</v>
      </c>
      <c r="K7" s="47" t="str">
        <f t="shared" si="0"/>
        <v>EURAB12EBASIS5Y_Quote</v>
      </c>
      <c r="L7" s="48" t="str">
        <f>_xll.qlSwapRateHelper2(,K7,B7,F7,Calendar,G7,H7,I7,$L$1,J7,C7,Discounting,,Trigger)</f>
        <v>obj_00575#0000</v>
      </c>
      <c r="M7" s="49" t="str">
        <f>_xll.ohRangeRetrieveError(L7)</f>
        <v/>
      </c>
      <c r="N7" s="334"/>
      <c r="O7" s="334"/>
      <c r="P7" s="49" t="str">
        <f>_xll.qlRateHelperQuoteName(L7,Trigger)</f>
        <v>EURAB12EBASIS5Y_Quote</v>
      </c>
      <c r="Q7" s="50">
        <f>_xll.qlQuoteValue(K7,AllTriggers)</f>
        <v>4.8400000000000006E-3</v>
      </c>
      <c r="R7" s="87">
        <f>IF(ISBLANK(J7),"--",_xll.qlSwapRateHelperSpread(L7,AllTriggers))</f>
        <v>0</v>
      </c>
      <c r="S7" s="49" t="b">
        <v>1</v>
      </c>
      <c r="T7" s="51">
        <f>_xll.qlRateHelperEarliestDate(L7,Trigger)</f>
        <v>42137</v>
      </c>
      <c r="U7" s="51">
        <f>_xll.qlRateHelperLatestDate(L7,Trigger)</f>
        <v>43964</v>
      </c>
      <c r="V7" s="13"/>
      <c r="W7" s="13"/>
    </row>
    <row r="8" spans="1:23" ht="11.25" customHeight="1" x14ac:dyDescent="0.2">
      <c r="A8" s="332"/>
      <c r="B8" s="42">
        <v>2</v>
      </c>
      <c r="C8" s="42" t="s">
        <v>132</v>
      </c>
      <c r="D8" s="43" t="s">
        <v>83</v>
      </c>
      <c r="E8" s="44" t="s">
        <v>84</v>
      </c>
      <c r="F8" s="44" t="s">
        <v>137</v>
      </c>
      <c r="G8" s="42" t="s">
        <v>134</v>
      </c>
      <c r="H8" s="45" t="s">
        <v>130</v>
      </c>
      <c r="I8" s="45" t="s">
        <v>140</v>
      </c>
      <c r="J8" s="46">
        <v>0</v>
      </c>
      <c r="K8" s="47" t="str">
        <f t="shared" si="0"/>
        <v>EURAB12EBASIS6Y_Quote</v>
      </c>
      <c r="L8" s="48" t="str">
        <f>_xll.qlSwapRateHelper2(,K8,B8,F8,Calendar,G8,H8,I8,$L$1,J8,C8,Discounting,,Trigger)</f>
        <v>obj_00577#0000</v>
      </c>
      <c r="M8" s="49" t="str">
        <f>_xll.ohRangeRetrieveError(L8)</f>
        <v/>
      </c>
      <c r="N8" s="334"/>
      <c r="O8" s="334"/>
      <c r="P8" s="49" t="str">
        <f>_xll.qlRateHelperQuoteName(L8,Trigger)</f>
        <v>EURAB12EBASIS6Y_Quote</v>
      </c>
      <c r="Q8" s="50">
        <f>_xll.qlQuoteValue(K8,AllTriggers)</f>
        <v>5.9500000000000004E-3</v>
      </c>
      <c r="R8" s="87">
        <f>IF(ISBLANK(J8),"--",_xll.qlSwapRateHelperSpread(L8,AllTriggers))</f>
        <v>0</v>
      </c>
      <c r="S8" s="49" t="b">
        <v>1</v>
      </c>
      <c r="T8" s="51">
        <f>_xll.qlRateHelperEarliestDate(L8,Trigger)</f>
        <v>42137</v>
      </c>
      <c r="U8" s="51">
        <f>_xll.qlRateHelperLatestDate(L8,Trigger)</f>
        <v>44329</v>
      </c>
      <c r="V8" s="13"/>
      <c r="W8" s="13"/>
    </row>
    <row r="9" spans="1:23" ht="11.25" customHeight="1" x14ac:dyDescent="0.2">
      <c r="A9" s="332"/>
      <c r="B9" s="42">
        <v>2</v>
      </c>
      <c r="C9" s="42" t="s">
        <v>132</v>
      </c>
      <c r="D9" s="43" t="s">
        <v>83</v>
      </c>
      <c r="E9" s="44" t="s">
        <v>84</v>
      </c>
      <c r="F9" s="44" t="s">
        <v>138</v>
      </c>
      <c r="G9" s="42" t="s">
        <v>134</v>
      </c>
      <c r="H9" s="45" t="s">
        <v>130</v>
      </c>
      <c r="I9" s="45" t="s">
        <v>140</v>
      </c>
      <c r="J9" s="46">
        <v>0</v>
      </c>
      <c r="K9" s="47" t="str">
        <f t="shared" si="0"/>
        <v>EURAB12EBASIS7Y_Quote</v>
      </c>
      <c r="L9" s="48" t="str">
        <f>_xll.qlSwapRateHelper2(,K9,B9,F9,Calendar,G9,H9,I9,$L$1,J9,C9,Discounting,,Trigger)</f>
        <v>obj_00578#0000</v>
      </c>
      <c r="M9" s="49" t="str">
        <f>_xll.ohRangeRetrieveError(L9)</f>
        <v/>
      </c>
      <c r="P9" s="49" t="str">
        <f>_xll.qlRateHelperQuoteName(L9,Trigger)</f>
        <v>EURAB12EBASIS7Y_Quote</v>
      </c>
      <c r="Q9" s="50">
        <f>_xll.qlQuoteValue(K9,AllTriggers)</f>
        <v>7.0600000000000003E-3</v>
      </c>
      <c r="R9" s="87">
        <f>IF(ISBLANK(J9),"--",_xll.qlSwapRateHelperSpread(L9,AllTriggers))</f>
        <v>0</v>
      </c>
      <c r="S9" s="49" t="b">
        <v>1</v>
      </c>
      <c r="T9" s="51">
        <f>_xll.qlRateHelperEarliestDate(L9,Trigger)</f>
        <v>42137</v>
      </c>
      <c r="U9" s="51">
        <f>_xll.qlRateHelperLatestDate(L9,Trigger)</f>
        <v>44694</v>
      </c>
      <c r="V9" s="13"/>
      <c r="W9" s="13"/>
    </row>
    <row r="10" spans="1:23" x14ac:dyDescent="0.2">
      <c r="B10" s="52">
        <v>2</v>
      </c>
      <c r="C10" s="52" t="s">
        <v>132</v>
      </c>
      <c r="D10" s="53" t="s">
        <v>83</v>
      </c>
      <c r="E10" s="54" t="s">
        <v>84</v>
      </c>
      <c r="F10" s="54" t="s">
        <v>139</v>
      </c>
      <c r="G10" s="52" t="s">
        <v>134</v>
      </c>
      <c r="H10" s="55" t="s">
        <v>130</v>
      </c>
      <c r="I10" s="55" t="s">
        <v>140</v>
      </c>
      <c r="J10" s="56">
        <v>0</v>
      </c>
      <c r="K10" s="67" t="str">
        <f t="shared" si="0"/>
        <v>EURAB12EBASIS8Y_Quote</v>
      </c>
      <c r="L10" s="68" t="str">
        <f>_xll.qlSwapRateHelper2(,K10,B10,F10,Calendar,G10,H10,I10,$L$1,J10,C10,Discounting,,Trigger)</f>
        <v>obj_00576#0000</v>
      </c>
      <c r="M10" s="57" t="str">
        <f>_xll.ohRangeRetrieveError(L10)</f>
        <v/>
      </c>
      <c r="P10" s="57" t="str">
        <f>_xll.qlRateHelperQuoteName(L10,Trigger)</f>
        <v>EURAB12EBASIS8Y_Quote</v>
      </c>
      <c r="Q10" s="58">
        <f>_xll.qlQuoteValue(K10,AllTriggers)</f>
        <v>8.09E-3</v>
      </c>
      <c r="R10" s="88">
        <f>IF(ISBLANK(J10),"--",_xll.qlSwapRateHelperSpread(L10,AllTriggers))</f>
        <v>0</v>
      </c>
      <c r="S10" s="57" t="b">
        <v>0</v>
      </c>
      <c r="T10" s="59">
        <f>_xll.qlRateHelperEarliestDate(L10,Trigger)</f>
        <v>42137</v>
      </c>
      <c r="U10" s="59">
        <f>_xll.qlRateHelperLatestDate(L10,Trigger)</f>
        <v>45061</v>
      </c>
      <c r="V10" s="13"/>
      <c r="W10" s="13"/>
    </row>
    <row r="11" spans="1:23" x14ac:dyDescent="0.2">
      <c r="E11" s="319"/>
      <c r="F11" s="319"/>
      <c r="L11" s="319"/>
      <c r="M11" s="334"/>
    </row>
    <row r="12" spans="1:23" x14ac:dyDescent="0.2">
      <c r="J12" s="337"/>
      <c r="K12" s="337"/>
      <c r="P12" s="324" t="str">
        <f>K1&amp;" "&amp;PROPER(Currency)&amp;IborType&amp;" Curve"</f>
        <v>1Y Euribor Curve</v>
      </c>
      <c r="Q12" s="325"/>
      <c r="R12" s="325"/>
      <c r="S12" s="325"/>
      <c r="T12" s="325"/>
      <c r="U12" s="326" t="s">
        <v>141</v>
      </c>
      <c r="V12" s="13"/>
      <c r="W12" s="13"/>
    </row>
    <row r="13" spans="1:23" x14ac:dyDescent="0.2">
      <c r="M13" s="323" t="s">
        <v>131</v>
      </c>
      <c r="P13" s="394" t="s">
        <v>88</v>
      </c>
      <c r="Q13" s="394" t="s">
        <v>89</v>
      </c>
      <c r="R13" s="394" t="s">
        <v>128</v>
      </c>
      <c r="S13" s="394" t="s">
        <v>81</v>
      </c>
      <c r="T13" s="394" t="s">
        <v>82</v>
      </c>
      <c r="U13" s="60">
        <f t="array" ref="U13:U27">_xll.qlPiecewiseYieldCurveData('General Settings'!D34,InterestRatesTrigger)</f>
        <v>1</v>
      </c>
      <c r="V13" s="13"/>
      <c r="W13" s="13"/>
    </row>
    <row r="14" spans="1:23" x14ac:dyDescent="0.2">
      <c r="J14" s="337"/>
      <c r="K14" s="337"/>
      <c r="M14" s="63" t="str">
        <f t="array" ref="M14:M27">_xll.ohFilter(L3:L10,S3:S10)</f>
        <v>obj_005ce#0000</v>
      </c>
      <c r="P14" s="81" t="str">
        <f t="array" ref="P14:P27">_xll.ohFilter(P3:P10,S3:S10)</f>
        <v>Euribor1YLastFixing_Quote</v>
      </c>
      <c r="Q14" s="89">
        <f t="array" ref="Q14:Q27">_xll.ohFilter(Q3:Q10,S3:S10)</f>
        <v>1.6799999999999999E-3</v>
      </c>
      <c r="R14" s="90" t="str">
        <f t="array" ref="R14:R27">_xll.ohFilter(R3:R10,S3:S10)</f>
        <v>--</v>
      </c>
      <c r="S14" s="91">
        <f t="array" ref="S14:S27">_xll.ohFilter(T3:T10,S3:S10)</f>
        <v>42137</v>
      </c>
      <c r="T14" s="91">
        <f t="array" ref="T14:T27">_xll.ohFilter(U3:U10,S3:S10)</f>
        <v>42503</v>
      </c>
      <c r="U14" s="61">
        <v>0.99829491228980893</v>
      </c>
      <c r="V14" s="13"/>
      <c r="W14" s="13"/>
    </row>
    <row r="15" spans="1:23" x14ac:dyDescent="0.2">
      <c r="M15" s="64" t="str">
        <v>obj_00574#0000</v>
      </c>
      <c r="P15" s="49" t="str">
        <v>EUR12x24F_Quote</v>
      </c>
      <c r="Q15" s="50">
        <v>2.2599999999999999E-3</v>
      </c>
      <c r="R15" s="87" t="str">
        <v>--</v>
      </c>
      <c r="S15" s="51">
        <v>42503</v>
      </c>
      <c r="T15" s="51">
        <v>42870</v>
      </c>
      <c r="U15" s="61">
        <v>0.99600018320105721</v>
      </c>
      <c r="V15" s="13"/>
      <c r="W15" s="13"/>
    </row>
    <row r="16" spans="1:23" x14ac:dyDescent="0.2">
      <c r="J16" s="337"/>
      <c r="K16" s="337"/>
      <c r="M16" s="64" t="str">
        <v>obj_00579#0000</v>
      </c>
      <c r="P16" s="49" t="str">
        <v>EURAB12EBASIS3Y_Quote</v>
      </c>
      <c r="Q16" s="50">
        <v>2.7599999999999999E-3</v>
      </c>
      <c r="R16" s="87">
        <v>0</v>
      </c>
      <c r="S16" s="51">
        <v>42137</v>
      </c>
      <c r="T16" s="51">
        <v>43234</v>
      </c>
      <c r="U16" s="61">
        <v>0.9917592139756668</v>
      </c>
      <c r="V16" s="13"/>
      <c r="W16" s="13"/>
    </row>
    <row r="17" spans="10:35" x14ac:dyDescent="0.2">
      <c r="M17" s="64" t="str">
        <v>obj_00573#0000</v>
      </c>
      <c r="P17" s="49" t="str">
        <v>EURAB12EBASIS4Y_Quote</v>
      </c>
      <c r="Q17" s="50">
        <v>3.7400000000000003E-3</v>
      </c>
      <c r="R17" s="87">
        <v>0</v>
      </c>
      <c r="S17" s="51">
        <v>42137</v>
      </c>
      <c r="T17" s="51">
        <v>43598</v>
      </c>
      <c r="U17" s="61">
        <v>0.9851753932563615</v>
      </c>
      <c r="V17" s="13"/>
      <c r="W17" s="13"/>
    </row>
    <row r="18" spans="10:35" x14ac:dyDescent="0.2">
      <c r="J18" s="337"/>
      <c r="K18" s="337"/>
      <c r="M18" s="64" t="str">
        <v>obj_00575#0000</v>
      </c>
      <c r="P18" s="49" t="str">
        <v>EURAB12EBASIS5Y_Quote</v>
      </c>
      <c r="Q18" s="50">
        <v>4.8400000000000006E-3</v>
      </c>
      <c r="R18" s="87">
        <v>0</v>
      </c>
      <c r="S18" s="51">
        <v>42137</v>
      </c>
      <c r="T18" s="51">
        <v>43964</v>
      </c>
      <c r="U18" s="61">
        <v>0.97611958291674472</v>
      </c>
      <c r="V18" s="13"/>
      <c r="W18" s="13"/>
    </row>
    <row r="19" spans="10:35" x14ac:dyDescent="0.2">
      <c r="M19" s="64" t="str">
        <v>obj_00577#0000</v>
      </c>
      <c r="P19" s="49" t="str">
        <v>EURAB12EBASIS6Y_Quote</v>
      </c>
      <c r="Q19" s="50">
        <v>5.9500000000000004E-3</v>
      </c>
      <c r="R19" s="87">
        <v>0</v>
      </c>
      <c r="S19" s="51">
        <v>42137</v>
      </c>
      <c r="T19" s="51">
        <v>44329</v>
      </c>
      <c r="U19" s="61">
        <v>0.9649417228795274</v>
      </c>
      <c r="V19" s="13"/>
      <c r="W19" s="13"/>
    </row>
    <row r="20" spans="10:35" x14ac:dyDescent="0.2">
      <c r="J20" s="337"/>
      <c r="K20" s="337"/>
      <c r="M20" s="64" t="str">
        <v>obj_00578#0000</v>
      </c>
      <c r="P20" s="49" t="str">
        <v>EURAB12EBASIS7Y_Quote</v>
      </c>
      <c r="Q20" s="50">
        <v>7.0600000000000003E-3</v>
      </c>
      <c r="R20" s="87">
        <v>0</v>
      </c>
      <c r="S20" s="51">
        <v>42137</v>
      </c>
      <c r="T20" s="51">
        <v>44694</v>
      </c>
      <c r="U20" s="61">
        <v>0.95173525765284206</v>
      </c>
      <c r="V20" s="13"/>
      <c r="W20" s="13"/>
      <c r="AI20" s="334"/>
    </row>
    <row r="21" spans="10:35" x14ac:dyDescent="0.2">
      <c r="M21" s="64" t="e">
        <v>#N/A</v>
      </c>
      <c r="P21" s="49" t="e">
        <v>#N/A</v>
      </c>
      <c r="Q21" s="50" t="e">
        <v>#N/A</v>
      </c>
      <c r="R21" s="87" t="e">
        <v>#N/A</v>
      </c>
      <c r="S21" s="51" t="e">
        <v>#N/A</v>
      </c>
      <c r="T21" s="51" t="e">
        <v>#N/A</v>
      </c>
      <c r="U21" s="61" t="e">
        <v>#N/A</v>
      </c>
      <c r="V21" s="13"/>
      <c r="W21" s="13"/>
      <c r="AI21" s="334"/>
    </row>
    <row r="22" spans="10:35" x14ac:dyDescent="0.2">
      <c r="J22" s="337"/>
      <c r="K22" s="337"/>
      <c r="M22" s="64" t="e">
        <v>#N/A</v>
      </c>
      <c r="P22" s="49" t="e">
        <v>#N/A</v>
      </c>
      <c r="Q22" s="50" t="e">
        <v>#N/A</v>
      </c>
      <c r="R22" s="87" t="e">
        <v>#N/A</v>
      </c>
      <c r="S22" s="51" t="e">
        <v>#N/A</v>
      </c>
      <c r="T22" s="51" t="e">
        <v>#N/A</v>
      </c>
      <c r="U22" s="61" t="e">
        <v>#N/A</v>
      </c>
      <c r="V22" s="13"/>
      <c r="W22" s="13"/>
    </row>
    <row r="23" spans="10:35" x14ac:dyDescent="0.2">
      <c r="M23" s="64" t="e">
        <v>#N/A</v>
      </c>
      <c r="P23" s="49" t="e">
        <v>#N/A</v>
      </c>
      <c r="Q23" s="50" t="e">
        <v>#N/A</v>
      </c>
      <c r="R23" s="87" t="e">
        <v>#N/A</v>
      </c>
      <c r="S23" s="51" t="e">
        <v>#N/A</v>
      </c>
      <c r="T23" s="51" t="e">
        <v>#N/A</v>
      </c>
      <c r="U23" s="61" t="e">
        <v>#N/A</v>
      </c>
      <c r="V23" s="13"/>
      <c r="W23" s="13"/>
    </row>
    <row r="24" spans="10:35" x14ac:dyDescent="0.2">
      <c r="J24" s="337"/>
      <c r="K24" s="337"/>
      <c r="M24" s="64" t="e">
        <v>#N/A</v>
      </c>
      <c r="P24" s="49" t="e">
        <v>#N/A</v>
      </c>
      <c r="Q24" s="50" t="e">
        <v>#N/A</v>
      </c>
      <c r="R24" s="87" t="e">
        <v>#N/A</v>
      </c>
      <c r="S24" s="51" t="e">
        <v>#N/A</v>
      </c>
      <c r="T24" s="51" t="e">
        <v>#N/A</v>
      </c>
      <c r="U24" s="61" t="e">
        <v>#N/A</v>
      </c>
      <c r="V24" s="13"/>
      <c r="W24" s="13"/>
    </row>
    <row r="25" spans="10:35" x14ac:dyDescent="0.2">
      <c r="M25" s="64" t="e">
        <v>#N/A</v>
      </c>
      <c r="P25" s="49" t="e">
        <v>#N/A</v>
      </c>
      <c r="Q25" s="50" t="e">
        <v>#N/A</v>
      </c>
      <c r="R25" s="87" t="e">
        <v>#N/A</v>
      </c>
      <c r="S25" s="51" t="e">
        <v>#N/A</v>
      </c>
      <c r="T25" s="51" t="e">
        <v>#N/A</v>
      </c>
      <c r="U25" s="61" t="e">
        <v>#N/A</v>
      </c>
      <c r="V25" s="13"/>
      <c r="W25" s="13"/>
    </row>
    <row r="26" spans="10:35" x14ac:dyDescent="0.2">
      <c r="J26" s="337"/>
      <c r="K26" s="337"/>
      <c r="M26" s="64" t="e">
        <v>#N/A</v>
      </c>
      <c r="P26" s="49" t="e">
        <v>#N/A</v>
      </c>
      <c r="Q26" s="50" t="e">
        <v>#N/A</v>
      </c>
      <c r="R26" s="87" t="e">
        <v>#N/A</v>
      </c>
      <c r="S26" s="51" t="e">
        <v>#N/A</v>
      </c>
      <c r="T26" s="51" t="e">
        <v>#N/A</v>
      </c>
      <c r="U26" s="61" t="e">
        <v>#N/A</v>
      </c>
      <c r="V26" s="13"/>
      <c r="W26" s="13"/>
    </row>
    <row r="27" spans="10:35" x14ac:dyDescent="0.2">
      <c r="M27" s="65" t="e">
        <v>#N/A</v>
      </c>
      <c r="P27" s="57" t="e">
        <v>#N/A</v>
      </c>
      <c r="Q27" s="58" t="e">
        <v>#N/A</v>
      </c>
      <c r="R27" s="88" t="e">
        <v>#N/A</v>
      </c>
      <c r="S27" s="59" t="e">
        <v>#N/A</v>
      </c>
      <c r="T27" s="59" t="e">
        <v>#N/A</v>
      </c>
      <c r="U27" s="62" t="e">
        <v>#N/A</v>
      </c>
      <c r="V27" s="13"/>
      <c r="W27" s="13"/>
    </row>
    <row r="28" spans="10:35" x14ac:dyDescent="0.2">
      <c r="J28" s="337"/>
      <c r="K28" s="337"/>
    </row>
    <row r="29" spans="10:35" x14ac:dyDescent="0.2">
      <c r="P29" s="324" t="str">
        <f>"Delta "&amp;$K$1</f>
        <v>Delta 1Y</v>
      </c>
      <c r="Q29" s="395"/>
      <c r="R29" s="325"/>
      <c r="S29" s="325"/>
      <c r="T29" s="396"/>
      <c r="U29" s="396"/>
      <c r="V29" s="396"/>
      <c r="W29" s="396"/>
      <c r="X29" s="326"/>
    </row>
    <row r="30" spans="10:35" x14ac:dyDescent="0.2">
      <c r="J30" s="337"/>
      <c r="K30" s="337"/>
      <c r="P30" s="397" t="str">
        <f>K1&amp;" Instruments"</f>
        <v>1Y Instruments</v>
      </c>
      <c r="Q30" s="397" t="s">
        <v>117</v>
      </c>
      <c r="R30" s="397" t="s">
        <v>118</v>
      </c>
      <c r="S30" s="397" t="s">
        <v>143</v>
      </c>
      <c r="T30" s="397" t="str">
        <f>"F "&amp;K1</f>
        <v>F 1Y</v>
      </c>
      <c r="U30" s="397" t="s">
        <v>146</v>
      </c>
      <c r="V30" s="397" t="s">
        <v>144</v>
      </c>
      <c r="W30" s="397" t="s">
        <v>145</v>
      </c>
      <c r="X30" s="398" t="s">
        <v>147</v>
      </c>
      <c r="Y30" s="156" t="s">
        <v>157</v>
      </c>
    </row>
    <row r="31" spans="10:35" x14ac:dyDescent="0.2">
      <c r="N31" s="399">
        <v>0</v>
      </c>
      <c r="O31" s="399">
        <f>N31+12</f>
        <v>12</v>
      </c>
      <c r="P31" s="92" t="str">
        <f>N31&amp;"x"&amp;O31</f>
        <v>0x12</v>
      </c>
      <c r="Q31" s="93">
        <f>_xll.qlCalendarAdvance(Calendar,SettlementDate,N31&amp;"M","mf")</f>
        <v>42137</v>
      </c>
      <c r="R31" s="93">
        <f>_xll.qlInterestRateIndexMaturity(IborIndex1Y,Q31)</f>
        <v>42503</v>
      </c>
      <c r="S31" s="104">
        <f>_xll.qlDayCounterYearFraction(DayCounter,Q31,R31,,,Trigger)</f>
        <v>1.0166666666666666</v>
      </c>
      <c r="T31" s="105">
        <f>_xll.qlIndexFixing(IborIndex1Y,_xll.qlInterestRateIndexFixingDate(IborIndex1Y,Q31,Trigger),TRUE,AllTriggers)</f>
        <v>1.6800000000000421E-3</v>
      </c>
      <c r="U31" s="105">
        <f>(V31/W31-1)/S31</f>
        <v>-1.232102292077841E-3</v>
      </c>
      <c r="V31" s="106">
        <f>_xll.qlYieldTSDiscount(Discounting,Q31,,AllTriggers)</f>
        <v>1.0000055555787037</v>
      </c>
      <c r="W31" s="106">
        <f>_xll.qlYieldTSDiscount(Discounting,R31,,AllTriggers)</f>
        <v>1.0012597709450963</v>
      </c>
      <c r="X31" s="115">
        <f>LN((1+T31*S31)/(1+U31*S31))</f>
        <v>2.9599655629780155E-3</v>
      </c>
      <c r="Y31" s="105">
        <f>T31-U31</f>
        <v>2.9121022920778833E-3</v>
      </c>
    </row>
    <row r="32" spans="10:35" x14ac:dyDescent="0.2">
      <c r="J32" s="337"/>
      <c r="K32" s="337"/>
      <c r="N32" s="399">
        <f>N31+12</f>
        <v>12</v>
      </c>
      <c r="O32" s="399">
        <f t="shared" ref="O32:O36" si="1">N32+12</f>
        <v>24</v>
      </c>
      <c r="P32" s="94" t="str">
        <f t="shared" ref="P32:P36" si="2">N32&amp;"x"&amp;O32</f>
        <v>12x24</v>
      </c>
      <c r="Q32" s="95">
        <f>_xll.qlCalendarAdvance(Calendar,SettlementDate,N32&amp;"M","mf")</f>
        <v>42503</v>
      </c>
      <c r="R32" s="95">
        <f>_xll.qlInterestRateIndexMaturity(IborIndex1Y,Q32)</f>
        <v>42870</v>
      </c>
      <c r="S32" s="100">
        <f>_xll.qlDayCounterYearFraction(DayCounter,Q32,R32,,,Trigger)</f>
        <v>1.0194444444444444</v>
      </c>
      <c r="T32" s="11">
        <f>_xll.qlIndexFixing(IborIndex1Y,_xll.qlInterestRateIndexFixingDate(IborIndex1Y,Q32,Trigger),TRUE,AllTriggers)</f>
        <v>2.2599999999999296E-3</v>
      </c>
      <c r="U32" s="11">
        <f t="shared" ref="U32:U36" si="3">(V32/W32-1)/S32</f>
        <v>-8.0864736739523512E-4</v>
      </c>
      <c r="V32" s="101">
        <f>_xll.qlYieldTSDiscount(Discounting,Q32,,AllTriggers)</f>
        <v>1.0012597709450963</v>
      </c>
      <c r="W32" s="101">
        <f>_xll.qlYieldTSDiscount(Discounting,R32,,AllTriggers)</f>
        <v>1.0020858615351997</v>
      </c>
      <c r="X32" s="116">
        <f t="shared" ref="X32:X36" si="4">LN((1+T32*S32)/(1+U32*S32))</f>
        <v>3.1260054808729611E-3</v>
      </c>
      <c r="Y32" s="11">
        <f t="shared" ref="Y32:Y36" si="5">T32-U32</f>
        <v>3.0686473673951645E-3</v>
      </c>
    </row>
    <row r="33" spans="10:25" x14ac:dyDescent="0.2">
      <c r="N33" s="399">
        <f t="shared" ref="N33:N36" si="6">N32+12</f>
        <v>24</v>
      </c>
      <c r="O33" s="399">
        <f t="shared" si="1"/>
        <v>36</v>
      </c>
      <c r="P33" s="94" t="str">
        <f t="shared" si="2"/>
        <v>24x36</v>
      </c>
      <c r="Q33" s="95">
        <f>_xll.qlCalendarAdvance(Calendar,SettlementDate,N33&amp;"M","mf")</f>
        <v>42870</v>
      </c>
      <c r="R33" s="95">
        <f>_xll.qlInterestRateIndexMaturity(IborIndex1Y,Q33)</f>
        <v>43235</v>
      </c>
      <c r="S33" s="100">
        <f>_xll.qlDayCounterYearFraction(DayCounter,Q33,R33,,,Trigger)</f>
        <v>1.0138888888888888</v>
      </c>
      <c r="T33" s="11">
        <f>_xll.qlIndexFixing(IborIndex1Y,_xll.qlInterestRateIndexFixingDate(IborIndex1Y,Q33,Trigger),TRUE,AllTriggers)</f>
        <v>4.2357555410247709E-3</v>
      </c>
      <c r="U33" s="11">
        <f t="shared" si="3"/>
        <v>8.8223742753033418E-4</v>
      </c>
      <c r="V33" s="101">
        <f>_xll.qlYieldTSDiscount(Discounting,Q33,,AllTriggers)</f>
        <v>1.0020858615351997</v>
      </c>
      <c r="W33" s="101">
        <f>_xll.qlYieldTSDiscount(Discounting,R33,,AllTriggers)</f>
        <v>1.0011903060923051</v>
      </c>
      <c r="X33" s="116">
        <f t="shared" si="4"/>
        <v>3.3912991577604865E-3</v>
      </c>
      <c r="Y33" s="11">
        <f t="shared" si="5"/>
        <v>3.3535181134944367E-3</v>
      </c>
    </row>
    <row r="34" spans="10:25" x14ac:dyDescent="0.2">
      <c r="J34" s="337"/>
      <c r="K34" s="337"/>
      <c r="N34" s="399">
        <f t="shared" si="6"/>
        <v>36</v>
      </c>
      <c r="O34" s="399">
        <f t="shared" si="1"/>
        <v>48</v>
      </c>
      <c r="P34" s="94" t="str">
        <f t="shared" si="2"/>
        <v>36x48</v>
      </c>
      <c r="Q34" s="95">
        <f>_xll.qlCalendarAdvance(Calendar,SettlementDate,N34&amp;"M","mf")</f>
        <v>43234</v>
      </c>
      <c r="R34" s="95">
        <f>_xll.qlInterestRateIndexMaturity(IborIndex1Y,Q34)</f>
        <v>43599</v>
      </c>
      <c r="S34" s="100">
        <f>_xll.qlDayCounterYearFraction(DayCounter,Q34,R34,,,Trigger)</f>
        <v>1.0138888888888888</v>
      </c>
      <c r="T34" s="11">
        <f>_xll.qlIndexFixing(IborIndex1Y,_xll.qlInterestRateIndexFixingDate(IborIndex1Y,Q34,Trigger),TRUE,AllTriggers)</f>
        <v>6.6163976031071089E-3</v>
      </c>
      <c r="U34" s="11">
        <f t="shared" si="3"/>
        <v>3.2354997461911464E-3</v>
      </c>
      <c r="V34" s="101">
        <f>_xll.qlYieldTSDiscount(Discounting,Q34,,AllTriggers)</f>
        <v>1.0011957725818421</v>
      </c>
      <c r="W34" s="101">
        <f>_xll.qlYieldTSDiscount(Discounting,R34,,AllTriggers)</f>
        <v>0.99792215159048336</v>
      </c>
      <c r="X34" s="116">
        <f t="shared" si="4"/>
        <v>3.4108232000740098E-3</v>
      </c>
      <c r="Y34" s="11">
        <f t="shared" si="5"/>
        <v>3.3808978569159626E-3</v>
      </c>
    </row>
    <row r="35" spans="10:25" x14ac:dyDescent="0.2">
      <c r="N35" s="399">
        <f t="shared" si="6"/>
        <v>48</v>
      </c>
      <c r="O35" s="399">
        <f t="shared" si="1"/>
        <v>60</v>
      </c>
      <c r="P35" s="94" t="str">
        <f t="shared" si="2"/>
        <v>48x60</v>
      </c>
      <c r="Q35" s="95">
        <f>_xll.qlCalendarAdvance(Calendar,SettlementDate,N35&amp;"M","mf")</f>
        <v>43598</v>
      </c>
      <c r="R35" s="95">
        <f>_xll.qlInterestRateIndexMaturity(IborIndex1Y,Q35)</f>
        <v>43964</v>
      </c>
      <c r="S35" s="102">
        <f>_xll.qlDayCounterYearFraction(DayCounter,Q35,R35,,,Trigger)</f>
        <v>1.0166666666666666</v>
      </c>
      <c r="T35" s="103">
        <f>_xll.qlIndexFixing(IborIndex1Y,_xll.qlInterestRateIndexFixingDate(IborIndex1Y,Q35,Trigger),TRUE,AllTriggers)</f>
        <v>9.1252696783255642E-3</v>
      </c>
      <c r="U35" s="11">
        <f t="shared" si="3"/>
        <v>5.6864675157957418E-3</v>
      </c>
      <c r="V35" s="101">
        <f>_xll.qlYieldTSDiscount(Discounting,Q35,,AllTriggers)</f>
        <v>0.99793451639407726</v>
      </c>
      <c r="W35" s="101">
        <f>_xll.qlYieldTSDiscount(Discounting,R35,,AllTriggers)</f>
        <v>0.99219837748722417</v>
      </c>
      <c r="X35" s="116">
        <f t="shared" si="4"/>
        <v>3.4699924268423127E-3</v>
      </c>
      <c r="Y35" s="11">
        <f t="shared" si="5"/>
        <v>3.4388021625298224E-3</v>
      </c>
    </row>
    <row r="36" spans="10:25" x14ac:dyDescent="0.2">
      <c r="J36" s="337"/>
      <c r="K36" s="337"/>
      <c r="N36" s="399">
        <f t="shared" si="6"/>
        <v>60</v>
      </c>
      <c r="O36" s="399">
        <f t="shared" si="1"/>
        <v>72</v>
      </c>
      <c r="P36" s="96" t="str">
        <f t="shared" si="2"/>
        <v>60x72</v>
      </c>
      <c r="Q36" s="97">
        <f>_xll.qlCalendarAdvance(Calendar,SettlementDate,N36&amp;"M","mf")</f>
        <v>43964</v>
      </c>
      <c r="R36" s="97">
        <f>_xll.qlInterestRateIndexMaturity(IborIndex1Y,Q36)</f>
        <v>44329</v>
      </c>
      <c r="S36" s="107">
        <f>_xll.qlDayCounterYearFraction(DayCounter,Q36,R36,,,Trigger)</f>
        <v>1.0138888888888888</v>
      </c>
      <c r="T36" s="108">
        <f>_xll.qlIndexFixing(IborIndex1Y,_xll.qlInterestRateIndexFixingDate(IborIndex1Y,Q36,Trigger),TRUE,AllTriggers)</f>
        <v>1.1425289637124398E-2</v>
      </c>
      <c r="U36" s="109">
        <f t="shared" si="3"/>
        <v>8.1685105203483047E-3</v>
      </c>
      <c r="V36" s="110">
        <f>_xll.qlYieldTSDiscount(Discounting,Q36,,AllTriggers)</f>
        <v>0.99219837748722417</v>
      </c>
      <c r="W36" s="110">
        <f>_xll.qlYieldTSDiscount(Discounting,R36,,AllTriggers)</f>
        <v>0.98404852494301975</v>
      </c>
      <c r="X36" s="117">
        <f t="shared" si="4"/>
        <v>3.2695388761010131E-3</v>
      </c>
      <c r="Y36" s="109">
        <f t="shared" si="5"/>
        <v>3.2567791167760936E-3</v>
      </c>
    </row>
    <row r="37" spans="10:25" x14ac:dyDescent="0.2">
      <c r="P37" s="399"/>
      <c r="Q37" s="399"/>
      <c r="R37" s="400"/>
      <c r="S37" s="400"/>
      <c r="T37" s="400"/>
      <c r="U37" s="401"/>
      <c r="V37" s="399"/>
      <c r="W37" s="401"/>
      <c r="X37" s="402"/>
      <c r="Y37" s="401"/>
    </row>
    <row r="38" spans="10:25" x14ac:dyDescent="0.2">
      <c r="J38" s="337"/>
      <c r="K38" s="337"/>
    </row>
  </sheetData>
  <dataValidations disablePrompts="1" count="4">
    <dataValidation type="list" allowBlank="1" showInputMessage="1" showErrorMessage="1" sqref="G5:G10">
      <formula1>"Annual,Semiannual,EveryFourthMonth,Quarterly,Bimonthly,Monthly,Biweekly,Weekly,Daily,Once,NoFrequency"</formula1>
    </dataValidation>
    <dataValidation type="list" allowBlank="1" showInputMessage="1" showErrorMessage="1" sqref="I5:I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5:H10">
      <formula1>"Following,Modified Following,Preceding,Modified Preceding,Month End Reference,Unadjusted Month End,Unadjusted"</formula1>
    </dataValidation>
    <dataValidation type="list" allowBlank="1" showInputMessage="1" showErrorMessage="1" sqref="S3:S1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62</vt:i4>
      </vt:variant>
    </vt:vector>
  </HeadingPairs>
  <TitlesOfParts>
    <vt:vector size="73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1Y Delta</vt:lpstr>
      <vt:lpstr>Accuracy</vt:lpstr>
      <vt:lpstr>AllTriggers</vt:lpstr>
      <vt:lpstr>B3Minterpolation</vt:lpstr>
      <vt:lpstr>B6Minterpolation</vt:lpstr>
      <vt:lpstr>BasisInterpolation</vt:lpstr>
      <vt:lpstr>BasisInterpolator</vt:lpstr>
      <vt:lpstr>Calendar</vt:lpstr>
      <vt:lpstr>'1Y Delta'!Conventions</vt:lpstr>
      <vt:lpstr>'Delta 1M'!Conventions</vt:lpstr>
      <vt:lpstr>Currency</vt:lpstr>
      <vt:lpstr>DayCounter</vt:lpstr>
      <vt:lpstr>Delta1M</vt:lpstr>
      <vt:lpstr>Delta1Y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IborTenor1M</vt:lpstr>
      <vt:lpstr>IborType</vt:lpstr>
      <vt:lpstr>InterestRatesTrigger</vt:lpstr>
      <vt:lpstr>interpolatedbasis3M</vt:lpstr>
      <vt:lpstr>interpolatedbasis6M</vt:lpstr>
      <vt:lpstr>'1MSynthDepo'!interpolator3M</vt:lpstr>
      <vt:lpstr>'1YSynthDepo'!interpolator3M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2015-05-11T15:22:14Z</dcterms:modified>
</cp:coreProperties>
</file>