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165" windowWidth="9630" windowHeight="11430" activeTab="1"/>
  </bookViews>
  <sheets>
    <sheet name="General Settings" sheetId="2" r:id="rId1"/>
    <sheet name="Contribution" sheetId="7" r:id="rId2"/>
    <sheet name="ON Pricing" sheetId="12" r:id="rId3"/>
    <sheet name="3M Pricing" sheetId="10" r:id="rId4"/>
    <sheet name="6M Pricing" sheetId="11" r:id="rId5"/>
  </sheets>
  <externalReferences>
    <externalReference r:id="rId6"/>
  </externalReferences>
  <definedNames>
    <definedName name="_xlnm._FilterDatabase" localSheetId="1" hidden="1">Contribution!$A$4:$AD$4</definedName>
    <definedName name="ASK">Contribution!$H$1</definedName>
    <definedName name="BDayConvention" localSheetId="3">'3M Pricing'!$Q$7</definedName>
    <definedName name="BDayConvention" localSheetId="4">'6M Pricing'!$O$7</definedName>
    <definedName name="BID">Contribution!$G$1</definedName>
    <definedName name="Calendar">'General Settings'!$D$19</definedName>
    <definedName name="Contribute">Contribution!$B$1</definedName>
    <definedName name="Currency">'General Settings'!$D$11</definedName>
    <definedName name="CurveTenor" localSheetId="3">'3M Pricing'!$G$1</definedName>
    <definedName name="CurveTenor" localSheetId="4">'6M Pricing'!$E$1</definedName>
    <definedName name="CurveTenor" localSheetId="2">'ON Pricing'!$E$1</definedName>
    <definedName name="DayCounter" localSheetId="3">'3M Pricing'!$R$7</definedName>
    <definedName name="DayCounter" localSheetId="4">'6M Pricing'!$P$7</definedName>
    <definedName name="DiscountingCurve">'General Settings'!$D$12</definedName>
    <definedName name="EvaluationDate">'General Settings'!$D$5</definedName>
    <definedName name="Fields">Contribution!$G$1:$H$1</definedName>
    <definedName name="FixedLegBDC" localSheetId="4">'6M Pricing'!$O$20</definedName>
    <definedName name="FixedLegBDC" localSheetId="2">'ON Pricing'!$O$8</definedName>
    <definedName name="FixedLegBDC">'3M Pricing'!$Q$20</definedName>
    <definedName name="FixedLegDayCounter" localSheetId="3">'3M Pricing'!$R$20</definedName>
    <definedName name="FixedLegDayCounter" localSheetId="4">'6M Pricing'!$P$20</definedName>
    <definedName name="FixedLegDayCounter" localSheetId="2">'ON Pricing'!$P$8</definedName>
    <definedName name="FixedLegTenor" localSheetId="3">'3M Pricing'!$P$20</definedName>
    <definedName name="FixedLegTenor" localSheetId="4">'6M Pricing'!$N$20</definedName>
    <definedName name="FixedLegTenor" localSheetId="2">'ON Pricing'!$N$8</definedName>
    <definedName name="IborIndex" localSheetId="3">'3M Pricing'!$N$13</definedName>
    <definedName name="IborIndex" localSheetId="4">'6M Pricing'!$L$16</definedName>
    <definedName name="IborIndexFamily">'General Settings'!$D$13</definedName>
    <definedName name="InterestRatesTrigger">'General Settings'!$D$6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vernightIndex" localSheetId="2">'ON Pricing'!$L$5</definedName>
    <definedName name="SettlementDate">'General Settings'!$D$20</definedName>
    <definedName name="SettlementDays">'General Settings'!$D$15</definedName>
    <definedName name="SourceAlias">Contribution!$E$1</definedName>
    <definedName name="Trigger">'General Settings'!$D$4</definedName>
    <definedName name="YieldCurve" localSheetId="3">'3M Pricing'!$G$2</definedName>
    <definedName name="YieldCurve" localSheetId="4">'6M Pricing'!$E$2</definedName>
    <definedName name="YieldCurve" localSheetId="2">'ON Pricing'!$E$2</definedName>
  </definedNames>
  <calcPr calcId="145621"/>
</workbook>
</file>

<file path=xl/calcChain.xml><?xml version="1.0" encoding="utf-8"?>
<calcChain xmlns="http://schemas.openxmlformats.org/spreadsheetml/2006/main">
  <c r="J5" i="12" l="1"/>
  <c r="L13" i="10" l="1"/>
  <c r="J16" i="11"/>
  <c r="I16" i="11"/>
  <c r="I15" i="11"/>
  <c r="I14" i="11"/>
  <c r="I13" i="11"/>
  <c r="I12" i="11"/>
  <c r="I11" i="11"/>
  <c r="I10" i="11"/>
  <c r="I9" i="11"/>
  <c r="I8" i="11"/>
  <c r="L23" i="10" l="1"/>
  <c r="L22" i="10"/>
  <c r="L20" i="10"/>
  <c r="J35" i="11"/>
  <c r="J34" i="11"/>
  <c r="J33" i="11"/>
  <c r="J32" i="11"/>
  <c r="J31" i="11"/>
  <c r="J30" i="11"/>
  <c r="J29" i="11"/>
  <c r="J28" i="11"/>
  <c r="J27" i="11"/>
  <c r="J26" i="11"/>
  <c r="J25" i="11"/>
  <c r="J24" i="11"/>
  <c r="D12" i="2"/>
  <c r="D13" i="2" l="1"/>
  <c r="A19" i="7"/>
  <c r="J35" i="12" l="1"/>
  <c r="J34" i="12"/>
  <c r="J33" i="12"/>
  <c r="J32" i="12"/>
  <c r="J31" i="12"/>
  <c r="J30" i="12"/>
  <c r="J29" i="12"/>
  <c r="J28" i="12"/>
  <c r="J27" i="12"/>
  <c r="J26" i="12"/>
  <c r="J25" i="12"/>
  <c r="J24" i="12"/>
  <c r="J23" i="12"/>
  <c r="J22" i="12"/>
  <c r="J21" i="12"/>
  <c r="J20" i="12"/>
  <c r="J19" i="12"/>
  <c r="J16" i="12"/>
  <c r="J15" i="12"/>
  <c r="J14" i="12"/>
  <c r="J13" i="12"/>
  <c r="J12" i="12"/>
  <c r="J11" i="12"/>
  <c r="J8" i="12"/>
  <c r="F19" i="7" l="1"/>
  <c r="I19" i="12" s="1"/>
  <c r="D14" i="10" a="1"/>
  <c r="D14" i="10" l="1"/>
  <c r="D15" i="10"/>
  <c r="D16" i="10"/>
  <c r="D17" i="10"/>
  <c r="D18" i="10"/>
  <c r="D19" i="10"/>
  <c r="C14" i="10"/>
  <c r="C17" i="10"/>
  <c r="C15" i="10"/>
  <c r="C16" i="10"/>
  <c r="H16" i="10"/>
  <c r="C18" i="10"/>
  <c r="H17" i="10"/>
  <c r="C19" i="10"/>
  <c r="L14" i="10" l="1"/>
  <c r="L19" i="10"/>
  <c r="L17" i="10"/>
  <c r="L16" i="10"/>
  <c r="L18" i="10"/>
  <c r="L15" i="10"/>
  <c r="L15" i="7"/>
  <c r="L14" i="7"/>
  <c r="L19" i="7"/>
  <c r="L17" i="7"/>
  <c r="L16" i="7"/>
  <c r="L18" i="7"/>
  <c r="H19" i="10"/>
  <c r="H18" i="10"/>
  <c r="H15" i="10"/>
  <c r="H14" i="10"/>
  <c r="F35" i="7" l="1"/>
  <c r="I35" i="12" s="1"/>
  <c r="F34" i="7"/>
  <c r="I34" i="12" s="1"/>
  <c r="F33" i="7"/>
  <c r="I33" i="12" s="1"/>
  <c r="F32" i="7"/>
  <c r="I32" i="12" s="1"/>
  <c r="F31" i="7"/>
  <c r="I31" i="12" s="1"/>
  <c r="F30" i="7"/>
  <c r="I30" i="12" s="1"/>
  <c r="F29" i="7"/>
  <c r="I29" i="12" s="1"/>
  <c r="F28" i="7"/>
  <c r="I28" i="12" s="1"/>
  <c r="F27" i="7"/>
  <c r="I27" i="12" s="1"/>
  <c r="F26" i="7"/>
  <c r="I26" i="12" s="1"/>
  <c r="F25" i="7"/>
  <c r="I25" i="12" s="1"/>
  <c r="F24" i="7"/>
  <c r="I24" i="12" s="1"/>
  <c r="F23" i="7"/>
  <c r="I23" i="12" s="1"/>
  <c r="F22" i="7"/>
  <c r="I22" i="12" s="1"/>
  <c r="F21" i="7"/>
  <c r="I21" i="12" s="1"/>
  <c r="F20" i="7"/>
  <c r="I20" i="12" s="1"/>
  <c r="F16" i="7"/>
  <c r="I16" i="12" s="1"/>
  <c r="F15" i="7"/>
  <c r="I15" i="12" s="1"/>
  <c r="F14" i="7"/>
  <c r="I14" i="12" s="1"/>
  <c r="F13" i="7"/>
  <c r="I13" i="12" s="1"/>
  <c r="F12" i="7"/>
  <c r="I12" i="12" s="1"/>
  <c r="F11" i="7"/>
  <c r="I11" i="12" s="1"/>
  <c r="F8" i="7"/>
  <c r="I8" i="12" s="1"/>
  <c r="F7" i="7"/>
  <c r="I7" i="12" s="1"/>
  <c r="F6" i="7"/>
  <c r="I6" i="12" s="1"/>
  <c r="F5" i="7"/>
  <c r="I5" i="12" s="1"/>
  <c r="T35" i="7"/>
  <c r="I35" i="11" s="1"/>
  <c r="T34" i="7"/>
  <c r="I34" i="11" s="1"/>
  <c r="T33" i="7"/>
  <c r="I33" i="11" s="1"/>
  <c r="T32" i="7"/>
  <c r="I32" i="11" s="1"/>
  <c r="T31" i="7"/>
  <c r="I31" i="11" s="1"/>
  <c r="T30" i="7"/>
  <c r="I30" i="11" s="1"/>
  <c r="T27" i="7"/>
  <c r="I27" i="11" s="1"/>
  <c r="T25" i="7"/>
  <c r="I25" i="11" s="1"/>
  <c r="T24" i="7"/>
  <c r="I24" i="11" s="1"/>
  <c r="T23" i="7"/>
  <c r="I23" i="11" s="1"/>
  <c r="T22" i="7"/>
  <c r="I22" i="11" s="1"/>
  <c r="T20" i="7"/>
  <c r="I20" i="11" s="1"/>
  <c r="T16" i="7"/>
  <c r="T15" i="7"/>
  <c r="T14" i="7"/>
  <c r="T13" i="7"/>
  <c r="T12" i="7"/>
  <c r="T11" i="7"/>
  <c r="T10" i="7"/>
  <c r="T9" i="7"/>
  <c r="T8" i="7"/>
  <c r="T7" i="7"/>
  <c r="I7" i="11" s="1"/>
  <c r="T6" i="7"/>
  <c r="I6" i="11" s="1"/>
  <c r="T5" i="7"/>
  <c r="M35" i="7"/>
  <c r="K35" i="10" s="1"/>
  <c r="M34" i="7"/>
  <c r="K34" i="10" s="1"/>
  <c r="M33" i="7"/>
  <c r="K33" i="10" s="1"/>
  <c r="M32" i="7"/>
  <c r="K32" i="10" s="1"/>
  <c r="M31" i="7"/>
  <c r="K31" i="10" s="1"/>
  <c r="M30" i="7"/>
  <c r="K30" i="10" s="1"/>
  <c r="M27" i="7"/>
  <c r="K27" i="10" s="1"/>
  <c r="M25" i="7"/>
  <c r="K25" i="10" s="1"/>
  <c r="M24" i="7"/>
  <c r="K24" i="10" s="1"/>
  <c r="M23" i="7"/>
  <c r="K23" i="10" s="1"/>
  <c r="M22" i="7"/>
  <c r="K22" i="10" s="1"/>
  <c r="M20" i="7"/>
  <c r="K20" i="10" s="1"/>
  <c r="M19" i="7"/>
  <c r="K19" i="10" s="1"/>
  <c r="M18" i="7"/>
  <c r="K18" i="10" s="1"/>
  <c r="M17" i="7"/>
  <c r="K17" i="10" s="1"/>
  <c r="M16" i="7"/>
  <c r="K16" i="10" s="1"/>
  <c r="M15" i="7"/>
  <c r="K15" i="10" s="1"/>
  <c r="M14" i="7"/>
  <c r="K14" i="10" s="1"/>
  <c r="M13" i="7"/>
  <c r="K13" i="10" s="1"/>
  <c r="M12" i="7"/>
  <c r="K12" i="10" s="1"/>
  <c r="M11" i="7"/>
  <c r="K11" i="10" s="1"/>
  <c r="M10" i="7"/>
  <c r="K10" i="10" s="1"/>
  <c r="M9" i="7"/>
  <c r="K9" i="10" s="1"/>
  <c r="M8" i="7"/>
  <c r="K8" i="10" s="1"/>
  <c r="M7" i="7"/>
  <c r="K7" i="10" s="1"/>
  <c r="M6" i="7"/>
  <c r="K6" i="10" s="1"/>
  <c r="M5" i="7"/>
  <c r="K5" i="10" s="1"/>
  <c r="I5" i="11" l="1"/>
  <c r="E2" i="12" l="1"/>
  <c r="E2" i="11"/>
  <c r="G2" i="10" l="1"/>
  <c r="B1" i="2" l="1"/>
  <c r="D5" i="2"/>
  <c r="E13" i="11" l="1"/>
  <c r="E9" i="11"/>
  <c r="E16" i="11"/>
  <c r="E12" i="11"/>
  <c r="E8" i="11"/>
  <c r="E15" i="11"/>
  <c r="E11" i="11"/>
  <c r="E14" i="11"/>
  <c r="E10" i="11"/>
  <c r="E35" i="12"/>
  <c r="E27" i="12"/>
  <c r="E19" i="12"/>
  <c r="E11" i="12"/>
  <c r="E34" i="12"/>
  <c r="E26" i="12"/>
  <c r="E18" i="12"/>
  <c r="E10" i="12"/>
  <c r="E33" i="12"/>
  <c r="E25" i="12"/>
  <c r="E17" i="12"/>
  <c r="E9" i="12"/>
  <c r="E32" i="12"/>
  <c r="E24" i="12"/>
  <c r="E16" i="12"/>
  <c r="E8" i="12"/>
  <c r="E31" i="12"/>
  <c r="E23" i="12"/>
  <c r="E15" i="12"/>
  <c r="E30" i="12"/>
  <c r="E22" i="12"/>
  <c r="E14" i="12"/>
  <c r="E29" i="12"/>
  <c r="E21" i="12"/>
  <c r="E13" i="12"/>
  <c r="E28" i="12"/>
  <c r="E20" i="12"/>
  <c r="E12" i="12"/>
  <c r="E20" i="11"/>
  <c r="G20" i="10"/>
  <c r="E5" i="12"/>
  <c r="L16" i="11"/>
  <c r="N13" i="10"/>
  <c r="G33" i="10"/>
  <c r="G34" i="10"/>
  <c r="E5" i="11"/>
  <c r="E30" i="11"/>
  <c r="G35" i="10"/>
  <c r="E25" i="11"/>
  <c r="E35" i="11"/>
  <c r="G28" i="10"/>
  <c r="E6" i="11"/>
  <c r="G6" i="10"/>
  <c r="G22" i="10"/>
  <c r="G24" i="10"/>
  <c r="E26" i="11"/>
  <c r="G11" i="10"/>
  <c r="E31" i="11"/>
  <c r="G25" i="10"/>
  <c r="F5" i="11"/>
  <c r="E28" i="11"/>
  <c r="G9" i="10"/>
  <c r="G32" i="10"/>
  <c r="G10" i="10"/>
  <c r="G21" i="10"/>
  <c r="G27" i="10"/>
  <c r="G29" i="10"/>
  <c r="E23" i="11"/>
  <c r="G30" i="10"/>
  <c r="G13" i="10"/>
  <c r="G5" i="10"/>
  <c r="E33" i="11"/>
  <c r="G12" i="10"/>
  <c r="G23" i="10"/>
  <c r="G31" i="10"/>
  <c r="G26" i="10"/>
  <c r="E29" i="11"/>
  <c r="E27" i="11"/>
  <c r="E7" i="11"/>
  <c r="E21" i="11"/>
  <c r="E22" i="11"/>
  <c r="H5" i="10"/>
  <c r="E32" i="11"/>
  <c r="E24" i="11"/>
  <c r="G8" i="10"/>
  <c r="E34" i="11"/>
  <c r="G7" i="10"/>
  <c r="F5" i="12"/>
  <c r="F16" i="11"/>
  <c r="G16" i="11" s="1"/>
  <c r="D18" i="2"/>
  <c r="H13" i="10"/>
  <c r="B16" i="11" l="1"/>
  <c r="D19" i="2"/>
  <c r="L31" i="11"/>
  <c r="L33" i="11"/>
  <c r="N25" i="10"/>
  <c r="L21" i="11"/>
  <c r="I17" i="10"/>
  <c r="G6" i="11"/>
  <c r="L21" i="12"/>
  <c r="L35" i="12"/>
  <c r="G5" i="12"/>
  <c r="L33" i="12"/>
  <c r="L26" i="12"/>
  <c r="N23" i="10"/>
  <c r="L27" i="12"/>
  <c r="N34" i="10"/>
  <c r="H34" i="10" s="1"/>
  <c r="L30" i="11"/>
  <c r="L14" i="12"/>
  <c r="I14" i="10"/>
  <c r="L32" i="11"/>
  <c r="N30" i="10"/>
  <c r="H30" i="10" s="1"/>
  <c r="L9" i="12"/>
  <c r="G14" i="10"/>
  <c r="L20" i="12"/>
  <c r="N32" i="10"/>
  <c r="L34" i="12"/>
  <c r="I19" i="10"/>
  <c r="G19" i="10"/>
  <c r="L30" i="12"/>
  <c r="L22" i="11"/>
  <c r="F22" i="11" s="1"/>
  <c r="L8" i="12"/>
  <c r="N20" i="10"/>
  <c r="D20" i="2"/>
  <c r="L12" i="12"/>
  <c r="N11" i="10"/>
  <c r="N12" i="10"/>
  <c r="H12" i="10" s="1"/>
  <c r="N7" i="10"/>
  <c r="H7" i="10" s="1"/>
  <c r="N10" i="10"/>
  <c r="H10" i="10" s="1"/>
  <c r="N9" i="10"/>
  <c r="H9" i="10" s="1"/>
  <c r="N8" i="10"/>
  <c r="H8" i="10" s="1"/>
  <c r="L15" i="11"/>
  <c r="L7" i="11"/>
  <c r="L9" i="11"/>
  <c r="L8" i="11"/>
  <c r="L10" i="11"/>
  <c r="F10" i="11" s="1"/>
  <c r="L11" i="11"/>
  <c r="L12" i="11"/>
  <c r="L13" i="11"/>
  <c r="L14" i="11"/>
  <c r="N35" i="10"/>
  <c r="L29" i="11"/>
  <c r="L23" i="11"/>
  <c r="N28" i="10"/>
  <c r="H20" i="10"/>
  <c r="G17" i="10"/>
  <c r="I8" i="10"/>
  <c r="L25" i="12"/>
  <c r="L28" i="12"/>
  <c r="I12" i="10"/>
  <c r="G5" i="11"/>
  <c r="L31" i="12"/>
  <c r="F9" i="12"/>
  <c r="L27" i="11"/>
  <c r="N22" i="10"/>
  <c r="H22" i="10" s="1"/>
  <c r="N24" i="10"/>
  <c r="H24" i="10"/>
  <c r="H28" i="10"/>
  <c r="F34" i="12"/>
  <c r="L18" i="12"/>
  <c r="F18" i="12" s="1"/>
  <c r="G18" i="10"/>
  <c r="N27" i="10"/>
  <c r="N33" i="10"/>
  <c r="L29" i="12"/>
  <c r="F29" i="12" s="1"/>
  <c r="H32" i="10"/>
  <c r="F14" i="12"/>
  <c r="F25" i="12"/>
  <c r="I6" i="10"/>
  <c r="F8" i="12"/>
  <c r="I15" i="10"/>
  <c r="L34" i="11"/>
  <c r="N29" i="10"/>
  <c r="L24" i="12"/>
  <c r="F24" i="12" s="1"/>
  <c r="G24" i="12"/>
  <c r="H35" i="10"/>
  <c r="L28" i="11"/>
  <c r="L24" i="11"/>
  <c r="L26" i="11"/>
  <c r="L22" i="12"/>
  <c r="F22" i="12" s="1"/>
  <c r="L23" i="12"/>
  <c r="G15" i="10"/>
  <c r="L20" i="11"/>
  <c r="F20" i="11" s="1"/>
  <c r="N31" i="10"/>
  <c r="H31" i="10" s="1"/>
  <c r="L17" i="12"/>
  <c r="H29" i="10"/>
  <c r="H23" i="10"/>
  <c r="N21" i="10"/>
  <c r="H21" i="10" s="1"/>
  <c r="L25" i="11"/>
  <c r="H25" i="10"/>
  <c r="L15" i="12"/>
  <c r="F15" i="12" s="1"/>
  <c r="F27" i="12"/>
  <c r="L32" i="12"/>
  <c r="F32" i="12" s="1"/>
  <c r="L11" i="12"/>
  <c r="F11" i="12" s="1"/>
  <c r="H27" i="10"/>
  <c r="L10" i="12"/>
  <c r="N26" i="10"/>
  <c r="H26" i="10" s="1"/>
  <c r="I10" i="10"/>
  <c r="H33" i="10"/>
  <c r="L16" i="12"/>
  <c r="L35" i="11"/>
  <c r="I13" i="10"/>
  <c r="L19" i="12"/>
  <c r="I5" i="10"/>
  <c r="L13" i="12"/>
  <c r="H11" i="10"/>
  <c r="I11" i="10" s="1"/>
  <c r="F15" i="11"/>
  <c r="G15" i="11"/>
  <c r="F7" i="11"/>
  <c r="G7" i="11"/>
  <c r="F9" i="11"/>
  <c r="G9" i="11" s="1"/>
  <c r="F8" i="11"/>
  <c r="G8" i="11" s="1"/>
  <c r="F11" i="11"/>
  <c r="G11" i="11"/>
  <c r="F12" i="11"/>
  <c r="G12" i="11"/>
  <c r="F13" i="11"/>
  <c r="G13" i="11"/>
  <c r="F14" i="11"/>
  <c r="G14" i="11" s="1"/>
  <c r="F13" i="12"/>
  <c r="G13" i="12" s="1"/>
  <c r="B14" i="11" l="1"/>
  <c r="B15" i="11"/>
  <c r="B7" i="11"/>
  <c r="B12" i="10"/>
  <c r="H6" i="10"/>
  <c r="F6" i="11"/>
  <c r="B8" i="10"/>
  <c r="B13" i="11"/>
  <c r="B13" i="10"/>
  <c r="B5" i="11"/>
  <c r="B6" i="11"/>
  <c r="B6" i="10"/>
  <c r="B5" i="10"/>
  <c r="B11" i="10"/>
  <c r="B11" i="11"/>
  <c r="B8" i="11"/>
  <c r="B12" i="11"/>
  <c r="B9" i="11"/>
  <c r="B10" i="10"/>
  <c r="E6" i="12"/>
  <c r="F28" i="12"/>
  <c r="F33" i="12"/>
  <c r="G29" i="12"/>
  <c r="G25" i="12"/>
  <c r="I33" i="10"/>
  <c r="F6" i="12"/>
  <c r="I22" i="10"/>
  <c r="I35" i="10"/>
  <c r="F28" i="11"/>
  <c r="G10" i="11"/>
  <c r="F35" i="12"/>
  <c r="F33" i="11"/>
  <c r="I34" i="10"/>
  <c r="I16" i="10"/>
  <c r="F35" i="11"/>
  <c r="G33" i="11"/>
  <c r="G32" i="12"/>
  <c r="F19" i="12"/>
  <c r="I9" i="10"/>
  <c r="F21" i="12"/>
  <c r="G21" i="12" s="1"/>
  <c r="F23" i="11"/>
  <c r="G20" i="11"/>
  <c r="G16" i="10"/>
  <c r="F31" i="11"/>
  <c r="F21" i="11"/>
  <c r="G27" i="12"/>
  <c r="G28" i="12"/>
  <c r="F16" i="12"/>
  <c r="I7" i="10"/>
  <c r="I31" i="10"/>
  <c r="F27" i="11"/>
  <c r="F30" i="11"/>
  <c r="I32" i="10"/>
  <c r="G16" i="12"/>
  <c r="G19" i="12"/>
  <c r="F10" i="12"/>
  <c r="F12" i="12"/>
  <c r="F24" i="11"/>
  <c r="G23" i="11"/>
  <c r="F25" i="11"/>
  <c r="G8" i="12"/>
  <c r="G18" i="12"/>
  <c r="G34" i="12"/>
  <c r="G22" i="11"/>
  <c r="F17" i="12"/>
  <c r="G17" i="12" s="1"/>
  <c r="F30" i="12"/>
  <c r="I30" i="10"/>
  <c r="F29" i="11"/>
  <c r="G15" i="12"/>
  <c r="G30" i="12"/>
  <c r="G14" i="12"/>
  <c r="I18" i="10"/>
  <c r="F34" i="11"/>
  <c r="F23" i="12"/>
  <c r="G23" i="12" s="1"/>
  <c r="F20" i="12"/>
  <c r="G22" i="12"/>
  <c r="G9" i="12"/>
  <c r="G12" i="12"/>
  <c r="G35" i="12"/>
  <c r="F26" i="11"/>
  <c r="I20" i="10"/>
  <c r="F31" i="12"/>
  <c r="G31" i="12" s="1"/>
  <c r="F26" i="12"/>
  <c r="G26" i="12" s="1"/>
  <c r="G10" i="12"/>
  <c r="G20" i="12"/>
  <c r="G33" i="12"/>
  <c r="I28" i="10"/>
  <c r="G35" i="11"/>
  <c r="F32" i="11"/>
  <c r="G11" i="12"/>
  <c r="I26" i="10"/>
  <c r="G26" i="11"/>
  <c r="B7" i="10" l="1"/>
  <c r="B9" i="10"/>
  <c r="B10" i="11"/>
  <c r="A35" i="7"/>
  <c r="B19" i="7"/>
  <c r="C33" i="7"/>
  <c r="B25" i="7"/>
  <c r="B14" i="7"/>
  <c r="C10" i="7"/>
  <c r="A5" i="7"/>
  <c r="C13" i="7"/>
  <c r="A22" i="7"/>
  <c r="A30" i="7"/>
  <c r="C12" i="7"/>
  <c r="A25" i="7"/>
  <c r="A14" i="7"/>
  <c r="B17" i="7"/>
  <c r="B9" i="7"/>
  <c r="C8" i="7"/>
  <c r="B23" i="7"/>
  <c r="A23" i="7"/>
  <c r="A13" i="7"/>
  <c r="C5" i="7"/>
  <c r="A27" i="7"/>
  <c r="A20" i="7"/>
  <c r="C16" i="7"/>
  <c r="A28" i="7"/>
  <c r="C9" i="7"/>
  <c r="B12" i="7"/>
  <c r="A11" i="7"/>
  <c r="C31" i="7"/>
  <c r="B6" i="7"/>
  <c r="B7" i="7"/>
  <c r="A24" i="7"/>
  <c r="C15" i="7"/>
  <c r="A29" i="7"/>
  <c r="C27" i="7"/>
  <c r="C22" i="7"/>
  <c r="B20" i="7"/>
  <c r="C32" i="7"/>
  <c r="C6" i="7"/>
  <c r="C7" i="7"/>
  <c r="A16" i="7"/>
  <c r="C23" i="7"/>
  <c r="A34" i="7"/>
  <c r="C34" i="7"/>
  <c r="C20" i="7"/>
  <c r="C14" i="7"/>
  <c r="B18" i="7"/>
  <c r="A31" i="7"/>
  <c r="B33" i="7"/>
  <c r="B31" i="7"/>
  <c r="B27" i="7"/>
  <c r="A12" i="7"/>
  <c r="A21" i="7"/>
  <c r="B32" i="7"/>
  <c r="C11" i="7"/>
  <c r="B30" i="7"/>
  <c r="A32" i="7"/>
  <c r="C30" i="7"/>
  <c r="B22" i="7"/>
  <c r="A7" i="7"/>
  <c r="B16" i="7"/>
  <c r="B8" i="7"/>
  <c r="B5" i="7"/>
  <c r="B35" i="7"/>
  <c r="B24" i="7"/>
  <c r="A8" i="7"/>
  <c r="B11" i="7"/>
  <c r="B10" i="7"/>
  <c r="A33" i="7"/>
  <c r="C25" i="7"/>
  <c r="A26" i="7"/>
  <c r="B13" i="7"/>
  <c r="C24" i="7"/>
  <c r="A6" i="7"/>
  <c r="B34" i="7"/>
  <c r="C35" i="7"/>
  <c r="A15" i="7"/>
  <c r="B15" i="7"/>
  <c r="G32" i="11"/>
  <c r="I23" i="10"/>
  <c r="G24" i="11"/>
  <c r="G31" i="11"/>
  <c r="G34" i="11"/>
  <c r="I27" i="10"/>
  <c r="I21" i="10"/>
  <c r="G27" i="11"/>
  <c r="G6" i="12"/>
  <c r="G29" i="11"/>
  <c r="I29" i="10"/>
  <c r="I24" i="10"/>
  <c r="I25" i="10"/>
  <c r="G30" i="11"/>
  <c r="G21" i="11"/>
  <c r="G25" i="11"/>
  <c r="G28" i="11"/>
  <c r="E7" i="12" l="1"/>
  <c r="F7" i="12"/>
  <c r="G7" i="12"/>
  <c r="D6" i="2" l="1"/>
  <c r="H6" i="12"/>
  <c r="J21" i="10"/>
  <c r="H11" i="12"/>
  <c r="J26" i="10"/>
  <c r="J9" i="10"/>
  <c r="H32" i="12"/>
  <c r="H18" i="12"/>
  <c r="J22" i="10"/>
  <c r="H35" i="11"/>
  <c r="H30" i="12"/>
  <c r="H23" i="12"/>
  <c r="H29" i="12"/>
  <c r="J10" i="10"/>
  <c r="H12" i="12"/>
  <c r="J27" i="10"/>
  <c r="H13" i="12"/>
  <c r="H32" i="11"/>
  <c r="H17" i="12"/>
  <c r="J23" i="10"/>
  <c r="H22" i="12"/>
  <c r="H23" i="11"/>
  <c r="H25" i="11"/>
  <c r="H21" i="11"/>
  <c r="J16" i="10"/>
  <c r="J35" i="10"/>
  <c r="J18" i="10"/>
  <c r="H24" i="12"/>
  <c r="H35" i="12"/>
  <c r="H10" i="12"/>
  <c r="H8" i="11"/>
  <c r="J11" i="10"/>
  <c r="J13" i="10"/>
  <c r="H9" i="12"/>
  <c r="H14" i="11"/>
  <c r="H22" i="11"/>
  <c r="H16" i="12"/>
  <c r="J15" i="10"/>
  <c r="J7" i="10"/>
  <c r="H25" i="12"/>
  <c r="J34" i="10"/>
  <c r="H15" i="11"/>
  <c r="J8" i="10"/>
  <c r="H14" i="12"/>
  <c r="H7" i="12"/>
  <c r="H24" i="11"/>
  <c r="H7" i="11"/>
  <c r="H19" i="12"/>
  <c r="H26" i="12"/>
  <c r="H27" i="11"/>
  <c r="H30" i="11"/>
  <c r="H28" i="11"/>
  <c r="H20" i="11"/>
  <c r="J32" i="10"/>
  <c r="J24" i="10"/>
  <c r="J31" i="10"/>
  <c r="H5" i="12"/>
  <c r="H15" i="12"/>
  <c r="H31" i="12"/>
  <c r="H13" i="11"/>
  <c r="H12" i="11"/>
  <c r="H33" i="11"/>
  <c r="J29" i="10"/>
  <c r="H31" i="11"/>
  <c r="H34" i="12"/>
  <c r="H21" i="12"/>
  <c r="H9" i="11"/>
  <c r="H29" i="11"/>
  <c r="H27" i="12"/>
  <c r="J17" i="10"/>
  <c r="J12" i="10"/>
  <c r="H28" i="12"/>
  <c r="J30" i="10"/>
  <c r="H10" i="11"/>
  <c r="H8" i="12"/>
  <c r="J19" i="10"/>
  <c r="H16" i="11"/>
  <c r="H26" i="11"/>
  <c r="H34" i="11"/>
  <c r="J25" i="10"/>
  <c r="J28" i="10"/>
  <c r="J20" i="10"/>
  <c r="J14" i="10"/>
  <c r="H33" i="12"/>
  <c r="H20" i="12"/>
  <c r="J33" i="10"/>
  <c r="H11" i="11"/>
  <c r="U11" i="7" l="1"/>
  <c r="U16" i="7"/>
  <c r="U10" i="7"/>
  <c r="U9" i="7"/>
  <c r="U12" i="7"/>
  <c r="U13" i="7"/>
  <c r="U7" i="7"/>
  <c r="U15" i="7"/>
  <c r="U14" i="7"/>
  <c r="U8" i="7"/>
  <c r="N33" i="7"/>
  <c r="G20" i="7"/>
  <c r="G33" i="7"/>
  <c r="N14" i="7"/>
  <c r="N20" i="7"/>
  <c r="N25" i="7"/>
  <c r="U34" i="7"/>
  <c r="N19" i="7"/>
  <c r="G8" i="7"/>
  <c r="N30" i="7"/>
  <c r="G28" i="7"/>
  <c r="N12" i="7"/>
  <c r="N17" i="7"/>
  <c r="G27" i="7"/>
  <c r="G21" i="7"/>
  <c r="G34" i="7"/>
  <c r="U31" i="7"/>
  <c r="G6" i="7"/>
  <c r="U33" i="7"/>
  <c r="G31" i="7"/>
  <c r="G15" i="7"/>
  <c r="G5" i="7"/>
  <c r="N31" i="7"/>
  <c r="N24" i="7"/>
  <c r="N32" i="7"/>
  <c r="U20" i="7"/>
  <c r="U30" i="7"/>
  <c r="U27" i="7"/>
  <c r="G26" i="7"/>
  <c r="G19" i="7"/>
  <c r="U24" i="7"/>
  <c r="G7" i="7"/>
  <c r="G14" i="7"/>
  <c r="N8" i="7"/>
  <c r="N34" i="7"/>
  <c r="G25" i="7"/>
  <c r="N7" i="7"/>
  <c r="N15" i="7"/>
  <c r="G16" i="7"/>
  <c r="U22" i="7"/>
  <c r="N13" i="7"/>
  <c r="N11" i="7"/>
  <c r="G35" i="7"/>
  <c r="G24" i="7"/>
  <c r="N18" i="7"/>
  <c r="N35" i="7"/>
  <c r="N16" i="7"/>
  <c r="U25" i="7"/>
  <c r="U23" i="7"/>
  <c r="G22" i="7"/>
  <c r="N23" i="7"/>
  <c r="U32" i="7"/>
  <c r="G13" i="7"/>
  <c r="N27" i="7"/>
  <c r="G12" i="7"/>
  <c r="N10" i="7"/>
  <c r="G29" i="7"/>
  <c r="G23" i="7"/>
  <c r="G30" i="7"/>
  <c r="U35" i="7"/>
  <c r="N22" i="7"/>
  <c r="G32" i="7"/>
  <c r="N9" i="7"/>
  <c r="G11" i="7"/>
  <c r="W11" i="7"/>
  <c r="W10" i="7"/>
  <c r="W13" i="7"/>
  <c r="P19" i="7"/>
  <c r="W9" i="7"/>
  <c r="I31" i="7"/>
  <c r="W27" i="7"/>
  <c r="P34" i="7"/>
  <c r="P11" i="7"/>
  <c r="W23" i="7"/>
  <c r="I29" i="7"/>
  <c r="P33" i="7"/>
  <c r="I8" i="7"/>
  <c r="I21" i="7"/>
  <c r="I15" i="7"/>
  <c r="I26" i="7"/>
  <c r="I25" i="7"/>
  <c r="W8" i="7"/>
  <c r="I22" i="7"/>
  <c r="I23" i="7"/>
  <c r="I20" i="7"/>
  <c r="W12" i="7"/>
  <c r="I34" i="7"/>
  <c r="I5" i="7"/>
  <c r="I19" i="7"/>
  <c r="P7" i="7"/>
  <c r="I35" i="7"/>
  <c r="P23" i="7"/>
  <c r="I30" i="7"/>
  <c r="I33" i="7"/>
  <c r="P30" i="7"/>
  <c r="W31" i="7"/>
  <c r="P31" i="7"/>
  <c r="W7" i="7"/>
  <c r="P15" i="7"/>
  <c r="I24" i="7"/>
  <c r="W32" i="7"/>
  <c r="W35" i="7"/>
  <c r="P14" i="7"/>
  <c r="I28" i="7"/>
  <c r="I6" i="7"/>
  <c r="P24" i="7"/>
  <c r="W24" i="7"/>
  <c r="I16" i="7"/>
  <c r="P18" i="7"/>
  <c r="I13" i="7"/>
  <c r="P22" i="7"/>
  <c r="P20" i="7"/>
  <c r="P12" i="7"/>
  <c r="W33" i="7"/>
  <c r="P32" i="7"/>
  <c r="I7" i="7"/>
  <c r="W22" i="7"/>
  <c r="P35" i="7"/>
  <c r="P27" i="7"/>
  <c r="I32" i="7"/>
  <c r="P25" i="7"/>
  <c r="P17" i="7"/>
  <c r="W14" i="7"/>
  <c r="W20" i="7"/>
  <c r="I14" i="7"/>
  <c r="W16" i="7"/>
  <c r="P16" i="7"/>
  <c r="I12" i="7"/>
  <c r="P9" i="7"/>
  <c r="W34" i="7"/>
  <c r="I27" i="7"/>
  <c r="W15" i="7"/>
  <c r="W30" i="7"/>
  <c r="P8" i="7"/>
  <c r="P13" i="7"/>
  <c r="W25" i="7"/>
  <c r="P10" i="7"/>
  <c r="I11" i="7"/>
  <c r="V10" i="7" l="1"/>
  <c r="V11" i="7"/>
  <c r="H11" i="7"/>
  <c r="O10" i="7"/>
  <c r="V25" i="7"/>
  <c r="O13" i="7"/>
  <c r="O8" i="7"/>
  <c r="V30" i="7"/>
  <c r="V15" i="7"/>
  <c r="H27" i="7"/>
  <c r="V34" i="7"/>
  <c r="O9" i="7"/>
  <c r="H12" i="7"/>
  <c r="O16" i="7"/>
  <c r="V16" i="7"/>
  <c r="H14" i="7"/>
  <c r="V20" i="7"/>
  <c r="V14" i="7"/>
  <c r="O17" i="7"/>
  <c r="O25" i="7"/>
  <c r="H32" i="7"/>
  <c r="O27" i="7"/>
  <c r="O35" i="7"/>
  <c r="V22" i="7"/>
  <c r="H7" i="7"/>
  <c r="O32" i="7"/>
  <c r="V33" i="7"/>
  <c r="O12" i="7"/>
  <c r="O20" i="7"/>
  <c r="O22" i="7"/>
  <c r="H13" i="7"/>
  <c r="O18" i="7"/>
  <c r="H16" i="7"/>
  <c r="V24" i="7"/>
  <c r="O24" i="7"/>
  <c r="H6" i="7"/>
  <c r="H28" i="7"/>
  <c r="O14" i="7"/>
  <c r="V35" i="7"/>
  <c r="V32" i="7"/>
  <c r="H24" i="7"/>
  <c r="O15" i="7"/>
  <c r="V7" i="7"/>
  <c r="O31" i="7"/>
  <c r="V31" i="7"/>
  <c r="O30" i="7"/>
  <c r="H33" i="7"/>
  <c r="H30" i="7"/>
  <c r="O23" i="7"/>
  <c r="H35" i="7"/>
  <c r="O7" i="7"/>
  <c r="H19" i="7"/>
  <c r="H5" i="7"/>
  <c r="H34" i="7"/>
  <c r="V12" i="7"/>
  <c r="H20" i="7"/>
  <c r="H23" i="7"/>
  <c r="H22" i="7"/>
  <c r="V8" i="7"/>
  <c r="H25" i="7"/>
  <c r="H26" i="7"/>
  <c r="H15" i="7"/>
  <c r="H21" i="7"/>
  <c r="H8" i="7"/>
  <c r="O33" i="7"/>
  <c r="H29" i="7"/>
  <c r="V23" i="7"/>
  <c r="O11" i="7"/>
  <c r="O34" i="7"/>
  <c r="V27" i="7"/>
  <c r="H31" i="7"/>
  <c r="V9" i="7"/>
  <c r="O19" i="7"/>
  <c r="V13" i="7"/>
  <c r="X10" i="7"/>
  <c r="X11" i="7"/>
  <c r="J11" i="7"/>
  <c r="X34" i="7"/>
  <c r="Q17" i="7"/>
  <c r="X33" i="7"/>
  <c r="Q24" i="7"/>
  <c r="X7" i="7"/>
  <c r="Q7" i="7"/>
  <c r="X8" i="7"/>
  <c r="X23" i="7"/>
  <c r="Q10" i="7"/>
  <c r="Q9" i="7"/>
  <c r="Q25" i="7"/>
  <c r="Q12" i="7"/>
  <c r="J6" i="7"/>
  <c r="Q31" i="7"/>
  <c r="J19" i="7"/>
  <c r="J25" i="7"/>
  <c r="Q11" i="7"/>
  <c r="X12" i="7"/>
  <c r="X30" i="7"/>
  <c r="J14" i="7"/>
  <c r="X22" i="7"/>
  <c r="Q18" i="7"/>
  <c r="X32" i="7"/>
  <c r="J30" i="7"/>
  <c r="J20" i="7"/>
  <c r="J8" i="7"/>
  <c r="X9" i="7"/>
  <c r="X15" i="7"/>
  <c r="X20" i="7"/>
  <c r="J7" i="7"/>
  <c r="J16" i="7"/>
  <c r="J24" i="7"/>
  <c r="Q23" i="7"/>
  <c r="J23" i="7"/>
  <c r="Q33" i="7"/>
  <c r="Q19" i="7"/>
  <c r="X25" i="7"/>
  <c r="J12" i="7"/>
  <c r="J32" i="7"/>
  <c r="Q20" i="7"/>
  <c r="J28" i="7"/>
  <c r="X31" i="7"/>
  <c r="J5" i="7"/>
  <c r="J26" i="7"/>
  <c r="Q34" i="7"/>
  <c r="Q13" i="7"/>
  <c r="Q16" i="7"/>
  <c r="Q27" i="7"/>
  <c r="Q22" i="7"/>
  <c r="Q14" i="7"/>
  <c r="Q30" i="7"/>
  <c r="J34" i="7"/>
  <c r="J15" i="7"/>
  <c r="X27" i="7"/>
  <c r="Q8" i="7"/>
  <c r="X16" i="7"/>
  <c r="Q35" i="7"/>
  <c r="J13" i="7"/>
  <c r="X35" i="7"/>
  <c r="J33" i="7"/>
  <c r="J21" i="7"/>
  <c r="J31" i="7"/>
  <c r="J27" i="7"/>
  <c r="X14" i="7"/>
  <c r="Q32" i="7"/>
  <c r="X24" i="7"/>
  <c r="Q15" i="7"/>
  <c r="J35" i="7"/>
  <c r="J22" i="7"/>
  <c r="J29" i="7"/>
  <c r="X13" i="7"/>
  <c r="L5" i="11"/>
  <c r="N5" i="10"/>
  <c r="J6" i="10"/>
  <c r="H5" i="11"/>
  <c r="H6" i="11"/>
  <c r="J5" i="10"/>
  <c r="U6" i="7" l="1"/>
  <c r="V6" i="7" s="1"/>
  <c r="N5" i="7"/>
  <c r="U5" i="7"/>
  <c r="V5" i="7" s="1"/>
  <c r="N6" i="7"/>
  <c r="O5" i="7"/>
  <c r="O6" i="7"/>
  <c r="P6" i="7"/>
  <c r="X5" i="7"/>
  <c r="Q5" i="7"/>
  <c r="P5" i="7"/>
  <c r="W5" i="7"/>
  <c r="W6" i="7"/>
  <c r="X6" i="7"/>
  <c r="Q6" i="7"/>
</calcChain>
</file>

<file path=xl/comments1.xml><?xml version="1.0" encoding="utf-8"?>
<comments xmlns="http://schemas.openxmlformats.org/spreadsheetml/2006/main">
  <authors>
    <author>ZANZI MADDALENA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L7" authorId="0">
      <text>
        <r>
          <rPr>
            <b/>
            <sz val="9"/>
            <color indexed="81"/>
            <rFont val="Tahoma"/>
            <family val="2"/>
          </rPr>
          <t>Bisogna usare swapindex invece che makeOIS poerché MakeOIS non accetta il settlement di 1 giorno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<sst xmlns="http://schemas.openxmlformats.org/spreadsheetml/2006/main" count="460" uniqueCount="118">
  <si>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</si>
  <si>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</si>
  <si>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</si>
  <si>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</si>
  <si>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</si>
  <si>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</si>
  <si>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</si>
  <si>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</si>
  <si>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</si>
  <si>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</si>
  <si>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</si>
  <si>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</si>
  <si>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</si>
  <si>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</si>
  <si>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</si>
  <si>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</si>
  <si>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TN</t>
  </si>
  <si>
    <t>SN</t>
  </si>
  <si>
    <t>SW</t>
  </si>
  <si>
    <t>2W</t>
  </si>
  <si>
    <t>3W</t>
  </si>
  <si>
    <t>1M</t>
  </si>
  <si>
    <t>2M</t>
  </si>
  <si>
    <t>3M</t>
  </si>
  <si>
    <t>4M</t>
  </si>
  <si>
    <t>5M</t>
  </si>
  <si>
    <t>7M</t>
  </si>
  <si>
    <t>8M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</si>
  <si>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</si>
  <si>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</si>
  <si>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</si>
  <si>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</si>
  <si>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</si>
  <si>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</si>
  <si>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</si>
  <si>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</si>
  <si>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</si>
  <si>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</si>
  <si>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</si>
  <si>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</si>
  <si>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</si>
  <si>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</si>
  <si>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</si>
  <si>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</si>
  <si>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</si>
  <si>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</si>
  <si>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</si>
  <si>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Actual/365 (Fixed)</t>
  </si>
  <si>
    <t>Pricing</t>
  </si>
  <si>
    <t>MaturityDate</t>
  </si>
  <si>
    <t>SwapIndex</t>
  </si>
  <si>
    <t>InstrumentType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</si>
  <si>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</si>
  <si>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</si>
  <si>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</si>
  <si>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</si>
  <si>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</si>
  <si>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</si>
  <si>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</si>
  <si>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</si>
  <si>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</si>
  <si>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</si>
  <si>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</si>
  <si>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</si>
  <si>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</si>
  <si>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</si>
  <si>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2YD</t>
  </si>
  <si>
    <t>3YD</t>
  </si>
  <si>
    <t>4YD</t>
  </si>
  <si>
    <t>5YD</t>
  </si>
  <si>
    <t>6YD</t>
  </si>
  <si>
    <t>7YD</t>
  </si>
  <si>
    <t>8YD</t>
  </si>
  <si>
    <t>9YD</t>
  </si>
  <si>
    <t>10YD</t>
  </si>
  <si>
    <t>12YD</t>
  </si>
  <si>
    <t>15YD</t>
  </si>
  <si>
    <t>20YD</t>
  </si>
  <si>
    <t>25YD</t>
  </si>
  <si>
    <t>30YD</t>
  </si>
  <si>
    <t>OIS</t>
  </si>
  <si>
    <t>Modified Following</t>
  </si>
  <si>
    <t>InterpolationType</t>
  </si>
  <si>
    <t>MonotonicCubicNaturalSpline</t>
  </si>
  <si>
    <t>FixingDate</t>
  </si>
  <si>
    <t>Interpolation</t>
  </si>
  <si>
    <t>Extrapolated</t>
  </si>
  <si>
    <t>Swap</t>
  </si>
  <si>
    <t>SynthDepo</t>
  </si>
  <si>
    <t>ON CURVE</t>
  </si>
  <si>
    <t>3M CURVE</t>
  </si>
  <si>
    <t>6M CURVE</t>
  </si>
  <si>
    <t>RIC</t>
  </si>
  <si>
    <t>18M</t>
  </si>
  <si>
    <t>InterestRatesTrigger</t>
  </si>
  <si>
    <t>OvernightIndex</t>
  </si>
  <si>
    <t>1Y6MD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</si>
  <si>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</si>
  <si>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</si>
  <si>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</si>
  <si>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</si>
  <si>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</si>
  <si>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</si>
  <si>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</si>
  <si>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</si>
  <si>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</si>
  <si>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</si>
  <si>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</si>
  <si>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</si>
  <si>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AUD</t>
  </si>
  <si>
    <t>Australia</t>
  </si>
  <si>
    <t>Future</t>
  </si>
  <si>
    <t>PILLAR</t>
  </si>
  <si>
    <t>DiscountingCurve</t>
  </si>
  <si>
    <t>BDayConvention</t>
  </si>
  <si>
    <t>DayCounter</t>
  </si>
  <si>
    <t>Half-Month Modified Following</t>
  </si>
  <si>
    <t>AONIA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</si>
</sst>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  <numFmt numFmtId="171" formatCode="dd\-mmm\-yy"/>
    <numFmt numFmtId="189" formatCode="0.00000000000000000000%"/>
    <numFmt numFmtId="205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6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9" borderId="0" applyNumberFormat="0" applyBorder="0" applyAlignment="0" applyProtection="0"/>
  </cellStyleXfs>
  <cellXfs count="154">
    <xf numFmtId="0" fontId="0" fillId="0" borderId="0" xfId="0"/>
    <xf numFmtId="0" fontId="10" fillId="0" borderId="0" xfId="0" applyFont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7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/>
    <xf numFmtId="0" fontId="11" fillId="8" borderId="1" xfId="0" applyFont="1" applyFill="1" applyBorder="1" applyAlignment="1">
      <alignment horizontal="centerContinuous" vertical="center"/>
    </xf>
    <xf numFmtId="0" fontId="11" fillId="8" borderId="10" xfId="0" applyFont="1" applyFill="1" applyBorder="1" applyAlignment="1">
      <alignment horizontal="centerContinuous" vertical="center"/>
    </xf>
    <xf numFmtId="0" fontId="11" fillId="8" borderId="16" xfId="0" applyFont="1" applyFill="1" applyBorder="1" applyAlignment="1">
      <alignment horizontal="centerContinuous" vertical="center"/>
    </xf>
    <xf numFmtId="0" fontId="10" fillId="0" borderId="18" xfId="0" applyFont="1" applyFill="1" applyBorder="1" applyAlignment="1">
      <alignment horizontal="right"/>
    </xf>
    <xf numFmtId="170" fontId="10" fillId="0" borderId="18" xfId="0" applyNumberFormat="1" applyFont="1" applyFill="1" applyBorder="1" applyAlignment="1">
      <alignment horizontal="center"/>
    </xf>
    <xf numFmtId="0" fontId="10" fillId="0" borderId="17" xfId="0" applyFont="1" applyFill="1" applyBorder="1" applyAlignment="1">
      <alignment horizontal="right"/>
    </xf>
    <xf numFmtId="170" fontId="10" fillId="0" borderId="17" xfId="0" applyNumberFormat="1" applyFont="1" applyFill="1" applyBorder="1" applyAlignment="1">
      <alignment horizontal="center"/>
    </xf>
    <xf numFmtId="0" fontId="10" fillId="0" borderId="19" xfId="0" applyFont="1" applyFill="1" applyBorder="1" applyAlignment="1">
      <alignment horizontal="right"/>
    </xf>
    <xf numFmtId="170" fontId="10" fillId="0" borderId="19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Continuous" vertical="center"/>
    </xf>
    <xf numFmtId="0" fontId="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right"/>
    </xf>
    <xf numFmtId="0" fontId="10" fillId="0" borderId="14" xfId="0" applyFont="1" applyFill="1" applyBorder="1" applyAlignment="1">
      <alignment horizontal="right"/>
    </xf>
    <xf numFmtId="0" fontId="10" fillId="0" borderId="15" xfId="0" applyFont="1" applyFill="1" applyBorder="1" applyAlignment="1">
      <alignment horizontal="right"/>
    </xf>
    <xf numFmtId="0" fontId="2" fillId="8" borderId="10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Continuous" vertical="center"/>
    </xf>
    <xf numFmtId="0" fontId="11" fillId="2" borderId="20" xfId="0" applyFont="1" applyFill="1" applyBorder="1" applyAlignment="1">
      <alignment horizontal="centerContinuous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7" borderId="0" xfId="0" applyFont="1" applyFill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5" borderId="0" xfId="0" applyFont="1" applyFill="1"/>
    <xf numFmtId="0" fontId="10" fillId="0" borderId="14" xfId="0" applyFont="1" applyFill="1" applyBorder="1" applyAlignment="1">
      <alignment horizontal="center" vertical="center"/>
    </xf>
    <xf numFmtId="169" fontId="10" fillId="0" borderId="17" xfId="13" applyNumberFormat="1" applyFont="1" applyFill="1" applyBorder="1" applyAlignment="1">
      <alignment horizontal="right" vertical="center"/>
    </xf>
    <xf numFmtId="169" fontId="10" fillId="0" borderId="18" xfId="13" applyNumberFormat="1" applyFont="1" applyFill="1" applyBorder="1" applyAlignment="1">
      <alignment horizontal="right" vertical="center"/>
    </xf>
    <xf numFmtId="169" fontId="10" fillId="0" borderId="19" xfId="13" applyNumberFormat="1" applyFont="1" applyFill="1" applyBorder="1" applyAlignment="1">
      <alignment horizontal="right" vertical="center"/>
    </xf>
    <xf numFmtId="0" fontId="10" fillId="7" borderId="0" xfId="0" applyFont="1" applyFill="1" applyBorder="1"/>
    <xf numFmtId="0" fontId="10" fillId="7" borderId="0" xfId="0" applyFont="1" applyFill="1" applyBorder="1" applyAlignment="1">
      <alignment vertical="center"/>
    </xf>
    <xf numFmtId="0" fontId="3" fillId="5" borderId="1" xfId="14" applyFont="1" applyFill="1" applyBorder="1" applyAlignment="1">
      <alignment horizontal="center" vertical="center"/>
    </xf>
    <xf numFmtId="0" fontId="3" fillId="7" borderId="20" xfId="0" applyFont="1" applyFill="1" applyBorder="1" applyAlignment="1" applyProtection="1">
      <alignment horizontal="center" vertical="center"/>
      <protection locked="0"/>
    </xf>
    <xf numFmtId="0" fontId="3" fillId="0" borderId="12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2" fillId="7" borderId="11" xfId="0" applyFont="1" applyFill="1" applyBorder="1" applyAlignment="1" applyProtection="1">
      <alignment vertical="center"/>
    </xf>
    <xf numFmtId="0" fontId="3" fillId="5" borderId="1" xfId="0" applyFont="1" applyFill="1" applyBorder="1" applyAlignment="1">
      <alignment horizontal="center"/>
    </xf>
    <xf numFmtId="165" fontId="10" fillId="0" borderId="18" xfId="0" applyNumberFormat="1" applyFont="1" applyFill="1" applyBorder="1" applyAlignment="1">
      <alignment horizontal="left" vertical="center"/>
    </xf>
    <xf numFmtId="169" fontId="10" fillId="0" borderId="18" xfId="13" applyNumberFormat="1" applyFont="1" applyFill="1" applyBorder="1" applyAlignment="1">
      <alignment horizontal="left" vertical="center"/>
    </xf>
    <xf numFmtId="169" fontId="10" fillId="0" borderId="17" xfId="13" applyNumberFormat="1" applyFont="1" applyFill="1" applyBorder="1" applyAlignment="1">
      <alignment horizontal="left" vertical="center"/>
    </xf>
    <xf numFmtId="165" fontId="10" fillId="0" borderId="17" xfId="0" applyNumberFormat="1" applyFont="1" applyFill="1" applyBorder="1" applyAlignment="1">
      <alignment horizontal="left" vertical="center"/>
    </xf>
    <xf numFmtId="165" fontId="10" fillId="0" borderId="19" xfId="0" applyNumberFormat="1" applyFont="1" applyFill="1" applyBorder="1" applyAlignment="1">
      <alignment horizontal="left" vertical="center"/>
    </xf>
    <xf numFmtId="169" fontId="10" fillId="0" borderId="19" xfId="13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7" xfId="13" applyNumberFormat="1" applyFont="1" applyFill="1" applyBorder="1" applyAlignment="1">
      <alignment horizontal="left" vertical="center"/>
    </xf>
    <xf numFmtId="169" fontId="3" fillId="0" borderId="18" xfId="13" applyNumberFormat="1" applyFont="1" applyFill="1" applyBorder="1" applyAlignment="1">
      <alignment horizontal="left" vertical="center"/>
    </xf>
    <xf numFmtId="165" fontId="10" fillId="0" borderId="18" xfId="0" applyNumberFormat="1" applyFont="1" applyFill="1" applyBorder="1" applyAlignment="1">
      <alignment horizontal="right" vertical="center"/>
    </xf>
    <xf numFmtId="165" fontId="10" fillId="0" borderId="17" xfId="0" applyNumberFormat="1" applyFont="1" applyFill="1" applyBorder="1" applyAlignment="1">
      <alignment horizontal="right" vertical="center"/>
    </xf>
    <xf numFmtId="165" fontId="10" fillId="0" borderId="19" xfId="0" applyNumberFormat="1" applyFont="1" applyFill="1" applyBorder="1" applyAlignment="1">
      <alignment horizontal="right" vertical="center"/>
    </xf>
    <xf numFmtId="169" fontId="3" fillId="0" borderId="18" xfId="13" applyNumberFormat="1" applyFont="1" applyFill="1" applyBorder="1" applyAlignment="1">
      <alignment horizontal="right" vertical="center"/>
    </xf>
    <xf numFmtId="169" fontId="12" fillId="0" borderId="18" xfId="13" applyNumberFormat="1" applyFont="1" applyFill="1" applyBorder="1" applyAlignment="1">
      <alignment horizontal="right" vertical="center"/>
    </xf>
    <xf numFmtId="169" fontId="3" fillId="0" borderId="17" xfId="13" applyNumberFormat="1" applyFont="1" applyFill="1" applyBorder="1" applyAlignment="1">
      <alignment horizontal="right" vertical="center"/>
    </xf>
    <xf numFmtId="169" fontId="12" fillId="0" borderId="17" xfId="13" applyNumberFormat="1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right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20" xfId="0" applyFont="1" applyFill="1" applyBorder="1"/>
    <xf numFmtId="0" fontId="10" fillId="7" borderId="8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right"/>
    </xf>
    <xf numFmtId="0" fontId="10" fillId="7" borderId="13" xfId="0" applyFont="1" applyFill="1" applyBorder="1" applyAlignment="1">
      <alignment horizontal="right"/>
    </xf>
    <xf numFmtId="0" fontId="10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4" fillId="7" borderId="0" xfId="0" applyFont="1" applyFill="1"/>
    <xf numFmtId="0" fontId="15" fillId="8" borderId="7" xfId="0" applyFont="1" applyFill="1" applyBorder="1" applyAlignment="1">
      <alignment horizontal="centerContinuous"/>
    </xf>
    <xf numFmtId="0" fontId="14" fillId="0" borderId="0" xfId="0" applyFont="1" applyFill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4" borderId="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16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 applyProtection="1">
      <alignment horizontal="center"/>
      <protection locked="0"/>
    </xf>
    <xf numFmtId="0" fontId="16" fillId="8" borderId="5" xfId="0" applyFont="1" applyFill="1" applyBorder="1" applyAlignment="1">
      <alignment horizontal="centerContinuous"/>
    </xf>
    <xf numFmtId="0" fontId="16" fillId="8" borderId="6" xfId="0" applyFont="1" applyFill="1" applyBorder="1" applyAlignment="1">
      <alignment horizontal="centerContinuous"/>
    </xf>
    <xf numFmtId="0" fontId="16" fillId="8" borderId="7" xfId="0" applyFont="1" applyFill="1" applyBorder="1" applyAlignment="1">
      <alignment horizontal="centerContinuous"/>
    </xf>
    <xf numFmtId="0" fontId="3" fillId="3" borderId="1" xfId="0" applyFont="1" applyFill="1" applyBorder="1"/>
    <xf numFmtId="0" fontId="3" fillId="3" borderId="1" xfId="0" applyFont="1" applyFill="1" applyBorder="1" applyProtection="1"/>
    <xf numFmtId="14" fontId="10" fillId="7" borderId="0" xfId="0" applyNumberFormat="1" applyFont="1" applyFill="1"/>
    <xf numFmtId="0" fontId="10" fillId="5" borderId="18" xfId="0" applyFont="1" applyFill="1" applyBorder="1" applyAlignment="1">
      <alignment horizontal="left"/>
    </xf>
    <xf numFmtId="0" fontId="10" fillId="7" borderId="0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/>
    </xf>
    <xf numFmtId="0" fontId="10" fillId="10" borderId="18" xfId="0" applyFont="1" applyFill="1" applyBorder="1" applyAlignment="1">
      <alignment horizontal="left"/>
    </xf>
    <xf numFmtId="0" fontId="10" fillId="10" borderId="18" xfId="0" applyFont="1" applyFill="1" applyBorder="1" applyAlignment="1">
      <alignment horizontal="right"/>
    </xf>
    <xf numFmtId="170" fontId="10" fillId="10" borderId="18" xfId="0" applyNumberFormat="1" applyFont="1" applyFill="1" applyBorder="1" applyAlignment="1">
      <alignment horizontal="center"/>
    </xf>
    <xf numFmtId="0" fontId="10" fillId="10" borderId="17" xfId="0" applyFont="1" applyFill="1" applyBorder="1" applyAlignment="1">
      <alignment horizontal="left"/>
    </xf>
    <xf numFmtId="0" fontId="10" fillId="10" borderId="17" xfId="0" applyFont="1" applyFill="1" applyBorder="1" applyAlignment="1">
      <alignment horizontal="right"/>
    </xf>
    <xf numFmtId="170" fontId="10" fillId="10" borderId="17" xfId="0" applyNumberFormat="1" applyFont="1" applyFill="1" applyBorder="1" applyAlignment="1">
      <alignment horizontal="center"/>
    </xf>
    <xf numFmtId="0" fontId="10" fillId="10" borderId="19" xfId="0" applyFont="1" applyFill="1" applyBorder="1" applyAlignment="1">
      <alignment horizontal="left"/>
    </xf>
    <xf numFmtId="0" fontId="10" fillId="10" borderId="19" xfId="0" applyFont="1" applyFill="1" applyBorder="1" applyAlignment="1">
      <alignment horizontal="right"/>
    </xf>
    <xf numFmtId="170" fontId="10" fillId="10" borderId="19" xfId="0" applyNumberFormat="1" applyFont="1" applyFill="1" applyBorder="1" applyAlignment="1">
      <alignment horizontal="center"/>
    </xf>
    <xf numFmtId="0" fontId="10" fillId="0" borderId="1" xfId="0" applyFont="1" applyBorder="1"/>
    <xf numFmtId="0" fontId="10" fillId="10" borderId="18" xfId="0" applyFont="1" applyFill="1" applyBorder="1" applyAlignment="1">
      <alignment horizontal="left" vertical="center"/>
    </xf>
    <xf numFmtId="165" fontId="10" fillId="10" borderId="18" xfId="0" applyNumberFormat="1" applyFont="1" applyFill="1" applyBorder="1" applyAlignment="1">
      <alignment horizontal="left" vertical="center"/>
    </xf>
    <xf numFmtId="170" fontId="10" fillId="10" borderId="18" xfId="13" applyNumberFormat="1" applyFont="1" applyFill="1" applyBorder="1" applyAlignment="1">
      <alignment horizontal="left" vertical="center"/>
    </xf>
    <xf numFmtId="169" fontId="10" fillId="10" borderId="18" xfId="13" applyNumberFormat="1" applyFont="1" applyFill="1" applyBorder="1" applyAlignment="1">
      <alignment horizontal="right" vertical="center"/>
    </xf>
    <xf numFmtId="0" fontId="10" fillId="10" borderId="17" xfId="0" applyFont="1" applyFill="1" applyBorder="1" applyAlignment="1">
      <alignment horizontal="left" vertical="center"/>
    </xf>
    <xf numFmtId="165" fontId="10" fillId="10" borderId="17" xfId="0" applyNumberFormat="1" applyFont="1" applyFill="1" applyBorder="1" applyAlignment="1">
      <alignment horizontal="left" vertical="center"/>
    </xf>
    <xf numFmtId="170" fontId="10" fillId="10" borderId="17" xfId="13" applyNumberFormat="1" applyFont="1" applyFill="1" applyBorder="1" applyAlignment="1">
      <alignment horizontal="left" vertical="center"/>
    </xf>
    <xf numFmtId="169" fontId="10" fillId="10" borderId="17" xfId="13" applyNumberFormat="1" applyFont="1" applyFill="1" applyBorder="1" applyAlignment="1">
      <alignment horizontal="right" vertical="center"/>
    </xf>
    <xf numFmtId="170" fontId="10" fillId="10" borderId="19" xfId="13" applyNumberFormat="1" applyFont="1" applyFill="1" applyBorder="1" applyAlignment="1">
      <alignment horizontal="left" vertical="center"/>
    </xf>
    <xf numFmtId="171" fontId="10" fillId="10" borderId="18" xfId="0" applyNumberFormat="1" applyFont="1" applyFill="1" applyBorder="1" applyAlignment="1">
      <alignment horizontal="left" vertical="center"/>
    </xf>
    <xf numFmtId="171" fontId="10" fillId="10" borderId="17" xfId="0" applyNumberFormat="1" applyFont="1" applyFill="1" applyBorder="1" applyAlignment="1">
      <alignment horizontal="left" vertical="center"/>
    </xf>
    <xf numFmtId="0" fontId="11" fillId="0" borderId="19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0" xfId="0" applyNumberFormat="1" applyFont="1" applyFill="1" applyBorder="1" applyAlignment="1"/>
    <xf numFmtId="189" fontId="10" fillId="0" borderId="18" xfId="13" applyNumberFormat="1" applyFont="1" applyFill="1" applyBorder="1" applyAlignment="1">
      <alignment horizontal="left" vertical="center"/>
    </xf>
    <xf numFmtId="189" fontId="10" fillId="0" borderId="17" xfId="13" applyNumberFormat="1" applyFont="1" applyFill="1" applyBorder="1" applyAlignment="1">
      <alignment horizontal="left" vertical="center"/>
    </xf>
    <xf numFmtId="189" fontId="10" fillId="0" borderId="19" xfId="13" applyNumberFormat="1" applyFont="1" applyFill="1" applyBorder="1" applyAlignment="1">
      <alignment horizontal="left" vertical="center"/>
    </xf>
    <xf numFmtId="205" fontId="10" fillId="7" borderId="0" xfId="0" applyNumberFormat="1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Invalid source.</v>
        <stp/>
        <stp xml:space="preserve">	AUDON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6" s="7"/>
      </tp>
      <tp t="s">
        <v>#N/A Invalid source.</v>
        <stp/>
        <stp xml:space="preserve">	AUDON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8" s="7"/>
      </tp>
      <tp t="s">
        <v>#N/A Invalid source.</v>
        <stp/>
        <stp xml:space="preserve">	AUDON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7" s="7"/>
      </tp>
      <tp t="s">
        <v>#N/A Invalid source.</v>
        <stp/>
        <stp xml:space="preserve">	AUD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5" s="7"/>
      </tp>
      <tp t="s">
        <v>#N/A Invalid source.</v>
        <stp/>
        <stp xml:space="preserve">	AUD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6" s="7"/>
      </tp>
      <tp t="s">
        <v>#N/A Invalid source.</v>
        <stp/>
        <stp xml:space="preserve">	AUD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6" s="7"/>
      </tp>
      <tp t="s">
        <v>#N/A Invalid source.</v>
        <stp/>
        <stp xml:space="preserve">	AUD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7" s="7"/>
      </tp>
      <tp t="s">
        <v>#N/A Invalid source.</v>
        <stp/>
        <stp xml:space="preserve">	AUD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4" s="7"/>
      </tp>
      <tp t="s">
        <v>#N/A Invalid source.</v>
        <stp/>
        <stp xml:space="preserve">	AUD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4" s="7"/>
      </tp>
      <tp t="s">
        <v>#N/A Invalid source.</v>
        <stp/>
        <stp xml:space="preserve">	AUD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5" s="7"/>
      </tp>
      <tp t="s">
        <v>#N/A Invalid source.</v>
        <stp/>
        <stp xml:space="preserve">	AUD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5" s="7"/>
      </tp>
      <tp t="s">
        <v>#N/A Invalid source.</v>
        <stp/>
        <stp xml:space="preserve">	AUD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2" s="7"/>
      </tp>
      <tp t="s">
        <v>#N/A Invalid source.</v>
        <stp/>
        <stp xml:space="preserve">	AUD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2" s="7"/>
      </tp>
      <tp t="s">
        <v>#N/A Invalid source.</v>
        <stp/>
        <stp xml:space="preserve">	AUD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3" s="7"/>
      </tp>
      <tp t="s">
        <v>#N/A Invalid source.</v>
        <stp/>
        <stp xml:space="preserve">	AUD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3" s="7"/>
      </tp>
      <tp t="s">
        <v>#N/A Invalid source.</v>
        <stp/>
        <stp xml:space="preserve">	AUD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0" s="7"/>
      </tp>
      <tp t="s">
        <v>#N/A Invalid source.</v>
        <stp/>
        <stp xml:space="preserve">	AUD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1" s="7"/>
      </tp>
      <tp t="s">
        <v>#N/A Invalid source.</v>
        <stp/>
        <stp xml:space="preserve">	AUD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8" s="7"/>
      </tp>
      <tp t="s">
        <v>#N/A Invalid source.</v>
        <stp/>
        <stp xml:space="preserve">	AUD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9" s="7"/>
      </tp>
      <tp t="s">
        <v>#N/A Invalid source.</v>
        <stp/>
        <stp xml:space="preserve">	AUD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9" s="7"/>
      </tp>
    </main>
    <main first="pldatasource.rtgetrtdserver">
      <tp t="s">
        <v>#N/A Invalid source.</v>
        <stp/>
        <stp xml:space="preserve">
AUD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35" s="7"/>
      </tp>
      <tp t="s">
        <v>#N/A Invalid source.</v>
        <stp/>
        <stp xml:space="preserve">
AUD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33" s="7"/>
      </tp>
      <tp t="s">
        <v>#N/A Invalid source.</v>
        <stp/>
        <stp xml:space="preserve">
AUD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34" s="7"/>
      </tp>
      <tp t="s">
        <v>#N/A Invalid source.</v>
        <stp/>
        <stp xml:space="preserve">
AUD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30" s="7"/>
      </tp>
      <tp t="s">
        <v>#N/A Invalid source.</v>
        <stp/>
        <stp xml:space="preserve">
AUD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31" s="7"/>
      </tp>
      <tp t="s">
        <v>#N/A Invalid source.</v>
        <stp/>
        <stp xml:space="preserve">
AUD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32" s="7"/>
      </tp>
    </main>
    <main first="pldatasource.rtgetrtdserver">
      <tp t="s">
        <v>#N/A Invalid source.</v>
        <stp/>
        <stp xml:space="preserve">	AUDON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6" s="7"/>
      </tp>
      <tp t="s">
        <v>#N/A Invalid source.</v>
        <stp/>
        <stp xml:space="preserve">	AUDON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8" s="7"/>
      </tp>
      <tp t="s">
        <v>#N/A Invalid source.</v>
        <stp/>
        <stp xml:space="preserve">	AUDON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7" s="7"/>
      </tp>
      <tp t="s">
        <v>#N/A Invalid source.</v>
        <stp/>
        <stp xml:space="preserve">	AUD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5" s="7"/>
      </tp>
      <tp t="s">
        <v>#N/A Invalid source.</v>
        <stp/>
        <stp xml:space="preserve">	AUD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26" s="7"/>
      </tp>
      <tp t="s">
        <v>#N/A Invalid source.</v>
        <stp/>
        <stp xml:space="preserve">	AUD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16" s="7"/>
      </tp>
      <tp t="s">
        <v>#N/A Invalid source.</v>
        <stp/>
        <stp xml:space="preserve">	AUD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27" s="7"/>
      </tp>
      <tp t="s">
        <v>#N/A Invalid source.</v>
        <stp/>
        <stp xml:space="preserve">	AUD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24" s="7"/>
      </tp>
      <tp t="s">
        <v>#N/A Invalid source.</v>
        <stp/>
        <stp xml:space="preserve">	AUD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14" s="7"/>
      </tp>
      <tp t="s">
        <v>#N/A Invalid source.</v>
        <stp/>
        <stp xml:space="preserve">	AUD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25" s="7"/>
      </tp>
      <tp t="s">
        <v>#N/A Invalid source.</v>
        <stp/>
        <stp xml:space="preserve">	AUD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15" s="7"/>
      </tp>
      <tp t="s">
        <v>#N/A Invalid source.</v>
        <stp/>
        <stp xml:space="preserve">	AUD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22" s="7"/>
      </tp>
      <tp t="s">
        <v>#N/A Invalid source.</v>
        <stp/>
        <stp xml:space="preserve">	AUD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12" s="7"/>
      </tp>
      <tp t="s">
        <v>#N/A Invalid source.</v>
        <stp/>
        <stp xml:space="preserve">	AUD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23" s="7"/>
      </tp>
      <tp t="s">
        <v>#N/A Invalid source.</v>
        <stp/>
        <stp xml:space="preserve">	AUD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13" s="7"/>
      </tp>
      <tp t="s">
        <v>#N/A Invalid source.</v>
        <stp/>
        <stp xml:space="preserve">	AUD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20" s="7"/>
      </tp>
      <tp t="s">
        <v>#N/A Invalid source.</v>
        <stp/>
        <stp xml:space="preserve">	AUD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11" s="7"/>
      </tp>
      <tp t="s">
        <v>#N/A Invalid source.</v>
        <stp/>
        <stp xml:space="preserve">	AUD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28" s="7"/>
      </tp>
      <tp t="s">
        <v>#N/A Invalid source.</v>
        <stp/>
        <stp xml:space="preserve">	AUD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29" s="7"/>
      </tp>
      <tp t="s">
        <v>#N/A Invalid source.</v>
        <stp/>
        <stp xml:space="preserve">	AUD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19" s="7"/>
      </tp>
    </main>
    <main first="pldatasource.rtgetrtdserver">
      <tp t="s">
        <v>#N/A Invalid source.</v>
        <stp/>
        <stp xml:space="preserve">
AUD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0" s="7"/>
      </tp>
      <tp t="s">
        <v>#N/A Invalid source.</v>
        <stp/>
        <stp xml:space="preserve">
AUD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1" s="7"/>
      </tp>
      <tp t="s">
        <v>#N/A Invalid source.</v>
        <stp/>
        <stp xml:space="preserve">
AUD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2" s="7"/>
      </tp>
      <tp t="s">
        <v>#N/A Invalid source.</v>
        <stp/>
        <stp xml:space="preserve">
AUD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3" s="7"/>
      </tp>
      <tp t="s">
        <v>#N/A Invalid source.</v>
        <stp/>
        <stp xml:space="preserve">
AUD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4" s="7"/>
      </tp>
      <tp t="s">
        <v>#N/A Invalid source.</v>
        <stp/>
        <stp xml:space="preserve">
AUD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5" s="7"/>
      </tp>
    </main>
    <main first="pldatasource.rtgetrtdserver">
      <tp t="s">
        <v>#N/A Invalid source.</v>
        <stp/>
        <stp xml:space="preserve">	AUD6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6" s="7"/>
      </tp>
      <tp t="s">
        <v>#N/A Invalid source.</v>
        <stp/>
        <stp xml:space="preserve">	AUD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8" s="7"/>
      </tp>
      <tp t="s">
        <v>#N/A Invalid source.</v>
        <stp/>
        <stp xml:space="preserve">	AUD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7" s="7"/>
      </tp>
      <tp t="s">
        <v>#N/A Invalid source.</v>
        <stp/>
        <stp xml:space="preserve">	AUD6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5" s="7"/>
      </tp>
      <tp t="s">
        <v>#N/A Invalid source.</v>
        <stp/>
        <stp xml:space="preserve">	AUD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6" s="7"/>
      </tp>
      <tp t="s">
        <v>#N/A Invalid source.</v>
        <stp/>
        <stp xml:space="preserve">	AUD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4" s="7"/>
      </tp>
      <tp t="s">
        <v>#N/A Invalid source.</v>
        <stp/>
        <stp xml:space="preserve">	AUD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5" s="7"/>
      </tp>
      <tp t="s">
        <v>#N/A Invalid source.</v>
        <stp/>
        <stp xml:space="preserve">	AUD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9" s="7"/>
      </tp>
      <tp t="s">
        <v>#N/A Invalid source.</v>
        <stp/>
        <stp xml:space="preserve">	AUD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2" s="7"/>
      </tp>
      <tp t="s">
        <v>#N/A Invalid source.</v>
        <stp/>
        <stp xml:space="preserve">	AUD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0" s="7"/>
      </tp>
      <tp t="s">
        <v>#N/A Invalid source.</v>
        <stp/>
        <stp xml:space="preserve">	AUD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3" s="7"/>
      </tp>
      <tp t="s">
        <v>#N/A Invalid source.</v>
        <stp/>
        <stp xml:space="preserve">	AUD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1" s="7"/>
      </tp>
      <tp t="s">
        <v>#N/A Invalid source.</v>
        <stp/>
        <stp>_x0008_AUD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4" s="7"/>
      </tp>
      <tp t="s">
        <v>#N/A Invalid source.</v>
        <stp/>
        <stp>_x0008_AUD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5" s="7"/>
      </tp>
      <tp t="s">
        <v>#N/A Invalid source.</v>
        <stp/>
        <stp>_x0008_AUD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7" s="7"/>
      </tp>
      <tp t="s">
        <v>#N/A Invalid source.</v>
        <stp/>
        <stp>_x0008_AUD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0" s="7"/>
      </tp>
      <tp t="s">
        <v>#N/A Invalid source.</v>
        <stp/>
        <stp>_x0008_AUD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2" s="7"/>
      </tp>
      <tp t="s">
        <v>#N/A Invalid source.</v>
        <stp/>
        <stp>_x0008_AUD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3" s="7"/>
      </tp>
      <tp t="s">
        <v>#N/A Invalid source.</v>
        <stp/>
        <stp>_x0008_AUD3MM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7" s="7"/>
      </tp>
      <tp t="s">
        <v>#N/A Invalid source.</v>
        <stp/>
        <stp>_x0008_AUD3MH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6" s="7"/>
      </tp>
      <tp t="s">
        <v>#N/A Invalid source.</v>
        <stp/>
        <stp>_x0008_AUD3MZ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9" s="7"/>
      </tp>
      <tp t="s">
        <v>#N/A Invalid source.</v>
        <stp/>
        <stp>_x0008_AUD3MZ4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5" s="7"/>
      </tp>
      <tp t="s">
        <v>#N/A Invalid source.</v>
        <stp/>
        <stp>_x0008_AUD3MU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8" s="7"/>
      </tp>
      <tp t="s">
        <v>#N/A Invalid source.</v>
        <stp/>
        <stp>_x0008_AUD3MU4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4" s="7"/>
      </tp>
    </main>
    <main first="pldatasource.rtgetrtdserver">
      <tp t="s">
        <v>#N/A Invalid source.</v>
        <stp/>
        <stp xml:space="preserve">	AUD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3" s="7"/>
      </tp>
      <tp t="s">
        <v>#N/A Invalid source.</v>
        <stp/>
        <stp xml:space="preserve">	AUD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4" s="7"/>
      </tp>
      <tp t="s">
        <v>#N/A Invalid source.</v>
        <stp/>
        <stp xml:space="preserve">	AUD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5" s="7"/>
      </tp>
      <tp t="s">
        <v>#N/A Invalid source.</v>
        <stp/>
        <stp xml:space="preserve">	AUD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1" s="7"/>
      </tp>
      <tp t="s">
        <v>#N/A Invalid source.</v>
        <stp/>
        <stp xml:space="preserve">	AUD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0" s="7"/>
      </tp>
      <tp t="s">
        <v>#N/A Invalid source.</v>
        <stp/>
        <stp xml:space="preserve">	AUD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2" s="7"/>
      </tp>
    </main>
    <main first="pldatasource.rtgetrtdserver">
      <tp t="s">
        <v>#N/A Invalid source.</v>
        <stp/>
        <stp xml:space="preserve">	AUD3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6" s="7"/>
      </tp>
      <tp t="s">
        <v>#N/A Invalid source.</v>
        <stp/>
        <stp xml:space="preserve">	AUD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" s="7"/>
      </tp>
      <tp t="s">
        <v>#N/A Invalid source.</v>
        <stp/>
        <stp xml:space="preserve">	AUD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" s="7"/>
      </tp>
      <tp t="s">
        <v>#N/A Invalid source.</v>
        <stp/>
        <stp xml:space="preserve">	AUD3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5" s="7"/>
      </tp>
      <tp t="s">
        <v>#N/A Invalid source.</v>
        <stp/>
        <stp xml:space="preserve">	AUD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" s="7"/>
      </tp>
      <tp t="s">
        <v>#N/A Invalid source.</v>
        <stp/>
        <stp xml:space="preserve">	AUD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2" s="7"/>
      </tp>
      <tp t="s">
        <v>#N/A Invalid source.</v>
        <stp/>
        <stp xml:space="preserve">	AUD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" s="7"/>
      </tp>
      <tp t="s">
        <v>#N/A Invalid source.</v>
        <stp/>
        <stp xml:space="preserve">	AUD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3" s="7"/>
      </tp>
      <tp t="s">
        <v>#N/A Invalid source.</v>
        <stp/>
        <stp xml:space="preserve">	AUD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1" s="7"/>
      </tp>
      <tp t="s">
        <v>#N/A Invalid source.</v>
        <stp/>
        <stp>_x0008_AUD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4" s="7"/>
      </tp>
      <tp t="s">
        <v>#N/A Invalid source.</v>
        <stp/>
        <stp>_x0008_AUD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5" s="7"/>
      </tp>
      <tp t="s">
        <v>#N/A Invalid source.</v>
        <stp/>
        <stp>_x0008_AUD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7" s="7"/>
      </tp>
      <tp t="s">
        <v>#N/A Invalid source.</v>
        <stp/>
        <stp>_x0008_AUD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0" s="7"/>
      </tp>
      <tp t="s">
        <v>#N/A Invalid source.</v>
        <stp/>
        <stp>_x0008_AUD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2" s="7"/>
      </tp>
      <tp t="s">
        <v>#N/A Invalid source.</v>
        <stp/>
        <stp>_x0008_AUD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3" s="7"/>
      </tp>
      <tp t="s">
        <v>#N/A Invalid source.</v>
        <stp/>
        <stp xml:space="preserve">	AUD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3" s="7"/>
      </tp>
      <tp t="s">
        <v>#N/A Invalid source.</v>
        <stp/>
        <stp xml:space="preserve">	AUD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4" s="7"/>
      </tp>
      <tp t="s">
        <v>#N/A Invalid source.</v>
        <stp/>
        <stp xml:space="preserve">	AUD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5" s="7"/>
      </tp>
      <tp t="s">
        <v>#N/A Invalid source.</v>
        <stp/>
        <stp xml:space="preserve">	AUD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1" s="7"/>
      </tp>
      <tp t="s">
        <v>#N/A Invalid source.</v>
        <stp/>
        <stp xml:space="preserve">	AUD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0" s="7"/>
      </tp>
      <tp t="s">
        <v>#N/A Invalid source.</v>
        <stp/>
        <stp xml:space="preserve">	AUD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2" s="7"/>
      </tp>
    </main>
    <main first="pldatasource.rtgetrtdserver">
      <tp t="s">
        <v>#N/A Invalid source.</v>
        <stp/>
        <stp>_x0008_AUD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7" s="7"/>
      </tp>
      <tp t="s">
        <v>#N/A Invalid source.</v>
        <stp/>
        <stp>_x0008_AUD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5" s="7"/>
      </tp>
      <tp t="s">
        <v>#N/A Invalid source.</v>
        <stp/>
        <stp>_x0008_AUD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4" s="7"/>
      </tp>
      <tp t="s">
        <v>#N/A Invalid source.</v>
        <stp/>
        <stp>_x0008_AUD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3" s="7"/>
      </tp>
      <tp t="s">
        <v>#N/A Invalid source.</v>
        <stp/>
        <stp>_x0008_AUD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2" s="7"/>
      </tp>
      <tp t="s">
        <v>#N/A Invalid source.</v>
        <stp/>
        <stp>_x0008_AUD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0" s="7"/>
      </tp>
    </main>
    <main first="pldatasource.rtgetrtdserver">
      <tp t="s">
        <v>#N/A Invalid source.</v>
        <stp/>
        <stp>_x0008_AUD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27" s="7"/>
      </tp>
      <tp t="s">
        <v>#N/A Invalid source.</v>
        <stp/>
        <stp>_x0008_AUD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25" s="7"/>
      </tp>
      <tp t="s">
        <v>#N/A Invalid source.</v>
        <stp/>
        <stp>_x0008_AUD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24" s="7"/>
      </tp>
      <tp t="s">
        <v>#N/A Invalid source.</v>
        <stp/>
        <stp>_x0008_AUD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23" s="7"/>
      </tp>
      <tp t="s">
        <v>#N/A Invalid source.</v>
        <stp/>
        <stp>_x0008_AUD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22" s="7"/>
      </tp>
      <tp t="s">
        <v>#N/A Invalid source.</v>
        <stp/>
        <stp>_x0008_AUD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20" s="7"/>
      </tp>
      <tp t="s">
        <v>#N/A Invalid source.</v>
        <stp/>
        <stp>_x0008_AUD3MM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7" s="7"/>
      </tp>
      <tp t="s">
        <v>#N/A Invalid source.</v>
        <stp/>
        <stp>_x0008_AUD3MH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6" s="7"/>
      </tp>
      <tp t="s">
        <v>#N/A Invalid source.</v>
        <stp/>
        <stp>_x0008_AUD3MZ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9" s="7"/>
      </tp>
      <tp t="s">
        <v>#N/A Invalid source.</v>
        <stp/>
        <stp>_x0008_AUD3MZ4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5" s="7"/>
      </tp>
      <tp t="s">
        <v>#N/A Invalid source.</v>
        <stp/>
        <stp>_x0008_AUD3MU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8" s="7"/>
      </tp>
      <tp t="s">
        <v>#N/A Invalid source.</v>
        <stp/>
        <stp>_x0008_AUD3MU4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4" s="7"/>
      </tp>
      <tp t="s">
        <v>#N/A Invalid source.</v>
        <stp/>
        <stp xml:space="preserve">	AUD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3" s="7"/>
      </tp>
      <tp t="s">
        <v>#N/A Invalid source.</v>
        <stp/>
        <stp xml:space="preserve">	AUD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4" s="7"/>
      </tp>
      <tp t="s">
        <v>#N/A Invalid source.</v>
        <stp/>
        <stp xml:space="preserve">	AUD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5" s="7"/>
      </tp>
      <tp t="s">
        <v>#N/A Invalid source.</v>
        <stp/>
        <stp xml:space="preserve">	AUD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0" s="7"/>
      </tp>
      <tp t="s">
        <v>#N/A Invalid source.</v>
        <stp/>
        <stp xml:space="preserve">	AUD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1" s="7"/>
      </tp>
      <tp t="s">
        <v>#N/A Invalid source.</v>
        <stp/>
        <stp xml:space="preserve">	AUD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2" s="7"/>
      </tp>
      <tp t="s">
        <v>#N/A Invalid source.</v>
        <stp/>
        <stp xml:space="preserve">	AUD6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6" s="7"/>
      </tp>
      <tp t="s">
        <v>#N/A Invalid source.</v>
        <stp/>
        <stp xml:space="preserve">	AUD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" s="7"/>
      </tp>
      <tp t="s">
        <v>#N/A Invalid source.</v>
        <stp/>
        <stp xml:space="preserve">	AUD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7" s="7"/>
      </tp>
      <tp t="s">
        <v>#N/A Invalid source.</v>
        <stp/>
        <stp xml:space="preserve">	AUD6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5" s="7"/>
      </tp>
      <tp t="s">
        <v>#N/A Invalid source.</v>
        <stp/>
        <stp xml:space="preserve">	AUD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6" s="7"/>
      </tp>
      <tp t="s">
        <v>#N/A Invalid source.</v>
        <stp/>
        <stp xml:space="preserve">	AUD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4" s="7"/>
      </tp>
      <tp t="s">
        <v>#N/A Invalid source.</v>
        <stp/>
        <stp xml:space="preserve">	AUD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5" s="7"/>
      </tp>
      <tp t="s">
        <v>#N/A Invalid source.</v>
        <stp/>
        <stp xml:space="preserve">	AUD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9" s="7"/>
      </tp>
      <tp t="s">
        <v>#N/A Invalid source.</v>
        <stp/>
        <stp xml:space="preserve">	AUD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2" s="7"/>
      </tp>
      <tp t="s">
        <v>#N/A Invalid source.</v>
        <stp/>
        <stp xml:space="preserve">	AUD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0" s="7"/>
      </tp>
      <tp t="s">
        <v>#N/A Invalid source.</v>
        <stp/>
        <stp xml:space="preserve">	AUD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3" s="7"/>
      </tp>
      <tp t="s">
        <v>#N/A Invalid source.</v>
        <stp/>
        <stp xml:space="preserve">	AUD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1" s="7"/>
      </tp>
      <tp t="s">
        <v>#N/A Invalid source.</v>
        <stp/>
        <stp xml:space="preserve">	AUD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3" s="7"/>
      </tp>
      <tp t="s">
        <v>#N/A Invalid source.</v>
        <stp/>
        <stp xml:space="preserve">	AUD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4" s="7"/>
      </tp>
      <tp t="s">
        <v>#N/A Invalid source.</v>
        <stp/>
        <stp xml:space="preserve">	AUD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5" s="7"/>
      </tp>
      <tp t="s">
        <v>#N/A Invalid source.</v>
        <stp/>
        <stp xml:space="preserve">	AUD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0" s="7"/>
      </tp>
      <tp t="s">
        <v>#N/A Invalid source.</v>
        <stp/>
        <stp xml:space="preserve">	AUD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1" s="7"/>
      </tp>
      <tp t="s">
        <v>#N/A Invalid source.</v>
        <stp/>
        <stp xml:space="preserve">	AUD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2" s="7"/>
      </tp>
      <tp t="s">
        <v>#N/A Invalid source.</v>
        <stp/>
        <stp xml:space="preserve">	AUD3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6" s="7"/>
      </tp>
      <tp t="s">
        <v>#N/A Invalid source.</v>
        <stp/>
        <stp xml:space="preserve">	AUD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" s="7"/>
      </tp>
      <tp t="s">
        <v>#N/A Invalid source.</v>
        <stp/>
        <stp xml:space="preserve">	AUD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" s="7"/>
      </tp>
      <tp t="s">
        <v>#N/A Invalid source.</v>
        <stp/>
        <stp xml:space="preserve">	AUD3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" s="7"/>
      </tp>
      <tp t="s">
        <v>#N/A Invalid source.</v>
        <stp/>
        <stp xml:space="preserve">	AUD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" s="7"/>
      </tp>
      <tp t="s">
        <v>#N/A Invalid source.</v>
        <stp/>
        <stp xml:space="preserve">	AUD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2" s="7"/>
      </tp>
      <tp t="s">
        <v>#N/A Invalid source.</v>
        <stp/>
        <stp xml:space="preserve">	AUD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" s="7"/>
      </tp>
      <tp t="s">
        <v>#N/A Invalid source.</v>
        <stp/>
        <stp xml:space="preserve">	AUD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3" s="7"/>
      </tp>
      <tp t="s">
        <v>#N/A Invalid source.</v>
        <stp/>
        <stp xml:space="preserve">	AUD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1" s="7"/>
      </tp>
      <tp t="s">
        <v>#N/A Invalid source.</v>
        <stp/>
        <stp>_x000B_AUDON1Y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I21" s="7"/>
      </tp>
      <tp t="s">
        <v>#N/A Invalid source.</v>
        <stp/>
        <stp>_x000B_AUDON1Y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1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TriggerCounter" refersTo="='General Settings'!$D$7"/>
    </definedNames>
    <sheetDataSet>
      <sheetData sheetId="0">
        <row r="7">
          <cell r="D7">
            <v>87</v>
          </cell>
        </row>
      </sheetData>
      <sheetData sheetId="1">
        <row r="7">
          <cell r="D7">
            <v>0</v>
          </cell>
        </row>
      </sheetData>
      <sheetData sheetId="2">
        <row r="7">
          <cell r="D7" t="str">
            <v>3M</v>
          </cell>
        </row>
      </sheetData>
      <sheetData sheetId="3">
        <row r="7">
          <cell r="D7" t="str">
            <v>AUDOIS3W_Quote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AUDSND_Quote#0000</v>
          </cell>
        </row>
      </sheetData>
      <sheetData sheetId="6">
        <row r="7">
          <cell r="D7" t="str">
            <v>AUD3x6F_Quote</v>
          </cell>
        </row>
      </sheetData>
      <sheetData sheetId="7">
        <row r="7">
          <cell r="D7" t="str">
            <v>F5</v>
          </cell>
        </row>
      </sheetData>
      <sheetData sheetId="8">
        <row r="7">
          <cell r="D7" t="str">
            <v>X4</v>
          </cell>
        </row>
      </sheetData>
      <sheetData sheetId="9"/>
      <sheetData sheetId="10">
        <row r="7">
          <cell r="D7" t="str">
            <v>3AB</v>
          </cell>
        </row>
      </sheetData>
      <sheetData sheetId="11">
        <row r="7">
          <cell r="D7" t="str">
            <v>6AB</v>
          </cell>
        </row>
      </sheetData>
      <sheetData sheetId="12">
        <row r="7">
          <cell r="D7" t="str">
            <v>3BR</v>
          </cell>
        </row>
      </sheetData>
      <sheetData sheetId="13">
        <row r="7">
          <cell r="D7" t="str">
            <v>6BR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showGridLines="0" workbookViewId="0">
      <selection activeCell="D4" sqref="D4"/>
    </sheetView>
  </sheetViews>
  <sheetFormatPr defaultRowHeight="13.5" x14ac:dyDescent="0.25"/>
  <cols>
    <col min="1" max="2" width="2.7109375" style="95" customWidth="1"/>
    <col min="3" max="3" width="21.42578125" style="95" bestFit="1" customWidth="1"/>
    <col min="4" max="4" width="28.5703125" style="95" bestFit="1" customWidth="1"/>
    <col min="5" max="5" width="2.7109375" style="95" customWidth="1"/>
    <col min="6" max="6" width="3.42578125" style="95" customWidth="1"/>
    <col min="7" max="16384" width="9.140625" style="95"/>
  </cols>
  <sheetData>
    <row r="1" spans="1:26" s="13" customFormat="1" ht="12" thickBot="1" x14ac:dyDescent="0.25">
      <c r="A1" s="2"/>
      <c r="B1" s="2" t="str">
        <f>_xll.qlxlVersion(TRUE)</f>
        <v>QuantLibXL 1.5.0 - MS VC++ 9.0 - Multithreaded Dynamic Runtime library - Release Configuration - Jun 25 2014 10:33:09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x14ac:dyDescent="0.35">
      <c r="A2" s="93"/>
      <c r="B2" s="108" t="s">
        <v>4</v>
      </c>
      <c r="C2" s="109"/>
      <c r="D2" s="109"/>
      <c r="E2" s="94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</row>
    <row r="3" spans="1:26" s="13" customFormat="1" ht="11.25" x14ac:dyDescent="0.2">
      <c r="A3" s="2"/>
      <c r="B3" s="96"/>
      <c r="C3" s="97"/>
      <c r="D3" s="97"/>
      <c r="E3" s="9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3" customFormat="1" ht="11.25" x14ac:dyDescent="0.2">
      <c r="A4" s="2"/>
      <c r="B4" s="96"/>
      <c r="C4" s="111" t="s">
        <v>5</v>
      </c>
      <c r="D4" s="99"/>
      <c r="E4" s="9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3" customFormat="1" ht="11.25" x14ac:dyDescent="0.2">
      <c r="A5" s="2"/>
      <c r="B5" s="96"/>
      <c r="C5" s="111" t="s">
        <v>12</v>
      </c>
      <c r="D5" s="99">
        <f>_xll.qlSettingsEvaluationDate(Trigger)</f>
        <v>41872</v>
      </c>
      <c r="E5" s="9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3" customFormat="1" ht="11.25" x14ac:dyDescent="0.2">
      <c r="A6" s="2"/>
      <c r="B6" s="96"/>
      <c r="C6" s="112" t="s">
        <v>94</v>
      </c>
      <c r="D6" s="100">
        <f>[1]!TriggerCounter</f>
        <v>87</v>
      </c>
      <c r="E6" s="9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3" customFormat="1" ht="12" thickBot="1" x14ac:dyDescent="0.25">
      <c r="A7" s="2"/>
      <c r="B7" s="101"/>
      <c r="C7" s="102"/>
      <c r="D7" s="102"/>
      <c r="E7" s="10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thickBot="1" x14ac:dyDescent="0.3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spans="1:26" ht="16.5" x14ac:dyDescent="0.3">
      <c r="A9" s="93"/>
      <c r="B9" s="108" t="s">
        <v>3</v>
      </c>
      <c r="C9" s="109"/>
      <c r="D9" s="109"/>
      <c r="E9" s="110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</row>
    <row r="10" spans="1:26" s="13" customFormat="1" ht="11.25" x14ac:dyDescent="0.2">
      <c r="A10" s="2"/>
      <c r="B10" s="96"/>
      <c r="C10" s="97"/>
      <c r="D10" s="97"/>
      <c r="E10" s="9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3" customFormat="1" ht="11.25" x14ac:dyDescent="0.2">
      <c r="A11" s="2"/>
      <c r="B11" s="96"/>
      <c r="C11" s="111" t="s">
        <v>6</v>
      </c>
      <c r="D11" s="104" t="s">
        <v>109</v>
      </c>
      <c r="E11" s="9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3" customFormat="1" ht="11.25" x14ac:dyDescent="0.2">
      <c r="A12" s="2"/>
      <c r="B12" s="96"/>
      <c r="C12" s="111" t="s">
        <v>113</v>
      </c>
      <c r="D12" s="104" t="str">
        <f>Currency&amp;"ON"</f>
        <v>AUDON</v>
      </c>
      <c r="E12" s="9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3" customFormat="1" ht="11.25" x14ac:dyDescent="0.2">
      <c r="A13" s="2"/>
      <c r="B13" s="96"/>
      <c r="C13" s="111" t="s">
        <v>11</v>
      </c>
      <c r="D13" s="105" t="str">
        <f>PROPER(Currency)&amp;"BBSW"</f>
        <v>AudBBSW</v>
      </c>
      <c r="E13" s="9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3" customFormat="1" ht="11.25" x14ac:dyDescent="0.2">
      <c r="A14" s="2"/>
      <c r="B14" s="96"/>
      <c r="C14" s="111" t="s">
        <v>13</v>
      </c>
      <c r="D14" s="105" t="s">
        <v>14</v>
      </c>
      <c r="E14" s="9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3" customFormat="1" ht="11.25" x14ac:dyDescent="0.2">
      <c r="A15" s="2"/>
      <c r="B15" s="96"/>
      <c r="C15" s="111" t="s">
        <v>9</v>
      </c>
      <c r="D15" s="106">
        <v>1</v>
      </c>
      <c r="E15" s="9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3" customFormat="1" ht="11.25" x14ac:dyDescent="0.2">
      <c r="A16" s="2"/>
      <c r="B16" s="96"/>
      <c r="C16" s="111" t="s">
        <v>107</v>
      </c>
      <c r="D16" s="105" t="s">
        <v>110</v>
      </c>
      <c r="E16" s="9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3" customFormat="1" ht="11.25" x14ac:dyDescent="0.2">
      <c r="A17" s="2"/>
      <c r="B17" s="96"/>
      <c r="C17" s="111" t="s">
        <v>108</v>
      </c>
      <c r="D17" s="105" t="s">
        <v>110</v>
      </c>
      <c r="E17" s="9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3" customFormat="1" ht="11.25" x14ac:dyDescent="0.2">
      <c r="A18" s="2"/>
      <c r="B18" s="96"/>
      <c r="C18" s="111" t="s">
        <v>106</v>
      </c>
      <c r="D18" s="105" t="b">
        <f>_xll.qlCalendarIsHoliday(LocalCalendar,_xll.qlCalendarAdvance(LiborCalendar,EvaluationDate,SettlementDays&amp;"D","f",FALSE,Trigger))</f>
        <v>0</v>
      </c>
      <c r="E18" s="9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3" customFormat="1" ht="11.25" x14ac:dyDescent="0.2">
      <c r="A19" s="2"/>
      <c r="B19" s="96"/>
      <c r="C19" s="111" t="s">
        <v>7</v>
      </c>
      <c r="D19" s="105" t="str">
        <f>IF(D18,LocalCalendar,LiborCalendar)</f>
        <v>Australia</v>
      </c>
      <c r="E19" s="9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3" customFormat="1" ht="11.25" x14ac:dyDescent="0.2">
      <c r="A20" s="2"/>
      <c r="B20" s="96"/>
      <c r="C20" s="112" t="s">
        <v>10</v>
      </c>
      <c r="D20" s="107">
        <f>_xll.qlCalendarAdvance(Calendar,EvaluationDate,SettlementDays&amp;"d","following",FALSE)</f>
        <v>41873</v>
      </c>
      <c r="E20" s="9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3" customFormat="1" ht="11.25" x14ac:dyDescent="0.2">
      <c r="A21" s="2"/>
      <c r="B21" s="96"/>
      <c r="C21" s="112" t="s">
        <v>82</v>
      </c>
      <c r="D21" s="107" t="s">
        <v>83</v>
      </c>
      <c r="E21" s="9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3" customFormat="1" ht="12" thickBot="1" x14ac:dyDescent="0.25">
      <c r="A22" s="2"/>
      <c r="B22" s="101"/>
      <c r="C22" s="102"/>
      <c r="D22" s="102"/>
      <c r="E22" s="10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</row>
    <row r="24" spans="1:26" x14ac:dyDescent="0.25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</row>
    <row r="25" spans="1:26" x14ac:dyDescent="0.25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</row>
    <row r="26" spans="1:26" x14ac:dyDescent="0.25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</row>
    <row r="27" spans="1:26" x14ac:dyDescent="0.25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</row>
    <row r="28" spans="1:26" x14ac:dyDescent="0.25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</row>
    <row r="29" spans="1:26" x14ac:dyDescent="0.25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 spans="1:26" x14ac:dyDescent="0.25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 spans="1:26" x14ac:dyDescent="0.25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 spans="1:26" x14ac:dyDescent="0.25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 spans="1:26" x14ac:dyDescent="0.25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 spans="1:26" x14ac:dyDescent="0.25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 spans="1:26" x14ac:dyDescent="0.25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 spans="1:26" x14ac:dyDescent="0.25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 spans="1:26" x14ac:dyDescent="0.25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 spans="1:26" x14ac:dyDescent="0.25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 spans="1:26" x14ac:dyDescent="0.25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 spans="1:26" x14ac:dyDescent="0.25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 spans="1:26" x14ac:dyDescent="0.25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 spans="1:26" x14ac:dyDescent="0.25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 spans="1:26" x14ac:dyDescent="0.25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 spans="1:26" x14ac:dyDescent="0.25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 spans="1:26" x14ac:dyDescent="0.25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 spans="1:26" x14ac:dyDescent="0.25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 spans="1:26" x14ac:dyDescent="0.25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 spans="1:26" x14ac:dyDescent="0.25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 spans="1:26" x14ac:dyDescent="0.25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 spans="1:26" x14ac:dyDescent="0.25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 spans="1:26" x14ac:dyDescent="0.25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 spans="1:26" x14ac:dyDescent="0.25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 spans="1:26" x14ac:dyDescent="0.25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 spans="1:26" x14ac:dyDescent="0.25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 spans="1:26" x14ac:dyDescent="0.25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 spans="1:26" x14ac:dyDescent="0.25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 spans="1:26" x14ac:dyDescent="0.25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 spans="1:26" x14ac:dyDescent="0.25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 spans="1:26" x14ac:dyDescent="0.25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 spans="1:26" x14ac:dyDescent="0.25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 spans="1:26" x14ac:dyDescent="0.25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 spans="1:26" x14ac:dyDescent="0.25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 spans="1:26" x14ac:dyDescent="0.25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 spans="1:26" x14ac:dyDescent="0.25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 spans="1:26" x14ac:dyDescent="0.25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 spans="1:26" x14ac:dyDescent="0.25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 spans="1:26" x14ac:dyDescent="0.25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 spans="1:26" x14ac:dyDescent="0.25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 spans="1:26" x14ac:dyDescent="0.25">
      <c r="A69" s="93"/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 spans="1:26" x14ac:dyDescent="0.25">
      <c r="A70" s="93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 spans="1:26" x14ac:dyDescent="0.25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 spans="1:26" x14ac:dyDescent="0.25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 spans="1:26" x14ac:dyDescent="0.25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 spans="1:26" x14ac:dyDescent="0.25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 spans="1:26" x14ac:dyDescent="0.25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 spans="1:26" x14ac:dyDescent="0.25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 spans="1:26" x14ac:dyDescent="0.25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 spans="1:26" x14ac:dyDescent="0.25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 spans="1:26" x14ac:dyDescent="0.25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 spans="1:26" x14ac:dyDescent="0.25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 spans="1:26" x14ac:dyDescent="0.25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 spans="1:26" x14ac:dyDescent="0.25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 spans="1:26" x14ac:dyDescent="0.25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 spans="1:26" x14ac:dyDescent="0.25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 spans="1:26" x14ac:dyDescent="0.25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 spans="1:26" x14ac:dyDescent="0.25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 spans="1:26" x14ac:dyDescent="0.25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 spans="1:26" x14ac:dyDescent="0.25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</row>
    <row r="89" spans="1:26" x14ac:dyDescent="0.25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</row>
    <row r="90" spans="1:26" x14ac:dyDescent="0.25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</row>
    <row r="91" spans="1:26" x14ac:dyDescent="0.25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</row>
    <row r="92" spans="1:26" x14ac:dyDescent="0.25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</row>
    <row r="93" spans="1:26" x14ac:dyDescent="0.25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</row>
    <row r="94" spans="1:26" x14ac:dyDescent="0.25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</row>
    <row r="95" spans="1:26" x14ac:dyDescent="0.25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</row>
    <row r="96" spans="1:26" x14ac:dyDescent="0.25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 spans="1:26" x14ac:dyDescent="0.25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</row>
    <row r="98" spans="1:26" x14ac:dyDescent="0.25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</row>
    <row r="99" spans="1:26" x14ac:dyDescent="0.25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</row>
    <row r="100" spans="1:26" x14ac:dyDescent="0.25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</row>
    <row r="101" spans="1:26" x14ac:dyDescent="0.25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</row>
  </sheetData>
  <dataValidations count="3">
    <dataValidation type="list" allowBlank="1" showInputMessage="1" showErrorMessage="1" sqref="D16 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11">
      <formula1>"EUR,USD,GBP,JPY,CHF,AUD,CNY,CNH"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" right="0.7" top="0.75" bottom="0.75" header="0.3" footer="0.3"/>
  <pageSetup paperSize="9" orientation="portrait" r:id="rId1"/>
  <ignoredErrors>
    <ignoredError sqref="D19:D20 D18 D6 D12:D13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00"/>
  <sheetViews>
    <sheetView showGridLines="0" tabSelected="1" workbookViewId="0">
      <selection activeCell="B1" sqref="B1"/>
    </sheetView>
  </sheetViews>
  <sheetFormatPr defaultColWidth="3" defaultRowHeight="11.25" x14ac:dyDescent="0.2"/>
  <cols>
    <col min="1" max="3" width="15.7109375" style="1" customWidth="1"/>
    <col min="4" max="4" width="2.7109375" style="13" customWidth="1"/>
    <col min="5" max="5" width="8" style="1" bestFit="1" customWidth="1"/>
    <col min="6" max="6" width="12" style="1" bestFit="1" customWidth="1"/>
    <col min="7" max="8" width="8" style="1" bestFit="1" customWidth="1"/>
    <col min="9" max="9" width="10" style="1" bestFit="1" customWidth="1"/>
    <col min="10" max="10" width="10" style="5" bestFit="1" customWidth="1"/>
    <col min="11" max="11" width="2.7109375" style="13" customWidth="1"/>
    <col min="12" max="12" width="7" style="1" bestFit="1" customWidth="1"/>
    <col min="13" max="13" width="12" style="1" bestFit="1" customWidth="1"/>
    <col min="14" max="15" width="8" style="1" bestFit="1" customWidth="1"/>
    <col min="16" max="16" width="10" style="1" bestFit="1" customWidth="1"/>
    <col min="17" max="17" width="10" style="5" bestFit="1" customWidth="1"/>
    <col min="18" max="18" width="2.7109375" style="5" customWidth="1"/>
    <col min="19" max="19" width="7" style="1" bestFit="1" customWidth="1"/>
    <col min="20" max="20" width="12" style="1" bestFit="1" customWidth="1"/>
    <col min="21" max="22" width="8" style="1" bestFit="1" customWidth="1"/>
    <col min="23" max="23" width="10" style="1" bestFit="1" customWidth="1"/>
    <col min="24" max="24" width="10" style="5" bestFit="1" customWidth="1"/>
    <col min="25" max="25" width="2.7109375" style="5" customWidth="1"/>
    <col min="26" max="31" width="14.42578125" style="1" customWidth="1"/>
    <col min="32" max="16384" width="3" style="1"/>
  </cols>
  <sheetData>
    <row r="1" spans="1:51" ht="11.25" customHeight="1" x14ac:dyDescent="0.2">
      <c r="A1" s="30" t="s">
        <v>8</v>
      </c>
      <c r="B1" s="59"/>
      <c r="C1" s="2"/>
      <c r="D1" s="2"/>
      <c r="E1" s="29" t="s">
        <v>2</v>
      </c>
      <c r="F1" s="29">
        <v>0</v>
      </c>
      <c r="G1" s="64" t="s">
        <v>0</v>
      </c>
      <c r="H1" s="28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ht="11.25" customHeight="1" x14ac:dyDescent="0.2">
      <c r="A2" s="63"/>
      <c r="B2" s="6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1.25" customHeight="1" x14ac:dyDescent="0.2">
      <c r="A3" s="47"/>
      <c r="B3" s="47"/>
      <c r="C3" s="48"/>
      <c r="D3" s="2" t="s">
        <v>97</v>
      </c>
      <c r="E3" s="14" t="s">
        <v>89</v>
      </c>
      <c r="F3" s="14"/>
      <c r="G3" s="14"/>
      <c r="H3" s="15"/>
      <c r="I3" s="46"/>
      <c r="J3" s="16"/>
      <c r="K3" s="2" t="s">
        <v>97</v>
      </c>
      <c r="L3" s="14" t="s">
        <v>90</v>
      </c>
      <c r="M3" s="14"/>
      <c r="N3" s="14"/>
      <c r="O3" s="15"/>
      <c r="P3" s="46"/>
      <c r="Q3" s="16"/>
      <c r="R3" s="57" t="s">
        <v>97</v>
      </c>
      <c r="S3" s="14" t="s">
        <v>91</v>
      </c>
      <c r="T3" s="14"/>
      <c r="U3" s="14"/>
      <c r="V3" s="15"/>
      <c r="W3" s="46"/>
      <c r="X3" s="16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s="51" customFormat="1" ht="11.25" customHeight="1" x14ac:dyDescent="0.2">
      <c r="A4" s="27" t="s">
        <v>15</v>
      </c>
      <c r="B4" s="27" t="s">
        <v>23</v>
      </c>
      <c r="C4" s="27" t="s">
        <v>14</v>
      </c>
      <c r="D4" s="2" t="s">
        <v>97</v>
      </c>
      <c r="E4" s="32" t="s">
        <v>112</v>
      </c>
      <c r="F4" s="50" t="s">
        <v>92</v>
      </c>
      <c r="G4" s="32" t="s">
        <v>0</v>
      </c>
      <c r="H4" s="32" t="s">
        <v>1</v>
      </c>
      <c r="I4" s="32" t="s">
        <v>98</v>
      </c>
      <c r="J4" s="32" t="s">
        <v>99</v>
      </c>
      <c r="K4" s="2" t="s">
        <v>97</v>
      </c>
      <c r="L4" s="32" t="s">
        <v>112</v>
      </c>
      <c r="M4" s="50" t="s">
        <v>92</v>
      </c>
      <c r="N4" s="32" t="s">
        <v>0</v>
      </c>
      <c r="O4" s="32" t="s">
        <v>1</v>
      </c>
      <c r="P4" s="32" t="s">
        <v>98</v>
      </c>
      <c r="Q4" s="32" t="s">
        <v>99</v>
      </c>
      <c r="R4" s="58" t="s">
        <v>97</v>
      </c>
      <c r="S4" s="32" t="s">
        <v>112</v>
      </c>
      <c r="T4" s="50" t="s">
        <v>92</v>
      </c>
      <c r="U4" s="32" t="s">
        <v>0</v>
      </c>
      <c r="V4" s="32" t="s">
        <v>1</v>
      </c>
      <c r="W4" s="32" t="s">
        <v>98</v>
      </c>
      <c r="X4" s="32" t="s">
        <v>99</v>
      </c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</row>
    <row r="5" spans="1:51" ht="11.25" customHeight="1" x14ac:dyDescent="0.2">
      <c r="A5" s="24" t="str">
        <f>IF(Contribute="abcd",IF($F$1&lt;&gt;-1,_xll.RtContribute(SourceAlias,F5,Fields,G5:H5,"SCOPE:SERVER"),_xll.RtContribute(SourceAlias,"DDS_INSERT_S",$F$1:$H$1,G5:H5,"SCOPE:SERVER FTC:ALL")),"stopped")</f>
        <v>stopped</v>
      </c>
      <c r="B5" s="24" t="str">
        <f>IF(Contribute="abcd",IF($F$1&lt;&gt;-1,_xll.RtContribute(SourceAlias,M5,Fields,N5:O5,"SCOPE:SERVER"),_xll.RtContribute(SourceAlias,"DDS_INSERT_S",$F$1:$H$1,M5:O5,"SCOPE:SERVER FTC:ALL")),"stopped")</f>
        <v>stopped</v>
      </c>
      <c r="C5" s="24" t="str">
        <f>IF(Contribute="abcd",IF($F$1&lt;&gt;-1,_xll.RtContribute(SourceAlias,T5,Fields,U5:V5,"SCOPE:SERVER"),_xll.RtContribute(SourceAlias,"DDS_INSERT_S",$F$1:$H$1,T5:V5,"SCOPE:SERVER FTC:ALL")),"stopped")</f>
        <v>stopped</v>
      </c>
      <c r="D5" s="2" t="s">
        <v>97</v>
      </c>
      <c r="E5" s="24" t="s">
        <v>52</v>
      </c>
      <c r="F5" s="17" t="str">
        <f t="shared" ref="F5:F16" si="0">Currency&amp;"ON"&amp;E5&amp;"="</f>
        <v>AUDONOND=</v>
      </c>
      <c r="G5" s="18">
        <f>'ON Pricing'!H5*100</f>
        <v>2.5001309990660969</v>
      </c>
      <c r="H5" s="18">
        <f>G5</f>
        <v>2.5001309990660969</v>
      </c>
      <c r="I5" s="18" t="e">
        <f>ABS(_xll.RtGet(SourceAlias,$F5,BID)-G5)</f>
        <v>#VALUE!</v>
      </c>
      <c r="J5" s="18" t="e">
        <f>ABS(_xll.RtGet(SourceAlias,$F5,ASK)-H5)</f>
        <v>#VALUE!</v>
      </c>
      <c r="K5" s="2" t="s">
        <v>97</v>
      </c>
      <c r="L5" s="24" t="s">
        <v>52</v>
      </c>
      <c r="M5" s="17" t="str">
        <f t="shared" ref="M5:M19" si="1">Currency&amp;"3M"&amp;L5&amp;"="</f>
        <v>AUD3MOND=</v>
      </c>
      <c r="N5" s="18">
        <f>'3M Pricing'!J5*100</f>
        <v>2.6847404365861696</v>
      </c>
      <c r="O5" s="18">
        <f>N5</f>
        <v>2.6847404365861696</v>
      </c>
      <c r="P5" s="18" t="e">
        <f>ABS(_xll.RtGet(SourceAlias,$M5,BID)-N5)</f>
        <v>#VALUE!</v>
      </c>
      <c r="Q5" s="18" t="e">
        <f>ABS(_xll.RtGet(SourceAlias,$M5,ASK)-O5)</f>
        <v>#VALUE!</v>
      </c>
      <c r="R5" s="57" t="s">
        <v>97</v>
      </c>
      <c r="S5" s="24" t="s">
        <v>52</v>
      </c>
      <c r="T5" s="17" t="str">
        <f t="shared" ref="T5:T20" si="2">Currency&amp;"6M"&amp;S5&amp;"="</f>
        <v>AUD6MOND=</v>
      </c>
      <c r="U5" s="18">
        <f>'6M Pricing'!H5*100</f>
        <v>2.7472413060389833</v>
      </c>
      <c r="V5" s="18">
        <f>U5</f>
        <v>2.7472413060389833</v>
      </c>
      <c r="W5" s="18" t="e">
        <f>ABS(_xll.RtGet(SourceAlias,$T5,BID)-U5)</f>
        <v>#VALUE!</v>
      </c>
      <c r="X5" s="18" t="e">
        <f>ABS(_xll.RtGet(SourceAlias,$T5,ASK)-V5)</f>
        <v>#VALUE!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ht="11.25" customHeight="1" x14ac:dyDescent="0.2">
      <c r="A6" s="25" t="str">
        <f>IF(Contribute="abcd",IF($F$1&lt;&gt;-1,_xll.RtContribute(SourceAlias,F6,Fields,G6:H6,"SCOPE:SERVER"),_xll.RtContribute(SourceAlias,"DDS_INSERT_S",$F$1:$H$1,G6:H6,"SCOPE:SERVER FTC:ALL")),"stopped")</f>
        <v>stopped</v>
      </c>
      <c r="B6" s="25" t="str">
        <f>IF(Contribute="abcd",IF($F$1&lt;&gt;-1,_xll.RtContribute(SourceAlias,M6,Fields,N6:O6,"SCOPE:SERVER"),_xll.RtContribute(SourceAlias,"DDS_INSERT_S",$F$1:$H$1,M6:O6,"SCOPE:SERVER FTC:ALL")),"stopped")</f>
        <v>stopped</v>
      </c>
      <c r="C6" s="25" t="str">
        <f>IF(Contribute="abcd",IF($F$1&lt;&gt;-1,_xll.RtContribute(SourceAlias,T6,Fields,U6:V6,"SCOPE:SERVER"),_xll.RtContribute(SourceAlias,"DDS_INSERT_S",$F$1:$H$1,T6:V6,"SCOPE:SERVER FTC:ALL")),"stopped")</f>
        <v>stopped</v>
      </c>
      <c r="D6" s="2" t="s">
        <v>97</v>
      </c>
      <c r="E6" s="25" t="s">
        <v>53</v>
      </c>
      <c r="F6" s="19" t="str">
        <f t="shared" si="0"/>
        <v>AUDONTND=</v>
      </c>
      <c r="G6" s="20">
        <f>'ON Pricing'!H6*100</f>
        <v>2.5001231894248672</v>
      </c>
      <c r="H6" s="20">
        <f t="shared" ref="H6:H35" si="3">G6</f>
        <v>2.5001231894248672</v>
      </c>
      <c r="I6" s="20" t="e">
        <f>ABS(_xll.RtGet(SourceAlias,$F6,BID)-G6)</f>
        <v>#VALUE!</v>
      </c>
      <c r="J6" s="20" t="e">
        <f>ABS(_xll.RtGet(SourceAlias,$F6,ASK)-H6)</f>
        <v>#VALUE!</v>
      </c>
      <c r="K6" s="2" t="s">
        <v>97</v>
      </c>
      <c r="L6" s="25" t="s">
        <v>53</v>
      </c>
      <c r="M6" s="19" t="str">
        <f t="shared" si="1"/>
        <v>AUD3MTND=</v>
      </c>
      <c r="N6" s="20">
        <f>'3M Pricing'!J6*100</f>
        <v>2.6848239890506469</v>
      </c>
      <c r="O6" s="20">
        <f t="shared" ref="O6:O35" si="4">N6</f>
        <v>2.6848239890506469</v>
      </c>
      <c r="P6" s="20" t="e">
        <f>ABS(_xll.RtGet(SourceAlias,$M6,BID)-N6)</f>
        <v>#VALUE!</v>
      </c>
      <c r="Q6" s="20" t="e">
        <f>ABS(_xll.RtGet(SourceAlias,$M6,ASK)-O6)</f>
        <v>#VALUE!</v>
      </c>
      <c r="R6" s="57" t="s">
        <v>97</v>
      </c>
      <c r="S6" s="25" t="s">
        <v>53</v>
      </c>
      <c r="T6" s="19" t="str">
        <f t="shared" si="2"/>
        <v>AUD6MTND=</v>
      </c>
      <c r="U6" s="20">
        <f>'6M Pricing'!H6*100</f>
        <v>2.7475297605812812</v>
      </c>
      <c r="V6" s="20">
        <f t="shared" ref="V6:V35" si="5">U6</f>
        <v>2.7475297605812812</v>
      </c>
      <c r="W6" s="20" t="e">
        <f>ABS(_xll.RtGet(SourceAlias,$T6,BID)-U6)</f>
        <v>#VALUE!</v>
      </c>
      <c r="X6" s="20" t="e">
        <f>ABS(_xll.RtGet(SourceAlias,$T6,ASK)-V6)</f>
        <v>#VALUE!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ht="11.25" customHeight="1" x14ac:dyDescent="0.2">
      <c r="A7" s="25" t="str">
        <f>IF(Contribute="abcd",IF($F$1&lt;&gt;-1,_xll.RtContribute(SourceAlias,F7,Fields,G7:H7,"SCOPE:SERVER"),_xll.RtContribute(SourceAlias,"DDS_INSERT_S",$F$1:$H$1,G7:H7,"SCOPE:SERVER FTC:ALL")),"stopped")</f>
        <v>stopped</v>
      </c>
      <c r="B7" s="25" t="str">
        <f>IF(Contribute="abcd",IF($F$1&lt;&gt;-1,_xll.RtContribute(SourceAlias,M7,Fields,N7:O7,"SCOPE:SERVER"),_xll.RtContribute(SourceAlias,"DDS_INSERT_S",$F$1:$H$1,M7:O7,"SCOPE:SERVER FTC:ALL")),"stopped")</f>
        <v>stopped</v>
      </c>
      <c r="C7" s="25" t="str">
        <f>IF(Contribute="abcd",IF($F$1&lt;&gt;-1,_xll.RtContribute(SourceAlias,T7,Fields,U7:V7,"SCOPE:SERVER"),_xll.RtContribute(SourceAlias,"DDS_INSERT_S",$F$1:$H$1,T7:V7,"SCOPE:SERVER FTC:ALL")),"stopped")</f>
        <v>stopped</v>
      </c>
      <c r="D7" s="2" t="s">
        <v>97</v>
      </c>
      <c r="E7" s="25" t="s">
        <v>54</v>
      </c>
      <c r="F7" s="19" t="str">
        <f t="shared" si="0"/>
        <v>AUDONSND=</v>
      </c>
      <c r="G7" s="20">
        <f>'ON Pricing'!H7*100</f>
        <v>2.4995938795256967</v>
      </c>
      <c r="H7" s="20">
        <f t="shared" si="3"/>
        <v>2.4995938795256967</v>
      </c>
      <c r="I7" s="20" t="e">
        <f>ABS(_xll.RtGet(SourceAlias,$F7,BID)-G7)</f>
        <v>#VALUE!</v>
      </c>
      <c r="J7" s="20" t="e">
        <f>ABS(_xll.RtGet(SourceAlias,$F7,ASK)-H7)</f>
        <v>#VALUE!</v>
      </c>
      <c r="K7" s="2" t="s">
        <v>97</v>
      </c>
      <c r="L7" s="25" t="s">
        <v>54</v>
      </c>
      <c r="M7" s="19" t="str">
        <f t="shared" si="1"/>
        <v>AUD3MSND=</v>
      </c>
      <c r="N7" s="20">
        <f>'3M Pricing'!J7*100</f>
        <v>2.6849957447716566</v>
      </c>
      <c r="O7" s="20">
        <f t="shared" si="4"/>
        <v>2.6849957447716566</v>
      </c>
      <c r="P7" s="20" t="e">
        <f>ABS(_xll.RtGet(SourceAlias,$M7,BID)-N7)</f>
        <v>#VALUE!</v>
      </c>
      <c r="Q7" s="20" t="e">
        <f>ABS(_xll.RtGet(SourceAlias,$M7,ASK)-O7)</f>
        <v>#VALUE!</v>
      </c>
      <c r="R7" s="57" t="s">
        <v>97</v>
      </c>
      <c r="S7" s="25" t="s">
        <v>54</v>
      </c>
      <c r="T7" s="19" t="str">
        <f t="shared" si="2"/>
        <v>AUD6MSND=</v>
      </c>
      <c r="U7" s="20">
        <f>'6M Pricing'!H7*100</f>
        <v>2.7472413060389833</v>
      </c>
      <c r="V7" s="20">
        <f t="shared" si="5"/>
        <v>2.7472413060389833</v>
      </c>
      <c r="W7" s="20" t="e">
        <f>ABS(_xll.RtGet(SourceAlias,$T7,BID)-U7)</f>
        <v>#VALUE!</v>
      </c>
      <c r="X7" s="20" t="e">
        <f>ABS(_xll.RtGet(SourceAlias,$T7,ASK)-V7)</f>
        <v>#VALUE!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ht="11.25" customHeight="1" x14ac:dyDescent="0.2">
      <c r="A8" s="25" t="str">
        <f>IF(Contribute="abcd",IF($F$1&lt;&gt;-1,_xll.RtContribute(SourceAlias,F8,Fields,G8:H8,"SCOPE:SERVER"),_xll.RtContribute(SourceAlias,"DDS_INSERT_S",$F$1:$H$1,G8:H8,"SCOPE:SERVER FTC:ALL")),"stopped")</f>
        <v>stopped</v>
      </c>
      <c r="B8" s="25" t="str">
        <f>IF(Contribute="abcd",IF($F$1&lt;&gt;-1,_xll.RtContribute(SourceAlias,M8,Fields,N8:O8,"SCOPE:SERVER"),_xll.RtContribute(SourceAlias,"DDS_INSERT_S",$F$1:$H$1,M8:O8,"SCOPE:SERVER FTC:ALL")),"stopped")</f>
        <v>stopped</v>
      </c>
      <c r="C8" s="25" t="str">
        <f>IF(Contribute="abcd",IF($F$1&lt;&gt;-1,_xll.RtContribute(SourceAlias,T8,Fields,U8:V8,"SCOPE:SERVER"),_xll.RtContribute(SourceAlias,"DDS_INSERT_S",$F$1:$H$1,T8:V8,"SCOPE:SERVER FTC:ALL")),"stopped")</f>
        <v>stopped</v>
      </c>
      <c r="D8" s="57" t="s">
        <v>97</v>
      </c>
      <c r="E8" s="25" t="s">
        <v>55</v>
      </c>
      <c r="F8" s="19" t="str">
        <f t="shared" si="0"/>
        <v>AUDONSWD=</v>
      </c>
      <c r="G8" s="20">
        <f>'ON Pricing'!H8*100</f>
        <v>2.5000000018372286</v>
      </c>
      <c r="H8" s="20">
        <f t="shared" si="3"/>
        <v>2.5000000018372286</v>
      </c>
      <c r="I8" s="20" t="e">
        <f>ABS(_xll.RtGet(SourceAlias,$F8,BID)-G8)</f>
        <v>#VALUE!</v>
      </c>
      <c r="J8" s="20" t="e">
        <f>ABS(_xll.RtGet(SourceAlias,$F8,ASK)-H8)</f>
        <v>#VALUE!</v>
      </c>
      <c r="K8" s="57" t="s">
        <v>97</v>
      </c>
      <c r="L8" s="25" t="s">
        <v>55</v>
      </c>
      <c r="M8" s="19" t="str">
        <f t="shared" si="1"/>
        <v>AUD3MSWD=</v>
      </c>
      <c r="N8" s="20">
        <f>'3M Pricing'!J8*100</f>
        <v>2.6854812468655331</v>
      </c>
      <c r="O8" s="20">
        <f t="shared" si="4"/>
        <v>2.6854812468655331</v>
      </c>
      <c r="P8" s="20" t="e">
        <f>ABS(_xll.RtGet(SourceAlias,$M8,BID)-N8)</f>
        <v>#VALUE!</v>
      </c>
      <c r="Q8" s="20" t="e">
        <f>ABS(_xll.RtGet(SourceAlias,$M8,ASK)-O8)</f>
        <v>#VALUE!</v>
      </c>
      <c r="R8" s="57" t="s">
        <v>97</v>
      </c>
      <c r="S8" s="25" t="s">
        <v>55</v>
      </c>
      <c r="T8" s="19" t="str">
        <f t="shared" si="2"/>
        <v>AUD6MSWD=</v>
      </c>
      <c r="U8" s="20">
        <f>'6M Pricing'!H8*100</f>
        <v>2.7478049560550888</v>
      </c>
      <c r="V8" s="20">
        <f t="shared" si="5"/>
        <v>2.7478049560550888</v>
      </c>
      <c r="W8" s="20" t="e">
        <f>ABS(_xll.RtGet(SourceAlias,$T8,BID)-U8)</f>
        <v>#VALUE!</v>
      </c>
      <c r="X8" s="20" t="e">
        <f>ABS(_xll.RtGet(SourceAlias,$T8,ASK)-V8)</f>
        <v>#VALUE!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ht="11.25" customHeight="1" x14ac:dyDescent="0.2">
      <c r="A9" s="25"/>
      <c r="B9" s="25" t="str">
        <f>IF(Contribute="abcd",IF($F$1&lt;&gt;-1,_xll.RtContribute(SourceAlias,M9,Fields,N9:O9,"SCOPE:SERVER"),_xll.RtContribute(SourceAlias,"DDS_INSERT_S",$F$1:$H$1,M9:O9,"SCOPE:SERVER FTC:ALL")),"stopped")</f>
        <v>stopped</v>
      </c>
      <c r="C9" s="25" t="str">
        <f>IF(Contribute="abcd",IF($F$1&lt;&gt;-1,_xll.RtContribute(SourceAlias,T9,Fields,U9:V9,"SCOPE:SERVER"),_xll.RtContribute(SourceAlias,"DDS_INSERT_S",$F$1:$H$1,T9:V9,"SCOPE:SERVER FTC:ALL")),"stopped")</f>
        <v>stopped</v>
      </c>
      <c r="D9" s="2" t="s">
        <v>97</v>
      </c>
      <c r="E9" s="25"/>
      <c r="F9" s="19"/>
      <c r="G9" s="20"/>
      <c r="H9" s="20"/>
      <c r="I9" s="20"/>
      <c r="J9" s="20"/>
      <c r="K9" s="2" t="s">
        <v>97</v>
      </c>
      <c r="L9" s="25" t="s">
        <v>56</v>
      </c>
      <c r="M9" s="19" t="str">
        <f t="shared" si="1"/>
        <v>AUD3M2WD=</v>
      </c>
      <c r="N9" s="20">
        <f>'3M Pricing'!J9*100</f>
        <v>2.6858446039295814</v>
      </c>
      <c r="O9" s="20">
        <f t="shared" si="4"/>
        <v>2.6858446039295814</v>
      </c>
      <c r="P9" s="20" t="e">
        <f>ABS(_xll.RtGet(SourceAlias,$M9,BID)-N9)</f>
        <v>#VALUE!</v>
      </c>
      <c r="Q9" s="20" t="e">
        <f>ABS(_xll.RtGet(SourceAlias,$M9,ASK)-O9)</f>
        <v>#VALUE!</v>
      </c>
      <c r="R9" s="57" t="s">
        <v>97</v>
      </c>
      <c r="S9" s="25" t="s">
        <v>56</v>
      </c>
      <c r="T9" s="19" t="str">
        <f t="shared" si="2"/>
        <v>AUD6M2WD=</v>
      </c>
      <c r="U9" s="20">
        <f>'6M Pricing'!H9*100</f>
        <v>2.7483550611229437</v>
      </c>
      <c r="V9" s="20">
        <f t="shared" si="5"/>
        <v>2.7483550611229437</v>
      </c>
      <c r="W9" s="20" t="e">
        <f>ABS(_xll.RtGet(SourceAlias,$T9,BID)-U9)</f>
        <v>#VALUE!</v>
      </c>
      <c r="X9" s="20" t="e">
        <f>ABS(_xll.RtGet(SourceAlias,$T9,ASK)-V9)</f>
        <v>#VALUE!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ht="11.25" customHeight="1" x14ac:dyDescent="0.2">
      <c r="A10" s="25"/>
      <c r="B10" s="25" t="str">
        <f>IF(Contribute="abcd",IF($F$1&lt;&gt;-1,_xll.RtContribute(SourceAlias,M10,Fields,N10:O10,"SCOPE:SERVER"),_xll.RtContribute(SourceAlias,"DDS_INSERT_S",$F$1:$H$1,M10:O10,"SCOPE:SERVER FTC:ALL")),"stopped")</f>
        <v>stopped</v>
      </c>
      <c r="C10" s="25" t="str">
        <f>IF(Contribute="abcd",IF($F$1&lt;&gt;-1,_xll.RtContribute(SourceAlias,T10,Fields,U10:V10,"SCOPE:SERVER"),_xll.RtContribute(SourceAlias,"DDS_INSERT_S",$F$1:$H$1,T10:V10,"SCOPE:SERVER FTC:ALL")),"stopped")</f>
        <v>stopped</v>
      </c>
      <c r="D10" s="2" t="s">
        <v>97</v>
      </c>
      <c r="E10" s="25"/>
      <c r="F10" s="19"/>
      <c r="G10" s="20"/>
      <c r="H10" s="20"/>
      <c r="I10" s="20"/>
      <c r="J10" s="20"/>
      <c r="K10" s="2" t="s">
        <v>97</v>
      </c>
      <c r="L10" s="25" t="s">
        <v>57</v>
      </c>
      <c r="M10" s="19" t="str">
        <f t="shared" si="1"/>
        <v>AUD3M3WD=</v>
      </c>
      <c r="N10" s="20">
        <f>'3M Pricing'!J10*100</f>
        <v>2.6859889569930502</v>
      </c>
      <c r="O10" s="20">
        <f t="shared" si="4"/>
        <v>2.6859889569930502</v>
      </c>
      <c r="P10" s="20" t="e">
        <f>ABS(_xll.RtGet(SourceAlias,$M10,BID)-N10)</f>
        <v>#VALUE!</v>
      </c>
      <c r="Q10" s="20" t="e">
        <f>ABS(_xll.RtGet(SourceAlias,$M10,ASK)-O10)</f>
        <v>#VALUE!</v>
      </c>
      <c r="R10" s="57" t="s">
        <v>97</v>
      </c>
      <c r="S10" s="25" t="s">
        <v>57</v>
      </c>
      <c r="T10" s="19" t="str">
        <f t="shared" si="2"/>
        <v>AUD6M3WD=</v>
      </c>
      <c r="U10" s="20">
        <f>'6M Pricing'!H10*100</f>
        <v>2.7487892368952922</v>
      </c>
      <c r="V10" s="20">
        <f t="shared" si="5"/>
        <v>2.7487892368952922</v>
      </c>
      <c r="W10" s="20" t="e">
        <f>ABS(_xll.RtGet(SourceAlias,$T10,BID)-U10)</f>
        <v>#VALUE!</v>
      </c>
      <c r="X10" s="20" t="e">
        <f>ABS(_xll.RtGet(SourceAlias,$T10,ASK)-V10)</f>
        <v>#VALUE!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ht="11.25" customHeight="1" x14ac:dyDescent="0.2">
      <c r="A11" s="25" t="str">
        <f>IF(Contribute="abcd",IF($F$1&lt;&gt;-1,_xll.RtContribute(SourceAlias,F11,Fields,G11:H11,"SCOPE:SERVER"),_xll.RtContribute(SourceAlias,"DDS_INSERT_S",$F$1:$H$1,G11:H11,"SCOPE:SERVER FTC:ALL")),"stopped")</f>
        <v>stopped</v>
      </c>
      <c r="B11" s="25" t="str">
        <f>IF(Contribute="abcd",IF($F$1&lt;&gt;-1,_xll.RtContribute(SourceAlias,M11,Fields,N11:O11,"SCOPE:SERVER"),_xll.RtContribute(SourceAlias,"DDS_INSERT_S",$F$1:$H$1,M11:O11,"SCOPE:SERVER FTC:ALL")),"stopped")</f>
        <v>stopped</v>
      </c>
      <c r="C11" s="25" t="str">
        <f>IF(Contribute="abcd",IF($F$1&lt;&gt;-1,_xll.RtContribute(SourceAlias,T11,Fields,U11:V11,"SCOPE:SERVER"),_xll.RtContribute(SourceAlias,"DDS_INSERT_S",$F$1:$H$1,T11:V11,"SCOPE:SERVER FTC:ALL")),"stopped")</f>
        <v>stopped</v>
      </c>
      <c r="D11" s="2" t="s">
        <v>97</v>
      </c>
      <c r="E11" s="25" t="s">
        <v>58</v>
      </c>
      <c r="F11" s="19" t="str">
        <f t="shared" si="0"/>
        <v>AUDON1MD=</v>
      </c>
      <c r="G11" s="20">
        <f>'ON Pricing'!H11*100</f>
        <v>2.4975000009720096</v>
      </c>
      <c r="H11" s="20">
        <f t="shared" si="3"/>
        <v>2.4975000009720096</v>
      </c>
      <c r="I11" s="20" t="e">
        <f>ABS(_xll.RtGet(SourceAlias,$F11,BID)-G11)</f>
        <v>#VALUE!</v>
      </c>
      <c r="J11" s="20" t="e">
        <f>ABS(_xll.RtGet(SourceAlias,$F11,ASK)-H11)</f>
        <v>#VALUE!</v>
      </c>
      <c r="K11" s="2" t="s">
        <v>97</v>
      </c>
      <c r="L11" s="25" t="s">
        <v>58</v>
      </c>
      <c r="M11" s="19" t="str">
        <f t="shared" si="1"/>
        <v>AUD3M1MD=</v>
      </c>
      <c r="N11" s="20">
        <f>'3M Pricing'!J11*100</f>
        <v>2.685772507198307</v>
      </c>
      <c r="O11" s="20">
        <f t="shared" si="4"/>
        <v>2.685772507198307</v>
      </c>
      <c r="P11" s="20" t="e">
        <f>ABS(_xll.RtGet(SourceAlias,$M11,BID)-N11)</f>
        <v>#VALUE!</v>
      </c>
      <c r="Q11" s="20" t="e">
        <f>ABS(_xll.RtGet(SourceAlias,$M11,ASK)-O11)</f>
        <v>#VALUE!</v>
      </c>
      <c r="R11" s="57" t="s">
        <v>97</v>
      </c>
      <c r="S11" s="25" t="s">
        <v>58</v>
      </c>
      <c r="T11" s="19" t="str">
        <f t="shared" si="2"/>
        <v>AUD6M1MD=</v>
      </c>
      <c r="U11" s="20">
        <f>'6M Pricing'!H11*100</f>
        <v>2.7492368476786968</v>
      </c>
      <c r="V11" s="20">
        <f t="shared" si="5"/>
        <v>2.7492368476786968</v>
      </c>
      <c r="W11" s="20" t="e">
        <f>ABS(_xll.RtGet(SourceAlias,$T11,BID)-U11)</f>
        <v>#VALUE!</v>
      </c>
      <c r="X11" s="20" t="e">
        <f>ABS(_xll.RtGet(SourceAlias,$T11,ASK)-V11)</f>
        <v>#VALUE!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ht="11.25" customHeight="1" x14ac:dyDescent="0.2">
      <c r="A12" s="25" t="str">
        <f>IF(Contribute="abcd",IF($F$1&lt;&gt;-1,_xll.RtContribute(SourceAlias,F12,Fields,G12:H12,"SCOPE:SERVER"),_xll.RtContribute(SourceAlias,"DDS_INSERT_S",$F$1:$H$1,G12:H12,"SCOPE:SERVER FTC:ALL")),"stopped")</f>
        <v>stopped</v>
      </c>
      <c r="B12" s="25" t="str">
        <f>IF(Contribute="abcd",IF($F$1&lt;&gt;-1,_xll.RtContribute(SourceAlias,M12,Fields,N12:O12,"SCOPE:SERVER"),_xll.RtContribute(SourceAlias,"DDS_INSERT_S",$F$1:$H$1,M12:O12,"SCOPE:SERVER FTC:ALL")),"stopped")</f>
        <v>stopped</v>
      </c>
      <c r="C12" s="25" t="str">
        <f>IF(Contribute="abcd",IF($F$1&lt;&gt;-1,_xll.RtContribute(SourceAlias,T12,Fields,U12:V12,"SCOPE:SERVER"),_xll.RtContribute(SourceAlias,"DDS_INSERT_S",$F$1:$H$1,T12:V12,"SCOPE:SERVER FTC:ALL")),"stopped")</f>
        <v>stopped</v>
      </c>
      <c r="D12" s="2" t="s">
        <v>97</v>
      </c>
      <c r="E12" s="25" t="s">
        <v>59</v>
      </c>
      <c r="F12" s="19" t="str">
        <f t="shared" si="0"/>
        <v>AUDON2MD=</v>
      </c>
      <c r="G12" s="20">
        <f>'ON Pricing'!H12*100</f>
        <v>2.495000000176975</v>
      </c>
      <c r="H12" s="20">
        <f t="shared" si="3"/>
        <v>2.495000000176975</v>
      </c>
      <c r="I12" s="20" t="e">
        <f>ABS(_xll.RtGet(SourceAlias,$F12,BID)-G12)</f>
        <v>#VALUE!</v>
      </c>
      <c r="J12" s="20" t="e">
        <f>ABS(_xll.RtGet(SourceAlias,$F12,ASK)-H12)</f>
        <v>#VALUE!</v>
      </c>
      <c r="K12" s="2" t="s">
        <v>97</v>
      </c>
      <c r="L12" s="25" t="s">
        <v>59</v>
      </c>
      <c r="M12" s="19" t="str">
        <f t="shared" si="1"/>
        <v>AUD3M2MD=</v>
      </c>
      <c r="N12" s="20">
        <f>'3M Pricing'!J12*100</f>
        <v>2.6825958689826477</v>
      </c>
      <c r="O12" s="20">
        <f t="shared" si="4"/>
        <v>2.6825958689826477</v>
      </c>
      <c r="P12" s="20" t="e">
        <f>ABS(_xll.RtGet(SourceAlias,$M12,BID)-N12)</f>
        <v>#VALUE!</v>
      </c>
      <c r="Q12" s="20" t="e">
        <f>ABS(_xll.RtGet(SourceAlias,$M12,ASK)-O12)</f>
        <v>#VALUE!</v>
      </c>
      <c r="R12" s="57" t="s">
        <v>97</v>
      </c>
      <c r="S12" s="25" t="s">
        <v>59</v>
      </c>
      <c r="T12" s="19" t="str">
        <f t="shared" si="2"/>
        <v>AUD6M2MD=</v>
      </c>
      <c r="U12" s="20">
        <f>'6M Pricing'!H12*100</f>
        <v>2.7490372461410764</v>
      </c>
      <c r="V12" s="20">
        <f t="shared" si="5"/>
        <v>2.7490372461410764</v>
      </c>
      <c r="W12" s="20" t="e">
        <f>ABS(_xll.RtGet(SourceAlias,$T12,BID)-U12)</f>
        <v>#VALUE!</v>
      </c>
      <c r="X12" s="20" t="e">
        <f>ABS(_xll.RtGet(SourceAlias,$T12,ASK)-V12)</f>
        <v>#VALUE!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ht="11.25" customHeight="1" x14ac:dyDescent="0.2">
      <c r="A13" s="25" t="str">
        <f>IF(Contribute="abcd",IF($F$1&lt;&gt;-1,_xll.RtContribute(SourceAlias,F13,Fields,G13:H13,"SCOPE:SERVER"),_xll.RtContribute(SourceAlias,"DDS_INSERT_S",$F$1:$H$1,G13:H13,"SCOPE:SERVER FTC:ALL")),"stopped")</f>
        <v>stopped</v>
      </c>
      <c r="B13" s="25" t="str">
        <f>IF(Contribute="abcd",IF($F$1&lt;&gt;-1,_xll.RtContribute(SourceAlias,M13,Fields,N13:O13,"SCOPE:SERVER"),_xll.RtContribute(SourceAlias,"DDS_INSERT_S",$F$1:$H$1,M13:O13,"SCOPE:SERVER FTC:ALL")),"stopped")</f>
        <v>stopped</v>
      </c>
      <c r="C13" s="25" t="str">
        <f>IF(Contribute="abcd",IF($F$1&lt;&gt;-1,_xll.RtContribute(SourceAlias,T13,Fields,U13:V13,"SCOPE:SERVER"),_xll.RtContribute(SourceAlias,"DDS_INSERT_S",$F$1:$H$1,T13:V13,"SCOPE:SERVER FTC:ALL")),"stopped")</f>
        <v>stopped</v>
      </c>
      <c r="D13" s="2" t="s">
        <v>97</v>
      </c>
      <c r="E13" s="25" t="s">
        <v>60</v>
      </c>
      <c r="F13" s="19" t="str">
        <f t="shared" si="0"/>
        <v>AUDON3MD=</v>
      </c>
      <c r="G13" s="20">
        <f>'ON Pricing'!H13*100</f>
        <v>2.4925000001143474</v>
      </c>
      <c r="H13" s="20">
        <f t="shared" si="3"/>
        <v>2.4925000001143474</v>
      </c>
      <c r="I13" s="20" t="e">
        <f>ABS(_xll.RtGet(SourceAlias,$F13,BID)-G13)</f>
        <v>#VALUE!</v>
      </c>
      <c r="J13" s="20" t="e">
        <f>ABS(_xll.RtGet(SourceAlias,$F13,ASK)-H13)</f>
        <v>#VALUE!</v>
      </c>
      <c r="K13" s="2" t="s">
        <v>97</v>
      </c>
      <c r="L13" s="25" t="s">
        <v>60</v>
      </c>
      <c r="M13" s="19" t="str">
        <f t="shared" si="1"/>
        <v>AUD3M3MD=</v>
      </c>
      <c r="N13" s="20">
        <f>'3M Pricing'!J13*100</f>
        <v>2.674999999999593</v>
      </c>
      <c r="O13" s="20">
        <f t="shared" si="4"/>
        <v>2.674999999999593</v>
      </c>
      <c r="P13" s="20" t="e">
        <f>ABS(_xll.RtGet(SourceAlias,$M13,BID)-N13)</f>
        <v>#VALUE!</v>
      </c>
      <c r="Q13" s="20" t="e">
        <f>ABS(_xll.RtGet(SourceAlias,$M13,ASK)-O13)</f>
        <v>#VALUE!</v>
      </c>
      <c r="R13" s="57" t="s">
        <v>97</v>
      </c>
      <c r="S13" s="25" t="s">
        <v>60</v>
      </c>
      <c r="T13" s="19" t="str">
        <f t="shared" si="2"/>
        <v>AUD6M3MD=</v>
      </c>
      <c r="U13" s="20">
        <f>'6M Pricing'!H13*100</f>
        <v>2.746599895504275</v>
      </c>
      <c r="V13" s="20">
        <f t="shared" si="5"/>
        <v>2.746599895504275</v>
      </c>
      <c r="W13" s="20" t="e">
        <f>ABS(_xll.RtGet(SourceAlias,$T13,BID)-U13)</f>
        <v>#VALUE!</v>
      </c>
      <c r="X13" s="20" t="e">
        <f>ABS(_xll.RtGet(SourceAlias,$T13,ASK)-V13)</f>
        <v>#VALUE!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ht="11.25" customHeight="1" x14ac:dyDescent="0.2">
      <c r="A14" s="25" t="str">
        <f>IF(Contribute="abcd",IF($F$1&lt;&gt;-1,_xll.RtContribute(SourceAlias,F14,Fields,G14:H14,"SCOPE:SERVER"),_xll.RtContribute(SourceAlias,"DDS_INSERT_S",$F$1:$H$1,G14:H14,"SCOPE:SERVER FTC:ALL")),"stopped")</f>
        <v>stopped</v>
      </c>
      <c r="B14" s="25" t="str">
        <f>IF(Contribute="abcd",IF($F$1&lt;&gt;-1,_xll.RtContribute(SourceAlias,M14,Fields,N14:O14,"SCOPE:SERVER"),_xll.RtContribute(SourceAlias,"DDS_INSERT_S",$F$1:$H$1,M14:O14,"SCOPE:SERVER FTC:ALL")),"stopped")</f>
        <v>stopped</v>
      </c>
      <c r="C14" s="25" t="str">
        <f>IF(Contribute="abcd",IF($F$1&lt;&gt;-1,_xll.RtContribute(SourceAlias,T14,Fields,U14:V14,"SCOPE:SERVER"),_xll.RtContribute(SourceAlias,"DDS_INSERT_S",$F$1:$H$1,T14:V14,"SCOPE:SERVER FTC:ALL")),"stopped")</f>
        <v>stopped</v>
      </c>
      <c r="D14" s="2" t="s">
        <v>97</v>
      </c>
      <c r="E14" s="25" t="s">
        <v>61</v>
      </c>
      <c r="F14" s="19" t="str">
        <f t="shared" si="0"/>
        <v>AUDON4MD=</v>
      </c>
      <c r="G14" s="20">
        <f>'ON Pricing'!H14*100</f>
        <v>2.488500000074882</v>
      </c>
      <c r="H14" s="20">
        <f t="shared" si="3"/>
        <v>2.488500000074882</v>
      </c>
      <c r="I14" s="20" t="e">
        <f>ABS(_xll.RtGet(SourceAlias,$F14,BID)-G14)</f>
        <v>#VALUE!</v>
      </c>
      <c r="J14" s="20" t="e">
        <f>ABS(_xll.RtGet(SourceAlias,$F14,ASK)-H14)</f>
        <v>#VALUE!</v>
      </c>
      <c r="K14" s="2" t="s">
        <v>97</v>
      </c>
      <c r="L14" s="125" t="str">
        <f>'3M Pricing'!C14</f>
        <v>U4</v>
      </c>
      <c r="M14" s="126" t="str">
        <f t="shared" si="1"/>
        <v>AUD3MU4=</v>
      </c>
      <c r="N14" s="127">
        <f>'3M Pricing'!J14</f>
        <v>97.345079032376347</v>
      </c>
      <c r="O14" s="127">
        <f t="shared" si="4"/>
        <v>97.345079032376347</v>
      </c>
      <c r="P14" s="127" t="e">
        <f>ABS(_xll.RtGet(SourceAlias,$M14,BID)-N14)</f>
        <v>#VALUE!</v>
      </c>
      <c r="Q14" s="127" t="e">
        <f>ABS(_xll.RtGet(SourceAlias,$M14,ASK)-O14)</f>
        <v>#VALUE!</v>
      </c>
      <c r="R14" s="57" t="s">
        <v>97</v>
      </c>
      <c r="S14" s="25" t="s">
        <v>61</v>
      </c>
      <c r="T14" s="19" t="str">
        <f t="shared" si="2"/>
        <v>AUD6M4MD=</v>
      </c>
      <c r="U14" s="20">
        <f>'6M Pricing'!H14*100</f>
        <v>2.741848907535839</v>
      </c>
      <c r="V14" s="20">
        <f t="shared" si="5"/>
        <v>2.741848907535839</v>
      </c>
      <c r="W14" s="20" t="e">
        <f>ABS(_xll.RtGet(SourceAlias,$T14,BID)-U14)</f>
        <v>#VALUE!</v>
      </c>
      <c r="X14" s="20" t="e">
        <f>ABS(_xll.RtGet(SourceAlias,$T14,ASK)-V14)</f>
        <v>#VALUE!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ht="11.25" customHeight="1" x14ac:dyDescent="0.2">
      <c r="A15" s="25" t="str">
        <f>IF(Contribute="abcd",IF($F$1&lt;&gt;-1,_xll.RtContribute(SourceAlias,F15,Fields,G15:H15,"SCOPE:SERVER"),_xll.RtContribute(SourceAlias,"DDS_INSERT_S",$F$1:$H$1,G15:H15,"SCOPE:SERVER FTC:ALL")),"stopped")</f>
        <v>stopped</v>
      </c>
      <c r="B15" s="25" t="str">
        <f>IF(Contribute="abcd",IF($F$1&lt;&gt;-1,_xll.RtContribute(SourceAlias,M15,Fields,N15:O15,"SCOPE:SERVER"),_xll.RtContribute(SourceAlias,"DDS_INSERT_S",$F$1:$H$1,M15:O15,"SCOPE:SERVER FTC:ALL")),"stopped")</f>
        <v>stopped</v>
      </c>
      <c r="C15" s="25" t="str">
        <f>IF(Contribute="abcd",IF($F$1&lt;&gt;-1,_xll.RtContribute(SourceAlias,T15,Fields,U15:V15,"SCOPE:SERVER"),_xll.RtContribute(SourceAlias,"DDS_INSERT_S",$F$1:$H$1,T15:V15,"SCOPE:SERVER FTC:ALL")),"stopped")</f>
        <v>stopped</v>
      </c>
      <c r="D15" s="2" t="s">
        <v>97</v>
      </c>
      <c r="E15" s="25" t="s">
        <v>62</v>
      </c>
      <c r="F15" s="19" t="str">
        <f t="shared" si="0"/>
        <v>AUDON5MD=</v>
      </c>
      <c r="G15" s="20">
        <f>'ON Pricing'!H15*100</f>
        <v>2.484000000066402</v>
      </c>
      <c r="H15" s="20">
        <f t="shared" si="3"/>
        <v>2.484000000066402</v>
      </c>
      <c r="I15" s="20" t="e">
        <f>ABS(_xll.RtGet(SourceAlias,$F15,BID)-G15)</f>
        <v>#VALUE!</v>
      </c>
      <c r="J15" s="20" t="e">
        <f>ABS(_xll.RtGet(SourceAlias,$F15,ASK)-H15)</f>
        <v>#VALUE!</v>
      </c>
      <c r="K15" s="2" t="s">
        <v>97</v>
      </c>
      <c r="L15" s="128" t="str">
        <f>'3M Pricing'!C15</f>
        <v>Z4</v>
      </c>
      <c r="M15" s="129" t="str">
        <f t="shared" si="1"/>
        <v>AUD3MZ4=</v>
      </c>
      <c r="N15" s="130">
        <f>'3M Pricing'!J15</f>
        <v>97.394999999764693</v>
      </c>
      <c r="O15" s="130">
        <f t="shared" si="4"/>
        <v>97.394999999764693</v>
      </c>
      <c r="P15" s="130" t="e">
        <f>ABS(_xll.RtGet(SourceAlias,$M15,BID)-N15)</f>
        <v>#VALUE!</v>
      </c>
      <c r="Q15" s="130" t="e">
        <f>ABS(_xll.RtGet(SourceAlias,$M15,ASK)-O15)</f>
        <v>#VALUE!</v>
      </c>
      <c r="R15" s="57" t="s">
        <v>97</v>
      </c>
      <c r="S15" s="25" t="s">
        <v>62</v>
      </c>
      <c r="T15" s="19" t="str">
        <f t="shared" si="2"/>
        <v>AUD6M5MD=</v>
      </c>
      <c r="U15" s="20">
        <f>'6M Pricing'!H15*100</f>
        <v>2.7350334604090634</v>
      </c>
      <c r="V15" s="20">
        <f t="shared" si="5"/>
        <v>2.7350334604090634</v>
      </c>
      <c r="W15" s="20" t="e">
        <f>ABS(_xll.RtGet(SourceAlias,$T15,BID)-U15)</f>
        <v>#VALUE!</v>
      </c>
      <c r="X15" s="20" t="e">
        <f>ABS(_xll.RtGet(SourceAlias,$T15,ASK)-V15)</f>
        <v>#VALUE!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ht="11.25" customHeight="1" x14ac:dyDescent="0.2">
      <c r="A16" s="25" t="str">
        <f>IF(Contribute="abcd",IF($F$1&lt;&gt;-1,_xll.RtContribute(SourceAlias,F16,Fields,G16:H16,"SCOPE:SERVER"),_xll.RtContribute(SourceAlias,"DDS_INSERT_S",$F$1:$H$1,G16:H16,"SCOPE:SERVER FTC:ALL")),"stopped")</f>
        <v>stopped</v>
      </c>
      <c r="B16" s="25" t="str">
        <f>IF(Contribute="abcd",IF($F$1&lt;&gt;-1,_xll.RtContribute(SourceAlias,M16,Fields,N16:O16,"SCOPE:SERVER"),_xll.RtContribute(SourceAlias,"DDS_INSERT_S",$F$1:$H$1,M16:O16,"SCOPE:SERVER FTC:ALL")),"stopped")</f>
        <v>stopped</v>
      </c>
      <c r="C16" s="25" t="str">
        <f>IF(Contribute="abcd",IF($F$1&lt;&gt;-1,_xll.RtContribute(SourceAlias,T16,Fields,U16:V16,"SCOPE:SERVER"),_xll.RtContribute(SourceAlias,"DDS_INSERT_S",$F$1:$H$1,T16:V16,"SCOPE:SERVER FTC:ALL")),"stopped")</f>
        <v>stopped</v>
      </c>
      <c r="D16" s="2" t="s">
        <v>97</v>
      </c>
      <c r="E16" s="25" t="s">
        <v>63</v>
      </c>
      <c r="F16" s="19" t="str">
        <f t="shared" si="0"/>
        <v>AUDON6MD=</v>
      </c>
      <c r="G16" s="20">
        <f>'ON Pricing'!H16*100</f>
        <v>2.4825000000569712</v>
      </c>
      <c r="H16" s="20">
        <f t="shared" si="3"/>
        <v>2.4825000000569712</v>
      </c>
      <c r="I16" s="20" t="e">
        <f>ABS(_xll.RtGet(SourceAlias,$F16,BID)-G16)</f>
        <v>#VALUE!</v>
      </c>
      <c r="J16" s="20" t="e">
        <f>ABS(_xll.RtGet(SourceAlias,$F16,ASK)-H16)</f>
        <v>#VALUE!</v>
      </c>
      <c r="K16" s="2" t="s">
        <v>97</v>
      </c>
      <c r="L16" s="128" t="str">
        <f>'3M Pricing'!C16</f>
        <v>H5</v>
      </c>
      <c r="M16" s="129" t="str">
        <f t="shared" si="1"/>
        <v>AUD3MH5=</v>
      </c>
      <c r="N16" s="130">
        <f>'3M Pricing'!J16</f>
        <v>97.394999999780723</v>
      </c>
      <c r="O16" s="130">
        <f t="shared" si="4"/>
        <v>97.394999999780723</v>
      </c>
      <c r="P16" s="130" t="e">
        <f>ABS(_xll.RtGet(SourceAlias,$M16,BID)-N16)</f>
        <v>#VALUE!</v>
      </c>
      <c r="Q16" s="130" t="e">
        <f>ABS(_xll.RtGet(SourceAlias,$M16,ASK)-O16)</f>
        <v>#VALUE!</v>
      </c>
      <c r="R16" s="57" t="s">
        <v>97</v>
      </c>
      <c r="S16" s="25" t="s">
        <v>63</v>
      </c>
      <c r="T16" s="19" t="str">
        <f t="shared" si="2"/>
        <v>AUD6M6MD=</v>
      </c>
      <c r="U16" s="20">
        <f>'6M Pricing'!H16*100</f>
        <v>2.7249999999999792</v>
      </c>
      <c r="V16" s="20">
        <f t="shared" si="5"/>
        <v>2.7249999999999792</v>
      </c>
      <c r="W16" s="20" t="e">
        <f>ABS(_xll.RtGet(SourceAlias,$T16,BID)-U16)</f>
        <v>#VALUE!</v>
      </c>
      <c r="X16" s="20" t="e">
        <f>ABS(_xll.RtGet(SourceAlias,$T16,ASK)-V16)</f>
        <v>#VALUE!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1.25" customHeight="1" x14ac:dyDescent="0.2">
      <c r="A17" s="25"/>
      <c r="B17" s="25" t="str">
        <f>IF(Contribute="abcd",IF($F$1&lt;&gt;-1,_xll.RtContribute(SourceAlias,M17,Fields,N17:O17,"SCOPE:SERVER"),_xll.RtContribute(SourceAlias,"DDS_INSERT_S",$F$1:$H$1,M17:O17,"SCOPE:SERVER FTC:ALL")),"stopped")</f>
        <v>stopped</v>
      </c>
      <c r="C17" s="25"/>
      <c r="D17" s="2" t="s">
        <v>97</v>
      </c>
      <c r="E17" s="25"/>
      <c r="F17" s="19"/>
      <c r="G17" s="20"/>
      <c r="H17" s="20"/>
      <c r="I17" s="20"/>
      <c r="J17" s="20"/>
      <c r="K17" s="2" t="s">
        <v>97</v>
      </c>
      <c r="L17" s="128" t="str">
        <f>'3M Pricing'!C17</f>
        <v>M5</v>
      </c>
      <c r="M17" s="129" t="str">
        <f t="shared" si="1"/>
        <v>AUD3MM5=</v>
      </c>
      <c r="N17" s="130">
        <f>'3M Pricing'!J17</f>
        <v>97.354999999922015</v>
      </c>
      <c r="O17" s="130">
        <f t="shared" si="4"/>
        <v>97.354999999922015</v>
      </c>
      <c r="P17" s="130" t="e">
        <f>ABS(_xll.RtGet(SourceAlias,$M17,BID)-N17)</f>
        <v>#VALUE!</v>
      </c>
      <c r="Q17" s="130" t="e">
        <f>ABS(_xll.RtGet(SourceAlias,$M17,ASK)-O17)</f>
        <v>#VALUE!</v>
      </c>
      <c r="R17" s="57" t="s">
        <v>97</v>
      </c>
      <c r="S17" s="24"/>
      <c r="T17" s="17"/>
      <c r="U17" s="18"/>
      <c r="V17" s="18"/>
      <c r="W17" s="18"/>
      <c r="X17" s="18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1.25" customHeight="1" x14ac:dyDescent="0.2">
      <c r="A18" s="25" t="s">
        <v>97</v>
      </c>
      <c r="B18" s="25" t="str">
        <f>IF(Contribute="abcd",IF($F$1&lt;&gt;-1,_xll.RtContribute(SourceAlias,M18,Fields,N18:O18,"SCOPE:SERVER"),_xll.RtContribute(SourceAlias,"DDS_INSERT_S",$F$1:$H$1,M18:O18,"SCOPE:SERVER FTC:ALL")),"stopped")</f>
        <v>stopped</v>
      </c>
      <c r="C18" s="25"/>
      <c r="D18" s="2" t="s">
        <v>97</v>
      </c>
      <c r="E18" s="25"/>
      <c r="F18" s="19"/>
      <c r="G18" s="20"/>
      <c r="H18" s="20"/>
      <c r="I18" s="20"/>
      <c r="J18" s="20"/>
      <c r="K18" s="2" t="s">
        <v>97</v>
      </c>
      <c r="L18" s="128" t="str">
        <f>'3M Pricing'!C18</f>
        <v>U5</v>
      </c>
      <c r="M18" s="129" t="str">
        <f t="shared" si="1"/>
        <v>AUD3MU5=</v>
      </c>
      <c r="N18" s="130">
        <f>'3M Pricing'!J18</f>
        <v>97.285000000112205</v>
      </c>
      <c r="O18" s="130">
        <f t="shared" si="4"/>
        <v>97.285000000112205</v>
      </c>
      <c r="P18" s="130" t="e">
        <f>ABS(_xll.RtGet(SourceAlias,$M18,BID)-N18)</f>
        <v>#VALUE!</v>
      </c>
      <c r="Q18" s="130" t="e">
        <f>ABS(_xll.RtGet(SourceAlias,$M18,ASK)-O18)</f>
        <v>#VALUE!</v>
      </c>
      <c r="R18" s="57" t="s">
        <v>97</v>
      </c>
      <c r="S18" s="25"/>
      <c r="T18" s="19"/>
      <c r="U18" s="20"/>
      <c r="V18" s="20"/>
      <c r="W18" s="20"/>
      <c r="X18" s="20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1.25" customHeight="1" x14ac:dyDescent="0.2">
      <c r="A19" s="25" t="str">
        <f>IF(Contribute="abcd",IF($F$1&lt;&gt;-1,_xll.RtContribute(SourceAlias,F19,Fields,G19:H19,"SCOPE:SERVER"),_xll.RtContribute(SourceAlias,"DDS_INSERT_S",$F$1:$H$1,G19:H19,"SCOPE:SERVER FTC:ALL")),"stopped")</f>
        <v>stopped</v>
      </c>
      <c r="B19" s="25" t="str">
        <f>IF(Contribute="abcd",IF($F$1&lt;&gt;-1,_xll.RtContribute(SourceAlias,M19,Fields,N19:O19,"SCOPE:SERVER"),_xll.RtContribute(SourceAlias,"DDS_INSERT_S",$F$1:$H$1,M19:O19,"SCOPE:SERVER FTC:ALL")),"stopped")</f>
        <v>stopped</v>
      </c>
      <c r="C19" s="25"/>
      <c r="D19" s="2" t="s">
        <v>97</v>
      </c>
      <c r="E19" s="25" t="s">
        <v>64</v>
      </c>
      <c r="F19" s="19" t="str">
        <f>Currency&amp;"ON"&amp;E19&amp;"="</f>
        <v>AUDON9MD=</v>
      </c>
      <c r="G19" s="20">
        <f>'ON Pricing'!H19*100</f>
        <v>2.4824999999673234</v>
      </c>
      <c r="H19" s="20">
        <f t="shared" ref="H19" si="6">G19</f>
        <v>2.4824999999673234</v>
      </c>
      <c r="I19" s="20" t="e">
        <f>ABS(_xll.RtGet(SourceAlias,$F19,BID)-G19)</f>
        <v>#VALUE!</v>
      </c>
      <c r="J19" s="20" t="e">
        <f>ABS(_xll.RtGet(SourceAlias,$F19,ASK)-H19)</f>
        <v>#VALUE!</v>
      </c>
      <c r="K19" s="2" t="s">
        <v>97</v>
      </c>
      <c r="L19" s="131" t="str">
        <f>'3M Pricing'!C19</f>
        <v>Z5</v>
      </c>
      <c r="M19" s="132" t="str">
        <f t="shared" si="1"/>
        <v>AUD3MZ5=</v>
      </c>
      <c r="N19" s="133">
        <f>'3M Pricing'!J19</f>
        <v>97.243611667721225</v>
      </c>
      <c r="O19" s="133">
        <f t="shared" si="4"/>
        <v>97.243611667721225</v>
      </c>
      <c r="P19" s="133" t="e">
        <f>ABS(_xll.RtGet(SourceAlias,$M19,BID)-N19)</f>
        <v>#VALUE!</v>
      </c>
      <c r="Q19" s="133" t="e">
        <f>ABS(_xll.RtGet(SourceAlias,$M19,ASK)-O19)</f>
        <v>#VALUE!</v>
      </c>
      <c r="R19" s="57" t="s">
        <v>97</v>
      </c>
      <c r="S19" s="26"/>
      <c r="T19" s="21"/>
      <c r="U19" s="22"/>
      <c r="V19" s="22"/>
      <c r="W19" s="22"/>
      <c r="X19" s="2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1.25" customHeight="1" x14ac:dyDescent="0.2">
      <c r="A20" s="25" t="str">
        <f>IF(Contribute="abcd",IF($F$1&lt;&gt;-1,_xll.RtContribute(SourceAlias,F20,Fields,G20:H20,"SCOPE:SERVER"),_xll.RtContribute(SourceAlias,"DDS_INSERT_S",$F$1:$H$1,G20:H20,"SCOPE:SERVER FTC:ALL")),"stopped")</f>
        <v>stopped</v>
      </c>
      <c r="B20" s="25" t="str">
        <f>IF(Contribute="abcd",IF($F$1&lt;&gt;-1,_xll.RtContribute(SourceAlias,M20,Fields,N20:O20,"SCOPE:SERVER"),_xll.RtContribute(SourceAlias,"DDS_INSERT_S",$F$1:$H$1,M20:O20,"SCOPE:SERVER FTC:ALL")),"stopped")</f>
        <v>stopped</v>
      </c>
      <c r="C20" s="25" t="str">
        <f>IF(Contribute="abcd",IF($F$1&lt;&gt;-1,_xll.RtContribute(SourceAlias,T20,Fields,U20:V20,"SCOPE:SERVER"),_xll.RtContribute(SourceAlias,"DDS_INSERT_S",$F$1:$H$1,T20:V20,"SCOPE:SERVER FTC:ALL")),"stopped")</f>
        <v>stopped</v>
      </c>
      <c r="D20" s="2" t="s">
        <v>97</v>
      </c>
      <c r="E20" s="25" t="s">
        <v>65</v>
      </c>
      <c r="F20" s="19" t="str">
        <f>Currency&amp;"ON"&amp;E20&amp;"="</f>
        <v>AUDON1YD=</v>
      </c>
      <c r="G20" s="20">
        <f>'ON Pricing'!H20*100</f>
        <v>2.4879999999716733</v>
      </c>
      <c r="H20" s="20">
        <f t="shared" si="3"/>
        <v>2.4879999999716733</v>
      </c>
      <c r="I20" s="20" t="e">
        <f>ABS(_xll.RtGet(SourceAlias,$F20,BID)-G20)</f>
        <v>#VALUE!</v>
      </c>
      <c r="J20" s="20" t="e">
        <f>ABS(_xll.RtGet(SourceAlias,$F20,ASK)-H20)</f>
        <v>#VALUE!</v>
      </c>
      <c r="K20" s="2" t="s">
        <v>97</v>
      </c>
      <c r="L20" s="114" t="s">
        <v>29</v>
      </c>
      <c r="M20" s="17" t="str">
        <f t="shared" ref="M20:M35" si="7">Currency&amp;"3M"&amp;L20&amp;"="</f>
        <v>AUD3M1Y=</v>
      </c>
      <c r="N20" s="18">
        <f>'3M Pricing'!J20*100</f>
        <v>2.6174999999536355</v>
      </c>
      <c r="O20" s="18">
        <f t="shared" si="4"/>
        <v>2.6174999999536355</v>
      </c>
      <c r="P20" s="18" t="e">
        <f>ABS(_xll.RtGet(SourceAlias,$M20,BID)-N20)</f>
        <v>#VALUE!</v>
      </c>
      <c r="Q20" s="18" t="e">
        <f>ABS(_xll.RtGet(SourceAlias,$M20,ASK)-O20)</f>
        <v>#VALUE!</v>
      </c>
      <c r="R20" s="57" t="s">
        <v>97</v>
      </c>
      <c r="S20" s="24" t="s">
        <v>29</v>
      </c>
      <c r="T20" s="17" t="str">
        <f t="shared" si="2"/>
        <v>AUD6M1Y=</v>
      </c>
      <c r="U20" s="18">
        <f>'6M Pricing'!H20*100</f>
        <v>2.6672976982963723</v>
      </c>
      <c r="V20" s="18">
        <f t="shared" si="5"/>
        <v>2.6672976982963723</v>
      </c>
      <c r="W20" s="18" t="e">
        <f>ABS(_xll.RtGet(SourceAlias,$T20,BID)-U20)</f>
        <v>#VALUE!</v>
      </c>
      <c r="X20" s="18" t="e">
        <f>ABS(_xll.RtGet(SourceAlias,$T20,ASK)-V20)</f>
        <v>#VALUE!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1.25" customHeight="1" x14ac:dyDescent="0.2">
      <c r="A21" s="25" t="str">
        <f>IF(Contribute="abcd",IF($F$1&lt;&gt;-1,_xll.RtContribute(SourceAlias,F21,Fields,G21:H21,"SCOPE:SERVER"),_xll.RtContribute(SourceAlias,"DDS_INSERT_S",$F$1:$H$1,G21:H21,"SCOPE:SERVER FTC:ALL")),"stopped")</f>
        <v>stopped</v>
      </c>
      <c r="B21" s="25"/>
      <c r="C21" s="25"/>
      <c r="D21" s="2" t="s">
        <v>97</v>
      </c>
      <c r="E21" s="25" t="s">
        <v>96</v>
      </c>
      <c r="F21" s="19" t="str">
        <f t="shared" ref="F21:F35" si="8">Currency&amp;"ON"&amp;E21&amp;"="</f>
        <v>AUDON1Y6MD=</v>
      </c>
      <c r="G21" s="20">
        <f>'ON Pricing'!H21*100</f>
        <v>2.5100816282388196</v>
      </c>
      <c r="H21" s="20">
        <f t="shared" si="3"/>
        <v>2.5100816282388196</v>
      </c>
      <c r="I21" s="20" t="e">
        <f>ABS(_xll.RtGet(SourceAlias,$F21,BID)-G21)</f>
        <v>#VALUE!</v>
      </c>
      <c r="J21" s="20" t="e">
        <f>ABS(_xll.RtGet(SourceAlias,$F21,ASK)-H21)</f>
        <v>#VALUE!</v>
      </c>
      <c r="K21" s="2" t="s">
        <v>97</v>
      </c>
      <c r="L21" s="25"/>
      <c r="M21" s="19"/>
      <c r="N21" s="20"/>
      <c r="O21" s="20"/>
      <c r="P21" s="20"/>
      <c r="Q21" s="20"/>
      <c r="R21" s="57" t="s">
        <v>97</v>
      </c>
      <c r="S21" s="25"/>
      <c r="T21" s="19"/>
      <c r="U21" s="20"/>
      <c r="V21" s="20"/>
      <c r="W21" s="20"/>
      <c r="X21" s="20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1.25" customHeight="1" x14ac:dyDescent="0.2">
      <c r="A22" s="25" t="str">
        <f>IF(Contribute="abcd",IF($F$1&lt;&gt;-1,_xll.RtContribute(SourceAlias,F22,Fields,G22:H22,"SCOPE:SERVER"),_xll.RtContribute(SourceAlias,"DDS_INSERT_S",$F$1:$H$1,G22:H22,"SCOPE:SERVER FTC:ALL")),"stopped")</f>
        <v>stopped</v>
      </c>
      <c r="B22" s="25" t="str">
        <f>IF(Contribute="abcd",IF($F$1&lt;&gt;-1,_xll.RtContribute(SourceAlias,M22,Fields,N22:O22,"SCOPE:SERVER"),_xll.RtContribute(SourceAlias,"DDS_INSERT_S",$F$1:$H$1,M22:O22,"SCOPE:SERVER FTC:ALL")),"stopped")</f>
        <v>stopped</v>
      </c>
      <c r="C22" s="25" t="str">
        <f>IF(Contribute="abcd",IF($F$1&lt;&gt;-1,_xll.RtContribute(SourceAlias,T22,Fields,U22:V22,"SCOPE:SERVER"),_xll.RtContribute(SourceAlias,"DDS_INSERT_S",$F$1:$H$1,T22:V22,"SCOPE:SERVER FTC:ALL")),"stopped")</f>
        <v>stopped</v>
      </c>
      <c r="D22" s="2" t="s">
        <v>97</v>
      </c>
      <c r="E22" s="25" t="s">
        <v>66</v>
      </c>
      <c r="F22" s="19" t="str">
        <f t="shared" si="8"/>
        <v>AUDON2YD=</v>
      </c>
      <c r="G22" s="20">
        <f>'ON Pricing'!H22*100</f>
        <v>2.5699999999840002</v>
      </c>
      <c r="H22" s="20">
        <f t="shared" si="3"/>
        <v>2.5699999999840002</v>
      </c>
      <c r="I22" s="20" t="e">
        <f>ABS(_xll.RtGet(SourceAlias,$F22,BID)-G22)</f>
        <v>#VALUE!</v>
      </c>
      <c r="J22" s="20" t="e">
        <f>ABS(_xll.RtGet(SourceAlias,$F22,ASK)-H22)</f>
        <v>#VALUE!</v>
      </c>
      <c r="K22" s="2" t="s">
        <v>97</v>
      </c>
      <c r="L22" s="25" t="s">
        <v>30</v>
      </c>
      <c r="M22" s="19" t="str">
        <f t="shared" si="7"/>
        <v>AUD3M2Y=</v>
      </c>
      <c r="N22" s="20">
        <f>'3M Pricing'!J22*100</f>
        <v>2.7225000000746036</v>
      </c>
      <c r="O22" s="20">
        <f t="shared" si="4"/>
        <v>2.7225000000746036</v>
      </c>
      <c r="P22" s="20" t="e">
        <f>ABS(_xll.RtGet(SourceAlias,$M22,BID)-N22)</f>
        <v>#VALUE!</v>
      </c>
      <c r="Q22" s="20" t="e">
        <f>ABS(_xll.RtGet(SourceAlias,$M22,ASK)-O22)</f>
        <v>#VALUE!</v>
      </c>
      <c r="R22" s="57" t="s">
        <v>97</v>
      </c>
      <c r="S22" s="25" t="s">
        <v>30</v>
      </c>
      <c r="T22" s="19" t="str">
        <f t="shared" ref="T22:T35" si="9">Currency&amp;"6M"&amp;S22&amp;"="</f>
        <v>AUD6M2Y=</v>
      </c>
      <c r="U22" s="20">
        <f>'6M Pricing'!H22*100</f>
        <v>2.786372663267676</v>
      </c>
      <c r="V22" s="20">
        <f t="shared" si="5"/>
        <v>2.786372663267676</v>
      </c>
      <c r="W22" s="20" t="e">
        <f>ABS(_xll.RtGet(SourceAlias,$T22,BID)-U22)</f>
        <v>#VALUE!</v>
      </c>
      <c r="X22" s="20" t="e">
        <f>ABS(_xll.RtGet(SourceAlias,$T22,ASK)-V22)</f>
        <v>#VALUE!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1.25" customHeight="1" x14ac:dyDescent="0.2">
      <c r="A23" s="25" t="str">
        <f>IF(Contribute="abcd",IF($F$1&lt;&gt;-1,_xll.RtContribute(SourceAlias,F23,Fields,G23:H23,"SCOPE:SERVER"),_xll.RtContribute(SourceAlias,"DDS_INSERT_S",$F$1:$H$1,G23:H23,"SCOPE:SERVER FTC:ALL")),"stopped")</f>
        <v>stopped</v>
      </c>
      <c r="B23" s="25" t="str">
        <f>IF(Contribute="abcd",IF($F$1&lt;&gt;-1,_xll.RtContribute(SourceAlias,M23,Fields,N23:O23,"SCOPE:SERVER"),_xll.RtContribute(SourceAlias,"DDS_INSERT_S",$F$1:$H$1,M23:O23,"SCOPE:SERVER FTC:ALL")),"stopped")</f>
        <v>stopped</v>
      </c>
      <c r="C23" s="25" t="str">
        <f>IF(Contribute="abcd",IF($F$1&lt;&gt;-1,_xll.RtContribute(SourceAlias,T23,Fields,U23:V23,"SCOPE:SERVER"),_xll.RtContribute(SourceAlias,"DDS_INSERT_S",$F$1:$H$1,T23:V23,"SCOPE:SERVER FTC:ALL")),"stopped")</f>
        <v>stopped</v>
      </c>
      <c r="D23" s="2" t="s">
        <v>97</v>
      </c>
      <c r="E23" s="25" t="s">
        <v>67</v>
      </c>
      <c r="F23" s="19" t="str">
        <f t="shared" si="8"/>
        <v>AUDON3YD=</v>
      </c>
      <c r="G23" s="20">
        <f>'ON Pricing'!H23*100</f>
        <v>2.7199999999705362</v>
      </c>
      <c r="H23" s="20">
        <f t="shared" si="3"/>
        <v>2.7199999999705362</v>
      </c>
      <c r="I23" s="20" t="e">
        <f>ABS(_xll.RtGet(SourceAlias,$F23,BID)-G23)</f>
        <v>#VALUE!</v>
      </c>
      <c r="J23" s="20" t="e">
        <f>ABS(_xll.RtGet(SourceAlias,$F23,ASK)-H23)</f>
        <v>#VALUE!</v>
      </c>
      <c r="K23" s="2" t="s">
        <v>97</v>
      </c>
      <c r="L23" s="25" t="s">
        <v>31</v>
      </c>
      <c r="M23" s="19" t="str">
        <f t="shared" si="7"/>
        <v>AUD3M3Y=</v>
      </c>
      <c r="N23" s="20">
        <f>'3M Pricing'!J23*100</f>
        <v>2.8825000000515382</v>
      </c>
      <c r="O23" s="20">
        <f t="shared" si="4"/>
        <v>2.8825000000515382</v>
      </c>
      <c r="P23" s="20" t="e">
        <f>ABS(_xll.RtGet(SourceAlias,$M23,BID)-N23)</f>
        <v>#VALUE!</v>
      </c>
      <c r="Q23" s="20" t="e">
        <f>ABS(_xll.RtGet(SourceAlias,$M23,ASK)-O23)</f>
        <v>#VALUE!</v>
      </c>
      <c r="R23" s="57" t="s">
        <v>97</v>
      </c>
      <c r="S23" s="25" t="s">
        <v>31</v>
      </c>
      <c r="T23" s="19" t="str">
        <f t="shared" si="9"/>
        <v>AUD6M3Y=</v>
      </c>
      <c r="U23" s="20">
        <f>'6M Pricing'!H23*100</f>
        <v>2.95311800522714</v>
      </c>
      <c r="V23" s="20">
        <f t="shared" si="5"/>
        <v>2.95311800522714</v>
      </c>
      <c r="W23" s="20" t="e">
        <f>ABS(_xll.RtGet(SourceAlias,$T23,BID)-U23)</f>
        <v>#VALUE!</v>
      </c>
      <c r="X23" s="20" t="e">
        <f>ABS(_xll.RtGet(SourceAlias,$T23,ASK)-V23)</f>
        <v>#VALUE!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1.25" customHeight="1" x14ac:dyDescent="0.2">
      <c r="A24" s="25" t="str">
        <f>IF(Contribute="abcd",IF($F$1&lt;&gt;-1,_xll.RtContribute(SourceAlias,F24,Fields,G24:H24,"SCOPE:SERVER"),_xll.RtContribute(SourceAlias,"DDS_INSERT_S",$F$1:$H$1,G24:H24,"SCOPE:SERVER FTC:ALL")),"stopped")</f>
        <v>stopped</v>
      </c>
      <c r="B24" s="25" t="str">
        <f>IF(Contribute="abcd",IF($F$1&lt;&gt;-1,_xll.RtContribute(SourceAlias,M24,Fields,N24:O24,"SCOPE:SERVER"),_xll.RtContribute(SourceAlias,"DDS_INSERT_S",$F$1:$H$1,M24:O24,"SCOPE:SERVER FTC:ALL")),"stopped")</f>
        <v>stopped</v>
      </c>
      <c r="C24" s="25" t="str">
        <f>IF(Contribute="abcd",IF($F$1&lt;&gt;-1,_xll.RtContribute(SourceAlias,T24,Fields,U24:V24,"SCOPE:SERVER"),_xll.RtContribute(SourceAlias,"DDS_INSERT_S",$F$1:$H$1,T24:V24,"SCOPE:SERVER FTC:ALL")),"stopped")</f>
        <v>stopped</v>
      </c>
      <c r="D24" s="2" t="s">
        <v>97</v>
      </c>
      <c r="E24" s="25" t="s">
        <v>68</v>
      </c>
      <c r="F24" s="19" t="str">
        <f t="shared" si="8"/>
        <v>AUDON4YD=</v>
      </c>
      <c r="G24" s="20">
        <f>'ON Pricing'!H24*100</f>
        <v>2.8579999999833858</v>
      </c>
      <c r="H24" s="20">
        <f t="shared" si="3"/>
        <v>2.8579999999833858</v>
      </c>
      <c r="I24" s="20" t="e">
        <f>ABS(_xll.RtGet(SourceAlias,$F24,BID)-G24)</f>
        <v>#VALUE!</v>
      </c>
      <c r="J24" s="20" t="e">
        <f>ABS(_xll.RtGet(SourceAlias,$F24,ASK)-H24)</f>
        <v>#VALUE!</v>
      </c>
      <c r="K24" s="2" t="s">
        <v>97</v>
      </c>
      <c r="L24" s="25" t="s">
        <v>32</v>
      </c>
      <c r="M24" s="19" t="str">
        <f t="shared" si="7"/>
        <v>AUD3M4Y=</v>
      </c>
      <c r="N24" s="20">
        <f>'3M Pricing'!J24*100</f>
        <v>3.0401367874791316</v>
      </c>
      <c r="O24" s="20">
        <f t="shared" si="4"/>
        <v>3.0401367874791316</v>
      </c>
      <c r="P24" s="20" t="e">
        <f>ABS(_xll.RtGet(SourceAlias,$M24,BID)-N24)</f>
        <v>#VALUE!</v>
      </c>
      <c r="Q24" s="20" t="e">
        <f>ABS(_xll.RtGet(SourceAlias,$M24,ASK)-O24)</f>
        <v>#VALUE!</v>
      </c>
      <c r="R24" s="57" t="s">
        <v>97</v>
      </c>
      <c r="S24" s="25" t="s">
        <v>32</v>
      </c>
      <c r="T24" s="19" t="str">
        <f t="shared" si="9"/>
        <v>AUD6M4Y=</v>
      </c>
      <c r="U24" s="20">
        <f>'6M Pricing'!H24*100</f>
        <v>3.125000000000159</v>
      </c>
      <c r="V24" s="20">
        <f t="shared" si="5"/>
        <v>3.125000000000159</v>
      </c>
      <c r="W24" s="20" t="e">
        <f>ABS(_xll.RtGet(SourceAlias,$T24,BID)-U24)</f>
        <v>#VALUE!</v>
      </c>
      <c r="X24" s="20" t="e">
        <f>ABS(_xll.RtGet(SourceAlias,$T24,ASK)-V24)</f>
        <v>#VALUE!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1.25" customHeight="1" x14ac:dyDescent="0.2">
      <c r="A25" s="25" t="str">
        <f>IF(Contribute="abcd",IF($F$1&lt;&gt;-1,_xll.RtContribute(SourceAlias,F25,Fields,G25:H25,"SCOPE:SERVER"),_xll.RtContribute(SourceAlias,"DDS_INSERT_S",$F$1:$H$1,G25:H25,"SCOPE:SERVER FTC:ALL")),"stopped")</f>
        <v>stopped</v>
      </c>
      <c r="B25" s="25" t="str">
        <f>IF(Contribute="abcd",IF($F$1&lt;&gt;-1,_xll.RtContribute(SourceAlias,M25,Fields,N25:O25,"SCOPE:SERVER"),_xll.RtContribute(SourceAlias,"DDS_INSERT_S",$F$1:$H$1,M25:O25,"SCOPE:SERVER FTC:ALL")),"stopped")</f>
        <v>stopped</v>
      </c>
      <c r="C25" s="25" t="str">
        <f>IF(Contribute="abcd",IF($F$1&lt;&gt;-1,_xll.RtContribute(SourceAlias,T25,Fields,U25:V25,"SCOPE:SERVER"),_xll.RtContribute(SourceAlias,"DDS_INSERT_S",$F$1:$H$1,T25:V25,"SCOPE:SERVER FTC:ALL")),"stopped")</f>
        <v>stopped</v>
      </c>
      <c r="D25" s="2" t="s">
        <v>97</v>
      </c>
      <c r="E25" s="25" t="s">
        <v>69</v>
      </c>
      <c r="F25" s="19" t="str">
        <f t="shared" si="8"/>
        <v>AUDON5YD=</v>
      </c>
      <c r="G25" s="20">
        <f>'ON Pricing'!H25*100</f>
        <v>2.9999999999892988</v>
      </c>
      <c r="H25" s="20">
        <f t="shared" si="3"/>
        <v>2.9999999999892988</v>
      </c>
      <c r="I25" s="20" t="e">
        <f>ABS(_xll.RtGet(SourceAlias,$F25,BID)-G25)</f>
        <v>#VALUE!</v>
      </c>
      <c r="J25" s="20" t="e">
        <f>ABS(_xll.RtGet(SourceAlias,$F25,ASK)-H25)</f>
        <v>#VALUE!</v>
      </c>
      <c r="K25" s="2" t="s">
        <v>97</v>
      </c>
      <c r="L25" s="25" t="s">
        <v>33</v>
      </c>
      <c r="M25" s="19" t="str">
        <f t="shared" si="7"/>
        <v>AUD3M5Y=</v>
      </c>
      <c r="N25" s="20">
        <f>'3M Pricing'!J25*100</f>
        <v>3.1902665110669317</v>
      </c>
      <c r="O25" s="20">
        <f t="shared" si="4"/>
        <v>3.1902665110669317</v>
      </c>
      <c r="P25" s="20" t="e">
        <f>ABS(_xll.RtGet(SourceAlias,$M25,BID)-N25)</f>
        <v>#VALUE!</v>
      </c>
      <c r="Q25" s="20" t="e">
        <f>ABS(_xll.RtGet(SourceAlias,$M25,ASK)-O25)</f>
        <v>#VALUE!</v>
      </c>
      <c r="R25" s="57" t="s">
        <v>97</v>
      </c>
      <c r="S25" s="25" t="s">
        <v>33</v>
      </c>
      <c r="T25" s="19" t="str">
        <f t="shared" si="9"/>
        <v>AUD6M5Y=</v>
      </c>
      <c r="U25" s="20">
        <f>'6M Pricing'!H25*100</f>
        <v>3.2800000000001579</v>
      </c>
      <c r="V25" s="20">
        <f t="shared" si="5"/>
        <v>3.2800000000001579</v>
      </c>
      <c r="W25" s="20" t="e">
        <f>ABS(_xll.RtGet(SourceAlias,$T25,BID)-U25)</f>
        <v>#VALUE!</v>
      </c>
      <c r="X25" s="20" t="e">
        <f>ABS(_xll.RtGet(SourceAlias,$T25,ASK)-V25)</f>
        <v>#VALUE!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1.25" customHeight="1" x14ac:dyDescent="0.2">
      <c r="A26" s="25" t="str">
        <f>IF(Contribute="abcd",IF($F$1&lt;&gt;-1,_xll.RtContribute(SourceAlias,F26,Fields,G26:H26,"SCOPE:SERVER"),_xll.RtContribute(SourceAlias,"DDS_INSERT_S",$F$1:$H$1,G26:H26,"SCOPE:SERVER FTC:ALL")),"stopped")</f>
        <v>stopped</v>
      </c>
      <c r="B26" s="25"/>
      <c r="C26" s="25"/>
      <c r="D26" s="2" t="s">
        <v>97</v>
      </c>
      <c r="E26" s="25" t="s">
        <v>70</v>
      </c>
      <c r="F26" s="19" t="str">
        <f t="shared" si="8"/>
        <v>AUDON6YD=</v>
      </c>
      <c r="G26" s="20">
        <f>'ON Pricing'!H26*100</f>
        <v>3.1329999999924842</v>
      </c>
      <c r="H26" s="20">
        <f t="shared" si="3"/>
        <v>3.1329999999924842</v>
      </c>
      <c r="I26" s="20" t="e">
        <f>ABS(_xll.RtGet(SourceAlias,$F26,BID)-G26)</f>
        <v>#VALUE!</v>
      </c>
      <c r="J26" s="20" t="e">
        <f>ABS(_xll.RtGet(SourceAlias,$F26,ASK)-H26)</f>
        <v>#VALUE!</v>
      </c>
      <c r="K26" s="2" t="s">
        <v>97</v>
      </c>
      <c r="L26" s="25"/>
      <c r="M26" s="19"/>
      <c r="N26" s="20"/>
      <c r="O26" s="20"/>
      <c r="P26" s="20"/>
      <c r="Q26" s="20"/>
      <c r="R26" s="57" t="s">
        <v>97</v>
      </c>
      <c r="S26" s="25"/>
      <c r="T26" s="19"/>
      <c r="U26" s="20"/>
      <c r="V26" s="20"/>
      <c r="W26" s="20"/>
      <c r="X26" s="20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1.25" customHeight="1" x14ac:dyDescent="0.2">
      <c r="A27" s="25" t="str">
        <f>IF(Contribute="abcd",IF($F$1&lt;&gt;-1,_xll.RtContribute(SourceAlias,F27,Fields,G27:H27,"SCOPE:SERVER"),_xll.RtContribute(SourceAlias,"DDS_INSERT_S",$F$1:$H$1,G27:H27,"SCOPE:SERVER FTC:ALL")),"stopped")</f>
        <v>stopped</v>
      </c>
      <c r="B27" s="25" t="str">
        <f>IF(Contribute="abcd",IF($F$1&lt;&gt;-1,_xll.RtContribute(SourceAlias,M27,Fields,N27:O27,"SCOPE:SERVER"),_xll.RtContribute(SourceAlias,"DDS_INSERT_S",$F$1:$H$1,M27:O27,"SCOPE:SERVER FTC:ALL")),"stopped")</f>
        <v>stopped</v>
      </c>
      <c r="C27" s="25" t="str">
        <f>IF(Contribute="abcd",IF($F$1&lt;&gt;-1,_xll.RtContribute(SourceAlias,T27,Fields,U27:V27,"SCOPE:SERVER"),_xll.RtContribute(SourceAlias,"DDS_INSERT_S",$F$1:$H$1,T27:V27,"SCOPE:SERVER FTC:ALL")),"stopped")</f>
        <v>stopped</v>
      </c>
      <c r="D27" s="2" t="s">
        <v>97</v>
      </c>
      <c r="E27" s="25" t="s">
        <v>71</v>
      </c>
      <c r="F27" s="19" t="str">
        <f t="shared" si="8"/>
        <v>AUDON7YD=</v>
      </c>
      <c r="G27" s="20">
        <f>'ON Pricing'!H27*100</f>
        <v>3.262999999994507</v>
      </c>
      <c r="H27" s="20">
        <f t="shared" si="3"/>
        <v>3.262999999994507</v>
      </c>
      <c r="I27" s="20" t="e">
        <f>ABS(_xll.RtGet(SourceAlias,$F27,BID)-G27)</f>
        <v>#VALUE!</v>
      </c>
      <c r="J27" s="20" t="e">
        <f>ABS(_xll.RtGet(SourceAlias,$F27,ASK)-H27)</f>
        <v>#VALUE!</v>
      </c>
      <c r="K27" s="2" t="s">
        <v>97</v>
      </c>
      <c r="L27" s="25" t="s">
        <v>35</v>
      </c>
      <c r="M27" s="19" t="str">
        <f t="shared" si="7"/>
        <v>AUD3M7Y=</v>
      </c>
      <c r="N27" s="20">
        <f>'3M Pricing'!J27*100</f>
        <v>3.4631034754718479</v>
      </c>
      <c r="O27" s="20">
        <f t="shared" si="4"/>
        <v>3.4631034754718479</v>
      </c>
      <c r="P27" s="20" t="e">
        <f>ABS(_xll.RtGet(SourceAlias,$M27,BID)-N27)</f>
        <v>#VALUE!</v>
      </c>
      <c r="Q27" s="20" t="e">
        <f>ABS(_xll.RtGet(SourceAlias,$M27,ASK)-O27)</f>
        <v>#VALUE!</v>
      </c>
      <c r="R27" s="57" t="s">
        <v>97</v>
      </c>
      <c r="S27" s="25" t="s">
        <v>35</v>
      </c>
      <c r="T27" s="19" t="str">
        <f t="shared" si="9"/>
        <v>AUD6M7Y=</v>
      </c>
      <c r="U27" s="20">
        <f>'6M Pricing'!H27*100</f>
        <v>3.5550000000000992</v>
      </c>
      <c r="V27" s="20">
        <f t="shared" si="5"/>
        <v>3.5550000000000992</v>
      </c>
      <c r="W27" s="20" t="e">
        <f>ABS(_xll.RtGet(SourceAlias,$T27,BID)-U27)</f>
        <v>#VALUE!</v>
      </c>
      <c r="X27" s="20" t="e">
        <f>ABS(_xll.RtGet(SourceAlias,$T27,ASK)-V27)</f>
        <v>#VALUE!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1.25" customHeight="1" x14ac:dyDescent="0.2">
      <c r="A28" s="25" t="str">
        <f>IF(Contribute="abcd",IF($F$1&lt;&gt;-1,_xll.RtContribute(SourceAlias,F28,Fields,G28:H28,"SCOPE:SERVER"),_xll.RtContribute(SourceAlias,"DDS_INSERT_S",$F$1:$H$1,G28:H28,"SCOPE:SERVER FTC:ALL")),"stopped")</f>
        <v>stopped</v>
      </c>
      <c r="B28" s="25"/>
      <c r="C28" s="25"/>
      <c r="D28" s="2" t="s">
        <v>97</v>
      </c>
      <c r="E28" s="25" t="s">
        <v>72</v>
      </c>
      <c r="F28" s="19" t="str">
        <f t="shared" si="8"/>
        <v>AUDON8YD=</v>
      </c>
      <c r="G28" s="20">
        <f>'ON Pricing'!H28*100</f>
        <v>3.3499999999957621</v>
      </c>
      <c r="H28" s="20">
        <f t="shared" si="3"/>
        <v>3.3499999999957621</v>
      </c>
      <c r="I28" s="20" t="e">
        <f>ABS(_xll.RtGet(SourceAlias,$F28,BID)-G28)</f>
        <v>#VALUE!</v>
      </c>
      <c r="J28" s="20" t="e">
        <f>ABS(_xll.RtGet(SourceAlias,$F28,ASK)-H28)</f>
        <v>#VALUE!</v>
      </c>
      <c r="K28" s="2" t="s">
        <v>97</v>
      </c>
      <c r="L28" s="25"/>
      <c r="M28" s="19"/>
      <c r="N28" s="20"/>
      <c r="O28" s="20"/>
      <c r="P28" s="20"/>
      <c r="Q28" s="20"/>
      <c r="R28" s="57" t="s">
        <v>97</v>
      </c>
      <c r="S28" s="25"/>
      <c r="T28" s="19"/>
      <c r="U28" s="20"/>
      <c r="V28" s="20"/>
      <c r="W28" s="20"/>
      <c r="X28" s="20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1.25" customHeight="1" x14ac:dyDescent="0.2">
      <c r="A29" s="25" t="str">
        <f>IF(Contribute="abcd",IF($F$1&lt;&gt;-1,_xll.RtContribute(SourceAlias,F29,Fields,G29:H29,"SCOPE:SERVER"),_xll.RtContribute(SourceAlias,"DDS_INSERT_S",$F$1:$H$1,G29:H29,"SCOPE:SERVER FTC:ALL")),"stopped")</f>
        <v>stopped</v>
      </c>
      <c r="B29" s="25"/>
      <c r="C29" s="25"/>
      <c r="D29" s="2" t="s">
        <v>97</v>
      </c>
      <c r="E29" s="25" t="s">
        <v>73</v>
      </c>
      <c r="F29" s="19" t="str">
        <f t="shared" si="8"/>
        <v>AUDON9YD=</v>
      </c>
      <c r="G29" s="20">
        <f>'ON Pricing'!H29*100</f>
        <v>3.4349999999965934</v>
      </c>
      <c r="H29" s="20">
        <f t="shared" si="3"/>
        <v>3.4349999999965934</v>
      </c>
      <c r="I29" s="20" t="e">
        <f>ABS(_xll.RtGet(SourceAlias,$F29,BID)-G29)</f>
        <v>#VALUE!</v>
      </c>
      <c r="J29" s="20" t="e">
        <f>ABS(_xll.RtGet(SourceAlias,$F29,ASK)-H29)</f>
        <v>#VALUE!</v>
      </c>
      <c r="K29" s="2" t="s">
        <v>97</v>
      </c>
      <c r="L29" s="25"/>
      <c r="M29" s="19"/>
      <c r="N29" s="20"/>
      <c r="O29" s="20"/>
      <c r="P29" s="20"/>
      <c r="Q29" s="20"/>
      <c r="R29" s="57" t="s">
        <v>97</v>
      </c>
      <c r="S29" s="25"/>
      <c r="T29" s="19"/>
      <c r="U29" s="20"/>
      <c r="V29" s="20"/>
      <c r="W29" s="20"/>
      <c r="X29" s="20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1.25" customHeight="1" x14ac:dyDescent="0.2">
      <c r="A30" s="25" t="str">
        <f>IF(Contribute="abcd",IF($F$1&lt;&gt;-1,_xll.RtContribute(SourceAlias,F30,Fields,G30:H30,"SCOPE:SERVER"),_xll.RtContribute(SourceAlias,"DDS_INSERT_S",$F$1:$H$1,G30:H30,"SCOPE:SERVER FTC:ALL")),"stopped")</f>
        <v>stopped</v>
      </c>
      <c r="B30" s="25" t="str">
        <f>IF(Contribute="abcd",IF($F$1&lt;&gt;-1,_xll.RtContribute(SourceAlias,M30,Fields,N30:O30,"SCOPE:SERVER"),_xll.RtContribute(SourceAlias,"DDS_INSERT_S",$F$1:$H$1,M30:O30,"SCOPE:SERVER FTC:ALL")),"stopped")</f>
        <v>stopped</v>
      </c>
      <c r="C30" s="25" t="str">
        <f>IF(Contribute="abcd",IF($F$1&lt;&gt;-1,_xll.RtContribute(SourceAlias,T30,Fields,U30:V30,"SCOPE:SERVER"),_xll.RtContribute(SourceAlias,"DDS_INSERT_S",$F$1:$H$1,T30:V30,"SCOPE:SERVER FTC:ALL")),"stopped")</f>
        <v>stopped</v>
      </c>
      <c r="D30" s="2" t="s">
        <v>97</v>
      </c>
      <c r="E30" s="25" t="s">
        <v>74</v>
      </c>
      <c r="F30" s="19" t="str">
        <f t="shared" si="8"/>
        <v>AUDON10YD=</v>
      </c>
      <c r="G30" s="20">
        <f>'ON Pricing'!H30*100</f>
        <v>3.5229999999972015</v>
      </c>
      <c r="H30" s="20">
        <f t="shared" si="3"/>
        <v>3.5229999999972015</v>
      </c>
      <c r="I30" s="20" t="e">
        <f>ABS(_xll.RtGet(SourceAlias,$F30,BID)-G30)</f>
        <v>#VALUE!</v>
      </c>
      <c r="J30" s="20" t="e">
        <f>ABS(_xll.RtGet(SourceAlias,$F30,ASK)-H30)</f>
        <v>#VALUE!</v>
      </c>
      <c r="K30" s="2" t="s">
        <v>97</v>
      </c>
      <c r="L30" s="25" t="s">
        <v>38</v>
      </c>
      <c r="M30" s="19" t="str">
        <f t="shared" si="7"/>
        <v>AUD3M10Y=</v>
      </c>
      <c r="N30" s="20">
        <f>'3M Pricing'!J30*100</f>
        <v>3.7470004962088672</v>
      </c>
      <c r="O30" s="20">
        <f t="shared" si="4"/>
        <v>3.7470004962088672</v>
      </c>
      <c r="P30" s="20" t="e">
        <f>ABS(_xll.RtGet(SourceAlias,$M30,BID)-N30)</f>
        <v>#VALUE!</v>
      </c>
      <c r="Q30" s="20" t="e">
        <f>ABS(_xll.RtGet(SourceAlias,$M30,ASK)-O30)</f>
        <v>#VALUE!</v>
      </c>
      <c r="R30" s="57" t="s">
        <v>97</v>
      </c>
      <c r="S30" s="25" t="s">
        <v>38</v>
      </c>
      <c r="T30" s="19" t="str">
        <f t="shared" si="9"/>
        <v>AUD6M10Y=</v>
      </c>
      <c r="U30" s="20">
        <f>'6M Pricing'!H30*100</f>
        <v>3.8424999999941054</v>
      </c>
      <c r="V30" s="20">
        <f t="shared" si="5"/>
        <v>3.8424999999941054</v>
      </c>
      <c r="W30" s="20" t="e">
        <f>ABS(_xll.RtGet(SourceAlias,$T30,BID)-U30)</f>
        <v>#VALUE!</v>
      </c>
      <c r="X30" s="20" t="e">
        <f>ABS(_xll.RtGet(SourceAlias,$T30,ASK)-V30)</f>
        <v>#VALUE!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1.25" customHeight="1" x14ac:dyDescent="0.2">
      <c r="A31" s="25" t="str">
        <f>IF(Contribute="abcd",IF($F$1&lt;&gt;-1,_xll.RtContribute(SourceAlias,F31,Fields,G31:H31,"SCOPE:SERVER"),_xll.RtContribute(SourceAlias,"DDS_INSERT_S",$F$1:$H$1,G31:H31,"SCOPE:SERVER FTC:ALL")),"stopped")</f>
        <v>stopped</v>
      </c>
      <c r="B31" s="25" t="str">
        <f>IF(Contribute="abcd",IF($F$1&lt;&gt;-1,_xll.RtContribute(SourceAlias,M31,Fields,N31:O31,"SCOPE:SERVER"),_xll.RtContribute(SourceAlias,"DDS_INSERT_S",$F$1:$H$1,M31:O31,"SCOPE:SERVER FTC:ALL")),"stopped")</f>
        <v>stopped</v>
      </c>
      <c r="C31" s="25" t="str">
        <f>IF(Contribute="abcd",IF($F$1&lt;&gt;-1,_xll.RtContribute(SourceAlias,T31,Fields,U31:V31,"SCOPE:SERVER"),_xll.RtContribute(SourceAlias,"DDS_INSERT_S",$F$1:$H$1,T31:V31,"SCOPE:SERVER FTC:ALL")),"stopped")</f>
        <v>stopped</v>
      </c>
      <c r="D31" s="2" t="s">
        <v>97</v>
      </c>
      <c r="E31" s="25" t="s">
        <v>75</v>
      </c>
      <c r="F31" s="19" t="str">
        <f t="shared" si="8"/>
        <v>AUDON12YD=</v>
      </c>
      <c r="G31" s="20">
        <f>'ON Pricing'!H31*100</f>
        <v>3.6499999999961612</v>
      </c>
      <c r="H31" s="20">
        <f t="shared" si="3"/>
        <v>3.6499999999961612</v>
      </c>
      <c r="I31" s="20" t="e">
        <f>ABS(_xll.RtGet(SourceAlias,$F31,BID)-G31)</f>
        <v>#VALUE!</v>
      </c>
      <c r="J31" s="20" t="e">
        <f>ABS(_xll.RtGet(SourceAlias,$F31,ASK)-H31)</f>
        <v>#VALUE!</v>
      </c>
      <c r="K31" s="2" t="s">
        <v>97</v>
      </c>
      <c r="L31" s="25" t="s">
        <v>39</v>
      </c>
      <c r="M31" s="19" t="str">
        <f t="shared" si="7"/>
        <v>AUD3M12Y=</v>
      </c>
      <c r="N31" s="20">
        <f>'3M Pricing'!J31*100</f>
        <v>3.8858011264098873</v>
      </c>
      <c r="O31" s="20">
        <f t="shared" si="4"/>
        <v>3.8858011264098873</v>
      </c>
      <c r="P31" s="20" t="e">
        <f>ABS(_xll.RtGet(SourceAlias,$M31,BID)-N31)</f>
        <v>#VALUE!</v>
      </c>
      <c r="Q31" s="20" t="e">
        <f>ABS(_xll.RtGet(SourceAlias,$M31,ASK)-O31)</f>
        <v>#VALUE!</v>
      </c>
      <c r="R31" s="57" t="s">
        <v>97</v>
      </c>
      <c r="S31" s="25" t="s">
        <v>39</v>
      </c>
      <c r="T31" s="19" t="str">
        <f t="shared" si="9"/>
        <v>AUD6M12Y=</v>
      </c>
      <c r="U31" s="20">
        <f>'6M Pricing'!H31*100</f>
        <v>3.9799999999904419</v>
      </c>
      <c r="V31" s="20">
        <f t="shared" si="5"/>
        <v>3.9799999999904419</v>
      </c>
      <c r="W31" s="20" t="e">
        <f>ABS(_xll.RtGet(SourceAlias,$T31,BID)-U31)</f>
        <v>#VALUE!</v>
      </c>
      <c r="X31" s="20" t="e">
        <f>ABS(_xll.RtGet(SourceAlias,$T31,ASK)-V31)</f>
        <v>#VALUE!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1.25" customHeight="1" x14ac:dyDescent="0.2">
      <c r="A32" s="25" t="str">
        <f>IF(Contribute="abcd",IF($F$1&lt;&gt;-1,_xll.RtContribute(SourceAlias,F32,Fields,G32:H32,"SCOPE:SERVER"),_xll.RtContribute(SourceAlias,"DDS_INSERT_S",$F$1:$H$1,G32:H32,"SCOPE:SERVER FTC:ALL")),"stopped")</f>
        <v>stopped</v>
      </c>
      <c r="B32" s="25" t="str">
        <f>IF(Contribute="abcd",IF($F$1&lt;&gt;-1,_xll.RtContribute(SourceAlias,M32,Fields,N32:O32,"SCOPE:SERVER"),_xll.RtContribute(SourceAlias,"DDS_INSERT_S",$F$1:$H$1,M32:O32,"SCOPE:SERVER FTC:ALL")),"stopped")</f>
        <v>stopped</v>
      </c>
      <c r="C32" s="25" t="str">
        <f>IF(Contribute="abcd",IF($F$1&lt;&gt;-1,_xll.RtContribute(SourceAlias,T32,Fields,U32:V32,"SCOPE:SERVER"),_xll.RtContribute(SourceAlias,"DDS_INSERT_S",$F$1:$H$1,T32:V32,"SCOPE:SERVER FTC:ALL")),"stopped")</f>
        <v>stopped</v>
      </c>
      <c r="D32" s="2" t="s">
        <v>97</v>
      </c>
      <c r="E32" s="25" t="s">
        <v>76</v>
      </c>
      <c r="F32" s="19" t="str">
        <f t="shared" si="8"/>
        <v>AUDON15YD=</v>
      </c>
      <c r="G32" s="20">
        <f>'ON Pricing'!H32*100</f>
        <v>3.7979999999909477</v>
      </c>
      <c r="H32" s="20">
        <f t="shared" si="3"/>
        <v>3.7979999999909477</v>
      </c>
      <c r="I32" s="20" t="e">
        <f>ABS(_xll.RtGet(SourceAlias,$F32,BID)-G32)</f>
        <v>#VALUE!</v>
      </c>
      <c r="J32" s="20" t="e">
        <f>ABS(_xll.RtGet(SourceAlias,$F32,ASK)-H32)</f>
        <v>#VALUE!</v>
      </c>
      <c r="K32" s="2" t="s">
        <v>97</v>
      </c>
      <c r="L32" s="25" t="s">
        <v>40</v>
      </c>
      <c r="M32" s="19" t="str">
        <f t="shared" si="7"/>
        <v>AUD3M15Y=</v>
      </c>
      <c r="N32" s="20">
        <f>'3M Pricing'!J32*100</f>
        <v>4.0381674698401069</v>
      </c>
      <c r="O32" s="20">
        <f t="shared" si="4"/>
        <v>4.0381674698401069</v>
      </c>
      <c r="P32" s="20" t="e">
        <f>ABS(_xll.RtGet(SourceAlias,$M32,BID)-N32)</f>
        <v>#VALUE!</v>
      </c>
      <c r="Q32" s="20" t="e">
        <f>ABS(_xll.RtGet(SourceAlias,$M32,ASK)-O32)</f>
        <v>#VALUE!</v>
      </c>
      <c r="R32" s="57" t="s">
        <v>97</v>
      </c>
      <c r="S32" s="25" t="s">
        <v>40</v>
      </c>
      <c r="T32" s="19" t="str">
        <f t="shared" si="9"/>
        <v>AUD6M15Y=</v>
      </c>
      <c r="U32" s="20">
        <f>'6M Pricing'!H32*100</f>
        <v>4.1275000000011008</v>
      </c>
      <c r="V32" s="20">
        <f t="shared" si="5"/>
        <v>4.1275000000011008</v>
      </c>
      <c r="W32" s="20" t="e">
        <f>ABS(_xll.RtGet(SourceAlias,$T32,BID)-U32)</f>
        <v>#VALUE!</v>
      </c>
      <c r="X32" s="20" t="e">
        <f>ABS(_xll.RtGet(SourceAlias,$T32,ASK)-V32)</f>
        <v>#VALUE!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1.25" customHeight="1" x14ac:dyDescent="0.2">
      <c r="A33" s="25" t="str">
        <f>IF(Contribute="abcd",IF($F$1&lt;&gt;-1,_xll.RtContribute(SourceAlias,F33,Fields,G33:H33,"SCOPE:SERVER"),_xll.RtContribute(SourceAlias,"DDS_INSERT_S",$F$1:$H$1,G33:H33,"SCOPE:SERVER FTC:ALL")),"stopped")</f>
        <v>stopped</v>
      </c>
      <c r="B33" s="25" t="str">
        <f>IF(Contribute="abcd",IF($F$1&lt;&gt;-1,_xll.RtContribute(SourceAlias,M33,Fields,N33:O33,"SCOPE:SERVER"),_xll.RtContribute(SourceAlias,"DDS_INSERT_S",$F$1:$H$1,M33:O33,"SCOPE:SERVER FTC:ALL")),"stopped")</f>
        <v>stopped</v>
      </c>
      <c r="C33" s="25" t="str">
        <f>IF(Contribute="abcd",IF($F$1&lt;&gt;-1,_xll.RtContribute(SourceAlias,T33,Fields,U33:V33,"SCOPE:SERVER"),_xll.RtContribute(SourceAlias,"DDS_INSERT_S",$F$1:$H$1,T33:V33,"SCOPE:SERVER FTC:ALL")),"stopped")</f>
        <v>stopped</v>
      </c>
      <c r="D33" s="2" t="s">
        <v>97</v>
      </c>
      <c r="E33" s="25" t="s">
        <v>77</v>
      </c>
      <c r="F33" s="19" t="str">
        <f t="shared" si="8"/>
        <v>AUDON20YD=</v>
      </c>
      <c r="G33" s="20">
        <f>'ON Pricing'!H33*100</f>
        <v>3.9350000000009553</v>
      </c>
      <c r="H33" s="20">
        <f t="shared" si="3"/>
        <v>3.9350000000009553</v>
      </c>
      <c r="I33" s="20" t="e">
        <f>ABS(_xll.RtGet(SourceAlias,$F33,BID)-G33)</f>
        <v>#VALUE!</v>
      </c>
      <c r="J33" s="20" t="e">
        <f>ABS(_xll.RtGet(SourceAlias,$F33,ASK)-H33)</f>
        <v>#VALUE!</v>
      </c>
      <c r="K33" s="2" t="s">
        <v>97</v>
      </c>
      <c r="L33" s="25" t="s">
        <v>41</v>
      </c>
      <c r="M33" s="19" t="str">
        <f t="shared" si="7"/>
        <v>AUD3M20Y=</v>
      </c>
      <c r="N33" s="20">
        <f>'3M Pricing'!J33*100</f>
        <v>4.1918147553695118</v>
      </c>
      <c r="O33" s="20">
        <f t="shared" si="4"/>
        <v>4.1918147553695118</v>
      </c>
      <c r="P33" s="20" t="e">
        <f>ABS(_xll.RtGet(SourceAlias,$M33,BID)-N33)</f>
        <v>#VALUE!</v>
      </c>
      <c r="Q33" s="20" t="e">
        <f>ABS(_xll.RtGet(SourceAlias,$M33,ASK)-O33)</f>
        <v>#VALUE!</v>
      </c>
      <c r="R33" s="57" t="s">
        <v>97</v>
      </c>
      <c r="S33" s="25" t="s">
        <v>41</v>
      </c>
      <c r="T33" s="19" t="str">
        <f t="shared" si="9"/>
        <v>AUD6M20Y=</v>
      </c>
      <c r="U33" s="20">
        <f>'6M Pricing'!H33*100</f>
        <v>4.2700000000010387</v>
      </c>
      <c r="V33" s="20">
        <f t="shared" si="5"/>
        <v>4.2700000000010387</v>
      </c>
      <c r="W33" s="20" t="e">
        <f>ABS(_xll.RtGet(SourceAlias,$T33,BID)-U33)</f>
        <v>#VALUE!</v>
      </c>
      <c r="X33" s="20" t="e">
        <f>ABS(_xll.RtGet(SourceAlias,$T33,ASK)-V33)</f>
        <v>#VALUE!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1.25" customHeight="1" x14ac:dyDescent="0.2">
      <c r="A34" s="25" t="str">
        <f>IF(Contribute="abcd",IF($F$1&lt;&gt;-1,_xll.RtContribute(SourceAlias,F34,Fields,G34:H34,"SCOPE:SERVER"),_xll.RtContribute(SourceAlias,"DDS_INSERT_S",$F$1:$H$1,G34:H34,"SCOPE:SERVER FTC:ALL")),"stopped")</f>
        <v>stopped</v>
      </c>
      <c r="B34" s="25" t="str">
        <f>IF(Contribute="abcd",IF($F$1&lt;&gt;-1,_xll.RtContribute(SourceAlias,M34,Fields,N34:O34,"SCOPE:SERVER"),_xll.RtContribute(SourceAlias,"DDS_INSERT_S",$F$1:$H$1,M34:O34,"SCOPE:SERVER FTC:ALL")),"stopped")</f>
        <v>stopped</v>
      </c>
      <c r="C34" s="25" t="str">
        <f>IF(Contribute="abcd",IF($F$1&lt;&gt;-1,_xll.RtContribute(SourceAlias,T34,Fields,U34:V34,"SCOPE:SERVER"),_xll.RtContribute(SourceAlias,"DDS_INSERT_S",$F$1:$H$1,T34:V34,"SCOPE:SERVER FTC:ALL")),"stopped")</f>
        <v>stopped</v>
      </c>
      <c r="D34" s="2" t="s">
        <v>97</v>
      </c>
      <c r="E34" s="25" t="s">
        <v>78</v>
      </c>
      <c r="F34" s="19" t="str">
        <f t="shared" si="8"/>
        <v>AUDON25YD=</v>
      </c>
      <c r="G34" s="20">
        <f>'ON Pricing'!H34*100</f>
        <v>4.0050000000006438</v>
      </c>
      <c r="H34" s="20">
        <f t="shared" si="3"/>
        <v>4.0050000000006438</v>
      </c>
      <c r="I34" s="20" t="e">
        <f>ABS(_xll.RtGet(SourceAlias,$F34,BID)-G34)</f>
        <v>#VALUE!</v>
      </c>
      <c r="J34" s="20" t="e">
        <f>ABS(_xll.RtGet(SourceAlias,$F34,ASK)-H34)</f>
        <v>#VALUE!</v>
      </c>
      <c r="K34" s="2" t="s">
        <v>97</v>
      </c>
      <c r="L34" s="25" t="s">
        <v>42</v>
      </c>
      <c r="M34" s="19" t="str">
        <f t="shared" si="7"/>
        <v>AUD3M25Y=</v>
      </c>
      <c r="N34" s="20">
        <f>'3M Pricing'!J34*100</f>
        <v>4.2549566977106679</v>
      </c>
      <c r="O34" s="20">
        <f t="shared" si="4"/>
        <v>4.2549566977106679</v>
      </c>
      <c r="P34" s="20" t="e">
        <f>ABS(_xll.RtGet(SourceAlias,$M34,BID)-N34)</f>
        <v>#VALUE!</v>
      </c>
      <c r="Q34" s="20" t="e">
        <f>ABS(_xll.RtGet(SourceAlias,$M34,ASK)-O34)</f>
        <v>#VALUE!</v>
      </c>
      <c r="R34" s="57" t="s">
        <v>97</v>
      </c>
      <c r="S34" s="25" t="s">
        <v>42</v>
      </c>
      <c r="T34" s="19" t="str">
        <f t="shared" si="9"/>
        <v>AUD6M25Y=</v>
      </c>
      <c r="U34" s="20">
        <f>'6M Pricing'!H34*100</f>
        <v>4.3224999999989846</v>
      </c>
      <c r="V34" s="20">
        <f t="shared" si="5"/>
        <v>4.3224999999989846</v>
      </c>
      <c r="W34" s="20" t="e">
        <f>ABS(_xll.RtGet(SourceAlias,$T34,BID)-U34)</f>
        <v>#VALUE!</v>
      </c>
      <c r="X34" s="20" t="e">
        <f>ABS(_xll.RtGet(SourceAlias,$T34,ASK)-V34)</f>
        <v>#VALUE!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1.25" customHeight="1" x14ac:dyDescent="0.2">
      <c r="A35" s="26" t="str">
        <f>IF(Contribute="abcd",IF($F$1&lt;&gt;-1,_xll.RtContribute(SourceAlias,F35,Fields,G35:H35,"SCOPE:SERVER"),_xll.RtContribute(SourceAlias,"DDS_INSERT_S",$F$1:$H$1,G35:H35,"SCOPE:SERVER FTC:ALL")),"stopped")</f>
        <v>stopped</v>
      </c>
      <c r="B35" s="26" t="str">
        <f>IF(Contribute="abcd",IF($F$1&lt;&gt;-1,_xll.RtContribute(SourceAlias,M35,Fields,N35:O35,"SCOPE:SERVER"),_xll.RtContribute(SourceAlias,"DDS_INSERT_S",$F$1:$H$1,M35:O35,"SCOPE:SERVER FTC:ALL")),"stopped")</f>
        <v>stopped</v>
      </c>
      <c r="C35" s="26" t="str">
        <f>IF(Contribute="abcd",IF($F$1&lt;&gt;-1,_xll.RtContribute(SourceAlias,T35,Fields,U35:V35,"SCOPE:SERVER"),_xll.RtContribute(SourceAlias,"DDS_INSERT_S",$F$1:$H$1,T35:V35,"SCOPE:SERVER FTC:ALL")),"stopped")</f>
        <v>stopped</v>
      </c>
      <c r="D35" s="2" t="s">
        <v>97</v>
      </c>
      <c r="E35" s="26" t="s">
        <v>79</v>
      </c>
      <c r="F35" s="21" t="str">
        <f t="shared" si="8"/>
        <v>AUDON30YD=</v>
      </c>
      <c r="G35" s="22">
        <f>'ON Pricing'!H35*100</f>
        <v>4.0449999999984882</v>
      </c>
      <c r="H35" s="22">
        <f t="shared" si="3"/>
        <v>4.0449999999984882</v>
      </c>
      <c r="I35" s="22" t="e">
        <f>ABS(_xll.RtGet(SourceAlias,$F35,BID)-G35)</f>
        <v>#VALUE!</v>
      </c>
      <c r="J35" s="22" t="e">
        <f>ABS(_xll.RtGet(SourceAlias,$F35,ASK)-H35)</f>
        <v>#VALUE!</v>
      </c>
      <c r="K35" s="2" t="s">
        <v>97</v>
      </c>
      <c r="L35" s="26" t="s">
        <v>43</v>
      </c>
      <c r="M35" s="21" t="str">
        <f t="shared" si="7"/>
        <v>AUD3M30Y=</v>
      </c>
      <c r="N35" s="22">
        <f>'3M Pricing'!J35*100</f>
        <v>4.2908672090556834</v>
      </c>
      <c r="O35" s="22">
        <f t="shared" si="4"/>
        <v>4.2908672090556834</v>
      </c>
      <c r="P35" s="22" t="e">
        <f>ABS(_xll.RtGet(SourceAlias,$M35,BID)-N35)</f>
        <v>#VALUE!</v>
      </c>
      <c r="Q35" s="22" t="e">
        <f>ABS(_xll.RtGet(SourceAlias,$M35,ASK)-O35)</f>
        <v>#VALUE!</v>
      </c>
      <c r="R35" s="57" t="s">
        <v>97</v>
      </c>
      <c r="S35" s="26" t="s">
        <v>43</v>
      </c>
      <c r="T35" s="21" t="str">
        <f t="shared" si="9"/>
        <v>AUD6M30Y=</v>
      </c>
      <c r="U35" s="22">
        <f>'6M Pricing'!H35*100</f>
        <v>4.3500000000000032</v>
      </c>
      <c r="V35" s="22">
        <f t="shared" si="5"/>
        <v>4.3500000000000032</v>
      </c>
      <c r="W35" s="22" t="e">
        <f>ABS(_xll.RtGet(SourceAlias,$T35,BID)-U35)</f>
        <v>#VALUE!</v>
      </c>
      <c r="X35" s="22" t="e">
        <f>ABS(_xll.RtGet(SourceAlias,$T35,ASK)-V35)</f>
        <v>#VALUE!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x14ac:dyDescent="0.2">
      <c r="A36" s="2"/>
      <c r="B36" s="2"/>
      <c r="C36" s="2"/>
      <c r="D36" s="2"/>
      <c r="E36" s="2"/>
      <c r="F36" s="2"/>
      <c r="G36" s="2"/>
      <c r="H36" s="2"/>
      <c r="I36" s="2"/>
      <c r="J36" s="3"/>
      <c r="K36" s="2"/>
      <c r="L36" s="2"/>
      <c r="M36" s="2"/>
      <c r="N36" s="2"/>
      <c r="O36" s="2"/>
      <c r="P36" s="2"/>
      <c r="Q36" s="3"/>
      <c r="R36" s="3"/>
      <c r="S36" s="2"/>
      <c r="T36" s="2"/>
      <c r="U36" s="2"/>
      <c r="V36" s="2"/>
      <c r="W36" s="2"/>
      <c r="X36" s="3"/>
      <c r="Y36" s="3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x14ac:dyDescent="0.2">
      <c r="A37" s="2"/>
      <c r="B37" s="2"/>
      <c r="C37" s="2"/>
      <c r="D37" s="2"/>
      <c r="E37" s="2"/>
      <c r="F37" s="113"/>
      <c r="G37" s="2"/>
      <c r="H37" s="2"/>
      <c r="I37" s="2"/>
      <c r="J37" s="3"/>
      <c r="K37" s="2"/>
      <c r="L37" s="2"/>
      <c r="M37" s="2"/>
      <c r="N37" s="2"/>
      <c r="O37" s="2"/>
      <c r="P37" s="2"/>
      <c r="Q37" s="3"/>
      <c r="R37" s="3"/>
      <c r="S37" s="2"/>
      <c r="T37" s="2"/>
      <c r="U37" s="2"/>
      <c r="V37" s="2"/>
      <c r="W37" s="2"/>
      <c r="X37" s="3"/>
      <c r="Y37" s="3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x14ac:dyDescent="0.2">
      <c r="A38" s="2"/>
      <c r="B38" s="2"/>
      <c r="C38" s="2"/>
      <c r="D38" s="2"/>
      <c r="E38" s="2"/>
      <c r="F38" s="113"/>
      <c r="G38" s="2"/>
      <c r="H38" s="2"/>
      <c r="I38" s="2"/>
      <c r="J38" s="3"/>
      <c r="K38" s="2"/>
      <c r="L38" s="2"/>
      <c r="M38" s="2"/>
      <c r="N38" s="2"/>
      <c r="O38" s="2"/>
      <c r="P38" s="2"/>
      <c r="Q38" s="3"/>
      <c r="R38" s="3"/>
      <c r="S38" s="2"/>
      <c r="T38" s="2"/>
      <c r="U38" s="2"/>
      <c r="V38" s="2"/>
      <c r="W38" s="2"/>
      <c r="X38" s="3"/>
      <c r="Y38" s="3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x14ac:dyDescent="0.2">
      <c r="A39" s="2"/>
      <c r="B39" s="2"/>
      <c r="C39" s="2"/>
      <c r="D39" s="2"/>
      <c r="E39" s="2"/>
      <c r="F39" s="113"/>
      <c r="G39" s="2"/>
      <c r="H39" s="2"/>
      <c r="I39" s="2"/>
      <c r="J39" s="3"/>
      <c r="K39" s="2"/>
      <c r="L39" s="2"/>
      <c r="M39" s="2"/>
      <c r="N39" s="2"/>
      <c r="O39" s="2"/>
      <c r="P39" s="2"/>
      <c r="Q39" s="3"/>
      <c r="R39" s="3"/>
      <c r="S39" s="2"/>
      <c r="T39" s="2"/>
      <c r="U39" s="2"/>
      <c r="V39" s="2"/>
      <c r="W39" s="2"/>
      <c r="X39" s="3"/>
      <c r="Y39" s="3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x14ac:dyDescent="0.2">
      <c r="A40" s="2"/>
      <c r="B40" s="2"/>
      <c r="C40" s="2"/>
      <c r="D40" s="2"/>
      <c r="E40" s="2"/>
      <c r="F40" s="113"/>
      <c r="G40" s="2"/>
      <c r="H40" s="2"/>
      <c r="I40" s="2"/>
      <c r="J40" s="3"/>
      <c r="K40" s="2"/>
      <c r="L40" s="2"/>
      <c r="M40" s="2"/>
      <c r="N40" s="2"/>
      <c r="O40" s="2"/>
      <c r="P40" s="2"/>
      <c r="Q40" s="3"/>
      <c r="R40" s="3"/>
      <c r="S40" s="2"/>
      <c r="T40" s="2"/>
      <c r="U40" s="2"/>
      <c r="V40" s="2"/>
      <c r="W40" s="2"/>
      <c r="X40" s="3"/>
      <c r="Y40" s="3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x14ac:dyDescent="0.2">
      <c r="A41" s="2"/>
      <c r="B41" s="2"/>
      <c r="C41" s="2"/>
      <c r="D41" s="2"/>
      <c r="E41" s="2"/>
      <c r="F41" s="113"/>
      <c r="G41" s="2"/>
      <c r="H41" s="2"/>
      <c r="I41" s="2"/>
      <c r="J41" s="3"/>
      <c r="K41" s="2"/>
      <c r="L41" s="2"/>
      <c r="M41" s="2"/>
      <c r="N41" s="2"/>
      <c r="O41" s="2"/>
      <c r="P41" s="2"/>
      <c r="Q41" s="3"/>
      <c r="R41" s="3"/>
      <c r="S41" s="2"/>
      <c r="T41" s="2"/>
      <c r="U41" s="2"/>
      <c r="V41" s="2"/>
      <c r="W41" s="2"/>
      <c r="X41" s="3"/>
      <c r="Y41" s="3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x14ac:dyDescent="0.2">
      <c r="A42" s="2"/>
      <c r="B42" s="2"/>
      <c r="C42" s="2"/>
      <c r="D42" s="2"/>
      <c r="E42" s="2"/>
      <c r="F42" s="113"/>
      <c r="G42" s="2"/>
      <c r="H42" s="2"/>
      <c r="I42" s="2"/>
      <c r="J42" s="3"/>
      <c r="K42" s="2"/>
      <c r="L42" s="2"/>
      <c r="M42" s="2"/>
      <c r="N42" s="2"/>
      <c r="O42" s="2"/>
      <c r="P42" s="2"/>
      <c r="Q42" s="3"/>
      <c r="R42" s="3"/>
      <c r="S42" s="2"/>
      <c r="T42" s="2"/>
      <c r="U42" s="2"/>
      <c r="V42" s="2"/>
      <c r="W42" s="2"/>
      <c r="X42" s="3"/>
      <c r="Y42" s="3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x14ac:dyDescent="0.2">
      <c r="A43" s="2"/>
      <c r="B43" s="2"/>
      <c r="C43" s="2"/>
      <c r="D43" s="2"/>
      <c r="E43" s="2"/>
      <c r="F43" s="113"/>
      <c r="G43" s="2"/>
      <c r="H43" s="2"/>
      <c r="I43" s="2"/>
      <c r="J43" s="3"/>
      <c r="K43" s="2"/>
      <c r="L43" s="2"/>
      <c r="M43" s="2"/>
      <c r="N43" s="2"/>
      <c r="O43" s="2"/>
      <c r="P43" s="2"/>
      <c r="Q43" s="3"/>
      <c r="R43" s="3"/>
      <c r="S43" s="2"/>
      <c r="T43" s="2"/>
      <c r="U43" s="2"/>
      <c r="V43" s="2"/>
      <c r="W43" s="2"/>
      <c r="X43" s="3"/>
      <c r="Y43" s="3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x14ac:dyDescent="0.2">
      <c r="A44" s="2"/>
      <c r="B44" s="2"/>
      <c r="C44" s="2"/>
      <c r="D44" s="2"/>
      <c r="E44" s="2"/>
      <c r="F44" s="113"/>
      <c r="G44" s="2"/>
      <c r="H44" s="2"/>
      <c r="I44" s="2"/>
      <c r="J44" s="3"/>
      <c r="K44" s="2"/>
      <c r="L44" s="2"/>
      <c r="M44" s="2"/>
      <c r="N44" s="2"/>
      <c r="O44" s="2"/>
      <c r="P44" s="2"/>
      <c r="Q44" s="3"/>
      <c r="R44" s="3"/>
      <c r="S44" s="2"/>
      <c r="T44" s="2"/>
      <c r="U44" s="2"/>
      <c r="V44" s="2"/>
      <c r="W44" s="2"/>
      <c r="X44" s="3"/>
      <c r="Y44" s="3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x14ac:dyDescent="0.2">
      <c r="A45" s="2"/>
      <c r="B45" s="2"/>
      <c r="C45" s="2"/>
      <c r="D45" s="2"/>
      <c r="E45" s="2"/>
      <c r="F45" s="113"/>
      <c r="G45" s="2"/>
      <c r="H45" s="2"/>
      <c r="I45" s="2"/>
      <c r="J45" s="3"/>
      <c r="K45" s="2"/>
      <c r="L45" s="2"/>
      <c r="M45" s="2"/>
      <c r="N45" s="2"/>
      <c r="O45" s="2"/>
      <c r="P45" s="2"/>
      <c r="Q45" s="3"/>
      <c r="R45" s="3"/>
      <c r="S45" s="2"/>
      <c r="T45" s="2"/>
      <c r="U45" s="2"/>
      <c r="V45" s="2"/>
      <c r="W45" s="2"/>
      <c r="X45" s="3"/>
      <c r="Y45" s="3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x14ac:dyDescent="0.2">
      <c r="A46" s="2"/>
      <c r="B46" s="2"/>
      <c r="C46" s="2"/>
      <c r="D46" s="2"/>
      <c r="E46" s="2"/>
      <c r="F46" s="113"/>
      <c r="G46" s="2"/>
      <c r="H46" s="2"/>
      <c r="I46" s="2"/>
      <c r="J46" s="3"/>
      <c r="K46" s="2"/>
      <c r="L46" s="2"/>
      <c r="M46" s="2"/>
      <c r="N46" s="2"/>
      <c r="O46" s="2"/>
      <c r="P46" s="2"/>
      <c r="Q46" s="3"/>
      <c r="R46" s="3"/>
      <c r="S46" s="2"/>
      <c r="T46" s="2"/>
      <c r="U46" s="2"/>
      <c r="V46" s="2"/>
      <c r="W46" s="2"/>
      <c r="X46" s="3"/>
      <c r="Y46" s="3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x14ac:dyDescent="0.2">
      <c r="A47" s="2"/>
      <c r="B47" s="2"/>
      <c r="C47" s="2"/>
      <c r="D47" s="2"/>
      <c r="E47" s="2"/>
      <c r="F47" s="113"/>
      <c r="G47" s="2"/>
      <c r="H47" s="2"/>
      <c r="I47" s="2"/>
      <c r="J47" s="3"/>
      <c r="K47" s="2"/>
      <c r="L47" s="2"/>
      <c r="M47" s="2"/>
      <c r="N47" s="2"/>
      <c r="O47" s="2"/>
      <c r="P47" s="2"/>
      <c r="Q47" s="3"/>
      <c r="R47" s="3"/>
      <c r="S47" s="2"/>
      <c r="T47" s="2"/>
      <c r="U47" s="2"/>
      <c r="V47" s="2"/>
      <c r="W47" s="2"/>
      <c r="X47" s="3"/>
      <c r="Y47" s="3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x14ac:dyDescent="0.2">
      <c r="A48" s="2"/>
      <c r="B48" s="2"/>
      <c r="C48" s="2"/>
      <c r="D48" s="2"/>
      <c r="E48" s="2"/>
      <c r="F48" s="113"/>
      <c r="G48" s="2"/>
      <c r="H48" s="2"/>
      <c r="I48" s="2"/>
      <c r="J48" s="3"/>
      <c r="K48" s="2"/>
      <c r="L48" s="2"/>
      <c r="M48" s="2"/>
      <c r="N48" s="2"/>
      <c r="O48" s="2"/>
      <c r="P48" s="2"/>
      <c r="Q48" s="3"/>
      <c r="R48" s="3"/>
      <c r="S48" s="2"/>
      <c r="T48" s="2"/>
      <c r="U48" s="2"/>
      <c r="V48" s="2"/>
      <c r="W48" s="2"/>
      <c r="X48" s="3"/>
      <c r="Y48" s="3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x14ac:dyDescent="0.2">
      <c r="A49" s="2"/>
      <c r="B49" s="2"/>
      <c r="C49" s="2"/>
      <c r="D49" s="2"/>
      <c r="E49" s="2"/>
      <c r="F49" s="113"/>
      <c r="G49" s="2"/>
      <c r="H49" s="2"/>
      <c r="I49" s="2"/>
      <c r="J49" s="3"/>
      <c r="K49" s="2"/>
      <c r="L49" s="2"/>
      <c r="M49" s="2"/>
      <c r="N49" s="2"/>
      <c r="O49" s="2"/>
      <c r="P49" s="2"/>
      <c r="Q49" s="3"/>
      <c r="R49" s="3"/>
      <c r="S49" s="2"/>
      <c r="T49" s="2"/>
      <c r="U49" s="2"/>
      <c r="V49" s="2"/>
      <c r="W49" s="2"/>
      <c r="X49" s="3"/>
      <c r="Y49" s="3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x14ac:dyDescent="0.2">
      <c r="A50" s="2"/>
      <c r="B50" s="2"/>
      <c r="C50" s="2"/>
      <c r="D50" s="2"/>
      <c r="E50" s="2"/>
      <c r="F50" s="113"/>
      <c r="G50" s="2"/>
      <c r="H50" s="2"/>
      <c r="I50" s="2"/>
      <c r="J50" s="3"/>
      <c r="K50" s="2"/>
      <c r="L50" s="2"/>
      <c r="M50" s="2"/>
      <c r="N50" s="2"/>
      <c r="O50" s="2"/>
      <c r="P50" s="2"/>
      <c r="Q50" s="3"/>
      <c r="R50" s="3"/>
      <c r="S50" s="2"/>
      <c r="T50" s="2"/>
      <c r="U50" s="2"/>
      <c r="V50" s="2"/>
      <c r="W50" s="2"/>
      <c r="X50" s="3"/>
      <c r="Y50" s="3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x14ac:dyDescent="0.2">
      <c r="A51" s="2"/>
      <c r="B51" s="2"/>
      <c r="C51" s="2"/>
      <c r="D51" s="2"/>
      <c r="E51" s="2"/>
      <c r="F51" s="113"/>
      <c r="G51" s="2"/>
      <c r="H51" s="2"/>
      <c r="I51" s="2"/>
      <c r="J51" s="3"/>
      <c r="K51" s="2"/>
      <c r="L51" s="2"/>
      <c r="M51" s="2"/>
      <c r="N51" s="2"/>
      <c r="O51" s="2"/>
      <c r="P51" s="2"/>
      <c r="Q51" s="3"/>
      <c r="R51" s="3"/>
      <c r="S51" s="2"/>
      <c r="T51" s="2"/>
      <c r="U51" s="2"/>
      <c r="V51" s="2"/>
      <c r="W51" s="2"/>
      <c r="X51" s="3"/>
      <c r="Y51" s="3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x14ac:dyDescent="0.2">
      <c r="A52" s="2"/>
      <c r="B52" s="2"/>
      <c r="C52" s="2"/>
      <c r="D52" s="2"/>
      <c r="E52" s="2"/>
      <c r="F52" s="2"/>
      <c r="G52" s="2"/>
      <c r="H52" s="2"/>
      <c r="I52" s="2"/>
      <c r="J52" s="3"/>
      <c r="K52" s="2"/>
      <c r="L52" s="2"/>
      <c r="M52" s="2"/>
      <c r="N52" s="2"/>
      <c r="O52" s="2"/>
      <c r="P52" s="2"/>
      <c r="Q52" s="3"/>
      <c r="R52" s="3"/>
      <c r="S52" s="2"/>
      <c r="T52" s="2"/>
      <c r="U52" s="2"/>
      <c r="V52" s="2"/>
      <c r="W52" s="2"/>
      <c r="X52" s="3"/>
      <c r="Y52" s="3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x14ac:dyDescent="0.2">
      <c r="A53" s="2"/>
      <c r="B53" s="2"/>
      <c r="C53" s="2"/>
      <c r="D53" s="2"/>
      <c r="E53" s="2"/>
      <c r="F53" s="2"/>
      <c r="G53" s="2"/>
      <c r="H53" s="2"/>
      <c r="I53" s="2"/>
      <c r="J53" s="3"/>
      <c r="K53" s="2"/>
      <c r="L53" s="2"/>
      <c r="M53" s="2"/>
      <c r="N53" s="2"/>
      <c r="O53" s="2"/>
      <c r="P53" s="2"/>
      <c r="Q53" s="3"/>
      <c r="R53" s="3"/>
      <c r="S53" s="2"/>
      <c r="T53" s="2"/>
      <c r="U53" s="2"/>
      <c r="V53" s="2"/>
      <c r="W53" s="2"/>
      <c r="X53" s="3"/>
      <c r="Y53" s="3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x14ac:dyDescent="0.2">
      <c r="A54" s="2"/>
      <c r="B54" s="2"/>
      <c r="C54" s="2"/>
      <c r="D54" s="2"/>
      <c r="E54" s="2"/>
      <c r="F54" s="2"/>
      <c r="G54" s="2"/>
      <c r="H54" s="2"/>
      <c r="I54" s="2"/>
      <c r="J54" s="3"/>
      <c r="K54" s="2"/>
      <c r="L54" s="2"/>
      <c r="M54" s="2"/>
      <c r="N54" s="2"/>
      <c r="O54" s="2"/>
      <c r="P54" s="2"/>
      <c r="Q54" s="3"/>
      <c r="R54" s="3"/>
      <c r="S54" s="2"/>
      <c r="T54" s="2"/>
      <c r="U54" s="2"/>
      <c r="V54" s="2"/>
      <c r="W54" s="2"/>
      <c r="X54" s="3"/>
      <c r="Y54" s="3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x14ac:dyDescent="0.2">
      <c r="A55" s="2"/>
      <c r="B55" s="2"/>
      <c r="C55" s="2"/>
      <c r="D55" s="2"/>
      <c r="E55" s="2"/>
      <c r="F55" s="2"/>
      <c r="G55" s="2"/>
      <c r="H55" s="2"/>
      <c r="I55" s="2"/>
      <c r="J55" s="3"/>
      <c r="K55" s="2"/>
      <c r="L55" s="2"/>
      <c r="M55" s="2"/>
      <c r="N55" s="2"/>
      <c r="O55" s="2"/>
      <c r="P55" s="2"/>
      <c r="Q55" s="3"/>
      <c r="R55" s="3"/>
      <c r="S55" s="2"/>
      <c r="T55" s="2"/>
      <c r="U55" s="2"/>
      <c r="V55" s="2"/>
      <c r="W55" s="2"/>
      <c r="X55" s="3"/>
      <c r="Y55" s="3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x14ac:dyDescent="0.2">
      <c r="A56" s="2"/>
      <c r="B56" s="2"/>
      <c r="C56" s="2"/>
      <c r="D56" s="2"/>
      <c r="E56" s="2"/>
      <c r="F56" s="2"/>
      <c r="G56" s="2"/>
      <c r="H56" s="2"/>
      <c r="I56" s="2"/>
      <c r="J56" s="3"/>
      <c r="K56" s="2"/>
      <c r="L56" s="2"/>
      <c r="M56" s="2"/>
      <c r="N56" s="2"/>
      <c r="O56" s="2"/>
      <c r="P56" s="2"/>
      <c r="Q56" s="3"/>
      <c r="R56" s="3"/>
      <c r="S56" s="2"/>
      <c r="T56" s="2"/>
      <c r="U56" s="2"/>
      <c r="V56" s="2"/>
      <c r="W56" s="2"/>
      <c r="X56" s="3"/>
      <c r="Y56" s="3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x14ac:dyDescent="0.2">
      <c r="A57" s="2"/>
      <c r="B57" s="2"/>
      <c r="C57" s="2"/>
      <c r="D57" s="2"/>
      <c r="E57" s="2"/>
      <c r="F57" s="2"/>
      <c r="G57" s="2"/>
      <c r="H57" s="2"/>
      <c r="I57" s="2"/>
      <c r="J57" s="3"/>
      <c r="K57" s="2"/>
      <c r="L57" s="2"/>
      <c r="M57" s="2"/>
      <c r="N57" s="2"/>
      <c r="O57" s="2"/>
      <c r="P57" s="2"/>
      <c r="Q57" s="3"/>
      <c r="R57" s="3"/>
      <c r="S57" s="2"/>
      <c r="T57" s="2"/>
      <c r="U57" s="2"/>
      <c r="V57" s="2"/>
      <c r="W57" s="2"/>
      <c r="X57" s="3"/>
      <c r="Y57" s="3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x14ac:dyDescent="0.2">
      <c r="A58" s="2"/>
      <c r="B58" s="2"/>
      <c r="C58" s="2"/>
      <c r="D58" s="2"/>
      <c r="E58" s="2"/>
      <c r="F58" s="2"/>
      <c r="G58" s="2"/>
      <c r="H58" s="2"/>
      <c r="I58" s="2"/>
      <c r="J58" s="3"/>
      <c r="K58" s="2"/>
      <c r="L58" s="2"/>
      <c r="M58" s="2"/>
      <c r="N58" s="2"/>
      <c r="O58" s="2"/>
      <c r="P58" s="2"/>
      <c r="Q58" s="3"/>
      <c r="R58" s="3"/>
      <c r="S58" s="2"/>
      <c r="T58" s="2"/>
      <c r="U58" s="2"/>
      <c r="V58" s="2"/>
      <c r="W58" s="2"/>
      <c r="X58" s="3"/>
      <c r="Y58" s="3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x14ac:dyDescent="0.2">
      <c r="A59" s="2"/>
      <c r="B59" s="2"/>
      <c r="C59" s="2"/>
      <c r="D59" s="2"/>
      <c r="E59" s="2"/>
      <c r="F59" s="2"/>
      <c r="G59" s="2"/>
      <c r="H59" s="2"/>
      <c r="I59" s="2"/>
      <c r="J59" s="3"/>
      <c r="K59" s="2"/>
      <c r="L59" s="2"/>
      <c r="M59" s="2"/>
      <c r="N59" s="2"/>
      <c r="O59" s="2"/>
      <c r="P59" s="2"/>
      <c r="Q59" s="3"/>
      <c r="R59" s="3"/>
      <c r="S59" s="2"/>
      <c r="T59" s="2"/>
      <c r="U59" s="2"/>
      <c r="V59" s="2"/>
      <c r="W59" s="2"/>
      <c r="X59" s="3"/>
      <c r="Y59" s="3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x14ac:dyDescent="0.2">
      <c r="A60" s="2"/>
      <c r="B60" s="2"/>
      <c r="C60" s="2"/>
      <c r="D60" s="2"/>
      <c r="E60" s="2"/>
      <c r="F60" s="2"/>
      <c r="G60" s="2"/>
      <c r="H60" s="2"/>
      <c r="I60" s="2"/>
      <c r="J60" s="3"/>
      <c r="K60" s="2"/>
      <c r="L60" s="2"/>
      <c r="M60" s="2"/>
      <c r="N60" s="2"/>
      <c r="O60" s="2"/>
      <c r="P60" s="2"/>
      <c r="Q60" s="3"/>
      <c r="R60" s="3"/>
      <c r="S60" s="2"/>
      <c r="T60" s="2"/>
      <c r="U60" s="2"/>
      <c r="V60" s="2"/>
      <c r="W60" s="2"/>
      <c r="X60" s="3"/>
      <c r="Y60" s="3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x14ac:dyDescent="0.2">
      <c r="A61" s="2"/>
      <c r="B61" s="2"/>
      <c r="C61" s="2"/>
      <c r="D61" s="2"/>
      <c r="E61" s="2"/>
      <c r="F61" s="2"/>
      <c r="G61" s="2"/>
      <c r="H61" s="2"/>
      <c r="I61" s="2"/>
      <c r="J61" s="3"/>
      <c r="K61" s="2"/>
      <c r="L61" s="2"/>
      <c r="M61" s="2"/>
      <c r="N61" s="2"/>
      <c r="O61" s="2"/>
      <c r="P61" s="2"/>
      <c r="Q61" s="3"/>
      <c r="R61" s="3"/>
      <c r="S61" s="2"/>
      <c r="T61" s="2"/>
      <c r="U61" s="2"/>
      <c r="V61" s="2"/>
      <c r="W61" s="2"/>
      <c r="X61" s="3"/>
      <c r="Y61" s="3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x14ac:dyDescent="0.2">
      <c r="A62" s="2"/>
      <c r="B62" s="2"/>
      <c r="C62" s="2"/>
      <c r="D62" s="2"/>
      <c r="E62" s="2"/>
      <c r="F62" s="2"/>
      <c r="G62" s="2"/>
      <c r="H62" s="2"/>
      <c r="I62" s="2"/>
      <c r="J62" s="3"/>
      <c r="K62" s="2"/>
      <c r="L62" s="2"/>
      <c r="M62" s="2"/>
      <c r="N62" s="2"/>
      <c r="O62" s="2"/>
      <c r="P62" s="2"/>
      <c r="Q62" s="3"/>
      <c r="R62" s="3"/>
      <c r="S62" s="2"/>
      <c r="T62" s="2"/>
      <c r="U62" s="2"/>
      <c r="V62" s="2"/>
      <c r="W62" s="2"/>
      <c r="X62" s="3"/>
      <c r="Y62" s="3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x14ac:dyDescent="0.2">
      <c r="A63" s="2"/>
      <c r="B63" s="2"/>
      <c r="C63" s="2"/>
      <c r="D63" s="2"/>
      <c r="E63" s="2"/>
      <c r="F63" s="2"/>
      <c r="G63" s="2"/>
      <c r="H63" s="2"/>
      <c r="I63" s="2"/>
      <c r="J63" s="3"/>
      <c r="K63" s="2"/>
      <c r="L63" s="2"/>
      <c r="M63" s="2"/>
      <c r="N63" s="2"/>
      <c r="O63" s="2"/>
      <c r="P63" s="2"/>
      <c r="Q63" s="3"/>
      <c r="R63" s="3"/>
      <c r="S63" s="2"/>
      <c r="T63" s="2"/>
      <c r="U63" s="2"/>
      <c r="V63" s="2"/>
      <c r="W63" s="2"/>
      <c r="X63" s="3"/>
      <c r="Y63" s="3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x14ac:dyDescent="0.2">
      <c r="A64" s="2"/>
      <c r="B64" s="2"/>
      <c r="C64" s="2"/>
      <c r="D64" s="2"/>
      <c r="E64" s="2"/>
      <c r="F64" s="2"/>
      <c r="G64" s="2"/>
      <c r="H64" s="2"/>
      <c r="I64" s="2"/>
      <c r="J64" s="3"/>
      <c r="K64" s="2"/>
      <c r="L64" s="2"/>
      <c r="M64" s="2"/>
      <c r="N64" s="2"/>
      <c r="O64" s="2"/>
      <c r="P64" s="2"/>
      <c r="Q64" s="3"/>
      <c r="R64" s="3"/>
      <c r="S64" s="2"/>
      <c r="T64" s="2"/>
      <c r="U64" s="2"/>
      <c r="V64" s="2"/>
      <c r="W64" s="2"/>
      <c r="X64" s="3"/>
      <c r="Y64" s="3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x14ac:dyDescent="0.2">
      <c r="A65" s="2"/>
      <c r="B65" s="2"/>
      <c r="C65" s="2"/>
      <c r="D65" s="2"/>
      <c r="E65" s="2"/>
      <c r="F65" s="2"/>
      <c r="G65" s="2"/>
      <c r="H65" s="2"/>
      <c r="I65" s="2"/>
      <c r="J65" s="3"/>
      <c r="K65" s="2"/>
      <c r="L65" s="2"/>
      <c r="M65" s="2"/>
      <c r="N65" s="2"/>
      <c r="O65" s="2"/>
      <c r="P65" s="2"/>
      <c r="Q65" s="3"/>
      <c r="R65" s="3"/>
      <c r="S65" s="2"/>
      <c r="T65" s="2"/>
      <c r="U65" s="2"/>
      <c r="V65" s="2"/>
      <c r="W65" s="2"/>
      <c r="X65" s="3"/>
      <c r="Y65" s="3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x14ac:dyDescent="0.2">
      <c r="A66" s="2"/>
      <c r="B66" s="2"/>
      <c r="C66" s="2"/>
      <c r="D66" s="2"/>
      <c r="E66" s="2"/>
      <c r="F66" s="2"/>
      <c r="G66" s="2"/>
      <c r="H66" s="2"/>
      <c r="I66" s="2"/>
      <c r="J66" s="3"/>
      <c r="K66" s="2"/>
      <c r="L66" s="2"/>
      <c r="M66" s="2"/>
      <c r="N66" s="2"/>
      <c r="O66" s="2"/>
      <c r="P66" s="2"/>
      <c r="Q66" s="3"/>
      <c r="R66" s="3"/>
      <c r="S66" s="2"/>
      <c r="T66" s="2"/>
      <c r="U66" s="2"/>
      <c r="V66" s="2"/>
      <c r="W66" s="2"/>
      <c r="X66" s="3"/>
      <c r="Y66" s="3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x14ac:dyDescent="0.2">
      <c r="A67" s="2"/>
      <c r="B67" s="2"/>
      <c r="C67" s="2"/>
      <c r="D67" s="2"/>
      <c r="E67" s="2"/>
      <c r="F67" s="2"/>
      <c r="G67" s="2"/>
      <c r="H67" s="2"/>
      <c r="I67" s="2"/>
      <c r="J67" s="3"/>
      <c r="K67" s="2"/>
      <c r="L67" s="2"/>
      <c r="M67" s="2"/>
      <c r="N67" s="2"/>
      <c r="O67" s="2"/>
      <c r="P67" s="2"/>
      <c r="Q67" s="3"/>
      <c r="R67" s="3"/>
      <c r="S67" s="2"/>
      <c r="T67" s="2"/>
      <c r="U67" s="2"/>
      <c r="V67" s="2"/>
      <c r="W67" s="2"/>
      <c r="X67" s="3"/>
      <c r="Y67" s="3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x14ac:dyDescent="0.2">
      <c r="A68" s="2"/>
      <c r="B68" s="2"/>
      <c r="C68" s="2"/>
      <c r="D68" s="2"/>
      <c r="E68" s="2"/>
      <c r="F68" s="2"/>
      <c r="G68" s="2"/>
      <c r="H68" s="2"/>
      <c r="I68" s="2"/>
      <c r="J68" s="3"/>
      <c r="K68" s="2"/>
      <c r="L68" s="2"/>
      <c r="M68" s="2"/>
      <c r="N68" s="2"/>
      <c r="O68" s="2"/>
      <c r="P68" s="2"/>
      <c r="Q68" s="3"/>
      <c r="R68" s="3"/>
      <c r="S68" s="2"/>
      <c r="T68" s="2"/>
      <c r="U68" s="2"/>
      <c r="V68" s="2"/>
      <c r="W68" s="2"/>
      <c r="X68" s="3"/>
      <c r="Y68" s="3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x14ac:dyDescent="0.2">
      <c r="A69" s="2"/>
      <c r="B69" s="2"/>
      <c r="C69" s="2"/>
      <c r="D69" s="2"/>
      <c r="E69" s="2"/>
      <c r="F69" s="2"/>
      <c r="G69" s="2"/>
      <c r="H69" s="2"/>
      <c r="I69" s="2"/>
      <c r="J69" s="3"/>
      <c r="K69" s="2"/>
      <c r="L69" s="2"/>
      <c r="M69" s="2"/>
      <c r="N69" s="2"/>
      <c r="O69" s="2"/>
      <c r="P69" s="2"/>
      <c r="Q69" s="3"/>
      <c r="R69" s="3"/>
      <c r="S69" s="2"/>
      <c r="T69" s="2"/>
      <c r="U69" s="2"/>
      <c r="V69" s="2"/>
      <c r="W69" s="2"/>
      <c r="X69" s="3"/>
      <c r="Y69" s="3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x14ac:dyDescent="0.2">
      <c r="A70" s="2"/>
      <c r="B70" s="2"/>
      <c r="C70" s="2"/>
      <c r="D70" s="2"/>
      <c r="E70" s="2"/>
      <c r="F70" s="2"/>
      <c r="G70" s="2"/>
      <c r="H70" s="2"/>
      <c r="I70" s="2"/>
      <c r="J70" s="3"/>
      <c r="K70" s="2"/>
      <c r="L70" s="2"/>
      <c r="M70" s="2"/>
      <c r="N70" s="2"/>
      <c r="O70" s="2"/>
      <c r="P70" s="2"/>
      <c r="Q70" s="3"/>
      <c r="R70" s="3"/>
      <c r="S70" s="2"/>
      <c r="T70" s="2"/>
      <c r="U70" s="2"/>
      <c r="V70" s="2"/>
      <c r="W70" s="2"/>
      <c r="X70" s="3"/>
      <c r="Y70" s="3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x14ac:dyDescent="0.2">
      <c r="A71" s="2"/>
      <c r="B71" s="2"/>
      <c r="C71" s="2"/>
      <c r="D71" s="2"/>
      <c r="E71" s="2"/>
      <c r="F71" s="2"/>
      <c r="G71" s="2"/>
      <c r="H71" s="2"/>
      <c r="I71" s="2"/>
      <c r="J71" s="3"/>
      <c r="K71" s="2"/>
      <c r="L71" s="2"/>
      <c r="M71" s="2"/>
      <c r="N71" s="2"/>
      <c r="O71" s="2"/>
      <c r="P71" s="2"/>
      <c r="Q71" s="3"/>
      <c r="R71" s="3"/>
      <c r="S71" s="2"/>
      <c r="T71" s="2"/>
      <c r="U71" s="2"/>
      <c r="V71" s="2"/>
      <c r="W71" s="2"/>
      <c r="X71" s="3"/>
      <c r="Y71" s="3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x14ac:dyDescent="0.2">
      <c r="A72" s="2"/>
      <c r="B72" s="2"/>
      <c r="C72" s="2"/>
      <c r="D72" s="2"/>
      <c r="E72" s="2"/>
      <c r="F72" s="2"/>
      <c r="G72" s="2"/>
      <c r="H72" s="2"/>
      <c r="I72" s="2"/>
      <c r="J72" s="3"/>
      <c r="K72" s="2"/>
      <c r="L72" s="2"/>
      <c r="M72" s="2"/>
      <c r="N72" s="2"/>
      <c r="O72" s="2"/>
      <c r="P72" s="2"/>
      <c r="Q72" s="3"/>
      <c r="R72" s="3"/>
      <c r="S72" s="2"/>
      <c r="T72" s="2"/>
      <c r="U72" s="2"/>
      <c r="V72" s="2"/>
      <c r="W72" s="2"/>
      <c r="X72" s="3"/>
      <c r="Y72" s="3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x14ac:dyDescent="0.2">
      <c r="A73" s="2"/>
      <c r="B73" s="2"/>
      <c r="C73" s="2"/>
      <c r="D73" s="2"/>
      <c r="E73" s="2"/>
      <c r="F73" s="2"/>
      <c r="G73" s="2"/>
      <c r="H73" s="2"/>
      <c r="I73" s="2"/>
      <c r="J73" s="3"/>
      <c r="K73" s="2"/>
      <c r="L73" s="2"/>
      <c r="M73" s="2"/>
      <c r="N73" s="2"/>
      <c r="O73" s="2"/>
      <c r="P73" s="2"/>
      <c r="Q73" s="3"/>
      <c r="R73" s="3"/>
      <c r="S73" s="2"/>
      <c r="T73" s="2"/>
      <c r="U73" s="2"/>
      <c r="V73" s="2"/>
      <c r="W73" s="2"/>
      <c r="X73" s="3"/>
      <c r="Y73" s="3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x14ac:dyDescent="0.2">
      <c r="A74" s="2"/>
      <c r="B74" s="2"/>
      <c r="C74" s="2"/>
      <c r="D74" s="2"/>
      <c r="E74" s="2"/>
      <c r="F74" s="2"/>
      <c r="G74" s="2"/>
      <c r="H74" s="2"/>
      <c r="I74" s="2"/>
      <c r="J74" s="3"/>
      <c r="K74" s="2"/>
      <c r="L74" s="2"/>
      <c r="M74" s="2"/>
      <c r="N74" s="2"/>
      <c r="O74" s="2"/>
      <c r="P74" s="2"/>
      <c r="Q74" s="3"/>
      <c r="R74" s="3"/>
      <c r="S74" s="2"/>
      <c r="T74" s="2"/>
      <c r="U74" s="2"/>
      <c r="V74" s="2"/>
      <c r="W74" s="2"/>
      <c r="X74" s="3"/>
      <c r="Y74" s="3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x14ac:dyDescent="0.2">
      <c r="A75" s="2"/>
      <c r="B75" s="2"/>
      <c r="C75" s="2"/>
      <c r="D75" s="2"/>
      <c r="E75" s="2"/>
      <c r="F75" s="2"/>
      <c r="G75" s="2"/>
      <c r="H75" s="2"/>
      <c r="I75" s="2"/>
      <c r="J75" s="3"/>
      <c r="K75" s="2"/>
      <c r="L75" s="2"/>
      <c r="M75" s="2"/>
      <c r="N75" s="2"/>
      <c r="O75" s="2"/>
      <c r="P75" s="2"/>
      <c r="Q75" s="3"/>
      <c r="R75" s="3"/>
      <c r="S75" s="2"/>
      <c r="T75" s="2"/>
      <c r="U75" s="2"/>
      <c r="V75" s="2"/>
      <c r="W75" s="2"/>
      <c r="X75" s="3"/>
      <c r="Y75" s="3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x14ac:dyDescent="0.2">
      <c r="A76" s="2"/>
      <c r="B76" s="2"/>
      <c r="C76" s="2"/>
      <c r="D76" s="2"/>
      <c r="E76" s="2"/>
      <c r="F76" s="2"/>
      <c r="G76" s="2"/>
      <c r="H76" s="2"/>
      <c r="I76" s="2"/>
      <c r="J76" s="3"/>
      <c r="K76" s="2"/>
      <c r="L76" s="2"/>
      <c r="M76" s="2"/>
      <c r="N76" s="2"/>
      <c r="O76" s="2"/>
      <c r="P76" s="2"/>
      <c r="Q76" s="3"/>
      <c r="R76" s="3"/>
      <c r="S76" s="2"/>
      <c r="T76" s="2"/>
      <c r="U76" s="2"/>
      <c r="V76" s="2"/>
      <c r="W76" s="2"/>
      <c r="X76" s="3"/>
      <c r="Y76" s="3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x14ac:dyDescent="0.2">
      <c r="A77" s="2"/>
      <c r="B77" s="2"/>
      <c r="C77" s="2"/>
      <c r="D77" s="2"/>
      <c r="E77" s="2"/>
      <c r="F77" s="2"/>
      <c r="G77" s="2"/>
      <c r="H77" s="2"/>
      <c r="I77" s="2"/>
      <c r="J77" s="3"/>
      <c r="K77" s="2"/>
      <c r="L77" s="2"/>
      <c r="M77" s="2"/>
      <c r="N77" s="2"/>
      <c r="O77" s="2"/>
      <c r="P77" s="2"/>
      <c r="Q77" s="3"/>
      <c r="R77" s="3"/>
      <c r="S77" s="2"/>
      <c r="T77" s="2"/>
      <c r="U77" s="2"/>
      <c r="V77" s="2"/>
      <c r="W77" s="2"/>
      <c r="X77" s="3"/>
      <c r="Y77" s="3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x14ac:dyDescent="0.2">
      <c r="A78" s="2"/>
      <c r="B78" s="2"/>
      <c r="C78" s="2"/>
      <c r="D78" s="2"/>
      <c r="E78" s="2"/>
      <c r="F78" s="2"/>
      <c r="G78" s="2"/>
      <c r="H78" s="2"/>
      <c r="I78" s="2"/>
      <c r="J78" s="3"/>
      <c r="K78" s="2"/>
      <c r="L78" s="2"/>
      <c r="M78" s="2"/>
      <c r="N78" s="2"/>
      <c r="O78" s="2"/>
      <c r="P78" s="2"/>
      <c r="Q78" s="3"/>
      <c r="R78" s="3"/>
      <c r="S78" s="2"/>
      <c r="T78" s="2"/>
      <c r="U78" s="2"/>
      <c r="V78" s="2"/>
      <c r="W78" s="2"/>
      <c r="X78" s="3"/>
      <c r="Y78" s="3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x14ac:dyDescent="0.2">
      <c r="A79" s="2"/>
      <c r="B79" s="2"/>
      <c r="C79" s="2"/>
      <c r="D79" s="2"/>
      <c r="E79" s="2"/>
      <c r="F79" s="2"/>
      <c r="G79" s="2"/>
      <c r="H79" s="2"/>
      <c r="I79" s="2"/>
      <c r="J79" s="3"/>
      <c r="K79" s="2"/>
      <c r="L79" s="2"/>
      <c r="M79" s="2"/>
      <c r="N79" s="2"/>
      <c r="O79" s="2"/>
      <c r="P79" s="2"/>
      <c r="Q79" s="3"/>
      <c r="R79" s="3"/>
      <c r="S79" s="2"/>
      <c r="T79" s="2"/>
      <c r="U79" s="2"/>
      <c r="V79" s="2"/>
      <c r="W79" s="2"/>
      <c r="X79" s="3"/>
      <c r="Y79" s="3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x14ac:dyDescent="0.2">
      <c r="A80" s="2"/>
      <c r="B80" s="2"/>
      <c r="C80" s="2"/>
      <c r="D80" s="2"/>
      <c r="E80" s="2"/>
      <c r="F80" s="2"/>
      <c r="G80" s="2"/>
      <c r="H80" s="2"/>
      <c r="I80" s="2"/>
      <c r="J80" s="3"/>
      <c r="K80" s="2"/>
      <c r="L80" s="2"/>
      <c r="M80" s="2"/>
      <c r="N80" s="2"/>
      <c r="O80" s="2"/>
      <c r="P80" s="2"/>
      <c r="Q80" s="3"/>
      <c r="R80" s="3"/>
      <c r="S80" s="2"/>
      <c r="T80" s="2"/>
      <c r="U80" s="2"/>
      <c r="V80" s="2"/>
      <c r="W80" s="2"/>
      <c r="X80" s="3"/>
      <c r="Y80" s="3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x14ac:dyDescent="0.2">
      <c r="A81" s="2"/>
      <c r="B81" s="2"/>
      <c r="C81" s="2"/>
      <c r="D81" s="2"/>
      <c r="E81" s="2"/>
      <c r="F81" s="2"/>
      <c r="G81" s="2"/>
      <c r="H81" s="2"/>
      <c r="I81" s="2"/>
      <c r="J81" s="3"/>
      <c r="K81" s="2"/>
      <c r="L81" s="2"/>
      <c r="M81" s="2"/>
      <c r="N81" s="2"/>
      <c r="O81" s="2"/>
      <c r="P81" s="2"/>
      <c r="Q81" s="3"/>
      <c r="R81" s="3"/>
      <c r="S81" s="2"/>
      <c r="T81" s="2"/>
      <c r="U81" s="2"/>
      <c r="V81" s="2"/>
      <c r="W81" s="2"/>
      <c r="X81" s="3"/>
      <c r="Y81" s="3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x14ac:dyDescent="0.2">
      <c r="A82" s="2"/>
      <c r="B82" s="2"/>
      <c r="C82" s="2"/>
      <c r="D82" s="2"/>
      <c r="E82" s="2"/>
      <c r="F82" s="2"/>
      <c r="G82" s="2"/>
      <c r="H82" s="2"/>
      <c r="I82" s="2"/>
      <c r="J82" s="3"/>
      <c r="K82" s="2"/>
      <c r="L82" s="2"/>
      <c r="M82" s="2"/>
      <c r="N82" s="2"/>
      <c r="O82" s="2"/>
      <c r="P82" s="2"/>
      <c r="Q82" s="3"/>
      <c r="R82" s="3"/>
      <c r="S82" s="2"/>
      <c r="T82" s="2"/>
      <c r="U82" s="2"/>
      <c r="V82" s="2"/>
      <c r="W82" s="2"/>
      <c r="X82" s="3"/>
      <c r="Y82" s="3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x14ac:dyDescent="0.2">
      <c r="A83" s="2"/>
      <c r="B83" s="2"/>
      <c r="C83" s="2"/>
      <c r="D83" s="2"/>
      <c r="E83" s="2"/>
      <c r="F83" s="2"/>
      <c r="G83" s="2"/>
      <c r="H83" s="2"/>
      <c r="I83" s="2"/>
      <c r="J83" s="3"/>
      <c r="K83" s="2"/>
      <c r="L83" s="2"/>
      <c r="M83" s="2"/>
      <c r="N83" s="2"/>
      <c r="O83" s="2"/>
      <c r="P83" s="2"/>
      <c r="Q83" s="3"/>
      <c r="R83" s="3"/>
      <c r="S83" s="2"/>
      <c r="T83" s="2"/>
      <c r="U83" s="2"/>
      <c r="V83" s="2"/>
      <c r="W83" s="2"/>
      <c r="X83" s="3"/>
      <c r="Y83" s="3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x14ac:dyDescent="0.2">
      <c r="A84" s="2"/>
      <c r="B84" s="2"/>
      <c r="C84" s="2"/>
      <c r="D84" s="2"/>
      <c r="E84" s="2"/>
      <c r="F84" s="2"/>
      <c r="G84" s="2"/>
      <c r="H84" s="2"/>
      <c r="I84" s="2"/>
      <c r="J84" s="3"/>
      <c r="K84" s="2"/>
      <c r="L84" s="2"/>
      <c r="M84" s="2"/>
      <c r="N84" s="2"/>
      <c r="O84" s="2"/>
      <c r="P84" s="2"/>
      <c r="Q84" s="3"/>
      <c r="R84" s="3"/>
      <c r="S84" s="2"/>
      <c r="T84" s="2"/>
      <c r="U84" s="2"/>
      <c r="V84" s="2"/>
      <c r="W84" s="2"/>
      <c r="X84" s="3"/>
      <c r="Y84" s="3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x14ac:dyDescent="0.2">
      <c r="A85" s="2"/>
      <c r="B85" s="2"/>
      <c r="C85" s="2"/>
      <c r="D85" s="2"/>
      <c r="E85" s="2"/>
      <c r="F85" s="2"/>
      <c r="G85" s="2"/>
      <c r="H85" s="2"/>
      <c r="I85" s="2"/>
      <c r="J85" s="3"/>
      <c r="K85" s="2"/>
      <c r="L85" s="2"/>
      <c r="M85" s="2"/>
      <c r="N85" s="2"/>
      <c r="O85" s="2"/>
      <c r="P85" s="2"/>
      <c r="Q85" s="3"/>
      <c r="R85" s="3"/>
      <c r="S85" s="2"/>
      <c r="T85" s="2"/>
      <c r="U85" s="2"/>
      <c r="V85" s="2"/>
      <c r="W85" s="2"/>
      <c r="X85" s="3"/>
      <c r="Y85" s="3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x14ac:dyDescent="0.2">
      <c r="A86" s="2"/>
      <c r="B86" s="2"/>
      <c r="C86" s="2"/>
      <c r="D86" s="2"/>
      <c r="E86" s="2"/>
      <c r="F86" s="2"/>
      <c r="G86" s="2"/>
      <c r="H86" s="2"/>
      <c r="I86" s="2"/>
      <c r="J86" s="3"/>
      <c r="K86" s="2"/>
      <c r="L86" s="2"/>
      <c r="M86" s="2"/>
      <c r="N86" s="2"/>
      <c r="O86" s="2"/>
      <c r="P86" s="2"/>
      <c r="Q86" s="3"/>
      <c r="R86" s="3"/>
      <c r="S86" s="2"/>
      <c r="T86" s="2"/>
      <c r="U86" s="2"/>
      <c r="V86" s="2"/>
      <c r="W86" s="2"/>
      <c r="X86" s="3"/>
      <c r="Y86" s="3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x14ac:dyDescent="0.2">
      <c r="A87" s="2"/>
      <c r="B87" s="2"/>
      <c r="C87" s="2"/>
      <c r="D87" s="2"/>
      <c r="E87" s="2"/>
      <c r="F87" s="2"/>
      <c r="G87" s="2"/>
      <c r="H87" s="2"/>
      <c r="I87" s="2"/>
      <c r="J87" s="3"/>
      <c r="K87" s="2"/>
      <c r="L87" s="2"/>
      <c r="M87" s="2"/>
      <c r="N87" s="2"/>
      <c r="O87" s="2"/>
      <c r="P87" s="2"/>
      <c r="Q87" s="3"/>
      <c r="R87" s="3"/>
      <c r="S87" s="2"/>
      <c r="T87" s="2"/>
      <c r="U87" s="2"/>
      <c r="V87" s="2"/>
      <c r="W87" s="2"/>
      <c r="X87" s="3"/>
      <c r="Y87" s="3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x14ac:dyDescent="0.2">
      <c r="A88" s="2"/>
      <c r="B88" s="2"/>
      <c r="C88" s="2"/>
      <c r="D88" s="2"/>
      <c r="E88" s="2"/>
      <c r="F88" s="2"/>
      <c r="G88" s="2"/>
      <c r="H88" s="2"/>
      <c r="I88" s="2"/>
      <c r="J88" s="3"/>
      <c r="K88" s="2"/>
      <c r="L88" s="2"/>
      <c r="M88" s="2"/>
      <c r="N88" s="2"/>
      <c r="O88" s="2"/>
      <c r="P88" s="2"/>
      <c r="Q88" s="3"/>
      <c r="R88" s="3"/>
      <c r="S88" s="2"/>
      <c r="T88" s="2"/>
      <c r="U88" s="2"/>
      <c r="V88" s="2"/>
      <c r="W88" s="2"/>
      <c r="X88" s="3"/>
      <c r="Y88" s="3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x14ac:dyDescent="0.2">
      <c r="A89" s="2"/>
      <c r="B89" s="2"/>
      <c r="C89" s="2"/>
      <c r="D89" s="2"/>
      <c r="E89" s="2"/>
      <c r="F89" s="2"/>
      <c r="G89" s="2"/>
      <c r="H89" s="2"/>
      <c r="I89" s="2"/>
      <c r="J89" s="3"/>
      <c r="K89" s="2"/>
      <c r="L89" s="2"/>
      <c r="M89" s="2"/>
      <c r="N89" s="2"/>
      <c r="O89" s="2"/>
      <c r="P89" s="2"/>
      <c r="Q89" s="3"/>
      <c r="R89" s="3"/>
      <c r="S89" s="2"/>
      <c r="T89" s="2"/>
      <c r="U89" s="2"/>
      <c r="V89" s="2"/>
      <c r="W89" s="2"/>
      <c r="X89" s="3"/>
      <c r="Y89" s="3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x14ac:dyDescent="0.2">
      <c r="A90" s="2"/>
      <c r="B90" s="2"/>
      <c r="C90" s="2"/>
      <c r="D90" s="2"/>
      <c r="E90" s="2"/>
      <c r="F90" s="2"/>
      <c r="G90" s="2"/>
      <c r="H90" s="2"/>
      <c r="I90" s="2"/>
      <c r="J90" s="3"/>
      <c r="K90" s="2"/>
      <c r="L90" s="2"/>
      <c r="M90" s="2"/>
      <c r="N90" s="2"/>
      <c r="O90" s="2"/>
      <c r="P90" s="2"/>
      <c r="Q90" s="3"/>
      <c r="R90" s="3"/>
      <c r="S90" s="2"/>
      <c r="T90" s="2"/>
      <c r="U90" s="2"/>
      <c r="V90" s="2"/>
      <c r="W90" s="2"/>
      <c r="X90" s="3"/>
      <c r="Y90" s="3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x14ac:dyDescent="0.2">
      <c r="A91" s="2"/>
      <c r="B91" s="2"/>
      <c r="C91" s="2"/>
      <c r="D91" s="2"/>
      <c r="E91" s="2"/>
      <c r="F91" s="2"/>
      <c r="G91" s="2"/>
      <c r="H91" s="2"/>
      <c r="I91" s="2"/>
      <c r="J91" s="3"/>
      <c r="K91" s="2"/>
      <c r="L91" s="2"/>
      <c r="M91" s="2"/>
      <c r="N91" s="2"/>
      <c r="O91" s="2"/>
      <c r="P91" s="2"/>
      <c r="Q91" s="3"/>
      <c r="R91" s="3"/>
      <c r="S91" s="2"/>
      <c r="T91" s="2"/>
      <c r="U91" s="2"/>
      <c r="V91" s="2"/>
      <c r="W91" s="2"/>
      <c r="X91" s="3"/>
      <c r="Y91" s="3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x14ac:dyDescent="0.2">
      <c r="A92" s="2"/>
      <c r="B92" s="2"/>
      <c r="C92" s="2"/>
      <c r="D92" s="2"/>
      <c r="E92" s="2"/>
      <c r="F92" s="2"/>
      <c r="G92" s="2"/>
      <c r="H92" s="2"/>
      <c r="I92" s="2"/>
      <c r="J92" s="3"/>
      <c r="K92" s="2"/>
      <c r="L92" s="2"/>
      <c r="M92" s="2"/>
      <c r="N92" s="2"/>
      <c r="O92" s="2"/>
      <c r="P92" s="2"/>
      <c r="Q92" s="3"/>
      <c r="R92" s="3"/>
      <c r="S92" s="2"/>
      <c r="T92" s="2"/>
      <c r="U92" s="2"/>
      <c r="V92" s="2"/>
      <c r="W92" s="2"/>
      <c r="X92" s="3"/>
      <c r="Y92" s="3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x14ac:dyDescent="0.2">
      <c r="A93" s="2"/>
      <c r="B93" s="2"/>
      <c r="C93" s="2"/>
      <c r="D93" s="2"/>
      <c r="E93" s="2"/>
      <c r="F93" s="2"/>
      <c r="G93" s="2"/>
      <c r="H93" s="2"/>
      <c r="I93" s="2"/>
      <c r="J93" s="3"/>
      <c r="K93" s="2"/>
      <c r="L93" s="2"/>
      <c r="M93" s="2"/>
      <c r="N93" s="2"/>
      <c r="O93" s="2"/>
      <c r="P93" s="2"/>
      <c r="Q93" s="3"/>
      <c r="R93" s="3"/>
      <c r="S93" s="2"/>
      <c r="T93" s="2"/>
      <c r="U93" s="2"/>
      <c r="V93" s="2"/>
      <c r="W93" s="2"/>
      <c r="X93" s="3"/>
      <c r="Y93" s="3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x14ac:dyDescent="0.2">
      <c r="A94" s="2"/>
      <c r="B94" s="2"/>
      <c r="C94" s="2"/>
      <c r="D94" s="2"/>
      <c r="E94" s="2"/>
      <c r="F94" s="2"/>
      <c r="G94" s="2"/>
      <c r="H94" s="2"/>
      <c r="I94" s="2"/>
      <c r="J94" s="3"/>
      <c r="K94" s="2"/>
      <c r="L94" s="2"/>
      <c r="M94" s="2"/>
      <c r="N94" s="2"/>
      <c r="O94" s="2"/>
      <c r="P94" s="2"/>
      <c r="Q94" s="3"/>
      <c r="R94" s="3"/>
      <c r="S94" s="2"/>
      <c r="T94" s="2"/>
      <c r="U94" s="2"/>
      <c r="V94" s="2"/>
      <c r="W94" s="2"/>
      <c r="X94" s="3"/>
      <c r="Y94" s="3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x14ac:dyDescent="0.2">
      <c r="A95" s="2"/>
      <c r="B95" s="2"/>
      <c r="C95" s="2"/>
      <c r="D95" s="2"/>
      <c r="E95" s="2"/>
      <c r="F95" s="2"/>
      <c r="G95" s="2"/>
      <c r="H95" s="2"/>
      <c r="I95" s="2"/>
      <c r="J95" s="3"/>
      <c r="K95" s="2"/>
      <c r="L95" s="2"/>
      <c r="M95" s="2"/>
      <c r="N95" s="2"/>
      <c r="O95" s="2"/>
      <c r="P95" s="2"/>
      <c r="Q95" s="3"/>
      <c r="R95" s="3"/>
      <c r="S95" s="2"/>
      <c r="T95" s="2"/>
      <c r="U95" s="2"/>
      <c r="V95" s="2"/>
      <c r="W95" s="2"/>
      <c r="X95" s="3"/>
      <c r="Y95" s="3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x14ac:dyDescent="0.2">
      <c r="A96" s="2"/>
      <c r="B96" s="2"/>
      <c r="C96" s="2"/>
      <c r="D96" s="2"/>
      <c r="E96" s="2"/>
      <c r="F96" s="2"/>
      <c r="G96" s="2"/>
      <c r="H96" s="2"/>
      <c r="I96" s="2"/>
      <c r="J96" s="3"/>
      <c r="K96" s="2"/>
      <c r="L96" s="2"/>
      <c r="M96" s="2"/>
      <c r="N96" s="2"/>
      <c r="O96" s="2"/>
      <c r="P96" s="2"/>
      <c r="Q96" s="3"/>
      <c r="R96" s="3"/>
      <c r="S96" s="2"/>
      <c r="T96" s="2"/>
      <c r="U96" s="2"/>
      <c r="V96" s="2"/>
      <c r="W96" s="2"/>
      <c r="X96" s="3"/>
      <c r="Y96" s="3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x14ac:dyDescent="0.2">
      <c r="A97" s="2"/>
      <c r="B97" s="2"/>
      <c r="C97" s="2"/>
      <c r="D97" s="2"/>
      <c r="E97" s="2"/>
      <c r="F97" s="2"/>
      <c r="G97" s="2"/>
      <c r="H97" s="2"/>
      <c r="I97" s="2"/>
      <c r="J97" s="3"/>
      <c r="K97" s="2"/>
      <c r="L97" s="2"/>
      <c r="M97" s="2"/>
      <c r="N97" s="2"/>
      <c r="O97" s="2"/>
      <c r="P97" s="2"/>
      <c r="Q97" s="3"/>
      <c r="R97" s="3"/>
      <c r="S97" s="2"/>
      <c r="T97" s="2"/>
      <c r="U97" s="2"/>
      <c r="V97" s="2"/>
      <c r="W97" s="2"/>
      <c r="X97" s="3"/>
      <c r="Y97" s="3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x14ac:dyDescent="0.2">
      <c r="A98" s="2"/>
      <c r="B98" s="2"/>
      <c r="C98" s="2"/>
      <c r="D98" s="2"/>
      <c r="E98" s="2"/>
      <c r="F98" s="2"/>
      <c r="G98" s="2"/>
      <c r="H98" s="2"/>
      <c r="I98" s="2"/>
      <c r="J98" s="3"/>
      <c r="K98" s="2"/>
      <c r="L98" s="2"/>
      <c r="M98" s="2"/>
      <c r="N98" s="2"/>
      <c r="O98" s="2"/>
      <c r="P98" s="2"/>
      <c r="Q98" s="3"/>
      <c r="R98" s="3"/>
      <c r="S98" s="2"/>
      <c r="T98" s="2"/>
      <c r="U98" s="2"/>
      <c r="V98" s="2"/>
      <c r="W98" s="2"/>
      <c r="X98" s="3"/>
      <c r="Y98" s="3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x14ac:dyDescent="0.2">
      <c r="A99" s="2"/>
      <c r="B99" s="2"/>
      <c r="C99" s="2"/>
      <c r="D99" s="2"/>
      <c r="E99" s="2"/>
      <c r="F99" s="2"/>
      <c r="G99" s="2"/>
      <c r="H99" s="2"/>
      <c r="I99" s="2"/>
      <c r="J99" s="3"/>
      <c r="K99" s="2"/>
      <c r="L99" s="2"/>
      <c r="M99" s="2"/>
      <c r="N99" s="2"/>
      <c r="O99" s="2"/>
      <c r="P99" s="2"/>
      <c r="Q99" s="3"/>
      <c r="R99" s="3"/>
      <c r="S99" s="2"/>
      <c r="T99" s="2"/>
      <c r="U99" s="2"/>
      <c r="V99" s="2"/>
      <c r="W99" s="2"/>
      <c r="X99" s="3"/>
      <c r="Y99" s="3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3"/>
      <c r="K100" s="2"/>
      <c r="L100" s="2"/>
      <c r="M100" s="2"/>
      <c r="N100" s="2"/>
      <c r="O100" s="2"/>
      <c r="P100" s="2"/>
      <c r="Q100" s="3"/>
      <c r="R100" s="3"/>
      <c r="S100" s="2"/>
      <c r="T100" s="2"/>
      <c r="U100" s="2"/>
      <c r="V100" s="2"/>
      <c r="W100" s="2"/>
      <c r="X100" s="3"/>
      <c r="Y100" s="3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</sheetData>
  <conditionalFormatting sqref="B1">
    <cfRule type="cellIs" dxfId="0" priority="10" operator="equal">
      <formula>"abcd"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0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7" customWidth="1"/>
    <col min="2" max="2" width="4" style="12" bestFit="1" customWidth="1"/>
    <col min="3" max="3" width="4" style="7" bestFit="1" customWidth="1"/>
    <col min="4" max="4" width="15.140625" style="7" bestFit="1" customWidth="1"/>
    <col min="5" max="7" width="17.28515625" style="7" customWidth="1"/>
    <col min="8" max="8" width="24.42578125" style="7" bestFit="1" customWidth="1"/>
    <col min="9" max="9" width="13.140625" style="7" bestFit="1" customWidth="1"/>
    <col min="10" max="10" width="17.28515625" style="10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1" hidden="1" customWidth="1" outlineLevel="1"/>
    <col min="14" max="14" width="17.28515625" style="1" hidden="1" customWidth="1" outlineLevel="1"/>
    <col min="15" max="16" width="19.28515625" style="1" hidden="1" customWidth="1" outlineLevel="1"/>
    <col min="17" max="17" width="14.85546875" style="1" customWidth="1" collapsed="1"/>
    <col min="18" max="25" width="14.85546875" style="1" customWidth="1"/>
    <col min="26" max="29" width="14.85546875" style="13" customWidth="1"/>
    <col min="30" max="146" width="14.85546875" style="1" customWidth="1"/>
    <col min="147" max="16384" width="2.85546875" style="1"/>
  </cols>
  <sheetData>
    <row r="1" spans="1:25" x14ac:dyDescent="0.2">
      <c r="A1" s="123"/>
      <c r="B1" s="89"/>
      <c r="C1" s="82"/>
      <c r="D1" s="8" t="s">
        <v>103</v>
      </c>
      <c r="E1" s="23" t="s">
        <v>15</v>
      </c>
      <c r="F1" s="82"/>
      <c r="G1" s="82"/>
      <c r="H1" s="82"/>
      <c r="I1" s="82"/>
      <c r="J1" s="84"/>
      <c r="K1" s="82"/>
      <c r="L1" s="82"/>
      <c r="M1" s="57"/>
      <c r="N1" s="57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123"/>
      <c r="B2" s="89"/>
      <c r="C2" s="6"/>
      <c r="D2" s="71" t="s">
        <v>104</v>
      </c>
      <c r="E2" s="23" t="str">
        <f>Currency&amp;CurveTenor</f>
        <v>AUDON</v>
      </c>
      <c r="F2" s="82"/>
      <c r="G2" s="82"/>
      <c r="H2" s="82"/>
      <c r="I2" s="82"/>
      <c r="J2" s="84"/>
      <c r="K2" s="82"/>
      <c r="L2" s="6"/>
      <c r="M2" s="57"/>
      <c r="N2" s="57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123"/>
      <c r="B3" s="89"/>
      <c r="C3" s="82"/>
      <c r="D3" s="6"/>
      <c r="E3" s="82"/>
      <c r="F3" s="82"/>
      <c r="G3" s="82"/>
      <c r="H3" s="82"/>
      <c r="I3" s="82"/>
      <c r="J3" s="84"/>
      <c r="K3" s="82"/>
      <c r="L3" s="82"/>
      <c r="M3" s="57"/>
      <c r="N3" s="57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123"/>
      <c r="B4" s="147"/>
      <c r="C4" s="31"/>
      <c r="D4" s="31" t="s">
        <v>51</v>
      </c>
      <c r="E4" s="31" t="s">
        <v>84</v>
      </c>
      <c r="F4" s="31" t="s">
        <v>100</v>
      </c>
      <c r="G4" s="31" t="s">
        <v>49</v>
      </c>
      <c r="H4" s="32" t="s">
        <v>48</v>
      </c>
      <c r="I4" s="32" t="s">
        <v>101</v>
      </c>
      <c r="J4" s="32" t="s">
        <v>102</v>
      </c>
      <c r="K4" s="85"/>
      <c r="L4" s="8" t="s">
        <v>95</v>
      </c>
      <c r="M4" s="57"/>
      <c r="N4" s="57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123"/>
      <c r="B5" s="148"/>
      <c r="C5" s="33" t="s">
        <v>15</v>
      </c>
      <c r="D5" s="33" t="s">
        <v>88</v>
      </c>
      <c r="E5" s="65">
        <f t="shared" ref="E5" si="0">EvaluationDate</f>
        <v>41872</v>
      </c>
      <c r="F5" s="65">
        <f>_xll.qlInterestRateIndexValueDate(OvernightIndex,E5)</f>
        <v>41872</v>
      </c>
      <c r="G5" s="65">
        <f>_xll.qlInterestRateIndexMaturity(OvernightIndex,F5)</f>
        <v>41873</v>
      </c>
      <c r="H5" s="149">
        <f>_xll.qlIndexFixing(OvernightIndex,E5,TRUE,InterestRatesTrigger)</f>
        <v>2.5001309990660969E-2</v>
      </c>
      <c r="I5" s="54" t="str">
        <f>Contribution!F5</f>
        <v>AUDONOND=</v>
      </c>
      <c r="J5" s="79" t="str">
        <f>"AU"&amp;"CASH"&amp;"="&amp;"RBAA"</f>
        <v>AUCASH=RBAA</v>
      </c>
      <c r="K5" s="85"/>
      <c r="L5" s="153" t="s">
        <v>117</v>
      </c>
      <c r="M5" s="57"/>
      <c r="N5" s="57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123"/>
      <c r="B6" s="148"/>
      <c r="C6" s="35" t="s">
        <v>16</v>
      </c>
      <c r="D6" s="35" t="s">
        <v>88</v>
      </c>
      <c r="E6" s="68">
        <f>G5</f>
        <v>41873</v>
      </c>
      <c r="F6" s="68">
        <f>_xll.qlInterestRateIndexValueDate(OvernightIndex,E6)</f>
        <v>41873</v>
      </c>
      <c r="G6" s="68">
        <f>_xll.qlInterestRateIndexMaturity(OvernightIndex,F6)</f>
        <v>41876</v>
      </c>
      <c r="H6" s="150">
        <f>_xll.qlIndexFixing(OvernightIndex,E6,TRUE,InterestRatesTrigger)</f>
        <v>2.500123189424867E-2</v>
      </c>
      <c r="I6" s="54" t="str">
        <f>Contribution!F6</f>
        <v>AUDONTND=</v>
      </c>
      <c r="J6" s="79"/>
      <c r="K6" s="86"/>
      <c r="L6" s="87"/>
      <c r="M6" s="57"/>
      <c r="N6" s="57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123"/>
      <c r="B7" s="148"/>
      <c r="C7" s="37" t="s">
        <v>17</v>
      </c>
      <c r="D7" s="37" t="s">
        <v>88</v>
      </c>
      <c r="E7" s="69">
        <f>G6</f>
        <v>41876</v>
      </c>
      <c r="F7" s="69">
        <f>_xll.qlInterestRateIndexValueDate(OvernightIndex,E7)</f>
        <v>41876</v>
      </c>
      <c r="G7" s="69">
        <f>_xll.qlInterestRateIndexMaturity(OvernightIndex,F7)</f>
        <v>41877</v>
      </c>
      <c r="H7" s="151">
        <f>_xll.qlIndexFixing(OvernightIndex,E7,TRUE,InterestRatesTrigger)</f>
        <v>2.4995938795256967E-2</v>
      </c>
      <c r="I7" s="54" t="str">
        <f>Contribution!F7</f>
        <v>AUDONSND=</v>
      </c>
      <c r="J7" s="79"/>
      <c r="K7" s="85"/>
      <c r="L7" s="122" t="s">
        <v>50</v>
      </c>
      <c r="M7" s="124"/>
      <c r="N7" s="118" t="s">
        <v>45</v>
      </c>
      <c r="O7" s="118" t="s">
        <v>105</v>
      </c>
      <c r="P7" s="118" t="s">
        <v>46</v>
      </c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123"/>
      <c r="B8" s="148"/>
      <c r="C8" s="35" t="s">
        <v>18</v>
      </c>
      <c r="D8" s="35" t="s">
        <v>80</v>
      </c>
      <c r="E8" s="68">
        <f t="shared" ref="E8:E35" si="1">EvaluationDate</f>
        <v>41872</v>
      </c>
      <c r="F8" s="68">
        <f>_xll.qlInterestRateIndexValueDate(L8,E8)</f>
        <v>41873</v>
      </c>
      <c r="G8" s="68">
        <f>_xll.qlInterestRateIndexMaturity(L8,F8)</f>
        <v>41880</v>
      </c>
      <c r="H8" s="67">
        <f>_xll.qlIndexFixing(L8,E8,TRUE,InterestRatesTrigger)</f>
        <v>2.5000000018372284E-2</v>
      </c>
      <c r="I8" s="55" t="str">
        <f>Contribution!F8</f>
        <v>AUDONSWD=</v>
      </c>
      <c r="J8" s="55" t="str">
        <f>Currency&amp;C8&amp;"OIS=ICAA"</f>
        <v>AUDSWOIS=ICAA</v>
      </c>
      <c r="K8" s="85"/>
      <c r="L8" s="35" t="str">
        <f>_xll.qlSwapIndex(,"Aonia",IF(C8="SW","1W",C8),SettlementDays,Currency,Calendar,FixedLegTenor,FixedLegBDC,FixedLegDayCounter,OvernightIndex,YieldCurve,,Trigger)</f>
        <v>obj_0031d#0004</v>
      </c>
      <c r="M8" s="57"/>
      <c r="N8" s="119" t="s">
        <v>29</v>
      </c>
      <c r="O8" s="134" t="s">
        <v>81</v>
      </c>
      <c r="P8" s="119" t="s">
        <v>47</v>
      </c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123"/>
      <c r="B9" s="148"/>
      <c r="C9" s="35" t="s">
        <v>19</v>
      </c>
      <c r="D9" s="35" t="s">
        <v>80</v>
      </c>
      <c r="E9" s="68">
        <f t="shared" si="1"/>
        <v>41872</v>
      </c>
      <c r="F9" s="68">
        <f>_xll.qlInterestRateIndexValueDate(L9,E9)</f>
        <v>41873</v>
      </c>
      <c r="G9" s="68">
        <f>_xll.qlInterestRateIndexMaturity(L9,F9)</f>
        <v>41887</v>
      </c>
      <c r="H9" s="67">
        <f>_xll.qlIndexFixing(L9,E9,TRUE,InterestRatesTrigger)</f>
        <v>2.4993284367649894E-2</v>
      </c>
      <c r="I9" s="54"/>
      <c r="J9" s="54"/>
      <c r="K9" s="85"/>
      <c r="L9" s="35" t="str">
        <f>_xll.qlSwapIndex(,"Aonia",IF(C9="SW","1W",C9),SettlementDays,Currency,Calendar,FixedLegTenor,FixedLegBDC,FixedLegDayCounter,OvernightIndex,YieldCurve,,Trigger)</f>
        <v>obj_00317#0004</v>
      </c>
      <c r="M9" s="57"/>
      <c r="N9" s="57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123"/>
      <c r="B10" s="148"/>
      <c r="C10" s="35" t="s">
        <v>20</v>
      </c>
      <c r="D10" s="35" t="s">
        <v>80</v>
      </c>
      <c r="E10" s="68">
        <f t="shared" si="1"/>
        <v>41872</v>
      </c>
      <c r="F10" s="68">
        <f>_xll.qlInterestRateIndexValueDate(L10,E10)</f>
        <v>41873</v>
      </c>
      <c r="G10" s="68">
        <f>_xll.qlInterestRateIndexMaturity(L10,F10)</f>
        <v>41894</v>
      </c>
      <c r="H10" s="67">
        <f>_xll.qlIndexFixing(L10,E10,TRUE,InterestRatesTrigger)</f>
        <v>2.4985590351566705E-2</v>
      </c>
      <c r="I10" s="54"/>
      <c r="J10" s="54"/>
      <c r="K10" s="85"/>
      <c r="L10" s="35" t="str">
        <f>_xll.qlSwapIndex(,"Aonia",IF(C10="SW","1W",C10),SettlementDays,Currency,Calendar,FixedLegTenor,FixedLegBDC,FixedLegDayCounter,OvernightIndex,YieldCurve,,Trigger)</f>
        <v>obj_0034d#0004</v>
      </c>
      <c r="M10" s="57"/>
      <c r="N10" s="57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123"/>
      <c r="B11" s="148"/>
      <c r="C11" s="35" t="s">
        <v>21</v>
      </c>
      <c r="D11" s="35" t="s">
        <v>80</v>
      </c>
      <c r="E11" s="68">
        <f t="shared" si="1"/>
        <v>41872</v>
      </c>
      <c r="F11" s="68">
        <f>_xll.qlInterestRateIndexValueDate(L11,E11)</f>
        <v>41873</v>
      </c>
      <c r="G11" s="68">
        <f>_xll.qlInterestRateIndexMaturity(L11,F11)</f>
        <v>41904</v>
      </c>
      <c r="H11" s="67">
        <f>_xll.qlIndexFixing(L11,E11,TRUE,InterestRatesTrigger)</f>
        <v>2.4975000009720097E-2</v>
      </c>
      <c r="I11" s="54" t="str">
        <f>Contribution!F11</f>
        <v>AUDON1MD=</v>
      </c>
      <c r="J11" s="54" t="str">
        <f t="shared" ref="J11:J16" si="2">Currency&amp;C11&amp;"OIS=ICAA"</f>
        <v>AUD1MOIS=ICAA</v>
      </c>
      <c r="K11" s="85"/>
      <c r="L11" s="35" t="str">
        <f>_xll.qlSwapIndex(,"Aonia",IF(C11="SW","1W",C11),SettlementDays,Currency,Calendar,FixedLegTenor,FixedLegBDC,FixedLegDayCounter,OvernightIndex,YieldCurve,,Trigger)</f>
        <v>obj_0034c#0004</v>
      </c>
      <c r="M11" s="57"/>
      <c r="N11" s="57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123"/>
      <c r="B12" s="148"/>
      <c r="C12" s="35" t="s">
        <v>22</v>
      </c>
      <c r="D12" s="35" t="s">
        <v>80</v>
      </c>
      <c r="E12" s="68">
        <f t="shared" si="1"/>
        <v>41872</v>
      </c>
      <c r="F12" s="68">
        <f>_xll.qlInterestRateIndexValueDate(L12,E12)</f>
        <v>41873</v>
      </c>
      <c r="G12" s="68">
        <f>_xll.qlInterestRateIndexMaturity(L12,F12)</f>
        <v>41934</v>
      </c>
      <c r="H12" s="67">
        <f>_xll.qlIndexFixing(L12,E12,TRUE,InterestRatesTrigger)</f>
        <v>2.4950000001769751E-2</v>
      </c>
      <c r="I12" s="54" t="str">
        <f>Contribution!F12</f>
        <v>AUDON2MD=</v>
      </c>
      <c r="J12" s="54" t="str">
        <f t="shared" si="2"/>
        <v>AUD2MOIS=ICAA</v>
      </c>
      <c r="K12" s="85"/>
      <c r="L12" s="35" t="str">
        <f>_xll.qlSwapIndex(,"Aonia",IF(C12="SW","1W",C12),SettlementDays,Currency,Calendar,FixedLegTenor,FixedLegBDC,FixedLegDayCounter,OvernightIndex,YieldCurve,,Trigger)</f>
        <v>obj_0031f#0004</v>
      </c>
      <c r="M12" s="57"/>
      <c r="N12" s="57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123"/>
      <c r="B13" s="148"/>
      <c r="C13" s="35" t="s">
        <v>23</v>
      </c>
      <c r="D13" s="35" t="s">
        <v>80</v>
      </c>
      <c r="E13" s="68">
        <f t="shared" si="1"/>
        <v>41872</v>
      </c>
      <c r="F13" s="68">
        <f>_xll.qlInterestRateIndexValueDate(L13,E13)</f>
        <v>41873</v>
      </c>
      <c r="G13" s="68">
        <f>_xll.qlInterestRateIndexMaturity(L13,F13)</f>
        <v>41967</v>
      </c>
      <c r="H13" s="67">
        <f>_xll.qlIndexFixing(L13,E13,TRUE,InterestRatesTrigger)</f>
        <v>2.4925000001143473E-2</v>
      </c>
      <c r="I13" s="54" t="str">
        <f>Contribution!F13</f>
        <v>AUDON3MD=</v>
      </c>
      <c r="J13" s="54" t="str">
        <f t="shared" si="2"/>
        <v>AUD3MOIS=ICAA</v>
      </c>
      <c r="K13" s="85"/>
      <c r="L13" s="35" t="str">
        <f>_xll.qlSwapIndex(,"Aonia",IF(C13="SW","1W",C13),SettlementDays,Currency,Calendar,FixedLegTenor,FixedLegBDC,FixedLegDayCounter,OvernightIndex,YieldCurve,,Trigger)</f>
        <v>obj_00352#0004</v>
      </c>
      <c r="M13" s="57"/>
      <c r="N13" s="57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123"/>
      <c r="B14" s="148"/>
      <c r="C14" s="35" t="s">
        <v>24</v>
      </c>
      <c r="D14" s="35" t="s">
        <v>80</v>
      </c>
      <c r="E14" s="68">
        <f t="shared" si="1"/>
        <v>41872</v>
      </c>
      <c r="F14" s="68">
        <f>_xll.qlInterestRateIndexValueDate(L14,E14)</f>
        <v>41873</v>
      </c>
      <c r="G14" s="68">
        <f>_xll.qlInterestRateIndexMaturity(L14,F14)</f>
        <v>41995</v>
      </c>
      <c r="H14" s="67">
        <f>_xll.qlIndexFixing(L14,E14,TRUE,InterestRatesTrigger)</f>
        <v>2.4885000000748819E-2</v>
      </c>
      <c r="I14" s="54" t="str">
        <f>Contribution!F14</f>
        <v>AUDON4MD=</v>
      </c>
      <c r="J14" s="54" t="str">
        <f t="shared" si="2"/>
        <v>AUD4MOIS=ICAA</v>
      </c>
      <c r="K14" s="85"/>
      <c r="L14" s="35" t="str">
        <f>_xll.qlSwapIndex(,"Aonia",IF(C14="SW","1W",C14),SettlementDays,Currency,Calendar,FixedLegTenor,FixedLegBDC,FixedLegDayCounter,OvernightIndex,YieldCurve,,Trigger)</f>
        <v>obj_00314#0004</v>
      </c>
      <c r="M14" s="57"/>
      <c r="N14" s="57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123"/>
      <c r="B15" s="89"/>
      <c r="C15" s="35" t="s">
        <v>25</v>
      </c>
      <c r="D15" s="35" t="s">
        <v>80</v>
      </c>
      <c r="E15" s="68">
        <f t="shared" si="1"/>
        <v>41872</v>
      </c>
      <c r="F15" s="68">
        <f>_xll.qlInterestRateIndexValueDate(L15,E15)</f>
        <v>41873</v>
      </c>
      <c r="G15" s="68">
        <f>_xll.qlInterestRateIndexMaturity(L15,F15)</f>
        <v>42026</v>
      </c>
      <c r="H15" s="67">
        <f>_xll.qlIndexFixing(L15,E15,TRUE,InterestRatesTrigger)</f>
        <v>2.4840000000664018E-2</v>
      </c>
      <c r="I15" s="54" t="str">
        <f>Contribution!F15</f>
        <v>AUDON5MD=</v>
      </c>
      <c r="J15" s="54" t="str">
        <f t="shared" si="2"/>
        <v>AUD5MOIS=ICAA</v>
      </c>
      <c r="K15" s="85"/>
      <c r="L15" s="35" t="str">
        <f>_xll.qlSwapIndex(,"Aonia",IF(C15="SW","1W",C15),SettlementDays,Currency,Calendar,FixedLegTenor,FixedLegBDC,FixedLegDayCounter,OvernightIndex,YieldCurve,,Trigger)</f>
        <v>obj_0034a#0004</v>
      </c>
      <c r="M15" s="57"/>
      <c r="N15" s="57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123"/>
      <c r="B16" s="89"/>
      <c r="C16" s="35" t="s">
        <v>14</v>
      </c>
      <c r="D16" s="35" t="s">
        <v>80</v>
      </c>
      <c r="E16" s="68">
        <f t="shared" si="1"/>
        <v>41872</v>
      </c>
      <c r="F16" s="68">
        <f>_xll.qlInterestRateIndexValueDate(L16,E16)</f>
        <v>41873</v>
      </c>
      <c r="G16" s="68">
        <f>_xll.qlInterestRateIndexMaturity(L16,F16)</f>
        <v>42058</v>
      </c>
      <c r="H16" s="67">
        <f>_xll.qlIndexFixing(L16,E16,TRUE,InterestRatesTrigger)</f>
        <v>2.4825000000569714E-2</v>
      </c>
      <c r="I16" s="54" t="str">
        <f>Contribution!F16</f>
        <v>AUDON6MD=</v>
      </c>
      <c r="J16" s="54" t="str">
        <f t="shared" si="2"/>
        <v>AUD6MOIS=ICAA</v>
      </c>
      <c r="K16" s="85"/>
      <c r="L16" s="35" t="str">
        <f>_xll.qlSwapIndex(,"Aonia",IF(C16="SW","1W",C16),SettlementDays,Currency,Calendar,FixedLegTenor,FixedLegBDC,FixedLegDayCounter,OvernightIndex,YieldCurve,,Trigger)</f>
        <v>obj_0034f#0004</v>
      </c>
      <c r="M16" s="57"/>
      <c r="N16" s="57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123"/>
      <c r="B17" s="89"/>
      <c r="C17" s="35" t="s">
        <v>26</v>
      </c>
      <c r="D17" s="35" t="s">
        <v>80</v>
      </c>
      <c r="E17" s="68">
        <f t="shared" si="1"/>
        <v>41872</v>
      </c>
      <c r="F17" s="68">
        <f>_xll.qlInterestRateIndexValueDate(L17,E17)</f>
        <v>41873</v>
      </c>
      <c r="G17" s="68">
        <f>_xll.qlInterestRateIndexMaturity(L17,F17)</f>
        <v>42086</v>
      </c>
      <c r="H17" s="67">
        <f>_xll.qlIndexFixing(L17,E17,TRUE,InterestRatesTrigger)</f>
        <v>2.4821552549344476E-2</v>
      </c>
      <c r="I17" s="54"/>
      <c r="J17" s="54"/>
      <c r="K17" s="85"/>
      <c r="L17" s="35" t="str">
        <f>_xll.qlSwapIndex(,"Aonia",IF(C17="SW","1W",C17),SettlementDays,Currency,Calendar,FixedLegTenor,FixedLegBDC,FixedLegDayCounter,OvernightIndex,YieldCurve,,Trigger)</f>
        <v>obj_00347#0004</v>
      </c>
      <c r="M17" s="57"/>
      <c r="N17" s="57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123"/>
      <c r="B18" s="89"/>
      <c r="C18" s="35" t="s">
        <v>27</v>
      </c>
      <c r="D18" s="35" t="s">
        <v>80</v>
      </c>
      <c r="E18" s="68">
        <f t="shared" si="1"/>
        <v>41872</v>
      </c>
      <c r="F18" s="68">
        <f>_xll.qlInterestRateIndexValueDate(L18,E18)</f>
        <v>41873</v>
      </c>
      <c r="G18" s="68">
        <f>_xll.qlInterestRateIndexMaturity(L18,F18)</f>
        <v>42116</v>
      </c>
      <c r="H18" s="67">
        <f>_xll.qlIndexFixing(L18,E18,TRUE,InterestRatesTrigger)</f>
        <v>2.4821684642741471E-2</v>
      </c>
      <c r="I18" s="54"/>
      <c r="J18" s="54"/>
      <c r="K18" s="85"/>
      <c r="L18" s="35" t="str">
        <f>_xll.qlSwapIndex(,"Aonia",IF(C18="SW","1W",C18),SettlementDays,Currency,Calendar,FixedLegTenor,FixedLegBDC,FixedLegDayCounter,OvernightIndex,YieldCurve,,Trigger)</f>
        <v>obj_00339#0004</v>
      </c>
      <c r="M18" s="57"/>
      <c r="N18" s="57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123"/>
      <c r="B19" s="89"/>
      <c r="C19" s="35" t="s">
        <v>28</v>
      </c>
      <c r="D19" s="35" t="s">
        <v>80</v>
      </c>
      <c r="E19" s="68">
        <f t="shared" si="1"/>
        <v>41872</v>
      </c>
      <c r="F19" s="68">
        <f>_xll.qlInterestRateIndexValueDate(L19,E19)</f>
        <v>41873</v>
      </c>
      <c r="G19" s="68">
        <f>_xll.qlInterestRateIndexMaturity(L19,F19)</f>
        <v>42146</v>
      </c>
      <c r="H19" s="67">
        <f>_xll.qlIndexFixing(L19,E19,TRUE,InterestRatesTrigger)</f>
        <v>2.4824999999673233E-2</v>
      </c>
      <c r="I19" s="54" t="str">
        <f>Contribution!F19</f>
        <v>AUDON9MD=</v>
      </c>
      <c r="J19" s="54" t="str">
        <f>Currency&amp;C19&amp;"OIS=ICAA"</f>
        <v>AUD9MOIS=ICAA</v>
      </c>
      <c r="K19" s="85"/>
      <c r="L19" s="35" t="str">
        <f>_xll.qlSwapIndex(,"Aonia",IF(C19="SW","1W",C19),SettlementDays,Currency,Calendar,FixedLegTenor,FixedLegBDC,FixedLegDayCounter,OvernightIndex,YieldCurve,,Trigger)</f>
        <v>obj_00351#0004</v>
      </c>
      <c r="M19" s="57"/>
      <c r="N19" s="57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123"/>
      <c r="B20" s="89"/>
      <c r="C20" s="35" t="s">
        <v>29</v>
      </c>
      <c r="D20" s="35" t="s">
        <v>80</v>
      </c>
      <c r="E20" s="68">
        <f t="shared" si="1"/>
        <v>41872</v>
      </c>
      <c r="F20" s="68">
        <f>_xll.qlInterestRateIndexValueDate(L20,E20)</f>
        <v>41873</v>
      </c>
      <c r="G20" s="68">
        <f>_xll.qlInterestRateIndexMaturity(L20,F20)</f>
        <v>42240</v>
      </c>
      <c r="H20" s="67">
        <f>_xll.qlIndexFixing(L20,E20,TRUE,InterestRatesTrigger)</f>
        <v>2.4879999999716733E-2</v>
      </c>
      <c r="I20" s="54" t="str">
        <f>Contribution!F20</f>
        <v>AUDON1YD=</v>
      </c>
      <c r="J20" s="54" t="str">
        <f t="shared" ref="J20:J35" si="3">Currency&amp;C20&amp;"MTOIS=ICAA"</f>
        <v>AUD1YMTOIS=ICAA</v>
      </c>
      <c r="K20" s="85"/>
      <c r="L20" s="35" t="str">
        <f>_xll.qlSwapIndex(,"Aonia",IF(C20="SW","1W",C20),SettlementDays,Currency,Calendar,FixedLegTenor,FixedLegBDC,FixedLegDayCounter,OvernightIndex,YieldCurve,,Trigger)</f>
        <v>obj_00318#0004</v>
      </c>
      <c r="M20" s="57"/>
      <c r="N20" s="57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123"/>
      <c r="B21" s="89"/>
      <c r="C21" s="25" t="s">
        <v>93</v>
      </c>
      <c r="D21" s="35" t="s">
        <v>80</v>
      </c>
      <c r="E21" s="68">
        <f t="shared" si="1"/>
        <v>41872</v>
      </c>
      <c r="F21" s="68">
        <f>_xll.qlInterestRateIndexValueDate(L21,E21)</f>
        <v>41873</v>
      </c>
      <c r="G21" s="68">
        <f>_xll.qlInterestRateIndexMaturity(L21,F21)</f>
        <v>42422</v>
      </c>
      <c r="H21" s="67">
        <f>_xll.qlIndexFixing(L21,E21,TRUE,InterestRatesTrigger)</f>
        <v>2.5100816282388198E-2</v>
      </c>
      <c r="I21" s="54" t="str">
        <f>Contribution!F21</f>
        <v>AUDON1Y6MD=</v>
      </c>
      <c r="J21" s="54" t="str">
        <f t="shared" si="3"/>
        <v>AUD18MMTOIS=ICAA</v>
      </c>
      <c r="K21" s="85"/>
      <c r="L21" s="35" t="str">
        <f>_xll.qlSwapIndex(,"Aonia",IF(C21="SW","1W",C21),SettlementDays,Currency,Calendar,FixedLegTenor,FixedLegBDC,FixedLegDayCounter,OvernightIndex,YieldCurve,,Trigger)</f>
        <v>obj_0030c#0004</v>
      </c>
      <c r="M21" s="57"/>
      <c r="N21" s="57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123"/>
      <c r="B22" s="89"/>
      <c r="C22" s="35" t="s">
        <v>30</v>
      </c>
      <c r="D22" s="35" t="s">
        <v>80</v>
      </c>
      <c r="E22" s="68">
        <f t="shared" si="1"/>
        <v>41872</v>
      </c>
      <c r="F22" s="68">
        <f>_xll.qlInterestRateIndexValueDate(L22,E22)</f>
        <v>41873</v>
      </c>
      <c r="G22" s="68">
        <f>_xll.qlInterestRateIndexMaturity(L22,F22)</f>
        <v>42604</v>
      </c>
      <c r="H22" s="67">
        <f>_xll.qlIndexFixing(L22,E22,TRUE,InterestRatesTrigger)</f>
        <v>2.569999999984E-2</v>
      </c>
      <c r="I22" s="54" t="str">
        <f>Contribution!F22</f>
        <v>AUDON2YD=</v>
      </c>
      <c r="J22" s="54" t="str">
        <f t="shared" si="3"/>
        <v>AUD2YMTOIS=ICAA</v>
      </c>
      <c r="K22" s="85"/>
      <c r="L22" s="35" t="str">
        <f>_xll.qlSwapIndex(,"Aonia",IF(C22="SW","1W",C22),SettlementDays,Currency,Calendar,FixedLegTenor,FixedLegBDC,FixedLegDayCounter,OvernightIndex,YieldCurve,,Trigger)</f>
        <v>obj_00343#0004</v>
      </c>
      <c r="M22" s="57"/>
      <c r="N22" s="57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123"/>
      <c r="B23" s="89"/>
      <c r="C23" s="35" t="s">
        <v>31</v>
      </c>
      <c r="D23" s="35" t="s">
        <v>80</v>
      </c>
      <c r="E23" s="68">
        <f t="shared" si="1"/>
        <v>41872</v>
      </c>
      <c r="F23" s="68">
        <f>_xll.qlInterestRateIndexValueDate(L23,E23)</f>
        <v>41873</v>
      </c>
      <c r="G23" s="68">
        <f>_xll.qlInterestRateIndexMaturity(L23,F23)</f>
        <v>42969</v>
      </c>
      <c r="H23" s="67">
        <f>_xll.qlIndexFixing(L23,E23,TRUE,InterestRatesTrigger)</f>
        <v>2.7199999999705363E-2</v>
      </c>
      <c r="I23" s="54" t="str">
        <f>Contribution!F23</f>
        <v>AUDON3YD=</v>
      </c>
      <c r="J23" s="54" t="str">
        <f t="shared" si="3"/>
        <v>AUD3YMTOIS=ICAA</v>
      </c>
      <c r="K23" s="85"/>
      <c r="L23" s="35" t="str">
        <f>_xll.qlSwapIndex(,"Aonia",IF(C23="SW","1W",C23),SettlementDays,Currency,Calendar,FixedLegTenor,FixedLegBDC,FixedLegDayCounter,OvernightIndex,YieldCurve,,Trigger)</f>
        <v>obj_00344#0004</v>
      </c>
      <c r="M23" s="57"/>
      <c r="N23" s="57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123"/>
      <c r="B24" s="89"/>
      <c r="C24" s="35" t="s">
        <v>32</v>
      </c>
      <c r="D24" s="35" t="s">
        <v>80</v>
      </c>
      <c r="E24" s="68">
        <f t="shared" si="1"/>
        <v>41872</v>
      </c>
      <c r="F24" s="68">
        <f>_xll.qlInterestRateIndexValueDate(L24,E24)</f>
        <v>41873</v>
      </c>
      <c r="G24" s="68">
        <f>_xll.qlInterestRateIndexMaturity(L24,F24)</f>
        <v>43334</v>
      </c>
      <c r="H24" s="67">
        <f>_xll.qlIndexFixing(L24,E24,TRUE,InterestRatesTrigger)</f>
        <v>2.8579999999833856E-2</v>
      </c>
      <c r="I24" s="54" t="str">
        <f>Contribution!F24</f>
        <v>AUDON4YD=</v>
      </c>
      <c r="J24" s="54" t="str">
        <f t="shared" si="3"/>
        <v>AUD4YMTOIS=ICAA</v>
      </c>
      <c r="K24" s="85"/>
      <c r="L24" s="35" t="str">
        <f>_xll.qlSwapIndex(,"Aonia",IF(C24="SW","1W",C24),SettlementDays,Currency,Calendar,FixedLegTenor,FixedLegBDC,FixedLegDayCounter,OvernightIndex,YieldCurve,,Trigger)</f>
        <v>obj_0033f#0004</v>
      </c>
      <c r="M24" s="57"/>
      <c r="N24" s="57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123"/>
      <c r="B25" s="89"/>
      <c r="C25" s="35" t="s">
        <v>33</v>
      </c>
      <c r="D25" s="35" t="s">
        <v>80</v>
      </c>
      <c r="E25" s="68">
        <f t="shared" si="1"/>
        <v>41872</v>
      </c>
      <c r="F25" s="68">
        <f>_xll.qlInterestRateIndexValueDate(L25,E25)</f>
        <v>41873</v>
      </c>
      <c r="G25" s="68">
        <f>_xll.qlInterestRateIndexMaturity(L25,F25)</f>
        <v>43699</v>
      </c>
      <c r="H25" s="67">
        <f>_xll.qlIndexFixing(L25,E25,TRUE,InterestRatesTrigger)</f>
        <v>2.9999999999892987E-2</v>
      </c>
      <c r="I25" s="54" t="str">
        <f>Contribution!F25</f>
        <v>AUDON5YD=</v>
      </c>
      <c r="J25" s="54" t="str">
        <f t="shared" si="3"/>
        <v>AUD5YMTOIS=ICAA</v>
      </c>
      <c r="K25" s="85"/>
      <c r="L25" s="35" t="str">
        <f>_xll.qlSwapIndex(,"Aonia",IF(C25="SW","1W",C25),SettlementDays,Currency,Calendar,FixedLegTenor,FixedLegBDC,FixedLegDayCounter,OvernightIndex,YieldCurve,,Trigger)</f>
        <v>obj_00333#0004</v>
      </c>
      <c r="M25" s="57"/>
      <c r="N25" s="57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123"/>
      <c r="B26" s="89"/>
      <c r="C26" s="35" t="s">
        <v>34</v>
      </c>
      <c r="D26" s="35" t="s">
        <v>80</v>
      </c>
      <c r="E26" s="68">
        <f t="shared" si="1"/>
        <v>41872</v>
      </c>
      <c r="F26" s="68">
        <f>_xll.qlInterestRateIndexValueDate(L26,E26)</f>
        <v>41873</v>
      </c>
      <c r="G26" s="68">
        <f>_xll.qlInterestRateIndexMaturity(L26,F26)</f>
        <v>44067</v>
      </c>
      <c r="H26" s="67">
        <f>_xll.qlIndexFixing(L26,E26,TRUE,InterestRatesTrigger)</f>
        <v>3.1329999999924842E-2</v>
      </c>
      <c r="I26" s="54" t="str">
        <f>Contribution!F26</f>
        <v>AUDON6YD=</v>
      </c>
      <c r="J26" s="54" t="str">
        <f t="shared" si="3"/>
        <v>AUD6YMTOIS=ICAA</v>
      </c>
      <c r="K26" s="85"/>
      <c r="L26" s="35" t="str">
        <f>_xll.qlSwapIndex(,"Aonia",IF(C26="SW","1W",C26),SettlementDays,Currency,Calendar,FixedLegTenor,FixedLegBDC,FixedLegDayCounter,OvernightIndex,YieldCurve,,Trigger)</f>
        <v>obj_0030f#0004</v>
      </c>
      <c r="M26" s="57"/>
      <c r="N26" s="57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123"/>
      <c r="B27" s="89"/>
      <c r="C27" s="35" t="s">
        <v>35</v>
      </c>
      <c r="D27" s="35" t="s">
        <v>80</v>
      </c>
      <c r="E27" s="68">
        <f t="shared" si="1"/>
        <v>41872</v>
      </c>
      <c r="F27" s="68">
        <f>_xll.qlInterestRateIndexValueDate(L27,E27)</f>
        <v>41873</v>
      </c>
      <c r="G27" s="68">
        <f>_xll.qlInterestRateIndexMaturity(L27,F27)</f>
        <v>44431</v>
      </c>
      <c r="H27" s="67">
        <f>_xll.qlIndexFixing(L27,E27,TRUE,InterestRatesTrigger)</f>
        <v>3.2629999999945071E-2</v>
      </c>
      <c r="I27" s="54" t="str">
        <f>Contribution!F27</f>
        <v>AUDON7YD=</v>
      </c>
      <c r="J27" s="54" t="str">
        <f t="shared" si="3"/>
        <v>AUD7YMTOIS=ICAA</v>
      </c>
      <c r="K27" s="85"/>
      <c r="L27" s="35" t="str">
        <f>_xll.qlSwapIndex(,"Aonia",IF(C27="SW","1W",C27),SettlementDays,Currency,Calendar,FixedLegTenor,FixedLegBDC,FixedLegDayCounter,OvernightIndex,YieldCurve,,Trigger)</f>
        <v>obj_00311#0004</v>
      </c>
      <c r="M27" s="57"/>
      <c r="N27" s="57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123"/>
      <c r="B28" s="89"/>
      <c r="C28" s="35" t="s">
        <v>36</v>
      </c>
      <c r="D28" s="35" t="s">
        <v>80</v>
      </c>
      <c r="E28" s="68">
        <f t="shared" si="1"/>
        <v>41872</v>
      </c>
      <c r="F28" s="68">
        <f>_xll.qlInterestRateIndexValueDate(L28,E28)</f>
        <v>41873</v>
      </c>
      <c r="G28" s="68">
        <f>_xll.qlInterestRateIndexMaturity(L28,F28)</f>
        <v>44795</v>
      </c>
      <c r="H28" s="67">
        <f>_xll.qlIndexFixing(L28,E28,TRUE,InterestRatesTrigger)</f>
        <v>3.3499999999957619E-2</v>
      </c>
      <c r="I28" s="54" t="str">
        <f>Contribution!F28</f>
        <v>AUDON8YD=</v>
      </c>
      <c r="J28" s="54" t="str">
        <f t="shared" si="3"/>
        <v>AUD8YMTOIS=ICAA</v>
      </c>
      <c r="K28" s="85"/>
      <c r="L28" s="35" t="str">
        <f>_xll.qlSwapIndex(,"Aonia",IF(C28="SW","1W",C28),SettlementDays,Currency,Calendar,FixedLegTenor,FixedLegBDC,FixedLegDayCounter,OvernightIndex,YieldCurve,,Trigger)</f>
        <v>obj_00334#0004</v>
      </c>
      <c r="M28" s="57"/>
      <c r="N28" s="57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123"/>
      <c r="B29" s="89"/>
      <c r="C29" s="35" t="s">
        <v>37</v>
      </c>
      <c r="D29" s="35" t="s">
        <v>80</v>
      </c>
      <c r="E29" s="68">
        <f t="shared" si="1"/>
        <v>41872</v>
      </c>
      <c r="F29" s="68">
        <f>_xll.qlInterestRateIndexValueDate(L29,E29)</f>
        <v>41873</v>
      </c>
      <c r="G29" s="68">
        <f>_xll.qlInterestRateIndexMaturity(L29,F29)</f>
        <v>45160</v>
      </c>
      <c r="H29" s="67">
        <f>_xll.qlIndexFixing(L29,E29,TRUE,InterestRatesTrigger)</f>
        <v>3.4349999999965936E-2</v>
      </c>
      <c r="I29" s="54" t="str">
        <f>Contribution!F29</f>
        <v>AUDON9YD=</v>
      </c>
      <c r="J29" s="54" t="str">
        <f t="shared" si="3"/>
        <v>AUD9YMTOIS=ICAA</v>
      </c>
      <c r="K29" s="85"/>
      <c r="L29" s="35" t="str">
        <f>_xll.qlSwapIndex(,"Aonia",IF(C29="SW","1W",C29),SettlementDays,Currency,Calendar,FixedLegTenor,FixedLegBDC,FixedLegDayCounter,OvernightIndex,YieldCurve,,Trigger)</f>
        <v>obj_0033c#0004</v>
      </c>
      <c r="M29" s="57"/>
      <c r="N29" s="57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123"/>
      <c r="B30" s="89"/>
      <c r="C30" s="35" t="s">
        <v>38</v>
      </c>
      <c r="D30" s="35" t="s">
        <v>80</v>
      </c>
      <c r="E30" s="68">
        <f t="shared" si="1"/>
        <v>41872</v>
      </c>
      <c r="F30" s="68">
        <f>_xll.qlInterestRateIndexValueDate(L30,E30)</f>
        <v>41873</v>
      </c>
      <c r="G30" s="68">
        <f>_xll.qlInterestRateIndexMaturity(L30,F30)</f>
        <v>45526</v>
      </c>
      <c r="H30" s="67">
        <f>_xll.qlIndexFixing(L30,E30,TRUE,InterestRatesTrigger)</f>
        <v>3.5229999999972013E-2</v>
      </c>
      <c r="I30" s="54" t="str">
        <f>Contribution!F30</f>
        <v>AUDON10YD=</v>
      </c>
      <c r="J30" s="54" t="str">
        <f t="shared" si="3"/>
        <v>AUD10YMTOIS=ICAA</v>
      </c>
      <c r="K30" s="85"/>
      <c r="L30" s="35" t="str">
        <f>_xll.qlSwapIndex(,"Aonia",IF(C30="SW","1W",C30),SettlementDays,Currency,Calendar,FixedLegTenor,FixedLegBDC,FixedLegDayCounter,OvernightIndex,YieldCurve,,Trigger)</f>
        <v>obj_0031b#0004</v>
      </c>
      <c r="M30" s="57"/>
      <c r="N30" s="57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123"/>
      <c r="B31" s="89"/>
      <c r="C31" s="35" t="s">
        <v>39</v>
      </c>
      <c r="D31" s="35" t="s">
        <v>80</v>
      </c>
      <c r="E31" s="68">
        <f t="shared" si="1"/>
        <v>41872</v>
      </c>
      <c r="F31" s="68">
        <f>_xll.qlInterestRateIndexValueDate(L31,E31)</f>
        <v>41873</v>
      </c>
      <c r="G31" s="68">
        <f>_xll.qlInterestRateIndexMaturity(L31,F31)</f>
        <v>46258</v>
      </c>
      <c r="H31" s="67">
        <f>_xll.qlIndexFixing(L31,E31,TRUE,InterestRatesTrigger)</f>
        <v>3.6499999999961612E-2</v>
      </c>
      <c r="I31" s="54" t="str">
        <f>Contribution!F31</f>
        <v>AUDON12YD=</v>
      </c>
      <c r="J31" s="54" t="str">
        <f t="shared" si="3"/>
        <v>AUD12YMTOIS=ICAA</v>
      </c>
      <c r="K31" s="85"/>
      <c r="L31" s="35" t="str">
        <f>_xll.qlSwapIndex(,"Aonia",IF(C31="SW","1W",C31),SettlementDays,Currency,Calendar,FixedLegTenor,FixedLegBDC,FixedLegDayCounter,OvernightIndex,YieldCurve,,Trigger)</f>
        <v>obj_00335#0004</v>
      </c>
      <c r="M31" s="57"/>
      <c r="N31" s="57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123"/>
      <c r="B32" s="89"/>
      <c r="C32" s="35" t="s">
        <v>40</v>
      </c>
      <c r="D32" s="35" t="s">
        <v>80</v>
      </c>
      <c r="E32" s="68">
        <f t="shared" si="1"/>
        <v>41872</v>
      </c>
      <c r="F32" s="68">
        <f>_xll.qlInterestRateIndexValueDate(L32,E32)</f>
        <v>41873</v>
      </c>
      <c r="G32" s="68">
        <f>_xll.qlInterestRateIndexMaturity(L32,F32)</f>
        <v>47352</v>
      </c>
      <c r="H32" s="67">
        <f>_xll.qlIndexFixing(L32,E32,TRUE,InterestRatesTrigger)</f>
        <v>3.7979999999909475E-2</v>
      </c>
      <c r="I32" s="54" t="str">
        <f>Contribution!F32</f>
        <v>AUDON15YD=</v>
      </c>
      <c r="J32" s="54" t="str">
        <f t="shared" si="3"/>
        <v>AUD15YMTOIS=ICAA</v>
      </c>
      <c r="K32" s="85"/>
      <c r="L32" s="35" t="str">
        <f>_xll.qlSwapIndex(,"Aonia",IF(C32="SW","1W",C32),SettlementDays,Currency,Calendar,FixedLegTenor,FixedLegBDC,FixedLegDayCounter,OvernightIndex,YieldCurve,,Trigger)</f>
        <v>obj_0034b#0004</v>
      </c>
      <c r="M32" s="57"/>
      <c r="N32" s="57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123"/>
      <c r="B33" s="89"/>
      <c r="C33" s="35" t="s">
        <v>41</v>
      </c>
      <c r="D33" s="35" t="s">
        <v>80</v>
      </c>
      <c r="E33" s="68">
        <f t="shared" si="1"/>
        <v>41872</v>
      </c>
      <c r="F33" s="68">
        <f>_xll.qlInterestRateIndexValueDate(L33,E33)</f>
        <v>41873</v>
      </c>
      <c r="G33" s="68">
        <f>_xll.qlInterestRateIndexMaturity(L33,F33)</f>
        <v>49178</v>
      </c>
      <c r="H33" s="67">
        <f>_xll.qlIndexFixing(L33,E33,TRUE,InterestRatesTrigger)</f>
        <v>3.9350000000009551E-2</v>
      </c>
      <c r="I33" s="54" t="str">
        <f>Contribution!F33</f>
        <v>AUDON20YD=</v>
      </c>
      <c r="J33" s="54" t="str">
        <f t="shared" si="3"/>
        <v>AUD20YMTOIS=ICAA</v>
      </c>
      <c r="K33" s="85"/>
      <c r="L33" s="35" t="str">
        <f>_xll.qlSwapIndex(,"Aonia",IF(C33="SW","1W",C33),SettlementDays,Currency,Calendar,FixedLegTenor,FixedLegBDC,FixedLegDayCounter,OvernightIndex,YieldCurve,,Trigger)</f>
        <v>obj_0030e#0004</v>
      </c>
      <c r="M33" s="57"/>
      <c r="N33" s="57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123"/>
      <c r="B34" s="89"/>
      <c r="C34" s="35" t="s">
        <v>42</v>
      </c>
      <c r="D34" s="35" t="s">
        <v>80</v>
      </c>
      <c r="E34" s="68">
        <f t="shared" si="1"/>
        <v>41872</v>
      </c>
      <c r="F34" s="68">
        <f>_xll.qlInterestRateIndexValueDate(L34,E34)</f>
        <v>41873</v>
      </c>
      <c r="G34" s="68">
        <f>_xll.qlInterestRateIndexMaturity(L34,F34)</f>
        <v>51004</v>
      </c>
      <c r="H34" s="67">
        <f>_xll.qlIndexFixing(L34,E34,TRUE,InterestRatesTrigger)</f>
        <v>4.0050000000006442E-2</v>
      </c>
      <c r="I34" s="54" t="str">
        <f>Contribution!F34</f>
        <v>AUDON25YD=</v>
      </c>
      <c r="J34" s="54" t="str">
        <f t="shared" si="3"/>
        <v>AUD25YMTOIS=ICAA</v>
      </c>
      <c r="K34" s="85"/>
      <c r="L34" s="35" t="str">
        <f>_xll.qlSwapIndex(,"Aonia",IF(C34="SW","1W",C34),SettlementDays,Currency,Calendar,FixedLegTenor,FixedLegBDC,FixedLegDayCounter,OvernightIndex,YieldCurve,,Trigger)</f>
        <v>obj_0031a#0004</v>
      </c>
      <c r="M34" s="57"/>
      <c r="N34" s="57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123"/>
      <c r="B35" s="89"/>
      <c r="C35" s="37" t="s">
        <v>43</v>
      </c>
      <c r="D35" s="35" t="s">
        <v>80</v>
      </c>
      <c r="E35" s="68">
        <f t="shared" si="1"/>
        <v>41872</v>
      </c>
      <c r="F35" s="68">
        <f>_xll.qlInterestRateIndexValueDate(L35,E35)</f>
        <v>41873</v>
      </c>
      <c r="G35" s="68">
        <f>_xll.qlInterestRateIndexMaturity(L35,F35)</f>
        <v>52831</v>
      </c>
      <c r="H35" s="67">
        <f>_xll.qlIndexFixing(L35,E35,TRUE,InterestRatesTrigger)</f>
        <v>4.0449999999984887E-2</v>
      </c>
      <c r="I35" s="56" t="str">
        <f>Contribution!F35</f>
        <v>AUDON30YD=</v>
      </c>
      <c r="J35" s="56" t="str">
        <f t="shared" si="3"/>
        <v>AUD30YMTOIS=ICAA</v>
      </c>
      <c r="K35" s="85"/>
      <c r="L35" s="37" t="str">
        <f>_xll.qlSwapIndex(,"Aonia",IF(C35="SW","1W",C35),SettlementDays,Currency,Calendar,FixedLegTenor,FixedLegBDC,FixedLegDayCounter,OvernightIndex,YieldCurve,,Trigger)</f>
        <v>obj_0030d#0004</v>
      </c>
      <c r="M35" s="57"/>
      <c r="N35" s="57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123"/>
      <c r="B36" s="89"/>
      <c r="C36" s="83"/>
      <c r="D36" s="83"/>
      <c r="E36" s="83"/>
      <c r="F36" s="83"/>
      <c r="G36" s="83"/>
      <c r="H36" s="83"/>
      <c r="I36" s="83"/>
      <c r="J36" s="84"/>
      <c r="K36" s="82"/>
      <c r="L36" s="83"/>
      <c r="M36" s="57"/>
      <c r="N36" s="57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123"/>
      <c r="B37" s="89"/>
      <c r="C37" s="82"/>
      <c r="D37" s="82"/>
      <c r="E37" s="82"/>
      <c r="F37" s="82"/>
      <c r="G37" s="82"/>
      <c r="H37" s="82"/>
      <c r="I37" s="82"/>
      <c r="J37" s="84"/>
      <c r="K37" s="82"/>
      <c r="L37" s="82"/>
      <c r="M37" s="57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123"/>
      <c r="B38" s="11"/>
      <c r="C38" s="6"/>
      <c r="D38" s="6"/>
      <c r="E38" s="6"/>
      <c r="F38" s="6"/>
      <c r="G38" s="6"/>
      <c r="H38" s="6"/>
      <c r="I38" s="6"/>
      <c r="J38" s="9"/>
      <c r="K38" s="6"/>
      <c r="L38" s="6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123"/>
      <c r="B39" s="11"/>
      <c r="C39" s="6"/>
      <c r="D39" s="6"/>
      <c r="E39" s="6"/>
      <c r="F39" s="6"/>
      <c r="G39" s="6"/>
      <c r="H39" s="6"/>
      <c r="I39" s="6"/>
      <c r="J39" s="9"/>
      <c r="K39" s="6"/>
      <c r="L39" s="6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6"/>
      <c r="B40" s="11"/>
      <c r="C40" s="6"/>
      <c r="D40" s="6"/>
      <c r="E40" s="6"/>
      <c r="F40" s="6"/>
      <c r="G40" s="6"/>
      <c r="H40" s="6"/>
      <c r="I40" s="6"/>
      <c r="J40" s="9"/>
      <c r="K40" s="6"/>
      <c r="L40" s="6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6"/>
      <c r="B41" s="11"/>
      <c r="C41" s="6"/>
      <c r="D41" s="6"/>
      <c r="E41" s="6"/>
      <c r="F41" s="6"/>
      <c r="G41" s="6"/>
      <c r="H41" s="6"/>
      <c r="I41" s="6"/>
      <c r="J41" s="9"/>
      <c r="K41" s="6"/>
      <c r="L41" s="6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6"/>
      <c r="B42" s="11"/>
      <c r="C42" s="6"/>
      <c r="D42" s="6"/>
      <c r="E42" s="6"/>
      <c r="F42" s="6"/>
      <c r="G42" s="6"/>
      <c r="H42" s="6"/>
      <c r="I42" s="6"/>
      <c r="J42" s="9"/>
      <c r="K42" s="6"/>
      <c r="L42" s="6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6"/>
      <c r="B43" s="11"/>
      <c r="C43" s="6"/>
      <c r="D43" s="6"/>
      <c r="E43" s="6"/>
      <c r="F43" s="6"/>
      <c r="G43" s="6"/>
      <c r="H43" s="152"/>
      <c r="I43" s="6"/>
      <c r="J43" s="9"/>
      <c r="K43" s="6"/>
      <c r="L43" s="6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6"/>
      <c r="B44" s="11"/>
      <c r="C44" s="6"/>
      <c r="D44" s="6"/>
      <c r="E44" s="6"/>
      <c r="F44" s="6"/>
      <c r="G44" s="6"/>
      <c r="H44" s="152"/>
      <c r="I44" s="6"/>
      <c r="J44" s="9"/>
      <c r="K44" s="6"/>
      <c r="L44" s="6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6"/>
      <c r="B45" s="11"/>
      <c r="C45" s="6"/>
      <c r="D45" s="6"/>
      <c r="E45" s="6"/>
      <c r="F45" s="6"/>
      <c r="G45" s="6"/>
      <c r="H45" s="152"/>
      <c r="I45" s="6"/>
      <c r="J45" s="9"/>
      <c r="K45" s="6"/>
      <c r="L45" s="6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6"/>
      <c r="B46" s="11"/>
      <c r="C46" s="6"/>
      <c r="D46" s="6"/>
      <c r="E46" s="6"/>
      <c r="F46" s="6"/>
      <c r="G46" s="6"/>
      <c r="H46" s="6"/>
      <c r="I46" s="6"/>
      <c r="J46" s="9"/>
      <c r="K46" s="6"/>
      <c r="L46" s="6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11"/>
      <c r="C47" s="6"/>
      <c r="D47" s="6"/>
      <c r="E47" s="6"/>
      <c r="F47" s="6"/>
      <c r="G47" s="6"/>
      <c r="H47" s="6"/>
      <c r="I47" s="6"/>
      <c r="J47" s="9"/>
      <c r="K47" s="6"/>
      <c r="L47" s="6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11"/>
      <c r="C48" s="6"/>
      <c r="D48" s="6"/>
      <c r="E48" s="6"/>
      <c r="F48" s="6"/>
      <c r="G48" s="6"/>
      <c r="H48" s="6"/>
      <c r="I48" s="6"/>
      <c r="J48" s="9"/>
      <c r="K48" s="6"/>
      <c r="L48" s="6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11"/>
      <c r="C49" s="6"/>
      <c r="D49" s="6"/>
      <c r="E49" s="6"/>
      <c r="F49" s="6"/>
      <c r="G49" s="6"/>
      <c r="H49" s="6"/>
      <c r="I49" s="6"/>
      <c r="J49" s="9"/>
      <c r="K49" s="6"/>
      <c r="L49" s="6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11"/>
      <c r="C50" s="6"/>
      <c r="D50" s="6"/>
      <c r="E50" s="6"/>
      <c r="F50" s="6"/>
      <c r="G50" s="6"/>
      <c r="H50" s="6"/>
      <c r="I50" s="6"/>
      <c r="J50" s="9"/>
      <c r="K50" s="6"/>
      <c r="L50" s="6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11"/>
      <c r="C51" s="6"/>
      <c r="D51" s="6"/>
      <c r="E51" s="6"/>
      <c r="F51" s="6"/>
      <c r="G51" s="6"/>
      <c r="H51" s="6"/>
      <c r="I51" s="6"/>
      <c r="J51" s="9"/>
      <c r="K51" s="6"/>
      <c r="L51" s="6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11"/>
      <c r="C52" s="6"/>
      <c r="D52" s="6"/>
      <c r="E52" s="6"/>
      <c r="F52" s="6"/>
      <c r="G52" s="6"/>
      <c r="H52" s="6"/>
      <c r="I52" s="6"/>
      <c r="J52" s="9"/>
      <c r="K52" s="6"/>
      <c r="L52" s="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11"/>
      <c r="C53" s="6"/>
      <c r="D53" s="6"/>
      <c r="E53" s="6"/>
      <c r="F53" s="6"/>
      <c r="G53" s="6"/>
      <c r="H53" s="6"/>
      <c r="I53" s="6"/>
      <c r="J53" s="9"/>
      <c r="K53" s="6"/>
      <c r="L53" s="6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11"/>
      <c r="C54" s="6"/>
      <c r="D54" s="6"/>
      <c r="E54" s="6"/>
      <c r="F54" s="6"/>
      <c r="G54" s="6"/>
      <c r="H54" s="6"/>
      <c r="I54" s="6"/>
      <c r="J54" s="9"/>
      <c r="K54" s="6"/>
      <c r="L54" s="6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11"/>
      <c r="C55" s="6"/>
      <c r="D55" s="6"/>
      <c r="E55" s="6"/>
      <c r="F55" s="6"/>
      <c r="G55" s="6"/>
      <c r="H55" s="6"/>
      <c r="I55" s="6"/>
      <c r="J55" s="9"/>
      <c r="K55" s="6"/>
      <c r="L55" s="6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11"/>
      <c r="C56" s="6"/>
      <c r="D56" s="6"/>
      <c r="E56" s="6"/>
      <c r="F56" s="6"/>
      <c r="G56" s="6"/>
      <c r="H56" s="6"/>
      <c r="I56" s="6"/>
      <c r="J56" s="9"/>
      <c r="K56" s="6"/>
      <c r="L56" s="6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11"/>
      <c r="C57" s="6"/>
      <c r="D57" s="6"/>
      <c r="E57" s="6"/>
      <c r="F57" s="6"/>
      <c r="G57" s="6"/>
      <c r="H57" s="6"/>
      <c r="I57" s="6"/>
      <c r="J57" s="9"/>
      <c r="K57" s="6"/>
      <c r="L57" s="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11"/>
      <c r="C58" s="6"/>
      <c r="D58" s="6"/>
      <c r="E58" s="6"/>
      <c r="F58" s="6"/>
      <c r="G58" s="6"/>
      <c r="H58" s="6"/>
      <c r="I58" s="6"/>
      <c r="J58" s="9"/>
      <c r="K58" s="6"/>
      <c r="L58" s="6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11"/>
      <c r="C59" s="6"/>
      <c r="D59" s="6"/>
      <c r="E59" s="6"/>
      <c r="F59" s="6"/>
      <c r="G59" s="6"/>
      <c r="H59" s="6"/>
      <c r="I59" s="6"/>
      <c r="J59" s="9"/>
      <c r="K59" s="6"/>
      <c r="L59" s="6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11"/>
      <c r="C60" s="6"/>
      <c r="D60" s="6"/>
      <c r="E60" s="6"/>
      <c r="F60" s="6"/>
      <c r="G60" s="6"/>
      <c r="H60" s="6"/>
      <c r="I60" s="6"/>
      <c r="J60" s="9"/>
      <c r="K60" s="6"/>
      <c r="L60" s="6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11"/>
      <c r="C61" s="6"/>
      <c r="D61" s="6"/>
      <c r="E61" s="6"/>
      <c r="F61" s="6"/>
      <c r="G61" s="6"/>
      <c r="H61" s="6"/>
      <c r="I61" s="6"/>
      <c r="J61" s="9"/>
      <c r="K61" s="6"/>
      <c r="L61" s="6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11"/>
      <c r="C62" s="6"/>
      <c r="D62" s="6"/>
      <c r="E62" s="6"/>
      <c r="F62" s="6"/>
      <c r="G62" s="6"/>
      <c r="H62" s="6"/>
      <c r="I62" s="6"/>
      <c r="J62" s="9"/>
      <c r="K62" s="6"/>
      <c r="L62" s="6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11"/>
      <c r="C63" s="6"/>
      <c r="D63" s="6"/>
      <c r="E63" s="6"/>
      <c r="F63" s="6"/>
      <c r="G63" s="6"/>
      <c r="H63" s="6"/>
      <c r="I63" s="6"/>
      <c r="J63" s="9"/>
      <c r="K63" s="6"/>
      <c r="L63" s="6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11"/>
      <c r="C64" s="6"/>
      <c r="D64" s="6"/>
      <c r="E64" s="6"/>
      <c r="F64" s="6"/>
      <c r="G64" s="6"/>
      <c r="H64" s="6"/>
      <c r="I64" s="6"/>
      <c r="J64" s="9"/>
      <c r="K64" s="6"/>
      <c r="L64" s="6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11"/>
      <c r="C65" s="6"/>
      <c r="D65" s="6"/>
      <c r="E65" s="6"/>
      <c r="F65" s="6"/>
      <c r="G65" s="6"/>
      <c r="H65" s="6"/>
      <c r="I65" s="6"/>
      <c r="J65" s="9"/>
      <c r="K65" s="6"/>
      <c r="L65" s="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11"/>
      <c r="C66" s="6"/>
      <c r="D66" s="6"/>
      <c r="E66" s="6"/>
      <c r="F66" s="6"/>
      <c r="G66" s="6"/>
      <c r="H66" s="6"/>
      <c r="I66" s="6"/>
      <c r="J66" s="9"/>
      <c r="K66" s="6"/>
      <c r="L66" s="6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11"/>
      <c r="C67" s="6"/>
      <c r="D67" s="6"/>
      <c r="E67" s="6"/>
      <c r="F67" s="6"/>
      <c r="G67" s="6"/>
      <c r="H67" s="6"/>
      <c r="I67" s="6"/>
      <c r="J67" s="9"/>
      <c r="K67" s="6"/>
      <c r="L67" s="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11"/>
      <c r="C68" s="6"/>
      <c r="D68" s="6"/>
      <c r="E68" s="6"/>
      <c r="F68" s="6"/>
      <c r="G68" s="6"/>
      <c r="H68" s="6"/>
      <c r="I68" s="6"/>
      <c r="J68" s="9"/>
      <c r="K68" s="6"/>
      <c r="L68" s="6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11"/>
      <c r="C69" s="6"/>
      <c r="D69" s="6"/>
      <c r="E69" s="6"/>
      <c r="F69" s="6"/>
      <c r="G69" s="6"/>
      <c r="H69" s="6"/>
      <c r="I69" s="6"/>
      <c r="J69" s="9"/>
      <c r="K69" s="6"/>
      <c r="L69" s="6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11"/>
      <c r="C70" s="6"/>
      <c r="D70" s="6"/>
      <c r="E70" s="6"/>
      <c r="F70" s="6"/>
      <c r="G70" s="6"/>
      <c r="H70" s="6"/>
      <c r="I70" s="6"/>
      <c r="J70" s="9"/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11"/>
      <c r="C71" s="6"/>
      <c r="D71" s="6"/>
      <c r="E71" s="6"/>
      <c r="F71" s="6"/>
      <c r="G71" s="6"/>
      <c r="H71" s="6"/>
      <c r="I71" s="6"/>
      <c r="J71" s="9"/>
      <c r="K71" s="6"/>
      <c r="L71" s="6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11"/>
      <c r="C72" s="6"/>
      <c r="D72" s="6"/>
      <c r="E72" s="6"/>
      <c r="F72" s="6"/>
      <c r="G72" s="6"/>
      <c r="H72" s="6"/>
      <c r="I72" s="6"/>
      <c r="J72" s="9"/>
      <c r="K72" s="6"/>
      <c r="L72" s="6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11"/>
      <c r="C73" s="6"/>
      <c r="D73" s="6"/>
      <c r="E73" s="6"/>
      <c r="F73" s="6"/>
      <c r="G73" s="6"/>
      <c r="H73" s="6"/>
      <c r="I73" s="6"/>
      <c r="J73" s="9"/>
      <c r="K73" s="6"/>
      <c r="L73" s="6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11"/>
      <c r="C74" s="6"/>
      <c r="D74" s="6"/>
      <c r="E74" s="6"/>
      <c r="F74" s="6"/>
      <c r="G74" s="6"/>
      <c r="H74" s="6"/>
      <c r="I74" s="6"/>
      <c r="J74" s="9"/>
      <c r="K74" s="6"/>
      <c r="L74" s="6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11"/>
      <c r="C75" s="6"/>
      <c r="D75" s="6"/>
      <c r="E75" s="6"/>
      <c r="F75" s="6"/>
      <c r="G75" s="6"/>
      <c r="H75" s="6"/>
      <c r="I75" s="6"/>
      <c r="J75" s="9"/>
      <c r="K75" s="6"/>
      <c r="L75" s="6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11"/>
      <c r="C76" s="6"/>
      <c r="D76" s="6"/>
      <c r="E76" s="6"/>
      <c r="F76" s="6"/>
      <c r="G76" s="6"/>
      <c r="H76" s="6"/>
      <c r="I76" s="6"/>
      <c r="J76" s="9"/>
      <c r="K76" s="6"/>
      <c r="L76" s="6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11"/>
      <c r="C77" s="6"/>
      <c r="D77" s="6"/>
      <c r="E77" s="6"/>
      <c r="F77" s="6"/>
      <c r="G77" s="6"/>
      <c r="H77" s="6"/>
      <c r="I77" s="6"/>
      <c r="J77" s="9"/>
      <c r="K77" s="6"/>
      <c r="L77" s="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11"/>
      <c r="C78" s="6"/>
      <c r="D78" s="6"/>
      <c r="E78" s="6"/>
      <c r="F78" s="6"/>
      <c r="G78" s="6"/>
      <c r="H78" s="6"/>
      <c r="I78" s="6"/>
      <c r="J78" s="9"/>
      <c r="K78" s="6"/>
      <c r="L78" s="6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11"/>
      <c r="C79" s="6"/>
      <c r="D79" s="6"/>
      <c r="E79" s="6"/>
      <c r="F79" s="6"/>
      <c r="G79" s="6"/>
      <c r="H79" s="6"/>
      <c r="I79" s="6"/>
      <c r="J79" s="9"/>
      <c r="K79" s="6"/>
      <c r="L79" s="6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11"/>
      <c r="C80" s="6"/>
      <c r="D80" s="6"/>
      <c r="E80" s="6"/>
      <c r="F80" s="6"/>
      <c r="G80" s="6"/>
      <c r="H80" s="6"/>
      <c r="I80" s="6"/>
      <c r="J80" s="9"/>
      <c r="K80" s="6"/>
      <c r="L80" s="6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11"/>
      <c r="C81" s="6"/>
      <c r="D81" s="6"/>
      <c r="E81" s="6"/>
      <c r="F81" s="6"/>
      <c r="G81" s="6"/>
      <c r="H81" s="6"/>
      <c r="I81" s="6"/>
      <c r="J81" s="9"/>
      <c r="K81" s="6"/>
      <c r="L81" s="6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11"/>
      <c r="C82" s="6"/>
      <c r="D82" s="6"/>
      <c r="E82" s="6"/>
      <c r="F82" s="6"/>
      <c r="G82" s="6"/>
      <c r="H82" s="6"/>
      <c r="I82" s="6"/>
      <c r="J82" s="9"/>
      <c r="K82" s="6"/>
      <c r="L82" s="6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11"/>
      <c r="C83" s="6"/>
      <c r="D83" s="6"/>
      <c r="E83" s="6"/>
      <c r="F83" s="6"/>
      <c r="G83" s="6"/>
      <c r="H83" s="6"/>
      <c r="I83" s="6"/>
      <c r="J83" s="9"/>
      <c r="K83" s="6"/>
      <c r="L83" s="6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11"/>
      <c r="C84" s="6"/>
      <c r="D84" s="6"/>
      <c r="E84" s="6"/>
      <c r="F84" s="6"/>
      <c r="G84" s="6"/>
      <c r="H84" s="6"/>
      <c r="I84" s="6"/>
      <c r="J84" s="9"/>
      <c r="K84" s="6"/>
      <c r="L84" s="6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11"/>
      <c r="C85" s="6"/>
      <c r="D85" s="6"/>
      <c r="E85" s="6"/>
      <c r="F85" s="6"/>
      <c r="G85" s="6"/>
      <c r="H85" s="6"/>
      <c r="I85" s="6"/>
      <c r="J85" s="9"/>
      <c r="K85" s="6"/>
      <c r="L85" s="6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11"/>
      <c r="C86" s="6"/>
      <c r="D86" s="6"/>
      <c r="E86" s="6"/>
      <c r="F86" s="6"/>
      <c r="G86" s="6"/>
      <c r="H86" s="6"/>
      <c r="I86" s="6"/>
      <c r="J86" s="9"/>
      <c r="K86" s="6"/>
      <c r="L86" s="6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11"/>
      <c r="C87" s="6"/>
      <c r="D87" s="6"/>
      <c r="E87" s="6"/>
      <c r="F87" s="6"/>
      <c r="G87" s="6"/>
      <c r="H87" s="6"/>
      <c r="I87" s="6"/>
      <c r="J87" s="9"/>
      <c r="K87" s="6"/>
      <c r="L87" s="6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11"/>
      <c r="C88" s="6"/>
      <c r="D88" s="6"/>
      <c r="E88" s="6"/>
      <c r="F88" s="6"/>
      <c r="G88" s="6"/>
      <c r="H88" s="6"/>
      <c r="I88" s="6"/>
      <c r="J88" s="9"/>
      <c r="K88" s="6"/>
      <c r="L88" s="6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11"/>
      <c r="C89" s="6"/>
      <c r="D89" s="6"/>
      <c r="E89" s="6"/>
      <c r="F89" s="6"/>
      <c r="G89" s="6"/>
      <c r="H89" s="6"/>
      <c r="I89" s="6"/>
      <c r="J89" s="9"/>
      <c r="K89" s="6"/>
      <c r="L89" s="6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11"/>
      <c r="C90" s="6"/>
      <c r="D90" s="6"/>
      <c r="E90" s="6"/>
      <c r="F90" s="6"/>
      <c r="G90" s="6"/>
      <c r="H90" s="6"/>
      <c r="I90" s="6"/>
      <c r="J90" s="9"/>
      <c r="K90" s="6"/>
      <c r="L90" s="6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11"/>
      <c r="C91" s="6"/>
      <c r="D91" s="6"/>
      <c r="E91" s="6"/>
      <c r="F91" s="6"/>
      <c r="G91" s="6"/>
      <c r="H91" s="6"/>
      <c r="I91" s="6"/>
      <c r="J91" s="9"/>
      <c r="K91" s="6"/>
      <c r="L91" s="6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11"/>
      <c r="C92" s="6"/>
      <c r="D92" s="6"/>
      <c r="E92" s="6"/>
      <c r="F92" s="6"/>
      <c r="G92" s="6"/>
      <c r="H92" s="6"/>
      <c r="I92" s="6"/>
      <c r="J92" s="9"/>
      <c r="K92" s="6"/>
      <c r="L92" s="6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11"/>
      <c r="C93" s="6"/>
      <c r="D93" s="6"/>
      <c r="E93" s="6"/>
      <c r="F93" s="6"/>
      <c r="G93" s="6"/>
      <c r="H93" s="6"/>
      <c r="I93" s="6"/>
      <c r="J93" s="9"/>
      <c r="K93" s="6"/>
      <c r="L93" s="6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11"/>
      <c r="C94" s="6"/>
      <c r="D94" s="6"/>
      <c r="E94" s="6"/>
      <c r="F94" s="6"/>
      <c r="G94" s="6"/>
      <c r="H94" s="6"/>
      <c r="I94" s="6"/>
      <c r="J94" s="9"/>
      <c r="K94" s="6"/>
      <c r="L94" s="6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11"/>
      <c r="C95" s="6"/>
      <c r="D95" s="6"/>
      <c r="E95" s="6"/>
      <c r="F95" s="6"/>
      <c r="G95" s="6"/>
      <c r="H95" s="6"/>
      <c r="I95" s="6"/>
      <c r="J95" s="9"/>
      <c r="K95" s="6"/>
      <c r="L95" s="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11"/>
      <c r="C96" s="6"/>
      <c r="D96" s="6"/>
      <c r="E96" s="6"/>
      <c r="F96" s="6"/>
      <c r="G96" s="6"/>
      <c r="H96" s="6"/>
      <c r="I96" s="6"/>
      <c r="J96" s="9"/>
      <c r="K96" s="6"/>
      <c r="L96" s="6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6"/>
      <c r="B97" s="11"/>
      <c r="C97" s="6"/>
      <c r="D97" s="6"/>
      <c r="E97" s="6"/>
      <c r="F97" s="6"/>
      <c r="G97" s="6"/>
      <c r="H97" s="6"/>
      <c r="I97" s="6"/>
      <c r="J97" s="9"/>
      <c r="K97" s="6"/>
      <c r="L97" s="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6"/>
      <c r="B98" s="11"/>
    </row>
    <row r="99" spans="1:25" x14ac:dyDescent="0.2">
      <c r="A99" s="6"/>
      <c r="B99" s="11"/>
    </row>
    <row r="100" spans="1:25" x14ac:dyDescent="0.2">
      <c r="A100" s="6"/>
      <c r="B100" s="11"/>
    </row>
  </sheetData>
  <dataValidations count="2">
    <dataValidation type="list" allowBlank="1" showInputMessage="1" showErrorMessage="1" sqref="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8">
      <formula1>"Following,Modified Following,Preceding,Modified Preceding,Unadjusted,Half-Month Modified Following"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showGridLines="0" workbookViewId="0">
      <selection activeCell="G1" sqref="G1"/>
    </sheetView>
  </sheetViews>
  <sheetFormatPr defaultColWidth="2.85546875" defaultRowHeight="11.25" outlineLevelCol="1" x14ac:dyDescent="0.2"/>
  <cols>
    <col min="1" max="1" width="2.7109375" style="7" customWidth="1"/>
    <col min="2" max="2" width="4" style="12" bestFit="1" customWidth="1"/>
    <col min="3" max="3" width="4" style="5" bestFit="1" customWidth="1"/>
    <col min="4" max="4" width="10" style="7" hidden="1" customWidth="1" outlineLevel="1"/>
    <col min="5" max="5" width="5" style="7" hidden="1" customWidth="1" outlineLevel="1"/>
    <col min="6" max="6" width="15.140625" style="7" bestFit="1" customWidth="1" collapsed="1"/>
    <col min="7" max="9" width="17.28515625" style="7" customWidth="1"/>
    <col min="10" max="10" width="8" style="7" bestFit="1" customWidth="1"/>
    <col min="11" max="11" width="13.140625" style="7" bestFit="1" customWidth="1"/>
    <col min="12" max="12" width="16.140625" style="7" bestFit="1" customWidth="1"/>
    <col min="13" max="13" width="2.7109375" style="7" hidden="1" customWidth="1" outlineLevel="1"/>
    <col min="14" max="14" width="15.140625" style="7" hidden="1" customWidth="1" outlineLevel="1"/>
    <col min="15" max="15" width="2.7109375" style="7" hidden="1" customWidth="1" outlineLevel="1"/>
    <col min="16" max="16" width="14.140625" style="7" hidden="1" customWidth="1" outlineLevel="1"/>
    <col min="17" max="17" width="30.7109375" style="7" hidden="1" customWidth="1" outlineLevel="1"/>
    <col min="18" max="18" width="19.28515625" style="7" hidden="1" customWidth="1" outlineLevel="1"/>
    <col min="19" max="19" width="2.7109375" style="1" customWidth="1" collapsed="1"/>
    <col min="20" max="27" width="14.85546875" style="1" customWidth="1"/>
    <col min="28" max="30" width="14.85546875" style="52" customWidth="1"/>
    <col min="31" max="151" width="14.85546875" style="1" customWidth="1"/>
    <col min="152" max="16384" width="2.85546875" style="1"/>
  </cols>
  <sheetData>
    <row r="1" spans="1:27" x14ac:dyDescent="0.2">
      <c r="A1" s="82"/>
      <c r="B1" s="89"/>
      <c r="C1" s="117"/>
      <c r="D1" s="123"/>
      <c r="E1" s="123"/>
      <c r="F1" s="8" t="s">
        <v>103</v>
      </c>
      <c r="G1" s="23" t="s">
        <v>23</v>
      </c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57"/>
      <c r="T1" s="57"/>
      <c r="U1" s="57"/>
      <c r="V1" s="57"/>
      <c r="W1" s="57"/>
      <c r="X1" s="57"/>
      <c r="Y1" s="57"/>
      <c r="Z1" s="57"/>
      <c r="AA1" s="57"/>
    </row>
    <row r="2" spans="1:27" x14ac:dyDescent="0.2">
      <c r="A2" s="82"/>
      <c r="B2" s="89"/>
      <c r="C2" s="3"/>
      <c r="D2" s="6"/>
      <c r="E2" s="6"/>
      <c r="F2" s="8" t="s">
        <v>104</v>
      </c>
      <c r="G2" s="23" t="str">
        <f>Currency&amp;CurveTenor</f>
        <v>AUD3M</v>
      </c>
      <c r="H2" s="82"/>
      <c r="I2" s="82"/>
      <c r="J2" s="82"/>
      <c r="K2" s="82"/>
      <c r="L2" s="82"/>
      <c r="M2" s="82"/>
      <c r="N2" s="6"/>
      <c r="O2" s="82"/>
      <c r="P2" s="6"/>
      <c r="Q2" s="82"/>
      <c r="R2" s="82"/>
      <c r="S2" s="57"/>
      <c r="T2" s="57"/>
      <c r="U2" s="2"/>
      <c r="V2" s="2"/>
      <c r="W2" s="2"/>
      <c r="X2" s="2"/>
      <c r="Y2" s="2"/>
      <c r="Z2" s="2"/>
      <c r="AA2" s="2"/>
    </row>
    <row r="3" spans="1:27" x14ac:dyDescent="0.2">
      <c r="A3" s="82"/>
      <c r="B3" s="89"/>
      <c r="C3" s="117"/>
      <c r="D3" s="123"/>
      <c r="E3" s="123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57"/>
      <c r="T3" s="57"/>
      <c r="U3" s="2"/>
      <c r="V3" s="2"/>
      <c r="W3" s="2"/>
      <c r="X3" s="2"/>
      <c r="Y3" s="2"/>
      <c r="Z3" s="2"/>
      <c r="AA3" s="2"/>
    </row>
    <row r="4" spans="1:27" x14ac:dyDescent="0.2">
      <c r="A4" s="82"/>
      <c r="B4" s="43"/>
      <c r="C4" s="44"/>
      <c r="D4" s="44"/>
      <c r="E4" s="44"/>
      <c r="F4" s="31" t="s">
        <v>51</v>
      </c>
      <c r="G4" s="31" t="s">
        <v>84</v>
      </c>
      <c r="H4" s="31" t="s">
        <v>100</v>
      </c>
      <c r="I4" s="31" t="s">
        <v>49</v>
      </c>
      <c r="J4" s="32" t="s">
        <v>48</v>
      </c>
      <c r="K4" s="32" t="s">
        <v>101</v>
      </c>
      <c r="L4" s="32" t="s">
        <v>102</v>
      </c>
      <c r="M4" s="82"/>
      <c r="N4" s="27" t="s">
        <v>85</v>
      </c>
      <c r="O4" s="82"/>
      <c r="P4" s="82"/>
      <c r="Q4" s="82"/>
      <c r="R4" s="82"/>
      <c r="S4" s="57"/>
      <c r="T4" s="57"/>
      <c r="U4" s="2"/>
      <c r="V4" s="2"/>
      <c r="W4" s="2"/>
      <c r="X4" s="2"/>
      <c r="Y4" s="2"/>
      <c r="Z4" s="2"/>
      <c r="AA4" s="2"/>
    </row>
    <row r="5" spans="1:27" x14ac:dyDescent="0.2">
      <c r="A5" s="82"/>
      <c r="B5" s="61">
        <f t="shared" ref="B5:B13" si="0">I5-EvaluationDate</f>
        <v>1</v>
      </c>
      <c r="C5" s="24" t="s">
        <v>15</v>
      </c>
      <c r="D5" s="33"/>
      <c r="E5" s="33"/>
      <c r="F5" s="33" t="s">
        <v>86</v>
      </c>
      <c r="G5" s="65">
        <f t="shared" ref="G5:G13" si="1">EvaluationDate</f>
        <v>41872</v>
      </c>
      <c r="H5" s="65">
        <f>EvaluationDate</f>
        <v>41872</v>
      </c>
      <c r="I5" s="65">
        <f>_xll.qlCalendarAdvance(Calendar,EvaluationDate,"1D","f",TRUE,Trigger)</f>
        <v>41873</v>
      </c>
      <c r="J5" s="73">
        <f>_xll.qlInterpolationInterpolate(N5,-2,TRUE)</f>
        <v>2.6847404365861697E-2</v>
      </c>
      <c r="K5" s="77" t="str">
        <f>Contribution!M5</f>
        <v>AUD3MOND=</v>
      </c>
      <c r="L5" s="78"/>
      <c r="M5" s="82"/>
      <c r="N5" s="23" t="str">
        <f>_xll.qlInterpolation(,InterpolationType,B7:B13,J7:J13,,Trigger)</f>
        <v>obj_00354#0085</v>
      </c>
      <c r="O5" s="82"/>
      <c r="P5" s="82"/>
      <c r="Q5" s="82"/>
      <c r="R5" s="82"/>
      <c r="S5" s="57"/>
      <c r="T5" s="57"/>
      <c r="U5" s="2"/>
      <c r="V5" s="2"/>
      <c r="W5" s="2"/>
      <c r="X5" s="2"/>
      <c r="Y5" s="2"/>
      <c r="Z5" s="2"/>
      <c r="AA5" s="2"/>
    </row>
    <row r="6" spans="1:27" x14ac:dyDescent="0.2">
      <c r="A6" s="82"/>
      <c r="B6" s="62">
        <f t="shared" si="0"/>
        <v>4</v>
      </c>
      <c r="C6" s="25" t="s">
        <v>16</v>
      </c>
      <c r="D6" s="35"/>
      <c r="E6" s="35"/>
      <c r="F6" s="35" t="s">
        <v>86</v>
      </c>
      <c r="G6" s="68">
        <f t="shared" si="1"/>
        <v>41872</v>
      </c>
      <c r="H6" s="68">
        <f>I5</f>
        <v>41873</v>
      </c>
      <c r="I6" s="68">
        <f>_xll.qlCalendarAdvance(Calendar,EvaluationDate,"2D","f",TRUE,Trigger)</f>
        <v>41876</v>
      </c>
      <c r="J6" s="72">
        <f>_xll.qlInterpolationInterpolate(N5,-1,TRUE)</f>
        <v>2.684823989050647E-2</v>
      </c>
      <c r="K6" s="79" t="str">
        <f>Contribution!M6</f>
        <v>AUD3MTND=</v>
      </c>
      <c r="L6" s="80"/>
      <c r="M6" s="82"/>
      <c r="N6" s="8" t="s">
        <v>44</v>
      </c>
      <c r="O6" s="82"/>
      <c r="P6" s="82"/>
      <c r="Q6" s="118" t="s">
        <v>114</v>
      </c>
      <c r="R6" s="118" t="s">
        <v>115</v>
      </c>
      <c r="S6" s="57"/>
      <c r="T6" s="57"/>
      <c r="U6" s="2"/>
      <c r="V6" s="2"/>
      <c r="W6" s="2"/>
      <c r="X6" s="2"/>
      <c r="Y6" s="2"/>
      <c r="Z6" s="2"/>
      <c r="AA6" s="2"/>
    </row>
    <row r="7" spans="1:27" x14ac:dyDescent="0.2">
      <c r="A7" s="82"/>
      <c r="B7" s="61">
        <f t="shared" si="0"/>
        <v>1</v>
      </c>
      <c r="C7" s="24" t="s">
        <v>17</v>
      </c>
      <c r="D7" s="33"/>
      <c r="E7" s="33"/>
      <c r="F7" s="33" t="s">
        <v>88</v>
      </c>
      <c r="G7" s="65">
        <f t="shared" si="1"/>
        <v>41872</v>
      </c>
      <c r="H7" s="65">
        <f>_xll.qlInterestRateIndexValueDate(N7,G7,Trigger)</f>
        <v>41872</v>
      </c>
      <c r="I7" s="65">
        <f>_xll.qlInterestRateIndexMaturity(N7,H7,Trigger)</f>
        <v>41873</v>
      </c>
      <c r="J7" s="66">
        <f>_xll.qlIndexFixing(N7,G7,TRUE,InterestRatesTrigger)</f>
        <v>2.6849957447716566E-2</v>
      </c>
      <c r="K7" s="55" t="str">
        <f>Contribution!M7</f>
        <v>AUD3MSND=</v>
      </c>
      <c r="L7" s="55"/>
      <c r="M7" s="82"/>
      <c r="N7" s="34" t="str">
        <f>_xll.qlIborIndex(,"BBSW",IF(C7="SN","1D",IF(C7="SW","1W",C7)),0,Currency,Calendar,BDayConvention,FALSE,DayCounter,YieldCurve,,Trigger)</f>
        <v>obj_00322#0001</v>
      </c>
      <c r="O7" s="82"/>
      <c r="P7" s="82"/>
      <c r="Q7" s="119" t="s">
        <v>116</v>
      </c>
      <c r="R7" s="119" t="s">
        <v>47</v>
      </c>
      <c r="S7" s="57"/>
      <c r="T7" s="57"/>
      <c r="U7" s="2"/>
      <c r="V7" s="2"/>
      <c r="W7" s="2"/>
      <c r="X7" s="2"/>
      <c r="Y7" s="2"/>
      <c r="Z7" s="2"/>
      <c r="AA7" s="2"/>
    </row>
    <row r="8" spans="1:27" x14ac:dyDescent="0.2">
      <c r="A8" s="82"/>
      <c r="B8" s="62">
        <f t="shared" si="0"/>
        <v>7</v>
      </c>
      <c r="C8" s="25" t="s">
        <v>18</v>
      </c>
      <c r="D8" s="35"/>
      <c r="E8" s="35"/>
      <c r="F8" s="35" t="s">
        <v>88</v>
      </c>
      <c r="G8" s="68">
        <f t="shared" si="1"/>
        <v>41872</v>
      </c>
      <c r="H8" s="68">
        <f>_xll.qlInterestRateIndexValueDate(N8,G8,Trigger)</f>
        <v>41872</v>
      </c>
      <c r="I8" s="68">
        <f>_xll.qlInterestRateIndexMaturity(N8,H8,Trigger)</f>
        <v>41879</v>
      </c>
      <c r="J8" s="67">
        <f>_xll.qlIndexFixing(N8,G8,TRUE,InterestRatesTrigger)</f>
        <v>2.6854812468655332E-2</v>
      </c>
      <c r="K8" s="54" t="str">
        <f>Contribution!M8</f>
        <v>AUD3MSWD=</v>
      </c>
      <c r="L8" s="54"/>
      <c r="M8" s="82"/>
      <c r="N8" s="36" t="str">
        <f>_xll.qlIborIndex(,"BBSW",IF(C8="SN","1D",IF(C8="SW","1W",C8)),0,Currency,Calendar,BDayConvention,FALSE,DayCounter,YieldCurve,,Trigger)</f>
        <v>obj_00325#0001</v>
      </c>
      <c r="O8" s="82"/>
      <c r="P8" s="82"/>
      <c r="Q8" s="82"/>
      <c r="R8" s="82"/>
      <c r="S8" s="57"/>
      <c r="T8" s="57"/>
      <c r="U8" s="2"/>
      <c r="V8" s="2"/>
      <c r="W8" s="2"/>
      <c r="X8" s="2"/>
      <c r="Y8" s="2"/>
      <c r="Z8" s="2"/>
      <c r="AA8" s="2"/>
    </row>
    <row r="9" spans="1:27" x14ac:dyDescent="0.2">
      <c r="A9" s="82"/>
      <c r="B9" s="62">
        <f t="shared" si="0"/>
        <v>14</v>
      </c>
      <c r="C9" s="25" t="s">
        <v>19</v>
      </c>
      <c r="D9" s="35"/>
      <c r="E9" s="35"/>
      <c r="F9" s="35" t="s">
        <v>88</v>
      </c>
      <c r="G9" s="68">
        <f t="shared" si="1"/>
        <v>41872</v>
      </c>
      <c r="H9" s="68">
        <f>_xll.qlInterestRateIndexValueDate(N9,G9,Trigger)</f>
        <v>41872</v>
      </c>
      <c r="I9" s="68">
        <f>_xll.qlInterestRateIndexMaturity(N9,H9,Trigger)</f>
        <v>41886</v>
      </c>
      <c r="J9" s="67">
        <f>_xll.qlIndexFixing(N9,G9,TRUE,InterestRatesTrigger)</f>
        <v>2.6858446039295814E-2</v>
      </c>
      <c r="K9" s="54" t="str">
        <f>Contribution!M9</f>
        <v>AUD3M2WD=</v>
      </c>
      <c r="L9" s="54"/>
      <c r="M9" s="82"/>
      <c r="N9" s="36" t="str">
        <f>_xll.qlIborIndex(,"BBSW",IF(C9="SN","1D",IF(C9="SW","1W",C9)),0,Currency,Calendar,BDayConvention,FALSE,DayCounter,YieldCurve,,Trigger)</f>
        <v>obj_00324#0001</v>
      </c>
      <c r="O9" s="82"/>
      <c r="P9" s="82"/>
      <c r="Q9" s="82"/>
      <c r="R9" s="82"/>
      <c r="S9" s="57"/>
      <c r="T9" s="57"/>
      <c r="U9" s="2"/>
      <c r="V9" s="2"/>
      <c r="W9" s="2"/>
      <c r="X9" s="2"/>
      <c r="Y9" s="2"/>
      <c r="Z9" s="2"/>
      <c r="AA9" s="2"/>
    </row>
    <row r="10" spans="1:27" x14ac:dyDescent="0.2">
      <c r="A10" s="82"/>
      <c r="B10" s="62">
        <f t="shared" si="0"/>
        <v>21</v>
      </c>
      <c r="C10" s="25" t="s">
        <v>20</v>
      </c>
      <c r="D10" s="35"/>
      <c r="E10" s="35"/>
      <c r="F10" s="35" t="s">
        <v>88</v>
      </c>
      <c r="G10" s="68">
        <f t="shared" si="1"/>
        <v>41872</v>
      </c>
      <c r="H10" s="68">
        <f>_xll.qlInterestRateIndexValueDate(N10,G10,Trigger)</f>
        <v>41872</v>
      </c>
      <c r="I10" s="68">
        <f>_xll.qlInterestRateIndexMaturity(N10,H10,Trigger)</f>
        <v>41893</v>
      </c>
      <c r="J10" s="67">
        <f>_xll.qlIndexFixing(N10,G10,TRUE,InterestRatesTrigger)</f>
        <v>2.68598895699305E-2</v>
      </c>
      <c r="K10" s="54" t="str">
        <f>Contribution!M10</f>
        <v>AUD3M3WD=</v>
      </c>
      <c r="L10" s="54"/>
      <c r="M10" s="82"/>
      <c r="N10" s="36" t="str">
        <f>_xll.qlIborIndex(,"BBSW",IF(C10="SN","1D",IF(C10="SW","1W",C10)),0,Currency,Calendar,BDayConvention,FALSE,DayCounter,YieldCurve,,Trigger)</f>
        <v>obj_00323#0001</v>
      </c>
      <c r="O10" s="82"/>
      <c r="P10" s="82"/>
      <c r="Q10" s="82"/>
      <c r="R10" s="82"/>
      <c r="S10" s="57"/>
      <c r="T10" s="57"/>
      <c r="U10" s="2"/>
      <c r="V10" s="2"/>
      <c r="W10" s="2"/>
      <c r="X10" s="2"/>
      <c r="Y10" s="2"/>
      <c r="Z10" s="2"/>
      <c r="AA10" s="2"/>
    </row>
    <row r="11" spans="1:27" x14ac:dyDescent="0.2">
      <c r="A11" s="82"/>
      <c r="B11" s="62">
        <f t="shared" si="0"/>
        <v>32</v>
      </c>
      <c r="C11" s="25" t="s">
        <v>21</v>
      </c>
      <c r="D11" s="35"/>
      <c r="E11" s="35"/>
      <c r="F11" s="35" t="s">
        <v>88</v>
      </c>
      <c r="G11" s="68">
        <f t="shared" si="1"/>
        <v>41872</v>
      </c>
      <c r="H11" s="68">
        <f>_xll.qlInterestRateIndexValueDate(N11,G11,Trigger)</f>
        <v>41872</v>
      </c>
      <c r="I11" s="68">
        <f>_xll.qlInterestRateIndexMaturity(N11,H11,Trigger)</f>
        <v>41904</v>
      </c>
      <c r="J11" s="67">
        <f>_xll.qlIndexFixing(N11,G11,TRUE,InterestRatesTrigger)</f>
        <v>2.6857725071983071E-2</v>
      </c>
      <c r="K11" s="54" t="str">
        <f>Contribution!M11</f>
        <v>AUD3M1MD=</v>
      </c>
      <c r="L11" s="54"/>
      <c r="M11" s="82"/>
      <c r="N11" s="36" t="str">
        <f>_xll.qlIborIndex(,"BBSW",IF(C11="SN","1D",IF(C11="SW","1W",C11)),0,Currency,Calendar,BDayConvention,FALSE,DayCounter,YieldCurve,,Trigger)</f>
        <v>obj_00320#0001</v>
      </c>
      <c r="O11" s="82"/>
      <c r="P11" s="82"/>
      <c r="Q11" s="82"/>
      <c r="R11" s="82"/>
      <c r="S11" s="57"/>
      <c r="T11" s="57"/>
      <c r="U11" s="2"/>
      <c r="V11" s="2"/>
      <c r="W11" s="2"/>
      <c r="X11" s="2"/>
      <c r="Y11" s="2"/>
      <c r="Z11" s="2"/>
      <c r="AA11" s="2"/>
    </row>
    <row r="12" spans="1:27" x14ac:dyDescent="0.2">
      <c r="A12" s="82"/>
      <c r="B12" s="62">
        <f t="shared" si="0"/>
        <v>61</v>
      </c>
      <c r="C12" s="25" t="s">
        <v>22</v>
      </c>
      <c r="D12" s="35"/>
      <c r="E12" s="35"/>
      <c r="F12" s="35" t="s">
        <v>88</v>
      </c>
      <c r="G12" s="68">
        <f t="shared" si="1"/>
        <v>41872</v>
      </c>
      <c r="H12" s="68">
        <f>_xll.qlInterestRateIndexValueDate(N12,G12,Trigger)</f>
        <v>41872</v>
      </c>
      <c r="I12" s="68">
        <f>_xll.qlInterestRateIndexMaturity(N12,H12,Trigger)</f>
        <v>41933</v>
      </c>
      <c r="J12" s="67">
        <f>_xll.qlIndexFixing(N12,G12,TRUE,InterestRatesTrigger)</f>
        <v>2.6825958689826478E-2</v>
      </c>
      <c r="K12" s="54" t="str">
        <f>Contribution!M12</f>
        <v>AUD3M2MD=</v>
      </c>
      <c r="L12" s="54"/>
      <c r="M12" s="82"/>
      <c r="N12" s="36" t="str">
        <f>_xll.qlIborIndex(,"BBSW",IF(C12="SN","1D",IF(C12="SW","1W",C12)),0,Currency,Calendar,BDayConvention,FALSE,DayCounter,YieldCurve,,Trigger)</f>
        <v>obj_00321#0001</v>
      </c>
      <c r="O12" s="82"/>
      <c r="P12" s="82"/>
      <c r="Q12" s="82"/>
      <c r="R12" s="82"/>
      <c r="S12" s="57"/>
      <c r="T12" s="57"/>
      <c r="U12" s="2"/>
      <c r="V12" s="2"/>
      <c r="W12" s="2"/>
      <c r="X12" s="2"/>
      <c r="Y12" s="2"/>
      <c r="Z12" s="2"/>
      <c r="AA12" s="2"/>
    </row>
    <row r="13" spans="1:27" x14ac:dyDescent="0.2">
      <c r="A13" s="82"/>
      <c r="B13" s="62">
        <f t="shared" si="0"/>
        <v>92</v>
      </c>
      <c r="C13" s="25" t="s">
        <v>23</v>
      </c>
      <c r="D13" s="35"/>
      <c r="E13" s="35"/>
      <c r="F13" s="35" t="s">
        <v>88</v>
      </c>
      <c r="G13" s="68">
        <f t="shared" si="1"/>
        <v>41872</v>
      </c>
      <c r="H13" s="68">
        <f>_xll.qlInterestRateIndexValueDate(N13,G13,Trigger)</f>
        <v>41872</v>
      </c>
      <c r="I13" s="68">
        <f>_xll.qlInterestRateIndexMaturity(N13,H13,Trigger)</f>
        <v>41964</v>
      </c>
      <c r="J13" s="67">
        <f>_xll.qlIndexFixing(N13,G13,TRUE,InterestRatesTrigger)</f>
        <v>2.674999999999593E-2</v>
      </c>
      <c r="K13" s="54" t="str">
        <f>Contribution!M13</f>
        <v>AUD3M3MD=</v>
      </c>
      <c r="L13" s="54" t="str">
        <f>"AU"&amp;C13&amp;"BA"&amp;"="</f>
        <v>AU3MBA=</v>
      </c>
      <c r="M13" s="82"/>
      <c r="N13" s="45" t="str">
        <f>IborIndexFamily&amp;CurveTenor</f>
        <v>AudBBSW3M</v>
      </c>
      <c r="O13" s="82"/>
      <c r="P13" s="82"/>
      <c r="Q13" s="82"/>
      <c r="R13" s="82"/>
      <c r="S13" s="57"/>
      <c r="T13" s="57"/>
      <c r="U13" s="2"/>
      <c r="V13" s="2"/>
      <c r="W13" s="2"/>
      <c r="X13" s="2"/>
      <c r="Y13" s="2"/>
      <c r="Z13" s="2"/>
      <c r="AA13" s="2"/>
    </row>
    <row r="14" spans="1:27" x14ac:dyDescent="0.2">
      <c r="A14" s="82"/>
      <c r="B14" s="61"/>
      <c r="C14" s="24" t="str">
        <f>_xll.qlIMMcode(D14,Trigger)</f>
        <v>U4</v>
      </c>
      <c r="D14" s="144">
        <f t="array" ref="D14:D19">_xll.qlIMMNextDates(_xll.qlSettingsEvaluationDate(Trigger),E14:E19)</f>
        <v>41899</v>
      </c>
      <c r="E14" s="135" t="b">
        <v>1</v>
      </c>
      <c r="F14" s="135" t="s">
        <v>111</v>
      </c>
      <c r="G14" s="136">
        <f>_xll.qlInterestRateIndexFixingDate(IborIndex,H14)</f>
        <v>41899</v>
      </c>
      <c r="H14" s="136">
        <f>_xll.qlIMMdate(C14)</f>
        <v>41899</v>
      </c>
      <c r="I14" s="136">
        <f>_xll.qlInterestRateIndexMaturity(IborIndex,H14,Trigger)</f>
        <v>41990</v>
      </c>
      <c r="J14" s="137">
        <f>(1-_xll.qlIndexFixing(IborIndex,G14,TRUE,InterestRatesTrigger))*100</f>
        <v>97.345079032376347</v>
      </c>
      <c r="K14" s="138" t="str">
        <f>Contribution!M14</f>
        <v>AUD3MU4=</v>
      </c>
      <c r="L14" s="138" t="str">
        <f>"YBA"&amp;C14</f>
        <v>YBAU4</v>
      </c>
      <c r="M14" s="82"/>
      <c r="N14" s="83"/>
      <c r="O14" s="82"/>
      <c r="P14" s="82"/>
      <c r="Q14" s="82"/>
      <c r="R14" s="82"/>
      <c r="S14" s="57"/>
      <c r="T14" s="57"/>
      <c r="U14" s="2"/>
      <c r="V14" s="2"/>
      <c r="W14" s="2"/>
      <c r="X14" s="2"/>
      <c r="Y14" s="2"/>
      <c r="Z14" s="2"/>
      <c r="AA14" s="2"/>
    </row>
    <row r="15" spans="1:27" x14ac:dyDescent="0.2">
      <c r="A15" s="82"/>
      <c r="B15" s="41"/>
      <c r="C15" s="25" t="str">
        <f>_xll.qlIMMcode(D15,Trigger)</f>
        <v>Z4</v>
      </c>
      <c r="D15" s="145">
        <v>41990</v>
      </c>
      <c r="E15" s="139" t="b">
        <v>1</v>
      </c>
      <c r="F15" s="139" t="s">
        <v>111</v>
      </c>
      <c r="G15" s="140">
        <f>_xll.qlInterestRateIndexFixingDate(IborIndex,H15)</f>
        <v>41990</v>
      </c>
      <c r="H15" s="140">
        <f>_xll.qlIMMdate(C15)</f>
        <v>41990</v>
      </c>
      <c r="I15" s="140">
        <f>_xll.qlInterestRateIndexMaturity(IborIndex,H15,Trigger)</f>
        <v>42080</v>
      </c>
      <c r="J15" s="141">
        <f>(1-_xll.qlIndexFixing(IborIndex,G15,TRUE,InterestRatesTrigger))*100</f>
        <v>97.394999999764693</v>
      </c>
      <c r="K15" s="142" t="str">
        <f>Contribution!M15</f>
        <v>AUD3MZ4=</v>
      </c>
      <c r="L15" s="142" t="str">
        <f t="shared" ref="L15:L19" si="2">"YBA"&amp;C15</f>
        <v>YBAZ4</v>
      </c>
      <c r="M15" s="82"/>
      <c r="N15" s="82"/>
      <c r="O15" s="82"/>
      <c r="P15" s="82"/>
      <c r="Q15" s="82"/>
      <c r="R15" s="82"/>
      <c r="S15" s="57"/>
      <c r="T15" s="57"/>
      <c r="U15" s="2"/>
      <c r="V15" s="2"/>
      <c r="W15" s="2"/>
      <c r="X15" s="2"/>
      <c r="Y15" s="2"/>
      <c r="Z15" s="2"/>
      <c r="AA15" s="2"/>
    </row>
    <row r="16" spans="1:27" x14ac:dyDescent="0.2">
      <c r="A16" s="82"/>
      <c r="B16" s="41"/>
      <c r="C16" s="25" t="str">
        <f>_xll.qlIMMcode(D16,Trigger)</f>
        <v>H5</v>
      </c>
      <c r="D16" s="145">
        <v>42081</v>
      </c>
      <c r="E16" s="139" t="b">
        <v>1</v>
      </c>
      <c r="F16" s="139" t="s">
        <v>111</v>
      </c>
      <c r="G16" s="140">
        <f>_xll.qlInterestRateIndexFixingDate(IborIndex,H16)</f>
        <v>42081</v>
      </c>
      <c r="H16" s="140">
        <f>_xll.qlIMMdate(C16)</f>
        <v>42081</v>
      </c>
      <c r="I16" s="140">
        <f>_xll.qlInterestRateIndexMaturity(IborIndex,H16,Trigger)</f>
        <v>42173</v>
      </c>
      <c r="J16" s="141">
        <f>(1-_xll.qlIndexFixing(IborIndex,G16,TRUE,InterestRatesTrigger))*100</f>
        <v>97.394999999780723</v>
      </c>
      <c r="K16" s="142" t="str">
        <f>Contribution!M16</f>
        <v>AUD3MH5=</v>
      </c>
      <c r="L16" s="142" t="str">
        <f t="shared" si="2"/>
        <v>YBAH5</v>
      </c>
      <c r="M16" s="82"/>
      <c r="N16" s="123"/>
      <c r="O16" s="123"/>
      <c r="P16" s="123"/>
      <c r="Q16" s="123"/>
      <c r="R16" s="123"/>
      <c r="S16" s="57"/>
      <c r="T16" s="57"/>
      <c r="U16" s="2"/>
      <c r="V16" s="2"/>
      <c r="W16" s="2"/>
      <c r="X16" s="2"/>
      <c r="Y16" s="2"/>
      <c r="Z16" s="2"/>
      <c r="AA16" s="2"/>
    </row>
    <row r="17" spans="1:27" x14ac:dyDescent="0.2">
      <c r="A17" s="82"/>
      <c r="B17" s="41"/>
      <c r="C17" s="25" t="str">
        <f>_xll.qlIMMcode(D17,Trigger)</f>
        <v>M5</v>
      </c>
      <c r="D17" s="145">
        <v>42172</v>
      </c>
      <c r="E17" s="139" t="b">
        <v>1</v>
      </c>
      <c r="F17" s="139" t="s">
        <v>111</v>
      </c>
      <c r="G17" s="140">
        <f>_xll.qlInterestRateIndexFixingDate(IborIndex,H17)</f>
        <v>42172</v>
      </c>
      <c r="H17" s="140">
        <f>_xll.qlIMMdate(C17)</f>
        <v>42172</v>
      </c>
      <c r="I17" s="140">
        <f>_xll.qlInterestRateIndexMaturity(IborIndex,H17,Trigger)</f>
        <v>42264</v>
      </c>
      <c r="J17" s="141">
        <f>(1-_xll.qlIndexFixing(IborIndex,G17,TRUE,InterestRatesTrigger))*100</f>
        <v>97.354999999922015</v>
      </c>
      <c r="K17" s="142" t="str">
        <f>Contribution!M17</f>
        <v>AUD3MM5=</v>
      </c>
      <c r="L17" s="142" t="str">
        <f t="shared" si="2"/>
        <v>YBAM5</v>
      </c>
      <c r="M17" s="82"/>
      <c r="N17" s="123"/>
      <c r="O17" s="123"/>
      <c r="P17" s="123"/>
      <c r="Q17" s="123"/>
      <c r="R17" s="123"/>
      <c r="S17" s="57"/>
      <c r="T17" s="57"/>
      <c r="U17" s="2"/>
      <c r="V17" s="2"/>
      <c r="W17" s="2"/>
      <c r="X17" s="2"/>
      <c r="Y17" s="2"/>
      <c r="Z17" s="2"/>
      <c r="AA17" s="2"/>
    </row>
    <row r="18" spans="1:27" x14ac:dyDescent="0.2">
      <c r="A18" s="82"/>
      <c r="B18" s="41"/>
      <c r="C18" s="25" t="str">
        <f>_xll.qlIMMcode(D18,Trigger)</f>
        <v>U5</v>
      </c>
      <c r="D18" s="145">
        <v>42263</v>
      </c>
      <c r="E18" s="139" t="b">
        <v>1</v>
      </c>
      <c r="F18" s="139" t="s">
        <v>111</v>
      </c>
      <c r="G18" s="140">
        <f>_xll.qlInterestRateIndexFixingDate(IborIndex,H18)</f>
        <v>42263</v>
      </c>
      <c r="H18" s="140">
        <f>_xll.qlIMMdate(C18)</f>
        <v>42263</v>
      </c>
      <c r="I18" s="140">
        <f>_xll.qlInterestRateIndexMaturity(IborIndex,H18,Trigger)</f>
        <v>42354</v>
      </c>
      <c r="J18" s="141">
        <f>(1-_xll.qlIndexFixing(IborIndex,G18,TRUE,InterestRatesTrigger))*100</f>
        <v>97.285000000112205</v>
      </c>
      <c r="K18" s="142" t="str">
        <f>Contribution!M18</f>
        <v>AUD3MU5=</v>
      </c>
      <c r="L18" s="142" t="str">
        <f t="shared" si="2"/>
        <v>YBAU5</v>
      </c>
      <c r="M18" s="82"/>
      <c r="N18" s="123"/>
      <c r="O18" s="123"/>
      <c r="P18" s="123"/>
      <c r="Q18" s="123"/>
      <c r="R18" s="123"/>
      <c r="S18" s="57"/>
      <c r="T18" s="57"/>
      <c r="U18" s="2"/>
      <c r="V18" s="2"/>
      <c r="W18" s="2"/>
      <c r="X18" s="2"/>
      <c r="Y18" s="2"/>
      <c r="Z18" s="2"/>
      <c r="AA18" s="2"/>
    </row>
    <row r="19" spans="1:27" x14ac:dyDescent="0.2">
      <c r="A19" s="82"/>
      <c r="B19" s="42"/>
      <c r="C19" s="26" t="str">
        <f>_xll.qlIMMcode(D19,Trigger)</f>
        <v>Z5</v>
      </c>
      <c r="D19" s="145">
        <v>42354</v>
      </c>
      <c r="E19" s="139" t="b">
        <v>1</v>
      </c>
      <c r="F19" s="139" t="s">
        <v>111</v>
      </c>
      <c r="G19" s="140">
        <f>_xll.qlInterestRateIndexFixingDate(IborIndex,H19)</f>
        <v>42354</v>
      </c>
      <c r="H19" s="140">
        <f>_xll.qlIMMdate(C19)</f>
        <v>42354</v>
      </c>
      <c r="I19" s="140">
        <f>_xll.qlInterestRateIndexMaturity(IborIndex,H19,Trigger)</f>
        <v>42445</v>
      </c>
      <c r="J19" s="143">
        <f>(1-_xll.qlIndexFixing(IborIndex,G19,TRUE,InterestRatesTrigger))*100</f>
        <v>97.243611667721225</v>
      </c>
      <c r="K19" s="142" t="str">
        <f>Contribution!M19</f>
        <v>AUD3MZ5=</v>
      </c>
      <c r="L19" s="142" t="str">
        <f t="shared" si="2"/>
        <v>YBAZ5</v>
      </c>
      <c r="M19" s="82"/>
      <c r="N19" s="122" t="s">
        <v>50</v>
      </c>
      <c r="O19" s="124"/>
      <c r="P19" s="118" t="s">
        <v>45</v>
      </c>
      <c r="Q19" s="118" t="s">
        <v>105</v>
      </c>
      <c r="R19" s="118" t="s">
        <v>46</v>
      </c>
      <c r="S19" s="57"/>
      <c r="T19" s="57"/>
      <c r="U19" s="2"/>
      <c r="V19" s="2"/>
      <c r="W19" s="2"/>
      <c r="X19" s="2"/>
      <c r="Y19" s="2"/>
      <c r="Z19" s="2"/>
      <c r="AA19" s="2"/>
    </row>
    <row r="20" spans="1:27" x14ac:dyDescent="0.2">
      <c r="A20" s="82"/>
      <c r="B20" s="40"/>
      <c r="C20" s="24" t="s">
        <v>29</v>
      </c>
      <c r="D20" s="33"/>
      <c r="E20" s="33"/>
      <c r="F20" s="33" t="s">
        <v>87</v>
      </c>
      <c r="G20" s="65">
        <f t="shared" ref="G20:G21" si="3">EvaluationDate</f>
        <v>41872</v>
      </c>
      <c r="H20" s="65">
        <f>_xll.qlInterestRateIndexValueDate(N20,G20,Trigger)</f>
        <v>41873</v>
      </c>
      <c r="I20" s="65">
        <f>_xll.qlInterestRateIndexMaturity(N20,H20,Trigger)</f>
        <v>42240</v>
      </c>
      <c r="J20" s="66">
        <f>_xll.qlIndexFixing(N20,G20,TRUE,InterestRatesTrigger)</f>
        <v>2.6174999999536354E-2</v>
      </c>
      <c r="K20" s="55" t="str">
        <f>Contribution!M20</f>
        <v>AUD3M1Y=</v>
      </c>
      <c r="L20" s="77" t="str">
        <f>Currency&amp;"QM3AB"&amp;C20&amp;"=ICAA"</f>
        <v>AUDQM3AB1Y=ICAA</v>
      </c>
      <c r="M20" s="82"/>
      <c r="N20" s="36" t="str">
        <f>_xll.qlSwapIndex(,"BBSW",C20,SettlementDays,Currency,Calendar,FixedLegTenor,FixedLegBDC,FixedLegDayCounter,IborIndex,DiscountingCurve,,Trigger)</f>
        <v>obj_0031e#0001</v>
      </c>
      <c r="O20" s="82"/>
      <c r="P20" s="36" t="s">
        <v>23</v>
      </c>
      <c r="Q20" s="36" t="s">
        <v>81</v>
      </c>
      <c r="R20" s="36" t="s">
        <v>47</v>
      </c>
      <c r="S20" s="57"/>
      <c r="T20" s="57"/>
      <c r="U20" s="2"/>
      <c r="V20" s="2"/>
      <c r="W20" s="2"/>
      <c r="X20" s="2"/>
      <c r="Y20" s="2"/>
      <c r="Z20" s="2"/>
      <c r="AA20" s="2"/>
    </row>
    <row r="21" spans="1:27" x14ac:dyDescent="0.2">
      <c r="A21" s="82"/>
      <c r="B21" s="41"/>
      <c r="C21" s="25" t="s">
        <v>93</v>
      </c>
      <c r="D21" s="35"/>
      <c r="E21" s="35"/>
      <c r="F21" s="35" t="s">
        <v>87</v>
      </c>
      <c r="G21" s="68">
        <f t="shared" si="3"/>
        <v>41872</v>
      </c>
      <c r="H21" s="68">
        <f>_xll.qlInterestRateIndexValueDate(N21,G21,Trigger)</f>
        <v>41873</v>
      </c>
      <c r="I21" s="68">
        <f>_xll.qlInterestRateIndexMaturity(N21,H21,Trigger)</f>
        <v>42422</v>
      </c>
      <c r="J21" s="67">
        <f>_xll.qlIndexFixing(N21,G21,TRUE,InterestRatesTrigger)</f>
        <v>2.6582200340788228E-2</v>
      </c>
      <c r="K21" s="54"/>
      <c r="L21" s="79"/>
      <c r="M21" s="82"/>
      <c r="N21" s="36" t="str">
        <f>_xll.qlSwapIndex(,"BBSW",C21,SettlementDays,Currency,Calendar,FixedLegTenor,FixedLegBDC,FixedLegDayCounter,IborIndex,DiscountingCurve,,Trigger)</f>
        <v>obj_00348#0001</v>
      </c>
      <c r="O21" s="82"/>
      <c r="P21" s="83"/>
      <c r="Q21" s="83"/>
      <c r="R21" s="83"/>
      <c r="S21" s="57"/>
      <c r="T21" s="57"/>
      <c r="U21" s="2"/>
      <c r="V21" s="2"/>
      <c r="W21" s="2"/>
      <c r="X21" s="2"/>
      <c r="Y21" s="2"/>
      <c r="Z21" s="2"/>
      <c r="AA21" s="2"/>
    </row>
    <row r="22" spans="1:27" x14ac:dyDescent="0.2">
      <c r="A22" s="82"/>
      <c r="B22" s="41"/>
      <c r="C22" s="25" t="s">
        <v>30</v>
      </c>
      <c r="D22" s="35"/>
      <c r="E22" s="35"/>
      <c r="F22" s="35" t="s">
        <v>87</v>
      </c>
      <c r="G22" s="68">
        <f t="shared" ref="G22:G35" si="4">EvaluationDate</f>
        <v>41872</v>
      </c>
      <c r="H22" s="68">
        <f>_xll.qlInterestRateIndexValueDate(N22,G22,Trigger)</f>
        <v>41873</v>
      </c>
      <c r="I22" s="68">
        <f>_xll.qlInterestRateIndexMaturity(N22,H22,Trigger)</f>
        <v>42604</v>
      </c>
      <c r="J22" s="67">
        <f>_xll.qlIndexFixing(N22,G22,TRUE,InterestRatesTrigger)</f>
        <v>2.7225000000746038E-2</v>
      </c>
      <c r="K22" s="54" t="str">
        <f>Contribution!M22</f>
        <v>AUD3M2Y=</v>
      </c>
      <c r="L22" s="79" t="str">
        <f>Currency&amp;"QM3AB"&amp;C22&amp;"=ICAA"</f>
        <v>AUDQM3AB2Y=ICAA</v>
      </c>
      <c r="M22" s="82"/>
      <c r="N22" s="36" t="str">
        <f>_xll.qlSwapIndex(,"BBSW",C22,SettlementDays,Currency,Calendar,FixedLegTenor,FixedLegBDC,FixedLegDayCounter,IborIndex,DiscountingCurve,,Trigger)</f>
        <v>obj_00337#0001</v>
      </c>
      <c r="O22" s="82"/>
      <c r="P22" s="123"/>
      <c r="Q22" s="123"/>
      <c r="R22" s="123"/>
      <c r="S22" s="57"/>
      <c r="T22" s="57"/>
      <c r="U22" s="2"/>
      <c r="V22" s="2"/>
      <c r="W22" s="2"/>
      <c r="X22" s="2"/>
      <c r="Y22" s="2"/>
      <c r="Z22" s="2"/>
      <c r="AA22" s="2"/>
    </row>
    <row r="23" spans="1:27" x14ac:dyDescent="0.2">
      <c r="A23" s="82"/>
      <c r="B23" s="41"/>
      <c r="C23" s="25" t="s">
        <v>31</v>
      </c>
      <c r="D23" s="35"/>
      <c r="E23" s="35"/>
      <c r="F23" s="35" t="s">
        <v>87</v>
      </c>
      <c r="G23" s="68">
        <f t="shared" si="4"/>
        <v>41872</v>
      </c>
      <c r="H23" s="68">
        <f>_xll.qlInterestRateIndexValueDate(N23,G23,Trigger)</f>
        <v>41873</v>
      </c>
      <c r="I23" s="68">
        <f>_xll.qlInterestRateIndexMaturity(N23,H23,Trigger)</f>
        <v>42969</v>
      </c>
      <c r="J23" s="67">
        <f>_xll.qlIndexFixing(N23,G23,TRUE,InterestRatesTrigger)</f>
        <v>2.8825000000515383E-2</v>
      </c>
      <c r="K23" s="54" t="str">
        <f>Contribution!M23</f>
        <v>AUD3M3Y=</v>
      </c>
      <c r="L23" s="79" t="str">
        <f>Currency&amp;"QM3AB"&amp;C23&amp;"=ICAA"</f>
        <v>AUDQM3AB3Y=ICAA</v>
      </c>
      <c r="M23" s="82"/>
      <c r="N23" s="36" t="str">
        <f>_xll.qlSwapIndex(,"BBSW",C23,SettlementDays,Currency,Calendar,FixedLegTenor,FixedLegBDC,FixedLegDayCounter,IborIndex,DiscountingCurve,,Trigger)</f>
        <v>obj_00310#0001</v>
      </c>
      <c r="O23" s="82"/>
      <c r="P23" s="82"/>
      <c r="Q23" s="82"/>
      <c r="R23" s="82"/>
      <c r="S23" s="57"/>
      <c r="T23" s="57"/>
      <c r="U23" s="2"/>
      <c r="V23" s="2"/>
      <c r="W23" s="2"/>
      <c r="X23" s="2"/>
      <c r="Y23" s="2"/>
      <c r="Z23" s="2"/>
      <c r="AA23" s="2"/>
    </row>
    <row r="24" spans="1:27" x14ac:dyDescent="0.2">
      <c r="A24" s="82"/>
      <c r="B24" s="41"/>
      <c r="C24" s="25" t="s">
        <v>32</v>
      </c>
      <c r="D24" s="35"/>
      <c r="E24" s="35"/>
      <c r="F24" s="35" t="s">
        <v>87</v>
      </c>
      <c r="G24" s="68">
        <f t="shared" si="4"/>
        <v>41872</v>
      </c>
      <c r="H24" s="68">
        <f>_xll.qlInterestRateIndexValueDate(N24,G24,Trigger)</f>
        <v>41873</v>
      </c>
      <c r="I24" s="68">
        <f>_xll.qlInterestRateIndexMaturity(N24,H24,Trigger)</f>
        <v>43334</v>
      </c>
      <c r="J24" s="67">
        <f>_xll.qlIndexFixing(N24,G24,TRUE,InterestRatesTrigger)</f>
        <v>3.0401367874791314E-2</v>
      </c>
      <c r="K24" s="54" t="str">
        <f>Contribution!M24</f>
        <v>AUD3M4Y=</v>
      </c>
      <c r="L24" s="79"/>
      <c r="M24" s="82"/>
      <c r="N24" s="36" t="str">
        <f>_xll.qlSwapIndex(,"BBSW",C24,SettlementDays,Currency,Calendar,FixedLegTenor,FixedLegBDC,FixedLegDayCounter,IborIndex,DiscountingCurve,,Trigger)</f>
        <v>obj_00338#0001</v>
      </c>
      <c r="O24" s="82"/>
      <c r="P24" s="82"/>
      <c r="Q24" s="82"/>
      <c r="R24" s="82"/>
      <c r="S24" s="57"/>
      <c r="T24" s="57"/>
      <c r="U24" s="2"/>
      <c r="V24" s="2"/>
      <c r="W24" s="2"/>
      <c r="X24" s="2"/>
      <c r="Y24" s="2"/>
      <c r="Z24" s="2"/>
      <c r="AA24" s="2"/>
    </row>
    <row r="25" spans="1:27" x14ac:dyDescent="0.2">
      <c r="A25" s="82"/>
      <c r="B25" s="41"/>
      <c r="C25" s="25" t="s">
        <v>33</v>
      </c>
      <c r="D25" s="35"/>
      <c r="E25" s="35"/>
      <c r="F25" s="35" t="s">
        <v>87</v>
      </c>
      <c r="G25" s="68">
        <f t="shared" si="4"/>
        <v>41872</v>
      </c>
      <c r="H25" s="68">
        <f>_xll.qlInterestRateIndexValueDate(N25,G25,Trigger)</f>
        <v>41873</v>
      </c>
      <c r="I25" s="68">
        <f>_xll.qlInterestRateIndexMaturity(N25,H25,Trigger)</f>
        <v>43699</v>
      </c>
      <c r="J25" s="67">
        <f>_xll.qlIndexFixing(N25,G25,TRUE,InterestRatesTrigger)</f>
        <v>3.1902665110669318E-2</v>
      </c>
      <c r="K25" s="54" t="str">
        <f>Contribution!M25</f>
        <v>AUD3M5Y=</v>
      </c>
      <c r="L25" s="54"/>
      <c r="M25" s="82"/>
      <c r="N25" s="36" t="str">
        <f>_xll.qlSwapIndex(,"BBSW",C25,SettlementDays,Currency,Calendar,FixedLegTenor,FixedLegBDC,FixedLegDayCounter,IborIndex,DiscountingCurve,,Trigger)</f>
        <v>obj_0030a#0001</v>
      </c>
      <c r="O25" s="82"/>
      <c r="P25" s="82"/>
      <c r="Q25" s="82"/>
      <c r="R25" s="82"/>
      <c r="S25" s="57"/>
      <c r="T25" s="57"/>
      <c r="U25" s="2"/>
      <c r="V25" s="2"/>
      <c r="W25" s="2"/>
      <c r="X25" s="2"/>
      <c r="Y25" s="2"/>
      <c r="Z25" s="2"/>
      <c r="AA25" s="2"/>
    </row>
    <row r="26" spans="1:27" x14ac:dyDescent="0.2">
      <c r="A26" s="82"/>
      <c r="B26" s="41"/>
      <c r="C26" s="25" t="s">
        <v>34</v>
      </c>
      <c r="D26" s="35"/>
      <c r="E26" s="35"/>
      <c r="F26" s="35" t="s">
        <v>87</v>
      </c>
      <c r="G26" s="68">
        <f t="shared" si="4"/>
        <v>41872</v>
      </c>
      <c r="H26" s="68">
        <f>_xll.qlInterestRateIndexValueDate(N26,G26,Trigger)</f>
        <v>41873</v>
      </c>
      <c r="I26" s="68">
        <f>_xll.qlInterestRateIndexMaturity(N26,H26,Trigger)</f>
        <v>44067</v>
      </c>
      <c r="J26" s="67">
        <f>_xll.qlIndexFixing(N26,G26,TRUE,InterestRatesTrigger)</f>
        <v>3.3352217877360729E-2</v>
      </c>
      <c r="K26" s="54"/>
      <c r="L26" s="54"/>
      <c r="M26" s="82"/>
      <c r="N26" s="36" t="str">
        <f>_xll.qlSwapIndex(,"BBSW",C26,SettlementDays,Currency,Calendar,FixedLegTenor,FixedLegBDC,FixedLegDayCounter,IborIndex,DiscountingCurve,,Trigger)</f>
        <v>obj_0034e#0001</v>
      </c>
      <c r="O26" s="82"/>
      <c r="P26" s="82"/>
      <c r="Q26" s="82"/>
      <c r="R26" s="82"/>
      <c r="S26" s="57"/>
      <c r="T26" s="57"/>
      <c r="U26" s="2"/>
      <c r="V26" s="2"/>
      <c r="W26" s="2"/>
      <c r="X26" s="2"/>
      <c r="Y26" s="2"/>
      <c r="Z26" s="2"/>
      <c r="AA26" s="2"/>
    </row>
    <row r="27" spans="1:27" x14ac:dyDescent="0.2">
      <c r="A27" s="82"/>
      <c r="B27" s="41"/>
      <c r="C27" s="25" t="s">
        <v>35</v>
      </c>
      <c r="D27" s="35"/>
      <c r="E27" s="35"/>
      <c r="F27" s="35" t="s">
        <v>87</v>
      </c>
      <c r="G27" s="68">
        <f t="shared" si="4"/>
        <v>41872</v>
      </c>
      <c r="H27" s="68">
        <f>_xll.qlInterestRateIndexValueDate(N27,G27,Trigger)</f>
        <v>41873</v>
      </c>
      <c r="I27" s="68">
        <f>_xll.qlInterestRateIndexMaturity(N27,H27,Trigger)</f>
        <v>44431</v>
      </c>
      <c r="J27" s="67">
        <f>_xll.qlIndexFixing(N27,G27,TRUE,InterestRatesTrigger)</f>
        <v>3.463103475471848E-2</v>
      </c>
      <c r="K27" s="54" t="str">
        <f>Contribution!M27</f>
        <v>AUD3M7Y=</v>
      </c>
      <c r="L27" s="54"/>
      <c r="M27" s="82"/>
      <c r="N27" s="36" t="str">
        <f>_xll.qlSwapIndex(,"BBSW",C27,SettlementDays,Currency,Calendar,FixedLegTenor,FixedLegBDC,FixedLegDayCounter,IborIndex,DiscountingCurve,,Trigger)</f>
        <v>obj_0033a#0001</v>
      </c>
      <c r="O27" s="82"/>
      <c r="P27" s="82"/>
      <c r="Q27" s="82"/>
      <c r="R27" s="82"/>
      <c r="S27" s="57"/>
      <c r="T27" s="57"/>
      <c r="U27" s="2"/>
      <c r="V27" s="2"/>
      <c r="W27" s="2"/>
      <c r="X27" s="2"/>
      <c r="Y27" s="2"/>
      <c r="Z27" s="2"/>
      <c r="AA27" s="2"/>
    </row>
    <row r="28" spans="1:27" x14ac:dyDescent="0.2">
      <c r="A28" s="82"/>
      <c r="B28" s="41"/>
      <c r="C28" s="25" t="s">
        <v>36</v>
      </c>
      <c r="D28" s="35"/>
      <c r="E28" s="35"/>
      <c r="F28" s="35" t="s">
        <v>87</v>
      </c>
      <c r="G28" s="68">
        <f t="shared" si="4"/>
        <v>41872</v>
      </c>
      <c r="H28" s="68">
        <f>_xll.qlInterestRateIndexValueDate(N28,G28,Trigger)</f>
        <v>41873</v>
      </c>
      <c r="I28" s="68">
        <f>_xll.qlInterestRateIndexMaturity(N28,H28,Trigger)</f>
        <v>44795</v>
      </c>
      <c r="J28" s="67">
        <f>_xll.qlIndexFixing(N28,G28,TRUE,InterestRatesTrigger)</f>
        <v>3.5713346446599507E-2</v>
      </c>
      <c r="K28" s="54"/>
      <c r="L28" s="54"/>
      <c r="M28" s="82"/>
      <c r="N28" s="36" t="str">
        <f>_xll.qlSwapIndex(,"BBSW",C28,SettlementDays,Currency,Calendar,FixedLegTenor,FixedLegBDC,FixedLegDayCounter,IborIndex,DiscountingCurve,,Trigger)</f>
        <v>obj_00332#0001</v>
      </c>
      <c r="O28" s="82"/>
      <c r="P28" s="82"/>
      <c r="Q28" s="82"/>
      <c r="R28" s="82"/>
      <c r="S28" s="57"/>
      <c r="T28" s="57"/>
      <c r="U28" s="2"/>
      <c r="V28" s="2"/>
      <c r="W28" s="2"/>
      <c r="X28" s="2"/>
      <c r="Y28" s="2"/>
      <c r="Z28" s="2"/>
      <c r="AA28" s="2"/>
    </row>
    <row r="29" spans="1:27" x14ac:dyDescent="0.2">
      <c r="A29" s="82"/>
      <c r="B29" s="41"/>
      <c r="C29" s="25" t="s">
        <v>37</v>
      </c>
      <c r="D29" s="35"/>
      <c r="E29" s="35"/>
      <c r="F29" s="35" t="s">
        <v>87</v>
      </c>
      <c r="G29" s="68">
        <f t="shared" si="4"/>
        <v>41872</v>
      </c>
      <c r="H29" s="68">
        <f>_xll.qlInterestRateIndexValueDate(N29,G29,Trigger)</f>
        <v>41873</v>
      </c>
      <c r="I29" s="68">
        <f>_xll.qlInterestRateIndexMaturity(N29,H29,Trigger)</f>
        <v>45160</v>
      </c>
      <c r="J29" s="67">
        <f>_xll.qlIndexFixing(N29,G29,TRUE,InterestRatesTrigger)</f>
        <v>3.6646475666511552E-2</v>
      </c>
      <c r="K29" s="54"/>
      <c r="L29" s="54"/>
      <c r="M29" s="82"/>
      <c r="N29" s="36" t="str">
        <f>_xll.qlSwapIndex(,"BBSW",C29,SettlementDays,Currency,Calendar,FixedLegTenor,FixedLegBDC,FixedLegDayCounter,IborIndex,DiscountingCurve,,Trigger)</f>
        <v>obj_0033e#0001</v>
      </c>
      <c r="O29" s="82"/>
      <c r="P29" s="82"/>
      <c r="Q29" s="82"/>
      <c r="R29" s="82"/>
      <c r="S29" s="57"/>
      <c r="T29" s="57"/>
      <c r="U29" s="2"/>
      <c r="V29" s="2"/>
      <c r="W29" s="2"/>
      <c r="X29" s="2"/>
      <c r="Y29" s="2"/>
      <c r="Z29" s="2"/>
      <c r="AA29" s="2"/>
    </row>
    <row r="30" spans="1:27" x14ac:dyDescent="0.2">
      <c r="A30" s="82"/>
      <c r="B30" s="41"/>
      <c r="C30" s="25" t="s">
        <v>38</v>
      </c>
      <c r="D30" s="35"/>
      <c r="E30" s="35"/>
      <c r="F30" s="35" t="s">
        <v>87</v>
      </c>
      <c r="G30" s="68">
        <f t="shared" si="4"/>
        <v>41872</v>
      </c>
      <c r="H30" s="68">
        <f>_xll.qlInterestRateIndexValueDate(N30,G30,Trigger)</f>
        <v>41873</v>
      </c>
      <c r="I30" s="68">
        <f>_xll.qlInterestRateIndexMaturity(N30,H30,Trigger)</f>
        <v>45526</v>
      </c>
      <c r="J30" s="67">
        <f>_xll.qlIndexFixing(N30,G30,TRUE,InterestRatesTrigger)</f>
        <v>3.7470004962088674E-2</v>
      </c>
      <c r="K30" s="54" t="str">
        <f>Contribution!M30</f>
        <v>AUD3M10Y=</v>
      </c>
      <c r="L30" s="54"/>
      <c r="M30" s="82"/>
      <c r="N30" s="36" t="str">
        <f>_xll.qlSwapIndex(,"BBSW",C30,SettlementDays,Currency,Calendar,FixedLegTenor,FixedLegBDC,FixedLegDayCounter,IborIndex,DiscountingCurve,,Trigger)</f>
        <v>obj_00316#0001</v>
      </c>
      <c r="O30" s="82"/>
      <c r="P30" s="82"/>
      <c r="Q30" s="82"/>
      <c r="R30" s="82"/>
      <c r="S30" s="57"/>
      <c r="T30" s="57"/>
      <c r="U30" s="2"/>
      <c r="V30" s="2"/>
      <c r="W30" s="2"/>
      <c r="X30" s="2"/>
      <c r="Y30" s="2"/>
      <c r="Z30" s="2"/>
      <c r="AA30" s="2"/>
    </row>
    <row r="31" spans="1:27" x14ac:dyDescent="0.2">
      <c r="A31" s="82"/>
      <c r="B31" s="41"/>
      <c r="C31" s="25" t="s">
        <v>39</v>
      </c>
      <c r="D31" s="35"/>
      <c r="E31" s="35"/>
      <c r="F31" s="35" t="s">
        <v>87</v>
      </c>
      <c r="G31" s="68">
        <f t="shared" si="4"/>
        <v>41872</v>
      </c>
      <c r="H31" s="68">
        <f>_xll.qlInterestRateIndexValueDate(N31,G31,Trigger)</f>
        <v>41873</v>
      </c>
      <c r="I31" s="68">
        <f>_xll.qlInterestRateIndexMaturity(N31,H31,Trigger)</f>
        <v>46258</v>
      </c>
      <c r="J31" s="67">
        <f>_xll.qlIndexFixing(N31,G31,TRUE,InterestRatesTrigger)</f>
        <v>3.8858011264098873E-2</v>
      </c>
      <c r="K31" s="54" t="str">
        <f>Contribution!M31</f>
        <v>AUD3M12Y=</v>
      </c>
      <c r="L31" s="54"/>
      <c r="M31" s="82"/>
      <c r="N31" s="36" t="str">
        <f>_xll.qlSwapIndex(,"BBSW",C31,SettlementDays,Currency,Calendar,FixedLegTenor,FixedLegBDC,FixedLegDayCounter,IborIndex,DiscountingCurve,,Trigger)</f>
        <v>obj_00346#0001</v>
      </c>
      <c r="O31" s="82"/>
      <c r="P31" s="82"/>
      <c r="Q31" s="82"/>
      <c r="R31" s="82"/>
      <c r="S31" s="57"/>
      <c r="T31" s="57"/>
      <c r="U31" s="2"/>
      <c r="V31" s="2"/>
      <c r="W31" s="2"/>
      <c r="X31" s="2"/>
      <c r="Y31" s="2"/>
      <c r="Z31" s="2"/>
      <c r="AA31" s="2"/>
    </row>
    <row r="32" spans="1:27" x14ac:dyDescent="0.2">
      <c r="A32" s="82"/>
      <c r="B32" s="41"/>
      <c r="C32" s="25" t="s">
        <v>40</v>
      </c>
      <c r="D32" s="35"/>
      <c r="E32" s="35"/>
      <c r="F32" s="35" t="s">
        <v>87</v>
      </c>
      <c r="G32" s="68">
        <f t="shared" si="4"/>
        <v>41872</v>
      </c>
      <c r="H32" s="68">
        <f>_xll.qlInterestRateIndexValueDate(N32,G32,Trigger)</f>
        <v>41873</v>
      </c>
      <c r="I32" s="68">
        <f>_xll.qlInterestRateIndexMaturity(N32,H32,Trigger)</f>
        <v>47352</v>
      </c>
      <c r="J32" s="67">
        <f>_xll.qlIndexFixing(N32,G32,TRUE,InterestRatesTrigger)</f>
        <v>4.0381674698401065E-2</v>
      </c>
      <c r="K32" s="54" t="str">
        <f>Contribution!M32</f>
        <v>AUD3M15Y=</v>
      </c>
      <c r="L32" s="54"/>
      <c r="M32" s="82"/>
      <c r="N32" s="36" t="str">
        <f>_xll.qlSwapIndex(,"BBSW",C32,SettlementDays,Currency,Calendar,FixedLegTenor,FixedLegBDC,FixedLegDayCounter,IborIndex,DiscountingCurve,,Trigger)</f>
        <v>obj_00319#0001</v>
      </c>
      <c r="O32" s="82"/>
      <c r="P32" s="82"/>
      <c r="Q32" s="82"/>
      <c r="R32" s="82"/>
      <c r="S32" s="57"/>
      <c r="T32" s="57"/>
      <c r="U32" s="2"/>
      <c r="V32" s="2"/>
      <c r="W32" s="2"/>
      <c r="X32" s="2"/>
      <c r="Y32" s="2"/>
      <c r="Z32" s="2"/>
      <c r="AA32" s="2"/>
    </row>
    <row r="33" spans="1:27" x14ac:dyDescent="0.2">
      <c r="A33" s="82"/>
      <c r="B33" s="41"/>
      <c r="C33" s="25" t="s">
        <v>41</v>
      </c>
      <c r="D33" s="35"/>
      <c r="E33" s="35"/>
      <c r="F33" s="35" t="s">
        <v>87</v>
      </c>
      <c r="G33" s="68">
        <f t="shared" si="4"/>
        <v>41872</v>
      </c>
      <c r="H33" s="68">
        <f>_xll.qlInterestRateIndexValueDate(N33,G33,Trigger)</f>
        <v>41873</v>
      </c>
      <c r="I33" s="68">
        <f>_xll.qlInterestRateIndexMaturity(N33,H33,Trigger)</f>
        <v>49178</v>
      </c>
      <c r="J33" s="67">
        <f>_xll.qlIndexFixing(N33,G33,TRUE,InterestRatesTrigger)</f>
        <v>4.191814755369512E-2</v>
      </c>
      <c r="K33" s="54" t="str">
        <f>Contribution!M33</f>
        <v>AUD3M20Y=</v>
      </c>
      <c r="L33" s="54"/>
      <c r="M33" s="82"/>
      <c r="N33" s="36" t="str">
        <f>_xll.qlSwapIndex(,"BBSW",C33,SettlementDays,Currency,Calendar,FixedLegTenor,FixedLegBDC,FixedLegDayCounter,IborIndex,DiscountingCurve,,Trigger)</f>
        <v>obj_0033b#0001</v>
      </c>
      <c r="O33" s="82"/>
      <c r="P33" s="82"/>
      <c r="Q33" s="82"/>
      <c r="R33" s="82"/>
      <c r="S33" s="57"/>
      <c r="T33" s="57"/>
      <c r="U33" s="2"/>
      <c r="V33" s="2"/>
      <c r="W33" s="2"/>
      <c r="X33" s="2"/>
      <c r="Y33" s="2"/>
      <c r="Z33" s="2"/>
      <c r="AA33" s="2"/>
    </row>
    <row r="34" spans="1:27" x14ac:dyDescent="0.2">
      <c r="A34" s="82"/>
      <c r="B34" s="41"/>
      <c r="C34" s="25" t="s">
        <v>42</v>
      </c>
      <c r="D34" s="35"/>
      <c r="E34" s="35"/>
      <c r="F34" s="35" t="s">
        <v>87</v>
      </c>
      <c r="G34" s="68">
        <f t="shared" si="4"/>
        <v>41872</v>
      </c>
      <c r="H34" s="68">
        <f>_xll.qlInterestRateIndexValueDate(N34,G34,Trigger)</f>
        <v>41873</v>
      </c>
      <c r="I34" s="68">
        <f>_xll.qlInterestRateIndexMaturity(N34,H34,Trigger)</f>
        <v>51004</v>
      </c>
      <c r="J34" s="67">
        <f>_xll.qlIndexFixing(N34,G34,TRUE,InterestRatesTrigger)</f>
        <v>4.2549566977106677E-2</v>
      </c>
      <c r="K34" s="54" t="str">
        <f>Contribution!M34</f>
        <v>AUD3M25Y=</v>
      </c>
      <c r="L34" s="54"/>
      <c r="M34" s="82"/>
      <c r="N34" s="36" t="str">
        <f>_xll.qlSwapIndex(,"BBSW",C34,SettlementDays,Currency,Calendar,FixedLegTenor,FixedLegBDC,FixedLegDayCounter,IborIndex,DiscountingCurve,,Trigger)</f>
        <v>obj_00312#0001</v>
      </c>
      <c r="O34" s="82"/>
      <c r="P34" s="82"/>
      <c r="Q34" s="82"/>
      <c r="R34" s="82"/>
      <c r="S34" s="57"/>
      <c r="T34" s="57"/>
      <c r="U34" s="2"/>
      <c r="V34" s="2"/>
      <c r="W34" s="2"/>
      <c r="X34" s="2"/>
      <c r="Y34" s="2"/>
      <c r="Z34" s="2"/>
      <c r="AA34" s="2"/>
    </row>
    <row r="35" spans="1:27" x14ac:dyDescent="0.2">
      <c r="A35" s="82"/>
      <c r="B35" s="42"/>
      <c r="C35" s="26" t="s">
        <v>43</v>
      </c>
      <c r="D35" s="37"/>
      <c r="E35" s="37"/>
      <c r="F35" s="37" t="s">
        <v>87</v>
      </c>
      <c r="G35" s="69">
        <f t="shared" si="4"/>
        <v>41872</v>
      </c>
      <c r="H35" s="69">
        <f>_xll.qlInterestRateIndexValueDate(N35,G35,Trigger)</f>
        <v>41873</v>
      </c>
      <c r="I35" s="69">
        <f>_xll.qlInterestRateIndexMaturity(N35,H35,Trigger)</f>
        <v>52831</v>
      </c>
      <c r="J35" s="70">
        <f>_xll.qlIndexFixing(N35,G35,TRUE,InterestRatesTrigger)</f>
        <v>4.2908672090556835E-2</v>
      </c>
      <c r="K35" s="56" t="str">
        <f>Contribution!M35</f>
        <v>AUD3M30Y=</v>
      </c>
      <c r="L35" s="56"/>
      <c r="M35" s="82"/>
      <c r="N35" s="38" t="str">
        <f>_xll.qlSwapIndex(,"BBSW",C35,SettlementDays,Currency,Calendar,FixedLegTenor,FixedLegBDC,FixedLegDayCounter,IborIndex,DiscountingCurve,,Trigger)</f>
        <v>obj_0032f#0001</v>
      </c>
      <c r="O35" s="82"/>
      <c r="P35" s="82"/>
      <c r="Q35" s="82"/>
      <c r="R35" s="82"/>
      <c r="S35" s="57"/>
      <c r="T35" s="57"/>
      <c r="U35" s="2"/>
      <c r="V35" s="2"/>
      <c r="W35" s="2"/>
      <c r="X35" s="2"/>
      <c r="Y35" s="2"/>
      <c r="Z35" s="2"/>
      <c r="AA35" s="2"/>
    </row>
    <row r="36" spans="1:27" x14ac:dyDescent="0.2">
      <c r="A36" s="82"/>
      <c r="B36" s="90"/>
      <c r="C36" s="91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82"/>
      <c r="B37" s="89"/>
      <c r="C37" s="11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82"/>
      <c r="B38" s="11"/>
      <c r="C38" s="3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82"/>
      <c r="B39" s="11"/>
      <c r="C39" s="3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6"/>
      <c r="B40" s="11"/>
      <c r="C40" s="3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6"/>
      <c r="B41" s="11"/>
      <c r="C41" s="3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6"/>
      <c r="B42" s="11"/>
      <c r="C42" s="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6"/>
      <c r="B43" s="11"/>
      <c r="C43" s="3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6"/>
      <c r="B44" s="11"/>
      <c r="C44" s="3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6"/>
      <c r="B45" s="11"/>
      <c r="C45" s="3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6"/>
      <c r="B46" s="11"/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6"/>
      <c r="B47" s="11"/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6"/>
      <c r="B48" s="11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6"/>
      <c r="B49" s="11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6"/>
      <c r="B50" s="11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6"/>
      <c r="B51" s="11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6"/>
      <c r="B52" s="11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6"/>
      <c r="B53" s="11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6"/>
      <c r="B54" s="11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6"/>
      <c r="B55" s="11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6"/>
      <c r="B56" s="11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6"/>
      <c r="B57" s="11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6"/>
      <c r="B58" s="11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6"/>
      <c r="B59" s="11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6"/>
      <c r="B60" s="11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6"/>
      <c r="B61" s="11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6"/>
      <c r="B62" s="11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6"/>
      <c r="B63" s="11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6"/>
      <c r="B64" s="11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6"/>
      <c r="B65" s="11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6"/>
      <c r="B66" s="11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6"/>
      <c r="B67" s="11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6"/>
      <c r="B68" s="11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6"/>
      <c r="B69" s="11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6"/>
      <c r="B70" s="11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6"/>
      <c r="B71" s="11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6"/>
      <c r="B72" s="11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6"/>
      <c r="B73" s="11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6"/>
      <c r="B74" s="11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6"/>
      <c r="B75" s="11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6"/>
      <c r="B76" s="11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6"/>
      <c r="B77" s="11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6"/>
      <c r="B78" s="11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6"/>
      <c r="B79" s="11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6"/>
      <c r="B80" s="11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6"/>
      <c r="B81" s="11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6"/>
      <c r="B82" s="11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6"/>
      <c r="B83" s="11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6"/>
      <c r="B84" s="11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6"/>
      <c r="B85" s="11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6"/>
      <c r="B86" s="11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6"/>
      <c r="B87" s="11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6"/>
      <c r="B88" s="11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6"/>
      <c r="B89" s="11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6"/>
      <c r="B90" s="11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6"/>
      <c r="B91" s="11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6"/>
      <c r="B92" s="11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6"/>
      <c r="B93" s="11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6"/>
      <c r="B94" s="11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6"/>
      <c r="B95" s="11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6"/>
      <c r="B96" s="11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2"/>
      <c r="T96" s="2"/>
      <c r="U96" s="2"/>
      <c r="V96" s="2"/>
      <c r="W96" s="2"/>
      <c r="X96" s="2"/>
      <c r="Y96" s="2"/>
      <c r="Z96" s="2"/>
      <c r="AA96" s="2"/>
    </row>
    <row r="97" spans="1:27" s="52" customFormat="1" x14ac:dyDescent="0.2">
      <c r="A97" s="6"/>
      <c r="B97" s="11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6"/>
      <c r="B98" s="11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6"/>
      <c r="B99" s="11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6"/>
      <c r="B100" s="11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2"/>
      <c r="T100" s="2"/>
      <c r="U100" s="2"/>
      <c r="V100" s="2"/>
      <c r="W100" s="2"/>
      <c r="X100" s="2"/>
      <c r="Y100" s="2"/>
      <c r="Z100" s="2"/>
      <c r="AA100" s="2"/>
    </row>
  </sheetData>
  <dataValidations count="2">
    <dataValidation type="list" allowBlank="1" showInputMessage="1" showErrorMessage="1" sqref="R20 R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Q20 Q7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  <ignoredErrors>
    <ignoredError sqref="B8:B13" evalErro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1" customWidth="1"/>
    <col min="2" max="2" width="4" style="12" bestFit="1" customWidth="1"/>
    <col min="3" max="3" width="4" style="5" bestFit="1" customWidth="1"/>
    <col min="4" max="4" width="15.140625" style="7" bestFit="1" customWidth="1"/>
    <col min="5" max="7" width="17.28515625" style="7" bestFit="1" customWidth="1"/>
    <col min="8" max="8" width="8" style="7" bestFit="1" customWidth="1"/>
    <col min="9" max="9" width="17.28515625" style="1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5" width="30.7109375" style="1" hidden="1" customWidth="1" outlineLevel="1"/>
    <col min="16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52" customWidth="1"/>
    <col min="27" max="29" width="27.28515625" style="13" customWidth="1"/>
    <col min="30" max="82" width="27.28515625" style="1" customWidth="1"/>
    <col min="83" max="16384" width="2.85546875" style="1"/>
  </cols>
  <sheetData>
    <row r="1" spans="1:25" x14ac:dyDescent="0.2">
      <c r="A1" s="4"/>
      <c r="B1" s="89"/>
      <c r="C1" s="4"/>
      <c r="D1" s="27" t="s">
        <v>103</v>
      </c>
      <c r="E1" s="39" t="s">
        <v>14</v>
      </c>
      <c r="F1" s="82"/>
      <c r="G1" s="82"/>
      <c r="H1" s="82"/>
      <c r="I1" s="57"/>
      <c r="J1" s="82"/>
      <c r="K1" s="82"/>
      <c r="L1" s="82"/>
      <c r="M1" s="82"/>
      <c r="N1" s="82"/>
      <c r="O1" s="82"/>
      <c r="P1" s="82"/>
      <c r="Q1" s="82"/>
      <c r="R1" s="57"/>
      <c r="S1" s="2"/>
      <c r="T1" s="2"/>
      <c r="U1" s="2"/>
      <c r="V1" s="2"/>
      <c r="W1" s="2"/>
      <c r="X1" s="2"/>
      <c r="Y1" s="2"/>
    </row>
    <row r="2" spans="1:25" x14ac:dyDescent="0.2">
      <c r="A2" s="4"/>
      <c r="B2" s="89"/>
      <c r="C2" s="3"/>
      <c r="D2" s="27" t="s">
        <v>104</v>
      </c>
      <c r="E2" s="23" t="str">
        <f>Currency&amp;CurveTenor</f>
        <v>AUD6M</v>
      </c>
      <c r="F2" s="82"/>
      <c r="G2" s="82"/>
      <c r="H2" s="82"/>
      <c r="I2" s="57"/>
      <c r="J2" s="6"/>
      <c r="K2" s="6"/>
      <c r="L2" s="82"/>
      <c r="M2" s="6"/>
      <c r="N2" s="82"/>
      <c r="O2" s="82"/>
      <c r="P2" s="82"/>
      <c r="Q2" s="82"/>
      <c r="R2" s="57"/>
      <c r="S2" s="2"/>
      <c r="T2" s="2"/>
      <c r="U2" s="2"/>
      <c r="V2" s="2"/>
      <c r="W2" s="2"/>
      <c r="X2" s="2"/>
      <c r="Y2" s="2"/>
    </row>
    <row r="3" spans="1:25" x14ac:dyDescent="0.2">
      <c r="A3" s="4"/>
      <c r="B3" s="89"/>
      <c r="C3" s="4"/>
      <c r="D3" s="82"/>
      <c r="E3" s="82"/>
      <c r="F3" s="82"/>
      <c r="G3" s="82"/>
      <c r="H3" s="82"/>
      <c r="I3" s="57"/>
      <c r="J3" s="82"/>
      <c r="K3" s="82"/>
      <c r="L3" s="82"/>
      <c r="M3" s="82"/>
      <c r="N3" s="82"/>
      <c r="O3" s="82"/>
      <c r="P3" s="82"/>
      <c r="Q3" s="82"/>
      <c r="R3" s="57"/>
      <c r="S3" s="2"/>
      <c r="T3" s="2"/>
      <c r="U3" s="2"/>
      <c r="V3" s="2"/>
      <c r="W3" s="2"/>
      <c r="X3" s="2"/>
      <c r="Y3" s="2"/>
    </row>
    <row r="4" spans="1:25" x14ac:dyDescent="0.2">
      <c r="A4" s="4"/>
      <c r="B4" s="43"/>
      <c r="C4" s="44"/>
      <c r="D4" s="31" t="s">
        <v>51</v>
      </c>
      <c r="E4" s="31" t="s">
        <v>84</v>
      </c>
      <c r="F4" s="31" t="s">
        <v>100</v>
      </c>
      <c r="G4" s="31" t="s">
        <v>49</v>
      </c>
      <c r="H4" s="32" t="s">
        <v>48</v>
      </c>
      <c r="I4" s="31" t="s">
        <v>101</v>
      </c>
      <c r="J4" s="31" t="s">
        <v>102</v>
      </c>
      <c r="K4" s="57"/>
      <c r="L4" s="27" t="s">
        <v>85</v>
      </c>
      <c r="M4" s="4"/>
      <c r="N4" s="82"/>
      <c r="O4" s="82"/>
      <c r="P4" s="82"/>
      <c r="Q4" s="57"/>
      <c r="R4" s="57"/>
      <c r="S4" s="2"/>
      <c r="T4" s="2"/>
      <c r="U4" s="2"/>
      <c r="V4" s="2"/>
      <c r="W4" s="2"/>
      <c r="X4" s="2"/>
      <c r="Y4" s="2"/>
    </row>
    <row r="5" spans="1:25" x14ac:dyDescent="0.2">
      <c r="A5" s="4"/>
      <c r="B5" s="61">
        <f t="shared" ref="B5:B16" si="0">G5-EvaluationDate</f>
        <v>1</v>
      </c>
      <c r="C5" s="24" t="s">
        <v>15</v>
      </c>
      <c r="D5" s="33" t="s">
        <v>86</v>
      </c>
      <c r="E5" s="65">
        <f t="shared" ref="E5:E16" si="1">EvaluationDate</f>
        <v>41872</v>
      </c>
      <c r="F5" s="65">
        <f>EvaluationDate</f>
        <v>41872</v>
      </c>
      <c r="G5" s="65">
        <f>_xll.qlCalendarAdvance(Calendar,EvaluationDate,"1D","f",TRUE,Trigger)</f>
        <v>41873</v>
      </c>
      <c r="H5" s="73">
        <f>_xll.qlInterpolationInterpolate($L$5,B5,TRUE)</f>
        <v>2.7472413060389833E-2</v>
      </c>
      <c r="I5" s="74" t="str">
        <f>Contribution!T5</f>
        <v>AUD6MOND=</v>
      </c>
      <c r="J5" s="74"/>
      <c r="K5" s="57"/>
      <c r="L5" s="23" t="str">
        <f>_xll.qlInterpolation(,InterpolationType,B7:B14,H7:H14,,Trigger)</f>
        <v>obj_00353#0085</v>
      </c>
      <c r="M5" s="4"/>
      <c r="N5" s="82"/>
      <c r="O5" s="82"/>
      <c r="P5" s="82"/>
      <c r="Q5" s="57"/>
      <c r="R5" s="57"/>
      <c r="S5" s="2"/>
      <c r="T5" s="2"/>
      <c r="U5" s="2"/>
      <c r="V5" s="2"/>
      <c r="W5" s="2"/>
      <c r="X5" s="2"/>
      <c r="Y5" s="2"/>
    </row>
    <row r="6" spans="1:25" x14ac:dyDescent="0.2">
      <c r="A6" s="4"/>
      <c r="B6" s="62">
        <f t="shared" si="0"/>
        <v>4</v>
      </c>
      <c r="C6" s="25" t="s">
        <v>16</v>
      </c>
      <c r="D6" s="35" t="s">
        <v>86</v>
      </c>
      <c r="E6" s="68">
        <f t="shared" si="1"/>
        <v>41872</v>
      </c>
      <c r="F6" s="68">
        <f>G5</f>
        <v>41873</v>
      </c>
      <c r="G6" s="68">
        <f>_xll.qlCalendarAdvance(Calendar,EvaluationDate,"2D","f",TRUE,Trigger)</f>
        <v>41876</v>
      </c>
      <c r="H6" s="72">
        <f>_xll.qlInterpolationInterpolate($L$5,B6,TRUE)</f>
        <v>2.7475297605812812E-2</v>
      </c>
      <c r="I6" s="75" t="str">
        <f>Contribution!T6</f>
        <v>AUD6MTND=</v>
      </c>
      <c r="J6" s="75"/>
      <c r="K6" s="57"/>
      <c r="L6" s="8" t="s">
        <v>44</v>
      </c>
      <c r="M6" s="4"/>
      <c r="N6" s="82"/>
      <c r="O6" s="118" t="s">
        <v>114</v>
      </c>
      <c r="P6" s="118" t="s">
        <v>115</v>
      </c>
      <c r="Q6" s="57"/>
      <c r="R6" s="57"/>
      <c r="S6" s="2"/>
      <c r="T6" s="2"/>
      <c r="U6" s="2"/>
      <c r="V6" s="2"/>
      <c r="W6" s="2"/>
      <c r="X6" s="2"/>
      <c r="Y6" s="2"/>
    </row>
    <row r="7" spans="1:25" x14ac:dyDescent="0.2">
      <c r="A7" s="4"/>
      <c r="B7" s="61">
        <f t="shared" si="0"/>
        <v>1</v>
      </c>
      <c r="C7" s="24" t="s">
        <v>17</v>
      </c>
      <c r="D7" s="33" t="s">
        <v>88</v>
      </c>
      <c r="E7" s="65">
        <f t="shared" si="1"/>
        <v>41872</v>
      </c>
      <c r="F7" s="65">
        <f>_xll.qlInterestRateIndexValueDate(L7,E7,Trigger)</f>
        <v>41872</v>
      </c>
      <c r="G7" s="65">
        <f>_xll.qlInterestRateIndexMaturity(L7,F7,Trigger)</f>
        <v>41873</v>
      </c>
      <c r="H7" s="66">
        <f>_xll.qlIndexFixing(L7,E7,TRUE,InterestRatesTrigger)</f>
        <v>2.7472413060389833E-2</v>
      </c>
      <c r="I7" s="74" t="str">
        <f>Contribution!T7</f>
        <v>AUD6MSND=</v>
      </c>
      <c r="J7" s="74"/>
      <c r="K7" s="57"/>
      <c r="L7" s="120" t="str">
        <f>_xll.qlIborIndex(,"BBSW",IF(C7="SN","1D",IF(C7="SW","1W",C7)),0,Currency,Calendar,BDayConvention,FALSE,DayCounter,YieldCurve,,Trigger)</f>
        <v>obj_00327#0001</v>
      </c>
      <c r="M7" s="4"/>
      <c r="N7" s="82"/>
      <c r="O7" s="119" t="s">
        <v>116</v>
      </c>
      <c r="P7" s="119" t="s">
        <v>47</v>
      </c>
      <c r="Q7" s="57"/>
      <c r="R7" s="57"/>
      <c r="S7" s="2"/>
      <c r="T7" s="2"/>
      <c r="U7" s="2"/>
      <c r="V7" s="2"/>
      <c r="W7" s="2"/>
      <c r="X7" s="2"/>
      <c r="Y7" s="2"/>
    </row>
    <row r="8" spans="1:25" x14ac:dyDescent="0.2">
      <c r="A8" s="4"/>
      <c r="B8" s="62">
        <f t="shared" si="0"/>
        <v>7</v>
      </c>
      <c r="C8" s="25" t="s">
        <v>18</v>
      </c>
      <c r="D8" s="35" t="s">
        <v>88</v>
      </c>
      <c r="E8" s="68">
        <f t="shared" si="1"/>
        <v>41872</v>
      </c>
      <c r="F8" s="68">
        <f>_xll.qlInterestRateIndexValueDate(L8,E8,Trigger)</f>
        <v>41872</v>
      </c>
      <c r="G8" s="68">
        <f>_xll.qlInterestRateIndexMaturity(L8,F8,Trigger)</f>
        <v>41879</v>
      </c>
      <c r="H8" s="67">
        <f>_xll.qlIndexFixing(L8,E8,TRUE,InterestRatesTrigger)</f>
        <v>2.7478049560550888E-2</v>
      </c>
      <c r="I8" s="75" t="str">
        <f>Contribution!T8</f>
        <v>AUD6MSWD=</v>
      </c>
      <c r="J8" s="75"/>
      <c r="K8" s="57"/>
      <c r="L8" s="36" t="str">
        <f>_xll.qlIborIndex(,"BBSW",IF(C8="SN","1D",IF(C8="SW","1W",C8)),0,Currency,Calendar,BDayConvention,FALSE,DayCounter,YieldCurve,,Trigger)</f>
        <v>obj_00329#0001</v>
      </c>
      <c r="M8" s="4"/>
      <c r="N8" s="82"/>
      <c r="O8" s="82"/>
      <c r="P8" s="82"/>
      <c r="Q8" s="57"/>
      <c r="R8" s="57"/>
      <c r="S8" s="2"/>
      <c r="T8" s="2"/>
      <c r="U8" s="2"/>
      <c r="V8" s="2"/>
      <c r="W8" s="2"/>
      <c r="X8" s="2"/>
      <c r="Y8" s="2"/>
    </row>
    <row r="9" spans="1:25" x14ac:dyDescent="0.2">
      <c r="A9" s="4"/>
      <c r="B9" s="62">
        <f t="shared" si="0"/>
        <v>14</v>
      </c>
      <c r="C9" s="25" t="s">
        <v>19</v>
      </c>
      <c r="D9" s="35" t="s">
        <v>88</v>
      </c>
      <c r="E9" s="68">
        <f t="shared" si="1"/>
        <v>41872</v>
      </c>
      <c r="F9" s="68">
        <f>_xll.qlInterestRateIndexValueDate(L9,E9,Trigger)</f>
        <v>41872</v>
      </c>
      <c r="G9" s="68">
        <f>_xll.qlInterestRateIndexMaturity(L9,F9,Trigger)</f>
        <v>41886</v>
      </c>
      <c r="H9" s="67">
        <f>_xll.qlIndexFixing(L9,E9,TRUE,InterestRatesTrigger)</f>
        <v>2.7483550611229438E-2</v>
      </c>
      <c r="I9" s="75" t="str">
        <f>Contribution!T9</f>
        <v>AUD6M2WD=</v>
      </c>
      <c r="J9" s="75"/>
      <c r="K9" s="57"/>
      <c r="L9" s="36" t="str">
        <f>_xll.qlIborIndex(,"BBSW",IF(C9="SN","1D",IF(C9="SW","1W",C9)),0,Currency,Calendar,BDayConvention,FALSE,DayCounter,YieldCurve,,Trigger)</f>
        <v>obj_00328#0001</v>
      </c>
      <c r="M9" s="4"/>
      <c r="N9" s="82"/>
      <c r="O9" s="82"/>
      <c r="P9" s="82"/>
      <c r="Q9" s="57"/>
      <c r="R9" s="57"/>
      <c r="S9" s="2"/>
      <c r="T9" s="2"/>
      <c r="U9" s="2"/>
      <c r="V9" s="2"/>
      <c r="W9" s="2"/>
      <c r="X9" s="2"/>
      <c r="Y9" s="2"/>
    </row>
    <row r="10" spans="1:25" x14ac:dyDescent="0.2">
      <c r="A10" s="4"/>
      <c r="B10" s="62">
        <f>G10-EvaluationDate</f>
        <v>21</v>
      </c>
      <c r="C10" s="25" t="s">
        <v>20</v>
      </c>
      <c r="D10" s="35" t="s">
        <v>88</v>
      </c>
      <c r="E10" s="68">
        <f t="shared" si="1"/>
        <v>41872</v>
      </c>
      <c r="F10" s="68">
        <f>_xll.qlInterestRateIndexValueDate(L10,E10,Trigger)</f>
        <v>41872</v>
      </c>
      <c r="G10" s="68">
        <f>_xll.qlInterestRateIndexMaturity(L10,F10,Trigger)</f>
        <v>41893</v>
      </c>
      <c r="H10" s="67">
        <f>_xll.qlIndexFixing(L10,E10,TRUE,InterestRatesTrigger)</f>
        <v>2.748789236895292E-2</v>
      </c>
      <c r="I10" s="75" t="str">
        <f>Contribution!T10</f>
        <v>AUD6M3WD=</v>
      </c>
      <c r="J10" s="75"/>
      <c r="K10" s="57"/>
      <c r="L10" s="36" t="str">
        <f>_xll.qlIborIndex(,"BBSW",IF(C10="SN","1D",IF(C10="SW","1W",C10)),0,Currency,Calendar,BDayConvention,FALSE,DayCounter,YieldCurve,,Trigger)</f>
        <v>obj_0032a#0001</v>
      </c>
      <c r="M10" s="4"/>
      <c r="N10" s="82"/>
      <c r="O10" s="82"/>
      <c r="P10" s="82"/>
      <c r="Q10" s="57"/>
      <c r="R10" s="57"/>
      <c r="S10" s="2"/>
      <c r="T10" s="2"/>
      <c r="U10" s="2"/>
      <c r="V10" s="2"/>
      <c r="W10" s="2"/>
      <c r="X10" s="2"/>
      <c r="Y10" s="2"/>
    </row>
    <row r="11" spans="1:25" x14ac:dyDescent="0.2">
      <c r="A11" s="4"/>
      <c r="B11" s="62">
        <f t="shared" si="0"/>
        <v>32</v>
      </c>
      <c r="C11" s="25" t="s">
        <v>21</v>
      </c>
      <c r="D11" s="35" t="s">
        <v>88</v>
      </c>
      <c r="E11" s="68">
        <f t="shared" si="1"/>
        <v>41872</v>
      </c>
      <c r="F11" s="68">
        <f>_xll.qlInterestRateIndexValueDate(L11,E11,Trigger)</f>
        <v>41872</v>
      </c>
      <c r="G11" s="68">
        <f>_xll.qlInterestRateIndexMaturity(L11,F11,Trigger)</f>
        <v>41904</v>
      </c>
      <c r="H11" s="67">
        <f>_xll.qlIndexFixing(L11,E11,TRUE,InterestRatesTrigger)</f>
        <v>2.7492368476786967E-2</v>
      </c>
      <c r="I11" s="75" t="str">
        <f>Contribution!T11</f>
        <v>AUD6M1MD=</v>
      </c>
      <c r="J11" s="75"/>
      <c r="K11" s="57"/>
      <c r="L11" s="36" t="str">
        <f>_xll.qlIborIndex(,"BBSW",IF(C11="SN","1D",IF(C11="SW","1W",C11)),0,Currency,Calendar,BDayConvention,FALSE,DayCounter,YieldCurve,,Trigger)</f>
        <v>obj_0032b#0001</v>
      </c>
      <c r="M11" s="4"/>
      <c r="N11" s="82"/>
      <c r="O11" s="82"/>
      <c r="P11" s="82"/>
      <c r="Q11" s="57"/>
      <c r="R11" s="57"/>
      <c r="S11" s="2"/>
      <c r="T11" s="2"/>
      <c r="U11" s="2"/>
      <c r="V11" s="2"/>
      <c r="W11" s="2"/>
      <c r="X11" s="2"/>
      <c r="Y11" s="2"/>
    </row>
    <row r="12" spans="1:25" x14ac:dyDescent="0.2">
      <c r="A12" s="4"/>
      <c r="B12" s="62">
        <f t="shared" si="0"/>
        <v>61</v>
      </c>
      <c r="C12" s="25" t="s">
        <v>22</v>
      </c>
      <c r="D12" s="35" t="s">
        <v>88</v>
      </c>
      <c r="E12" s="68">
        <f t="shared" si="1"/>
        <v>41872</v>
      </c>
      <c r="F12" s="68">
        <f>_xll.qlInterestRateIndexValueDate(L12,E12,Trigger)</f>
        <v>41872</v>
      </c>
      <c r="G12" s="68">
        <f>_xll.qlInterestRateIndexMaturity(L12,F12,Trigger)</f>
        <v>41933</v>
      </c>
      <c r="H12" s="67">
        <f>_xll.qlIndexFixing(L12,E12,TRUE,InterestRatesTrigger)</f>
        <v>2.7490372461410763E-2</v>
      </c>
      <c r="I12" s="75" t="str">
        <f>Contribution!T12</f>
        <v>AUD6M2MD=</v>
      </c>
      <c r="J12" s="75"/>
      <c r="K12" s="57"/>
      <c r="L12" s="36" t="str">
        <f>_xll.qlIborIndex(,"BBSW",IF(C12="SN","1D",IF(C12="SW","1W",C12)),0,Currency,Calendar,BDayConvention,FALSE,DayCounter,YieldCurve,,Trigger)</f>
        <v>obj_0032c#0001</v>
      </c>
      <c r="M12" s="4"/>
      <c r="N12" s="82"/>
      <c r="O12" s="82"/>
      <c r="P12" s="82"/>
      <c r="Q12" s="57"/>
      <c r="R12" s="57"/>
      <c r="S12" s="2"/>
      <c r="T12" s="2"/>
      <c r="U12" s="2"/>
      <c r="V12" s="2"/>
      <c r="W12" s="2"/>
      <c r="X12" s="2"/>
      <c r="Y12" s="2"/>
    </row>
    <row r="13" spans="1:25" x14ac:dyDescent="0.2">
      <c r="A13" s="4"/>
      <c r="B13" s="62">
        <f t="shared" si="0"/>
        <v>92</v>
      </c>
      <c r="C13" s="25" t="s">
        <v>23</v>
      </c>
      <c r="D13" s="35" t="s">
        <v>88</v>
      </c>
      <c r="E13" s="68">
        <f t="shared" si="1"/>
        <v>41872</v>
      </c>
      <c r="F13" s="68">
        <f>_xll.qlInterestRateIndexValueDate(L13,E13,Trigger)</f>
        <v>41872</v>
      </c>
      <c r="G13" s="68">
        <f>_xll.qlInterestRateIndexMaturity(L13,F13,Trigger)</f>
        <v>41964</v>
      </c>
      <c r="H13" s="67">
        <f>_xll.qlIndexFixing(L13,E13,TRUE,InterestRatesTrigger)</f>
        <v>2.7465998955042748E-2</v>
      </c>
      <c r="I13" s="75" t="str">
        <f>Contribution!T13</f>
        <v>AUD6M3MD=</v>
      </c>
      <c r="J13" s="75"/>
      <c r="K13" s="57"/>
      <c r="L13" s="36" t="str">
        <f>_xll.qlIborIndex(,"BBSW",IF(C13="SN","1D",IF(C13="SW","1W",C13)),0,Currency,Calendar,BDayConvention,FALSE,DayCounter,YieldCurve,,Trigger)</f>
        <v>obj_0032d#0001</v>
      </c>
      <c r="M13" s="4"/>
      <c r="N13" s="82"/>
      <c r="O13" s="82"/>
      <c r="P13" s="82"/>
      <c r="Q13" s="57"/>
      <c r="R13" s="57"/>
      <c r="S13" s="2"/>
      <c r="T13" s="2"/>
      <c r="U13" s="2"/>
      <c r="V13" s="2"/>
      <c r="W13" s="2"/>
      <c r="X13" s="2"/>
      <c r="Y13" s="2"/>
    </row>
    <row r="14" spans="1:25" x14ac:dyDescent="0.2">
      <c r="A14" s="4"/>
      <c r="B14" s="62">
        <f t="shared" si="0"/>
        <v>123</v>
      </c>
      <c r="C14" s="25" t="s">
        <v>24</v>
      </c>
      <c r="D14" s="35" t="s">
        <v>88</v>
      </c>
      <c r="E14" s="68">
        <f t="shared" si="1"/>
        <v>41872</v>
      </c>
      <c r="F14" s="68">
        <f>_xll.qlInterestRateIndexValueDate(L14,E14,Trigger)</f>
        <v>41872</v>
      </c>
      <c r="G14" s="68">
        <f>_xll.qlInterestRateIndexMaturity(L14,F14,Trigger)</f>
        <v>41995</v>
      </c>
      <c r="H14" s="67">
        <f>_xll.qlIndexFixing(L14,E14,TRUE,InterestRatesTrigger)</f>
        <v>2.741848907535839E-2</v>
      </c>
      <c r="I14" s="75" t="str">
        <f>Contribution!T14</f>
        <v>AUD6M4MD=</v>
      </c>
      <c r="J14" s="75"/>
      <c r="K14" s="57"/>
      <c r="L14" s="36" t="str">
        <f>_xll.qlIborIndex(,"BBSW",IF(C14="SN","1D",IF(C14="SW","1W",C14)),0,Currency,Calendar,BDayConvention,FALSE,DayCounter,YieldCurve,,Trigger)</f>
        <v>obj_0032e#0001</v>
      </c>
      <c r="M14" s="4"/>
      <c r="N14" s="82"/>
      <c r="O14" s="82"/>
      <c r="P14" s="82"/>
      <c r="Q14" s="57"/>
      <c r="R14" s="57"/>
      <c r="S14" s="2"/>
      <c r="T14" s="2"/>
      <c r="U14" s="2"/>
      <c r="V14" s="2"/>
      <c r="W14" s="2"/>
      <c r="X14" s="2"/>
      <c r="Y14" s="2"/>
    </row>
    <row r="15" spans="1:25" x14ac:dyDescent="0.2">
      <c r="A15" s="4"/>
      <c r="B15" s="41">
        <f t="shared" si="0"/>
        <v>153</v>
      </c>
      <c r="C15" s="25" t="s">
        <v>25</v>
      </c>
      <c r="D15" s="35" t="s">
        <v>88</v>
      </c>
      <c r="E15" s="68">
        <f t="shared" si="1"/>
        <v>41872</v>
      </c>
      <c r="F15" s="68">
        <f>_xll.qlInterestRateIndexValueDate(L15,E15,Trigger)</f>
        <v>41872</v>
      </c>
      <c r="G15" s="68">
        <f>_xll.qlInterestRateIndexMaturity(L15,F15,Trigger)</f>
        <v>42025</v>
      </c>
      <c r="H15" s="67">
        <f>_xll.qlIndexFixing(L15,E15,TRUE,InterestRatesTrigger)</f>
        <v>2.7350334604090632E-2</v>
      </c>
      <c r="I15" s="75" t="str">
        <f>Contribution!T15</f>
        <v>AUD6M5MD=</v>
      </c>
      <c r="J15" s="75"/>
      <c r="K15" s="57"/>
      <c r="L15" s="36" t="str">
        <f>_xll.qlIborIndex(,"BBSW",IF(C15="SN","1D",IF(C15="SW","1W",C15)),0,Currency,Calendar,BDayConvention,FALSE,DayCounter,YieldCurve,,Trigger)</f>
        <v>obj_00326#0001</v>
      </c>
      <c r="M15" s="4"/>
      <c r="N15" s="82"/>
      <c r="O15" s="82"/>
      <c r="P15" s="82"/>
      <c r="Q15" s="57"/>
      <c r="R15" s="57"/>
      <c r="S15" s="2"/>
      <c r="T15" s="2"/>
      <c r="U15" s="2"/>
      <c r="V15" s="2"/>
      <c r="W15" s="2"/>
      <c r="X15" s="2"/>
      <c r="Y15" s="2"/>
    </row>
    <row r="16" spans="1:25" x14ac:dyDescent="0.2">
      <c r="A16" s="4"/>
      <c r="B16" s="42">
        <f t="shared" si="0"/>
        <v>186</v>
      </c>
      <c r="C16" s="26" t="s">
        <v>14</v>
      </c>
      <c r="D16" s="37" t="s">
        <v>88</v>
      </c>
      <c r="E16" s="69">
        <f t="shared" si="1"/>
        <v>41872</v>
      </c>
      <c r="F16" s="69">
        <f>_xll.qlInterestRateIndexValueDate(L16,E16,Trigger)</f>
        <v>41872</v>
      </c>
      <c r="G16" s="69">
        <f>_xll.qlInterestRateIndexMaturity(L16,F16,Trigger)</f>
        <v>42058</v>
      </c>
      <c r="H16" s="70">
        <f>_xll.qlIndexFixing(L16,E16,TRUE,InterestRatesTrigger)</f>
        <v>2.7249999999999792E-2</v>
      </c>
      <c r="I16" s="76" t="str">
        <f>Contribution!T16</f>
        <v>AUD6M6MD=</v>
      </c>
      <c r="J16" s="76" t="str">
        <f>"AU"&amp;C16&amp;"BA"&amp;"="</f>
        <v>AU6MBA=</v>
      </c>
      <c r="K16" s="57"/>
      <c r="L16" s="146" t="str">
        <f>IborIndexFamily&amp;CurveTenor</f>
        <v>AudBBSW6M</v>
      </c>
      <c r="M16" s="4"/>
      <c r="N16" s="82"/>
      <c r="O16" s="82"/>
      <c r="P16" s="82"/>
      <c r="Q16" s="57"/>
      <c r="R16" s="57"/>
      <c r="S16" s="2"/>
      <c r="T16" s="2"/>
      <c r="U16" s="2"/>
      <c r="V16" s="2"/>
      <c r="W16" s="2"/>
      <c r="X16" s="2"/>
      <c r="Y16" s="2"/>
    </row>
    <row r="17" spans="1:25" x14ac:dyDescent="0.2">
      <c r="A17" s="4"/>
      <c r="B17" s="41"/>
      <c r="C17" s="25"/>
      <c r="D17" s="35"/>
      <c r="E17" s="68"/>
      <c r="F17" s="68"/>
      <c r="G17" s="68"/>
      <c r="H17" s="67"/>
      <c r="I17" s="75"/>
      <c r="J17" s="75"/>
      <c r="K17" s="57"/>
      <c r="L17" s="82"/>
      <c r="M17" s="4"/>
      <c r="N17" s="82"/>
      <c r="O17" s="82"/>
      <c r="P17" s="82"/>
      <c r="Q17" s="57"/>
      <c r="R17" s="57"/>
      <c r="S17" s="2"/>
      <c r="T17" s="2"/>
      <c r="U17" s="2"/>
      <c r="V17" s="2"/>
      <c r="W17" s="2"/>
      <c r="X17" s="2"/>
      <c r="Y17" s="2"/>
    </row>
    <row r="18" spans="1:25" x14ac:dyDescent="0.2">
      <c r="A18" s="4"/>
      <c r="B18" s="41"/>
      <c r="C18" s="25"/>
      <c r="D18" s="35"/>
      <c r="E18" s="68"/>
      <c r="F18" s="68"/>
      <c r="G18" s="68"/>
      <c r="H18" s="67"/>
      <c r="I18" s="75"/>
      <c r="J18" s="75"/>
      <c r="K18" s="57"/>
      <c r="L18" s="82"/>
      <c r="M18" s="4"/>
      <c r="N18" s="82"/>
      <c r="O18" s="82"/>
      <c r="P18" s="82"/>
      <c r="Q18" s="57"/>
      <c r="R18" s="57"/>
      <c r="S18" s="2"/>
      <c r="T18" s="2"/>
      <c r="U18" s="2"/>
      <c r="V18" s="2"/>
      <c r="W18" s="2"/>
      <c r="X18" s="2"/>
      <c r="Y18" s="2"/>
    </row>
    <row r="19" spans="1:25" x14ac:dyDescent="0.2">
      <c r="A19" s="4"/>
      <c r="B19" s="41"/>
      <c r="C19" s="25"/>
      <c r="D19" s="35"/>
      <c r="E19" s="68"/>
      <c r="F19" s="68"/>
      <c r="G19" s="68"/>
      <c r="H19" s="67"/>
      <c r="I19" s="75"/>
      <c r="J19" s="75"/>
      <c r="K19" s="57"/>
      <c r="L19" s="122" t="s">
        <v>50</v>
      </c>
      <c r="M19" s="124"/>
      <c r="N19" s="118" t="s">
        <v>45</v>
      </c>
      <c r="O19" s="118" t="s">
        <v>105</v>
      </c>
      <c r="P19" s="118" t="s">
        <v>46</v>
      </c>
      <c r="Q19" s="57"/>
      <c r="R19" s="57"/>
      <c r="S19" s="2"/>
      <c r="T19" s="2"/>
      <c r="U19" s="2"/>
      <c r="V19" s="2"/>
      <c r="W19" s="2"/>
      <c r="X19" s="2"/>
      <c r="Y19" s="2"/>
    </row>
    <row r="20" spans="1:25" x14ac:dyDescent="0.2">
      <c r="A20" s="4"/>
      <c r="B20" s="40"/>
      <c r="C20" s="24" t="s">
        <v>29</v>
      </c>
      <c r="D20" s="33" t="s">
        <v>87</v>
      </c>
      <c r="E20" s="65">
        <f t="shared" ref="E20:E21" si="2">EvaluationDate</f>
        <v>41872</v>
      </c>
      <c r="F20" s="65">
        <f>_xll.qlInterestRateIndexValueDate(L20,E20,Trigger)</f>
        <v>41873</v>
      </c>
      <c r="G20" s="65">
        <f>_xll.qlInterestRateIndexMaturity(L20,F20,Trigger)</f>
        <v>42240</v>
      </c>
      <c r="H20" s="66">
        <f>_xll.qlIndexFixing(L20,E20,TRUE,InterestRatesTrigger)</f>
        <v>2.6672976982963725E-2</v>
      </c>
      <c r="I20" s="74" t="str">
        <f>Contribution!T20</f>
        <v>AUD6M1Y=</v>
      </c>
      <c r="J20" s="74"/>
      <c r="K20" s="57"/>
      <c r="L20" s="120" t="str">
        <f>_xll.qlSwapIndex(,"BBSW",C20,SettlementDays,Currency,Calendar,FixedLegTenor,FixedLegBDC,FixedLegDayCounter,IborIndex,DiscountingCurve,,Trigger)</f>
        <v>obj_00345#0001</v>
      </c>
      <c r="M20" s="4"/>
      <c r="N20" s="119" t="s">
        <v>14</v>
      </c>
      <c r="O20" s="119" t="s">
        <v>81</v>
      </c>
      <c r="P20" s="119" t="s">
        <v>47</v>
      </c>
      <c r="Q20" s="57"/>
      <c r="R20" s="57"/>
      <c r="S20" s="2"/>
      <c r="T20" s="2"/>
      <c r="U20" s="2"/>
      <c r="V20" s="2"/>
      <c r="W20" s="2"/>
      <c r="X20" s="2"/>
      <c r="Y20" s="2"/>
    </row>
    <row r="21" spans="1:25" x14ac:dyDescent="0.2">
      <c r="A21" s="4"/>
      <c r="B21" s="41"/>
      <c r="C21" s="25" t="s">
        <v>93</v>
      </c>
      <c r="D21" s="35" t="s">
        <v>87</v>
      </c>
      <c r="E21" s="68">
        <f t="shared" si="2"/>
        <v>41872</v>
      </c>
      <c r="F21" s="68">
        <f>_xll.qlInterestRateIndexValueDate(L21,E21,Trigger)</f>
        <v>41873</v>
      </c>
      <c r="G21" s="68">
        <f>_xll.qlInterestRateIndexMaturity(L21,F21,Trigger)</f>
        <v>42422</v>
      </c>
      <c r="H21" s="67">
        <f>_xll.qlIndexFixing(L21,E21,TRUE,InterestRatesTrigger)</f>
        <v>2.7094796181504097E-2</v>
      </c>
      <c r="I21" s="75"/>
      <c r="J21" s="75"/>
      <c r="K21" s="57"/>
      <c r="L21" s="121" t="str">
        <f>_xll.qlSwapIndex(,"BBSW",C21,SettlementDays,Currency,Calendar,FixedLegTenor,FixedLegBDC,FixedLegDayCounter,IborIndex,DiscountingCurve,,Trigger)</f>
        <v>obj_0030b#0001</v>
      </c>
      <c r="M21" s="92"/>
      <c r="N21" s="123"/>
      <c r="O21" s="117"/>
      <c r="P21" s="123"/>
      <c r="Q21" s="57"/>
      <c r="R21" s="57"/>
      <c r="S21" s="2"/>
      <c r="T21" s="2"/>
      <c r="U21" s="2"/>
      <c r="V21" s="2"/>
      <c r="W21" s="2"/>
      <c r="X21" s="2"/>
      <c r="Y21" s="2"/>
    </row>
    <row r="22" spans="1:25" x14ac:dyDescent="0.2">
      <c r="A22" s="4"/>
      <c r="B22" s="41"/>
      <c r="C22" s="25" t="s">
        <v>30</v>
      </c>
      <c r="D22" s="35" t="s">
        <v>87</v>
      </c>
      <c r="E22" s="68">
        <f t="shared" ref="E22:E35" si="3">EvaluationDate</f>
        <v>41872</v>
      </c>
      <c r="F22" s="68">
        <f>_xll.qlInterestRateIndexValueDate(L22,E22,Trigger)</f>
        <v>41873</v>
      </c>
      <c r="G22" s="68">
        <f>_xll.qlInterestRateIndexMaturity(L22,F22,Trigger)</f>
        <v>42604</v>
      </c>
      <c r="H22" s="67">
        <f>_xll.qlIndexFixing(L22,E22,TRUE,InterestRatesTrigger)</f>
        <v>2.786372663267676E-2</v>
      </c>
      <c r="I22" s="75" t="str">
        <f>Contribution!T22</f>
        <v>AUD6M2Y=</v>
      </c>
      <c r="J22" s="75"/>
      <c r="K22" s="57"/>
      <c r="L22" s="53" t="str">
        <f>_xll.qlSwapIndex(,"BBSW",C22,SettlementDays,Currency,Calendar,FixedLegTenor,FixedLegBDC,FixedLegDayCounter,IborIndex,DiscountingCurve,,Trigger)</f>
        <v>obj_0031c#0001</v>
      </c>
      <c r="M22" s="92"/>
      <c r="N22" s="123"/>
      <c r="O22" s="117"/>
      <c r="P22" s="123"/>
      <c r="Q22" s="57"/>
      <c r="R22" s="57"/>
      <c r="S22" s="2"/>
      <c r="T22" s="2"/>
      <c r="U22" s="2"/>
      <c r="V22" s="2"/>
      <c r="W22" s="2"/>
      <c r="X22" s="2"/>
      <c r="Y22" s="2"/>
    </row>
    <row r="23" spans="1:25" x14ac:dyDescent="0.2">
      <c r="A23" s="4"/>
      <c r="B23" s="41"/>
      <c r="C23" s="25" t="s">
        <v>31</v>
      </c>
      <c r="D23" s="35" t="s">
        <v>87</v>
      </c>
      <c r="E23" s="68">
        <f t="shared" si="3"/>
        <v>41872</v>
      </c>
      <c r="F23" s="68">
        <f>_xll.qlInterestRateIndexValueDate(L23,E23,Trigger)</f>
        <v>41873</v>
      </c>
      <c r="G23" s="68">
        <f>_xll.qlInterestRateIndexMaturity(L23,F23,Trigger)</f>
        <v>42969</v>
      </c>
      <c r="H23" s="67">
        <f>_xll.qlIndexFixing(L23,E23,TRUE,InterestRatesTrigger)</f>
        <v>2.95311800522714E-2</v>
      </c>
      <c r="I23" s="75" t="str">
        <f>Contribution!T23</f>
        <v>AUD6M3Y=</v>
      </c>
      <c r="J23" s="75"/>
      <c r="K23" s="57"/>
      <c r="L23" s="53" t="str">
        <f>_xll.qlSwapIndex(,"BBSW",C23,SettlementDays,Currency,Calendar,FixedLegTenor,FixedLegBDC,FixedLegDayCounter,IborIndex,DiscountingCurve,,Trigger)</f>
        <v>obj_00331#0001</v>
      </c>
      <c r="M23" s="92"/>
      <c r="N23" s="82"/>
      <c r="O23" s="4"/>
      <c r="P23" s="82"/>
      <c r="Q23" s="57"/>
      <c r="R23" s="57"/>
      <c r="S23" s="2"/>
      <c r="T23" s="2"/>
      <c r="U23" s="2"/>
      <c r="V23" s="2"/>
      <c r="W23" s="2"/>
      <c r="X23" s="2"/>
      <c r="Y23" s="2"/>
    </row>
    <row r="24" spans="1:25" x14ac:dyDescent="0.2">
      <c r="A24" s="4"/>
      <c r="B24" s="41"/>
      <c r="C24" s="25" t="s">
        <v>32</v>
      </c>
      <c r="D24" s="35" t="s">
        <v>87</v>
      </c>
      <c r="E24" s="68">
        <f t="shared" si="3"/>
        <v>41872</v>
      </c>
      <c r="F24" s="68">
        <f>_xll.qlInterestRateIndexValueDate(L24,E24,Trigger)</f>
        <v>41873</v>
      </c>
      <c r="G24" s="68">
        <f>_xll.qlInterestRateIndexMaturity(L24,F24,Trigger)</f>
        <v>43334</v>
      </c>
      <c r="H24" s="67">
        <f>_xll.qlIndexFixing(L24,E24,TRUE,InterestRatesTrigger)</f>
        <v>3.1250000000001589E-2</v>
      </c>
      <c r="I24" s="75" t="str">
        <f>Contribution!T24</f>
        <v>AUD6M4Y=</v>
      </c>
      <c r="J24" s="75" t="str">
        <f t="shared" ref="J24:J35" si="4">Currency&amp;"SM6AB"&amp;C24&amp;"=ICAA"</f>
        <v>AUDSM6AB4Y=ICAA</v>
      </c>
      <c r="K24" s="57"/>
      <c r="L24" s="53" t="str">
        <f>_xll.qlSwapIndex(,"BBSW",C24,SettlementDays,Currency,Calendar,FixedLegTenor,FixedLegBDC,FixedLegDayCounter,IborIndex,DiscountingCurve,,Trigger)</f>
        <v>obj_00341#0001</v>
      </c>
      <c r="M24" s="92"/>
      <c r="N24" s="82"/>
      <c r="O24" s="4"/>
      <c r="P24" s="82"/>
      <c r="Q24" s="57"/>
      <c r="R24" s="57"/>
      <c r="S24" s="2"/>
      <c r="T24" s="2"/>
      <c r="U24" s="2"/>
      <c r="V24" s="2"/>
      <c r="W24" s="2"/>
      <c r="X24" s="2"/>
      <c r="Y24" s="2"/>
    </row>
    <row r="25" spans="1:25" x14ac:dyDescent="0.2">
      <c r="A25" s="4"/>
      <c r="B25" s="41"/>
      <c r="C25" s="25" t="s">
        <v>33</v>
      </c>
      <c r="D25" s="35" t="s">
        <v>87</v>
      </c>
      <c r="E25" s="68">
        <f t="shared" si="3"/>
        <v>41872</v>
      </c>
      <c r="F25" s="68">
        <f>_xll.qlInterestRateIndexValueDate(L25,E25,Trigger)</f>
        <v>41873</v>
      </c>
      <c r="G25" s="68">
        <f>_xll.qlInterestRateIndexMaturity(L25,F25,Trigger)</f>
        <v>43699</v>
      </c>
      <c r="H25" s="67">
        <f>_xll.qlIndexFixing(L25,E25,TRUE,InterestRatesTrigger)</f>
        <v>3.2800000000001578E-2</v>
      </c>
      <c r="I25" s="75" t="str">
        <f>Contribution!T25</f>
        <v>AUD6M5Y=</v>
      </c>
      <c r="J25" s="75" t="str">
        <f t="shared" si="4"/>
        <v>AUDSM6AB5Y=ICAA</v>
      </c>
      <c r="K25" s="57"/>
      <c r="L25" s="53" t="str">
        <f>_xll.qlSwapIndex(,"BBSW",C25,SettlementDays,Currency,Calendar,FixedLegTenor,FixedLegBDC,FixedLegDayCounter,IborIndex,DiscountingCurve,,Trigger)</f>
        <v>obj_00349#0001</v>
      </c>
      <c r="M25" s="92"/>
      <c r="N25" s="82"/>
      <c r="O25" s="4"/>
      <c r="P25" s="82"/>
      <c r="Q25" s="57"/>
      <c r="R25" s="57"/>
      <c r="S25" s="2"/>
      <c r="T25" s="2"/>
      <c r="U25" s="2"/>
      <c r="V25" s="2"/>
      <c r="W25" s="2"/>
      <c r="X25" s="2"/>
      <c r="Y25" s="2"/>
    </row>
    <row r="26" spans="1:25" x14ac:dyDescent="0.2">
      <c r="A26" s="4"/>
      <c r="B26" s="41"/>
      <c r="C26" s="25" t="s">
        <v>34</v>
      </c>
      <c r="D26" s="35" t="s">
        <v>87</v>
      </c>
      <c r="E26" s="68">
        <f t="shared" si="3"/>
        <v>41872</v>
      </c>
      <c r="F26" s="68">
        <f>_xll.qlInterestRateIndexValueDate(L26,E26,Trigger)</f>
        <v>41873</v>
      </c>
      <c r="G26" s="68">
        <f>_xll.qlInterestRateIndexMaturity(L26,F26,Trigger)</f>
        <v>44067</v>
      </c>
      <c r="H26" s="67">
        <f>_xll.qlIndexFixing(L26,E26,TRUE,InterestRatesTrigger)</f>
        <v>3.4250000000001439E-2</v>
      </c>
      <c r="I26" s="75"/>
      <c r="J26" s="75" t="str">
        <f t="shared" si="4"/>
        <v>AUDSM6AB6Y=ICAA</v>
      </c>
      <c r="K26" s="57"/>
      <c r="L26" s="53" t="str">
        <f>_xll.qlSwapIndex(,"BBSW",C26,SettlementDays,Currency,Calendar,FixedLegTenor,FixedLegBDC,FixedLegDayCounter,IborIndex,DiscountingCurve,,Trigger)</f>
        <v>obj_00342#0001</v>
      </c>
      <c r="M26" s="92"/>
      <c r="N26" s="82"/>
      <c r="O26" s="4"/>
      <c r="P26" s="82"/>
      <c r="Q26" s="57"/>
      <c r="R26" s="57"/>
      <c r="S26" s="2"/>
      <c r="T26" s="2"/>
      <c r="U26" s="2"/>
      <c r="V26" s="2"/>
      <c r="W26" s="2"/>
      <c r="X26" s="2"/>
      <c r="Y26" s="2"/>
    </row>
    <row r="27" spans="1:25" x14ac:dyDescent="0.2">
      <c r="A27" s="4"/>
      <c r="B27" s="41"/>
      <c r="C27" s="25" t="s">
        <v>35</v>
      </c>
      <c r="D27" s="35" t="s">
        <v>87</v>
      </c>
      <c r="E27" s="68">
        <f t="shared" si="3"/>
        <v>41872</v>
      </c>
      <c r="F27" s="68">
        <f>_xll.qlInterestRateIndexValueDate(L27,E27,Trigger)</f>
        <v>41873</v>
      </c>
      <c r="G27" s="68">
        <f>_xll.qlInterestRateIndexMaturity(L27,F27,Trigger)</f>
        <v>44431</v>
      </c>
      <c r="H27" s="67">
        <f>_xll.qlIndexFixing(L27,E27,TRUE,InterestRatesTrigger)</f>
        <v>3.5550000000000991E-2</v>
      </c>
      <c r="I27" s="75" t="str">
        <f>Contribution!T27</f>
        <v>AUD6M7Y=</v>
      </c>
      <c r="J27" s="75" t="str">
        <f t="shared" si="4"/>
        <v>AUDSM6AB7Y=ICAA</v>
      </c>
      <c r="K27" s="57"/>
      <c r="L27" s="53" t="str">
        <f>_xll.qlSwapIndex(,"BBSW",C27,SettlementDays,Currency,Calendar,FixedLegTenor,FixedLegBDC,FixedLegDayCounter,IborIndex,DiscountingCurve,,Trigger)</f>
        <v>obj_00336#0001</v>
      </c>
      <c r="M27" s="92"/>
      <c r="N27" s="82"/>
      <c r="O27" s="4"/>
      <c r="P27" s="82"/>
      <c r="Q27" s="57"/>
      <c r="R27" s="57"/>
      <c r="S27" s="2"/>
      <c r="T27" s="2"/>
      <c r="U27" s="2"/>
      <c r="V27" s="2"/>
      <c r="W27" s="2"/>
      <c r="X27" s="2"/>
      <c r="Y27" s="2"/>
    </row>
    <row r="28" spans="1:25" x14ac:dyDescent="0.2">
      <c r="A28" s="4"/>
      <c r="B28" s="41"/>
      <c r="C28" s="25" t="s">
        <v>36</v>
      </c>
      <c r="D28" s="35" t="s">
        <v>87</v>
      </c>
      <c r="E28" s="68">
        <f t="shared" si="3"/>
        <v>41872</v>
      </c>
      <c r="F28" s="68">
        <f>_xll.qlInterestRateIndexValueDate(L28,E28,Trigger)</f>
        <v>41873</v>
      </c>
      <c r="G28" s="68">
        <f>_xll.qlInterestRateIndexMaturity(L28,F28,Trigger)</f>
        <v>44795</v>
      </c>
      <c r="H28" s="67">
        <f>_xll.qlIndexFixing(L28,E28,TRUE,InterestRatesTrigger)</f>
        <v>3.6625000000001122E-2</v>
      </c>
      <c r="I28" s="75"/>
      <c r="J28" s="75" t="str">
        <f t="shared" si="4"/>
        <v>AUDSM6AB8Y=ICAA</v>
      </c>
      <c r="K28" s="57"/>
      <c r="L28" s="53" t="str">
        <f>_xll.qlSwapIndex(,"BBSW",C28,SettlementDays,Currency,Calendar,FixedLegTenor,FixedLegBDC,FixedLegDayCounter,IborIndex,DiscountingCurve,,Trigger)</f>
        <v>obj_00340#0001</v>
      </c>
      <c r="M28" s="92"/>
      <c r="N28" s="82"/>
      <c r="O28" s="4"/>
      <c r="P28" s="82"/>
      <c r="Q28" s="57"/>
      <c r="R28" s="57"/>
      <c r="S28" s="2"/>
      <c r="T28" s="2"/>
      <c r="U28" s="2"/>
      <c r="V28" s="2"/>
      <c r="W28" s="2"/>
      <c r="X28" s="2"/>
      <c r="Y28" s="2"/>
    </row>
    <row r="29" spans="1:25" x14ac:dyDescent="0.2">
      <c r="A29" s="4"/>
      <c r="B29" s="41"/>
      <c r="C29" s="25" t="s">
        <v>37</v>
      </c>
      <c r="D29" s="35" t="s">
        <v>87</v>
      </c>
      <c r="E29" s="68">
        <f t="shared" si="3"/>
        <v>41872</v>
      </c>
      <c r="F29" s="68">
        <f>_xll.qlInterestRateIndexValueDate(L29,E29,Trigger)</f>
        <v>41873</v>
      </c>
      <c r="G29" s="68">
        <f>_xll.qlInterestRateIndexMaturity(L29,F29,Trigger)</f>
        <v>45160</v>
      </c>
      <c r="H29" s="67">
        <f>_xll.qlIndexFixing(L29,E29,TRUE,InterestRatesTrigger)</f>
        <v>3.7574999999996632E-2</v>
      </c>
      <c r="I29" s="75"/>
      <c r="J29" s="75" t="str">
        <f t="shared" si="4"/>
        <v>AUDSM6AB9Y=ICAA</v>
      </c>
      <c r="K29" s="57"/>
      <c r="L29" s="53" t="str">
        <f>_xll.qlSwapIndex(,"BBSW",C29,SettlementDays,Currency,Calendar,FixedLegTenor,FixedLegBDC,FixedLegDayCounter,IborIndex,DiscountingCurve,,Trigger)</f>
        <v>obj_00330#0001</v>
      </c>
      <c r="M29" s="92"/>
      <c r="N29" s="82"/>
      <c r="O29" s="4"/>
      <c r="P29" s="82"/>
      <c r="Q29" s="57"/>
      <c r="R29" s="57"/>
      <c r="S29" s="2"/>
      <c r="T29" s="2"/>
      <c r="U29" s="2"/>
      <c r="V29" s="2"/>
      <c r="W29" s="2"/>
      <c r="X29" s="2"/>
      <c r="Y29" s="2"/>
    </row>
    <row r="30" spans="1:25" x14ac:dyDescent="0.2">
      <c r="A30" s="4"/>
      <c r="B30" s="41"/>
      <c r="C30" s="25" t="s">
        <v>38</v>
      </c>
      <c r="D30" s="35" t="s">
        <v>87</v>
      </c>
      <c r="E30" s="68">
        <f t="shared" si="3"/>
        <v>41872</v>
      </c>
      <c r="F30" s="68">
        <f>_xll.qlInterestRateIndexValueDate(L30,E30,Trigger)</f>
        <v>41873</v>
      </c>
      <c r="G30" s="68">
        <f>_xll.qlInterestRateIndexMaturity(L30,F30,Trigger)</f>
        <v>45526</v>
      </c>
      <c r="H30" s="67">
        <f>_xll.qlIndexFixing(L30,E30,TRUE,InterestRatesTrigger)</f>
        <v>3.8424999999941055E-2</v>
      </c>
      <c r="I30" s="75" t="str">
        <f>Contribution!T30</f>
        <v>AUD6M10Y=</v>
      </c>
      <c r="J30" s="75" t="str">
        <f t="shared" si="4"/>
        <v>AUDSM6AB10Y=ICAA</v>
      </c>
      <c r="K30" s="57"/>
      <c r="L30" s="53" t="str">
        <f>_xll.qlSwapIndex(,"BBSW",C30,SettlementDays,Currency,Calendar,FixedLegTenor,FixedLegBDC,FixedLegDayCounter,IborIndex,DiscountingCurve,,Trigger)</f>
        <v>obj_00313#0001</v>
      </c>
      <c r="M30" s="92"/>
      <c r="N30" s="82"/>
      <c r="O30" s="4"/>
      <c r="P30" s="82"/>
      <c r="Q30" s="57"/>
      <c r="R30" s="57"/>
      <c r="S30" s="2"/>
      <c r="T30" s="2"/>
      <c r="U30" s="2"/>
      <c r="V30" s="2"/>
      <c r="W30" s="2"/>
      <c r="X30" s="2"/>
      <c r="Y30" s="2"/>
    </row>
    <row r="31" spans="1:25" x14ac:dyDescent="0.2">
      <c r="A31" s="4"/>
      <c r="B31" s="41"/>
      <c r="C31" s="25" t="s">
        <v>39</v>
      </c>
      <c r="D31" s="35" t="s">
        <v>87</v>
      </c>
      <c r="E31" s="68">
        <f t="shared" si="3"/>
        <v>41872</v>
      </c>
      <c r="F31" s="68">
        <f>_xll.qlInterestRateIndexValueDate(L31,E31,Trigger)</f>
        <v>41873</v>
      </c>
      <c r="G31" s="68">
        <f>_xll.qlInterestRateIndexMaturity(L31,F31,Trigger)</f>
        <v>46258</v>
      </c>
      <c r="H31" s="67">
        <f>_xll.qlIndexFixing(L31,E31,TRUE,InterestRatesTrigger)</f>
        <v>3.9799999999904419E-2</v>
      </c>
      <c r="I31" s="75" t="str">
        <f>Contribution!T31</f>
        <v>AUD6M12Y=</v>
      </c>
      <c r="J31" s="75" t="str">
        <f t="shared" si="4"/>
        <v>AUDSM6AB12Y=ICAA</v>
      </c>
      <c r="K31" s="57"/>
      <c r="L31" s="53" t="str">
        <f>_xll.qlSwapIndex(,"BBSW",C31,SettlementDays,Currency,Calendar,FixedLegTenor,FixedLegBDC,FixedLegDayCounter,IborIndex,DiscountingCurve,,Trigger)</f>
        <v>obj_00308#0001</v>
      </c>
      <c r="M31" s="92"/>
      <c r="N31" s="82"/>
      <c r="O31" s="4"/>
      <c r="P31" s="82"/>
      <c r="Q31" s="57"/>
      <c r="R31" s="57"/>
      <c r="S31" s="2"/>
      <c r="T31" s="2"/>
      <c r="U31" s="2"/>
      <c r="V31" s="2"/>
      <c r="W31" s="2"/>
      <c r="X31" s="2"/>
      <c r="Y31" s="2"/>
    </row>
    <row r="32" spans="1:25" x14ac:dyDescent="0.2">
      <c r="A32" s="4"/>
      <c r="B32" s="41"/>
      <c r="C32" s="25" t="s">
        <v>40</v>
      </c>
      <c r="D32" s="35" t="s">
        <v>87</v>
      </c>
      <c r="E32" s="68">
        <f t="shared" si="3"/>
        <v>41872</v>
      </c>
      <c r="F32" s="68">
        <f>_xll.qlInterestRateIndexValueDate(L32,E32,Trigger)</f>
        <v>41873</v>
      </c>
      <c r="G32" s="68">
        <f>_xll.qlInterestRateIndexMaturity(L32,F32,Trigger)</f>
        <v>47352</v>
      </c>
      <c r="H32" s="67">
        <f>_xll.qlIndexFixing(L32,E32,TRUE,InterestRatesTrigger)</f>
        <v>4.1275000000011004E-2</v>
      </c>
      <c r="I32" s="75" t="str">
        <f>Contribution!T32</f>
        <v>AUD6M15Y=</v>
      </c>
      <c r="J32" s="75" t="str">
        <f t="shared" si="4"/>
        <v>AUDSM6AB15Y=ICAA</v>
      </c>
      <c r="K32" s="57"/>
      <c r="L32" s="53" t="str">
        <f>_xll.qlSwapIndex(,"BBSW",C32,SettlementDays,Currency,Calendar,FixedLegTenor,FixedLegBDC,FixedLegDayCounter,IborIndex,DiscountingCurve,,Trigger)</f>
        <v>obj_00315#0001</v>
      </c>
      <c r="M32" s="92"/>
      <c r="N32" s="82"/>
      <c r="O32" s="116"/>
      <c r="P32" s="115"/>
      <c r="Q32" s="116"/>
      <c r="R32" s="116"/>
      <c r="S32" s="116"/>
      <c r="T32" s="2"/>
      <c r="U32" s="2"/>
      <c r="V32" s="2"/>
      <c r="W32" s="2"/>
      <c r="X32" s="2"/>
      <c r="Y32" s="2"/>
    </row>
    <row r="33" spans="1:25" x14ac:dyDescent="0.2">
      <c r="A33" s="4"/>
      <c r="B33" s="41"/>
      <c r="C33" s="25" t="s">
        <v>41</v>
      </c>
      <c r="D33" s="35" t="s">
        <v>87</v>
      </c>
      <c r="E33" s="68">
        <f t="shared" si="3"/>
        <v>41872</v>
      </c>
      <c r="F33" s="68">
        <f>_xll.qlInterestRateIndexValueDate(L33,E33,Trigger)</f>
        <v>41873</v>
      </c>
      <c r="G33" s="68">
        <f>_xll.qlInterestRateIndexMaturity(L33,F33,Trigger)</f>
        <v>49178</v>
      </c>
      <c r="H33" s="67">
        <f>_xll.qlIndexFixing(L33,E33,TRUE,InterestRatesTrigger)</f>
        <v>4.2700000000010389E-2</v>
      </c>
      <c r="I33" s="75" t="str">
        <f>Contribution!T33</f>
        <v>AUD6M20Y=</v>
      </c>
      <c r="J33" s="75" t="str">
        <f t="shared" si="4"/>
        <v>AUDSM6AB20Y=ICAA</v>
      </c>
      <c r="K33" s="57"/>
      <c r="L33" s="53" t="str">
        <f>_xll.qlSwapIndex(,"BBSW",C33,SettlementDays,Currency,Calendar,FixedLegTenor,FixedLegBDC,FixedLegDayCounter,IborIndex,DiscountingCurve,,Trigger)</f>
        <v>obj_00309#0001</v>
      </c>
      <c r="M33" s="92"/>
      <c r="N33" s="82"/>
      <c r="O33" s="4"/>
      <c r="P33" s="82"/>
      <c r="Q33" s="57"/>
      <c r="R33" s="57"/>
      <c r="S33" s="2"/>
      <c r="T33" s="2"/>
      <c r="U33" s="2"/>
      <c r="V33" s="2"/>
      <c r="W33" s="2"/>
      <c r="X33" s="2"/>
      <c r="Y33" s="2"/>
    </row>
    <row r="34" spans="1:25" x14ac:dyDescent="0.2">
      <c r="A34" s="4"/>
      <c r="B34" s="41"/>
      <c r="C34" s="25" t="s">
        <v>42</v>
      </c>
      <c r="D34" s="35" t="s">
        <v>87</v>
      </c>
      <c r="E34" s="68">
        <f t="shared" si="3"/>
        <v>41872</v>
      </c>
      <c r="F34" s="68">
        <f>_xll.qlInterestRateIndexValueDate(L34,E34,Trigger)</f>
        <v>41873</v>
      </c>
      <c r="G34" s="68">
        <f>_xll.qlInterestRateIndexMaturity(L34,F34,Trigger)</f>
        <v>51004</v>
      </c>
      <c r="H34" s="67">
        <f>_xll.qlIndexFixing(L34,E34,TRUE,InterestRatesTrigger)</f>
        <v>4.3224999999989848E-2</v>
      </c>
      <c r="I34" s="75" t="str">
        <f>Contribution!T34</f>
        <v>AUD6M25Y=</v>
      </c>
      <c r="J34" s="75" t="str">
        <f t="shared" si="4"/>
        <v>AUDSM6AB25Y=ICAA</v>
      </c>
      <c r="K34" s="57"/>
      <c r="L34" s="53" t="str">
        <f>_xll.qlSwapIndex(,"BBSW",C34,SettlementDays,Currency,Calendar,FixedLegTenor,FixedLegBDC,FixedLegDayCounter,IborIndex,DiscountingCurve,,Trigger)</f>
        <v>obj_0033d#0001</v>
      </c>
      <c r="M34" s="92"/>
      <c r="N34" s="82"/>
      <c r="O34" s="4"/>
      <c r="P34" s="82"/>
      <c r="Q34" s="57"/>
      <c r="R34" s="57"/>
      <c r="S34" s="2"/>
      <c r="T34" s="2"/>
      <c r="U34" s="2"/>
      <c r="V34" s="2"/>
      <c r="W34" s="2"/>
      <c r="X34" s="2"/>
      <c r="Y34" s="2"/>
    </row>
    <row r="35" spans="1:25" x14ac:dyDescent="0.2">
      <c r="A35" s="4"/>
      <c r="B35" s="42"/>
      <c r="C35" s="26" t="s">
        <v>43</v>
      </c>
      <c r="D35" s="37" t="s">
        <v>87</v>
      </c>
      <c r="E35" s="69">
        <f t="shared" si="3"/>
        <v>41872</v>
      </c>
      <c r="F35" s="69">
        <f>_xll.qlInterestRateIndexValueDate(L35,E35,Trigger)</f>
        <v>41873</v>
      </c>
      <c r="G35" s="69">
        <f>_xll.qlInterestRateIndexMaturity(L35,F35,Trigger)</f>
        <v>52831</v>
      </c>
      <c r="H35" s="70">
        <f>_xll.qlIndexFixing(L35,E35,TRUE,InterestRatesTrigger)</f>
        <v>4.3500000000000032E-2</v>
      </c>
      <c r="I35" s="76" t="str">
        <f>Contribution!T35</f>
        <v>AUD6M30Y=</v>
      </c>
      <c r="J35" s="76" t="str">
        <f t="shared" si="4"/>
        <v>AUDSM6AB30Y=ICAA</v>
      </c>
      <c r="K35" s="57"/>
      <c r="L35" s="81" t="str">
        <f>_xll.qlSwapIndex(,"BBSW",C35,SettlementDays,Currency,Calendar,FixedLegTenor,FixedLegBDC,FixedLegDayCounter,IborIndex,DiscountingCurve,,Trigger)</f>
        <v>obj_00350#0001</v>
      </c>
      <c r="M35" s="92"/>
      <c r="N35" s="82"/>
      <c r="O35" s="4"/>
      <c r="P35" s="82"/>
      <c r="Q35" s="57"/>
      <c r="R35" s="57"/>
      <c r="S35" s="2"/>
      <c r="T35" s="2"/>
      <c r="U35" s="2"/>
      <c r="V35" s="2"/>
      <c r="W35" s="2"/>
      <c r="X35" s="2"/>
      <c r="Y35" s="2"/>
    </row>
    <row r="36" spans="1:25" x14ac:dyDescent="0.2">
      <c r="A36" s="4"/>
      <c r="B36" s="90"/>
      <c r="C36" s="91"/>
      <c r="D36" s="83"/>
      <c r="E36" s="83"/>
      <c r="F36" s="82"/>
      <c r="G36" s="82"/>
      <c r="H36" s="82"/>
      <c r="I36" s="57"/>
      <c r="J36" s="83"/>
      <c r="K36" s="82"/>
      <c r="L36" s="83"/>
      <c r="M36" s="82"/>
      <c r="N36" s="82"/>
      <c r="O36" s="57"/>
      <c r="P36" s="82"/>
      <c r="Q36" s="82"/>
      <c r="R36" s="57"/>
      <c r="S36" s="2"/>
      <c r="T36" s="2"/>
      <c r="U36" s="2"/>
      <c r="V36" s="2"/>
      <c r="W36" s="2"/>
      <c r="X36" s="2"/>
      <c r="Y36" s="2"/>
    </row>
    <row r="37" spans="1:25" x14ac:dyDescent="0.2">
      <c r="A37" s="88"/>
      <c r="B37" s="89"/>
      <c r="C37" s="4"/>
      <c r="D37" s="82"/>
      <c r="E37" s="82"/>
      <c r="F37" s="82"/>
      <c r="G37" s="82"/>
      <c r="H37" s="82"/>
      <c r="I37" s="57"/>
      <c r="J37" s="82"/>
      <c r="K37" s="82"/>
      <c r="L37" s="82"/>
      <c r="M37" s="82"/>
      <c r="N37" s="82"/>
      <c r="O37" s="57"/>
      <c r="P37" s="57"/>
      <c r="Q37" s="57"/>
      <c r="R37" s="57"/>
      <c r="S37" s="2"/>
      <c r="T37" s="2"/>
      <c r="U37" s="2"/>
      <c r="V37" s="2"/>
      <c r="W37" s="2"/>
      <c r="X37" s="2"/>
      <c r="Y37" s="2"/>
    </row>
    <row r="38" spans="1:25" x14ac:dyDescent="0.2">
      <c r="A38" s="3"/>
      <c r="B38" s="11"/>
      <c r="C38" s="3"/>
      <c r="D38" s="6"/>
      <c r="E38" s="6"/>
      <c r="F38" s="6"/>
      <c r="G38" s="6"/>
      <c r="H38" s="6"/>
      <c r="I38" s="2"/>
      <c r="J38" s="6"/>
      <c r="K38" s="6"/>
      <c r="L38" s="6"/>
      <c r="M38" s="6"/>
      <c r="N38" s="6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3"/>
      <c r="B39" s="11"/>
      <c r="C39" s="3"/>
      <c r="D39" s="6"/>
      <c r="E39" s="6"/>
      <c r="F39" s="6"/>
      <c r="G39" s="6"/>
      <c r="H39" s="6"/>
      <c r="I39" s="2"/>
      <c r="J39" s="6"/>
      <c r="K39" s="6"/>
      <c r="L39" s="6"/>
      <c r="M39" s="6"/>
      <c r="N39" s="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3"/>
      <c r="B40" s="11"/>
      <c r="C40" s="3"/>
      <c r="D40" s="6"/>
      <c r="E40" s="6"/>
      <c r="F40" s="6"/>
      <c r="G40" s="6"/>
      <c r="H40" s="6"/>
      <c r="I40" s="2"/>
      <c r="J40" s="6"/>
      <c r="K40" s="6"/>
      <c r="L40" s="6"/>
      <c r="M40" s="6"/>
      <c r="N40" s="6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3"/>
      <c r="B41" s="11"/>
      <c r="C41" s="3"/>
      <c r="D41" s="6"/>
      <c r="E41" s="6"/>
      <c r="F41" s="6"/>
      <c r="G41" s="6"/>
      <c r="H41" s="6"/>
      <c r="I41" s="2"/>
      <c r="J41" s="6"/>
      <c r="K41" s="6"/>
      <c r="L41" s="6"/>
      <c r="M41" s="6"/>
      <c r="N41" s="6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3"/>
      <c r="B42" s="11"/>
      <c r="C42" s="3"/>
      <c r="D42" s="6"/>
      <c r="E42" s="6"/>
      <c r="F42" s="6"/>
      <c r="G42" s="6"/>
      <c r="H42" s="6"/>
      <c r="I42" s="2"/>
      <c r="J42" s="6"/>
      <c r="K42" s="6"/>
      <c r="L42" s="6"/>
      <c r="M42" s="6"/>
      <c r="N42" s="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3"/>
      <c r="B43" s="11"/>
      <c r="C43" s="3"/>
      <c r="D43" s="6"/>
      <c r="E43" s="6"/>
      <c r="F43" s="6"/>
      <c r="G43" s="6"/>
      <c r="H43" s="6"/>
      <c r="I43" s="2"/>
      <c r="J43" s="6"/>
      <c r="K43" s="6"/>
      <c r="L43" s="6"/>
      <c r="M43" s="6"/>
      <c r="N43" s="6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3"/>
      <c r="B44" s="11"/>
      <c r="C44" s="3"/>
      <c r="D44" s="6"/>
      <c r="E44" s="6"/>
      <c r="F44" s="6"/>
      <c r="G44" s="6"/>
      <c r="H44" s="6"/>
      <c r="I44" s="2"/>
      <c r="J44" s="6"/>
      <c r="K44" s="6"/>
      <c r="L44" s="6"/>
      <c r="M44" s="6"/>
      <c r="N44" s="6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3"/>
      <c r="B45" s="11"/>
      <c r="C45" s="3"/>
      <c r="D45" s="6"/>
      <c r="E45" s="6"/>
      <c r="F45" s="6"/>
      <c r="G45" s="6"/>
      <c r="H45" s="6"/>
      <c r="I45" s="2"/>
      <c r="J45" s="6"/>
      <c r="K45" s="6"/>
      <c r="L45" s="6"/>
      <c r="M45" s="6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3"/>
      <c r="B46" s="11"/>
      <c r="C46" s="3"/>
      <c r="D46" s="6"/>
      <c r="E46" s="6"/>
      <c r="F46" s="6"/>
      <c r="G46" s="6"/>
      <c r="H46" s="6"/>
      <c r="I46" s="2"/>
      <c r="J46" s="6"/>
      <c r="K46" s="6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3"/>
      <c r="B47" s="11"/>
      <c r="C47" s="3"/>
      <c r="D47" s="6"/>
      <c r="E47" s="6"/>
      <c r="F47" s="6"/>
      <c r="G47" s="6"/>
      <c r="H47" s="6"/>
      <c r="I47" s="2"/>
      <c r="J47" s="6"/>
      <c r="K47" s="6"/>
      <c r="L47" s="6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3"/>
      <c r="B48" s="11"/>
      <c r="C48" s="3"/>
      <c r="D48" s="6"/>
      <c r="E48" s="6"/>
      <c r="F48" s="6"/>
      <c r="G48" s="6"/>
      <c r="H48" s="6"/>
      <c r="I48" s="2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3"/>
      <c r="B49" s="11"/>
      <c r="C49" s="3"/>
      <c r="D49" s="6"/>
      <c r="E49" s="6"/>
      <c r="F49" s="6"/>
      <c r="G49" s="6"/>
      <c r="H49" s="6"/>
      <c r="I49" s="2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3"/>
      <c r="B50" s="11"/>
      <c r="C50" s="3"/>
      <c r="D50" s="6"/>
      <c r="E50" s="6"/>
      <c r="F50" s="6"/>
      <c r="G50" s="6"/>
      <c r="H50" s="6"/>
      <c r="I50" s="2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3"/>
      <c r="B51" s="11"/>
      <c r="C51" s="3"/>
      <c r="D51" s="6"/>
      <c r="E51" s="6"/>
      <c r="F51" s="6"/>
      <c r="G51" s="6"/>
      <c r="H51" s="6"/>
      <c r="I51" s="2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3"/>
      <c r="B52" s="11"/>
      <c r="C52" s="3"/>
      <c r="D52" s="6"/>
      <c r="E52" s="6"/>
      <c r="F52" s="6"/>
      <c r="G52" s="6"/>
      <c r="H52" s="6"/>
      <c r="I52" s="2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3"/>
      <c r="B53" s="11"/>
      <c r="C53" s="3"/>
      <c r="D53" s="6"/>
      <c r="E53" s="6"/>
      <c r="F53" s="6"/>
      <c r="G53" s="6"/>
      <c r="H53" s="6"/>
      <c r="I53" s="2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3"/>
      <c r="B54" s="11"/>
      <c r="C54" s="3"/>
      <c r="D54" s="6"/>
      <c r="E54" s="6"/>
      <c r="F54" s="6"/>
      <c r="G54" s="6"/>
      <c r="H54" s="6"/>
      <c r="I54" s="2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3"/>
      <c r="B55" s="11"/>
      <c r="C55" s="3"/>
      <c r="D55" s="6"/>
      <c r="E55" s="6"/>
      <c r="F55" s="6"/>
      <c r="G55" s="6"/>
      <c r="H55" s="6"/>
      <c r="I55" s="2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3"/>
      <c r="B56" s="11"/>
      <c r="C56" s="3"/>
      <c r="D56" s="6"/>
      <c r="E56" s="6"/>
      <c r="F56" s="6"/>
      <c r="G56" s="6"/>
      <c r="H56" s="6"/>
      <c r="I56" s="2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3"/>
      <c r="B57" s="11"/>
      <c r="C57" s="3"/>
      <c r="D57" s="6"/>
      <c r="E57" s="6"/>
      <c r="F57" s="6"/>
      <c r="G57" s="6"/>
      <c r="H57" s="6"/>
      <c r="I57" s="2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3"/>
      <c r="B58" s="11"/>
      <c r="C58" s="3"/>
      <c r="D58" s="6"/>
      <c r="E58" s="6"/>
      <c r="F58" s="6"/>
      <c r="G58" s="6"/>
      <c r="H58" s="6"/>
      <c r="I58" s="2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3"/>
      <c r="B59" s="11"/>
      <c r="C59" s="3"/>
      <c r="D59" s="6"/>
      <c r="E59" s="6"/>
      <c r="F59" s="6"/>
      <c r="G59" s="6"/>
      <c r="H59" s="6"/>
      <c r="I59" s="2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3"/>
      <c r="B60" s="11"/>
      <c r="C60" s="3"/>
      <c r="D60" s="6"/>
      <c r="E60" s="6"/>
      <c r="F60" s="6"/>
      <c r="G60" s="6"/>
      <c r="H60" s="6"/>
      <c r="I60" s="2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3"/>
      <c r="B61" s="11"/>
      <c r="C61" s="3"/>
      <c r="D61" s="6"/>
      <c r="E61" s="6"/>
      <c r="F61" s="6"/>
      <c r="G61" s="6"/>
      <c r="H61" s="6"/>
      <c r="I61" s="2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3"/>
      <c r="B62" s="11"/>
      <c r="C62" s="3"/>
      <c r="D62" s="6"/>
      <c r="E62" s="6"/>
      <c r="F62" s="6"/>
      <c r="G62" s="6"/>
      <c r="H62" s="6"/>
      <c r="I62" s="2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3"/>
      <c r="B63" s="11"/>
      <c r="C63" s="3"/>
      <c r="D63" s="6"/>
      <c r="E63" s="6"/>
      <c r="F63" s="6"/>
      <c r="G63" s="6"/>
      <c r="H63" s="6"/>
      <c r="I63" s="2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3"/>
      <c r="B64" s="11"/>
      <c r="C64" s="3"/>
      <c r="D64" s="6"/>
      <c r="E64" s="6"/>
      <c r="F64" s="6"/>
      <c r="G64" s="6"/>
      <c r="H64" s="6"/>
      <c r="I64" s="2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3"/>
      <c r="B65" s="11"/>
      <c r="C65" s="3"/>
      <c r="D65" s="6"/>
      <c r="E65" s="6"/>
      <c r="F65" s="6"/>
      <c r="G65" s="6"/>
      <c r="H65" s="6"/>
      <c r="I65" s="2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3"/>
      <c r="B66" s="11"/>
      <c r="C66" s="3"/>
      <c r="D66" s="6"/>
      <c r="E66" s="6"/>
      <c r="F66" s="6"/>
      <c r="G66" s="6"/>
      <c r="H66" s="6"/>
      <c r="I66" s="2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2"/>
      <c r="B67" s="11"/>
      <c r="C67" s="3"/>
      <c r="D67" s="6"/>
      <c r="E67" s="6"/>
      <c r="F67" s="6"/>
      <c r="G67" s="6"/>
      <c r="H67" s="6"/>
      <c r="I67" s="2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2"/>
      <c r="B68" s="11"/>
      <c r="C68" s="3"/>
      <c r="D68" s="6"/>
      <c r="E68" s="6"/>
      <c r="F68" s="6"/>
      <c r="G68" s="6"/>
      <c r="H68" s="6"/>
      <c r="I68" s="2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2"/>
      <c r="B69" s="11"/>
      <c r="C69" s="3"/>
      <c r="D69" s="6"/>
      <c r="E69" s="6"/>
      <c r="F69" s="6"/>
      <c r="G69" s="6"/>
      <c r="H69" s="6"/>
      <c r="I69" s="2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2"/>
      <c r="B70" s="11"/>
      <c r="C70" s="3"/>
      <c r="D70" s="6"/>
      <c r="E70" s="6"/>
      <c r="F70" s="6"/>
      <c r="G70" s="6"/>
      <c r="H70" s="6"/>
      <c r="I70" s="2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2"/>
      <c r="B71" s="11"/>
      <c r="C71" s="3"/>
      <c r="D71" s="6"/>
      <c r="E71" s="6"/>
      <c r="F71" s="6"/>
      <c r="G71" s="6"/>
      <c r="H71" s="6"/>
      <c r="I71" s="2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2"/>
      <c r="B72" s="11"/>
      <c r="C72" s="3"/>
      <c r="D72" s="6"/>
      <c r="E72" s="6"/>
      <c r="F72" s="6"/>
      <c r="G72" s="6"/>
      <c r="H72" s="6"/>
      <c r="I72" s="2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2"/>
      <c r="B73" s="11"/>
      <c r="C73" s="3"/>
      <c r="D73" s="6"/>
      <c r="E73" s="6"/>
      <c r="F73" s="6"/>
      <c r="G73" s="6"/>
      <c r="H73" s="6"/>
      <c r="I73" s="2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2"/>
      <c r="B74" s="11"/>
      <c r="C74" s="3"/>
      <c r="D74" s="6"/>
      <c r="E74" s="6"/>
      <c r="F74" s="6"/>
      <c r="G74" s="6"/>
      <c r="H74" s="6"/>
      <c r="I74" s="2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2"/>
      <c r="B75" s="11"/>
      <c r="C75" s="3"/>
      <c r="D75" s="6"/>
      <c r="E75" s="6"/>
      <c r="F75" s="6"/>
      <c r="G75" s="6"/>
      <c r="H75" s="6"/>
      <c r="I75" s="2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2"/>
      <c r="B76" s="11"/>
      <c r="C76" s="3"/>
      <c r="D76" s="6"/>
      <c r="E76" s="6"/>
      <c r="F76" s="6"/>
      <c r="G76" s="6"/>
      <c r="H76" s="6"/>
      <c r="I76" s="2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2"/>
      <c r="B77" s="11"/>
      <c r="C77" s="3"/>
      <c r="D77" s="6"/>
      <c r="E77" s="6"/>
      <c r="F77" s="6"/>
      <c r="G77" s="6"/>
      <c r="H77" s="6"/>
      <c r="I77" s="2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2"/>
      <c r="B78" s="11"/>
      <c r="C78" s="3"/>
      <c r="D78" s="6"/>
      <c r="E78" s="6"/>
      <c r="F78" s="6"/>
      <c r="G78" s="6"/>
      <c r="H78" s="6"/>
      <c r="I78" s="2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2"/>
      <c r="B79" s="11"/>
      <c r="C79" s="3"/>
      <c r="D79" s="6"/>
      <c r="E79" s="6"/>
      <c r="F79" s="6"/>
      <c r="G79" s="6"/>
      <c r="H79" s="6"/>
      <c r="I79" s="2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/>
      <c r="B80" s="11"/>
      <c r="C80" s="3"/>
      <c r="D80" s="6"/>
      <c r="E80" s="6"/>
      <c r="F80" s="6"/>
      <c r="G80" s="6"/>
      <c r="H80" s="6"/>
      <c r="I80" s="2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2"/>
      <c r="B81" s="11"/>
      <c r="C81" s="3"/>
      <c r="D81" s="6"/>
      <c r="E81" s="6"/>
      <c r="F81" s="6"/>
      <c r="G81" s="6"/>
      <c r="H81" s="6"/>
      <c r="I81" s="2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2"/>
      <c r="B82" s="11"/>
      <c r="C82" s="3"/>
      <c r="D82" s="6"/>
      <c r="E82" s="6"/>
      <c r="F82" s="6"/>
      <c r="G82" s="6"/>
      <c r="H82" s="6"/>
      <c r="I82" s="2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2"/>
      <c r="B83" s="11"/>
      <c r="C83" s="3"/>
      <c r="D83" s="6"/>
      <c r="E83" s="6"/>
      <c r="F83" s="6"/>
      <c r="G83" s="6"/>
      <c r="H83" s="6"/>
      <c r="I83" s="2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2"/>
      <c r="B84" s="11"/>
      <c r="C84" s="3"/>
      <c r="D84" s="6"/>
      <c r="E84" s="6"/>
      <c r="F84" s="6"/>
      <c r="G84" s="6"/>
      <c r="H84" s="6"/>
      <c r="I84" s="2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2"/>
      <c r="B85" s="11"/>
      <c r="C85" s="3"/>
      <c r="D85" s="6"/>
      <c r="E85" s="6"/>
      <c r="F85" s="6"/>
      <c r="G85" s="6"/>
      <c r="H85" s="6"/>
      <c r="I85" s="2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2"/>
      <c r="B86" s="11"/>
      <c r="C86" s="3"/>
      <c r="D86" s="6"/>
      <c r="E86" s="6"/>
      <c r="F86" s="6"/>
      <c r="G86" s="6"/>
      <c r="H86" s="6"/>
      <c r="I86" s="2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2"/>
      <c r="B87" s="11"/>
      <c r="C87" s="3"/>
      <c r="D87" s="6"/>
      <c r="E87" s="6"/>
      <c r="F87" s="6"/>
      <c r="G87" s="6"/>
      <c r="H87" s="6"/>
      <c r="I87" s="2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2"/>
      <c r="B88" s="11"/>
      <c r="C88" s="3"/>
      <c r="D88" s="6"/>
      <c r="E88" s="6"/>
      <c r="F88" s="6"/>
      <c r="G88" s="6"/>
      <c r="H88" s="6"/>
      <c r="I88" s="2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2"/>
      <c r="B89" s="11"/>
      <c r="C89" s="3"/>
      <c r="D89" s="6"/>
      <c r="E89" s="6"/>
      <c r="F89" s="6"/>
      <c r="G89" s="6"/>
      <c r="H89" s="6"/>
      <c r="I89" s="2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2"/>
      <c r="B90" s="11"/>
      <c r="C90" s="3"/>
      <c r="D90" s="6"/>
      <c r="E90" s="6"/>
      <c r="F90" s="6"/>
      <c r="G90" s="6"/>
      <c r="H90" s="6"/>
      <c r="I90" s="2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2"/>
      <c r="B91" s="11"/>
      <c r="C91" s="3"/>
      <c r="D91" s="6"/>
      <c r="E91" s="6"/>
      <c r="F91" s="6"/>
      <c r="G91" s="6"/>
      <c r="H91" s="6"/>
      <c r="I91" s="2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2"/>
      <c r="B92" s="11"/>
      <c r="C92" s="3"/>
      <c r="D92" s="6"/>
      <c r="E92" s="6"/>
      <c r="F92" s="6"/>
      <c r="G92" s="6"/>
      <c r="H92" s="6"/>
      <c r="I92" s="2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2"/>
      <c r="B93" s="11"/>
      <c r="C93" s="3"/>
      <c r="D93" s="6"/>
      <c r="E93" s="6"/>
      <c r="F93" s="6"/>
      <c r="G93" s="6"/>
      <c r="H93" s="6"/>
      <c r="I93" s="2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2"/>
      <c r="B94" s="11"/>
      <c r="C94" s="3"/>
      <c r="D94" s="6"/>
      <c r="E94" s="6"/>
      <c r="F94" s="6"/>
      <c r="G94" s="6"/>
      <c r="H94" s="6"/>
      <c r="I94" s="2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s="11"/>
      <c r="C95" s="3"/>
      <c r="D95" s="6"/>
      <c r="E95" s="6"/>
      <c r="F95" s="6"/>
      <c r="G95" s="6"/>
      <c r="H95" s="6"/>
      <c r="I95" s="2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2"/>
      <c r="B96" s="11"/>
      <c r="C96" s="3"/>
      <c r="D96" s="6"/>
      <c r="E96" s="6"/>
      <c r="F96" s="6"/>
      <c r="G96" s="6"/>
      <c r="H96" s="6"/>
      <c r="I96" s="2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2"/>
      <c r="B97" s="11"/>
      <c r="C97" s="3"/>
      <c r="D97" s="6"/>
      <c r="E97" s="6"/>
      <c r="F97" s="6"/>
      <c r="G97" s="6"/>
      <c r="H97" s="6"/>
      <c r="I97" s="2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2"/>
      <c r="B98" s="11"/>
      <c r="C98" s="3"/>
      <c r="D98" s="6"/>
      <c r="E98" s="6"/>
      <c r="F98" s="6"/>
      <c r="G98" s="6"/>
      <c r="H98" s="6"/>
      <c r="I98" s="2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2"/>
      <c r="B99" s="11"/>
      <c r="C99" s="3"/>
      <c r="D99" s="6"/>
      <c r="E99" s="6"/>
      <c r="F99" s="6"/>
      <c r="G99" s="6"/>
      <c r="H99" s="6"/>
      <c r="I99" s="2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2"/>
      <c r="B100" s="11"/>
      <c r="C100" s="3"/>
      <c r="D100" s="6"/>
      <c r="E100" s="6"/>
      <c r="F100" s="6"/>
      <c r="G100" s="6"/>
      <c r="H100" s="6"/>
      <c r="I100" s="2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dataValidations count="2">
    <dataValidation type="list" allowBlank="1" showInputMessage="1" showErrorMessage="1" sqref="O20 O7">
      <formula1>"Following,Modified Following,Preceding,Modified Preceding,Unadjusted,Half-Month Modified Following"</formula1>
    </dataValidation>
    <dataValidation type="list" allowBlank="1" showInputMessage="1" showErrorMessage="1" sqref="P20 P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40</vt:i4>
      </vt:variant>
    </vt:vector>
  </HeadingPairs>
  <TitlesOfParts>
    <vt:vector size="45" baseType="lpstr">
      <vt:lpstr>General Settings</vt:lpstr>
      <vt:lpstr>Contribution</vt:lpstr>
      <vt:lpstr>ON Pricing</vt:lpstr>
      <vt:lpstr>3M Pricing</vt:lpstr>
      <vt:lpstr>6M Pricing</vt:lpstr>
      <vt:lpstr>ASK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'3M Pricing'!CurveTenor</vt:lpstr>
      <vt:lpstr>'6M Pricing'!CurveTenor</vt:lpstr>
      <vt:lpstr>'ON Pricing'!CurveTenor</vt:lpstr>
      <vt:lpstr>'3M Pricing'!DayCounter</vt:lpstr>
      <vt:lpstr>'6M Pricing'!DayCounter</vt:lpstr>
      <vt:lpstr>DiscountingCurve</vt:lpstr>
      <vt:lpstr>EvaluationDate</vt:lpstr>
      <vt:lpstr>Fields</vt:lpstr>
      <vt:lpstr>'6M Pricing'!FixedLegBDC</vt:lpstr>
      <vt:lpstr>'ON Pricing'!FixedLegBDC</vt:lpstr>
      <vt:lpstr>FixedLegBDC</vt:lpstr>
      <vt:lpstr>'3M Pricing'!FixedLegDayCounter</vt:lpstr>
      <vt:lpstr>'6M Pricing'!FixedLegDayCounter</vt:lpstr>
      <vt:lpstr>'ON Pricing'!FixedLegDayCounter</vt:lpstr>
      <vt:lpstr>'3M Pricing'!FixedLegTenor</vt:lpstr>
      <vt:lpstr>'6M Pricing'!FixedLegTenor</vt:lpstr>
      <vt:lpstr>'ON Pricing'!FixedLegTenor</vt:lpstr>
      <vt:lpstr>'3M Pricing'!IborIndex</vt:lpstr>
      <vt:lpstr>'6M Pricing'!IborIndex</vt:lpstr>
      <vt:lpstr>IborIndexFamily</vt:lpstr>
      <vt:lpstr>InterestRatesTrigger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Trigger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2014-08-21T15:25:21Z</dcterms:modified>
</cp:coreProperties>
</file>