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300" windowHeight="7875" tabRatio="723"/>
  </bookViews>
  <sheets>
    <sheet name="General Settings" sheetId="56" r:id="rId1"/>
    <sheet name="RepoRates" sheetId="68" r:id="rId2"/>
    <sheet name="Shibor" sheetId="66" r:id="rId3"/>
    <sheet name="Deposits" sheetId="15" r:id="rId4"/>
    <sheet name="OIS" sheetId="22" r:id="rId5"/>
    <sheet name="FRA" sheetId="16" r:id="rId6"/>
    <sheet name="Futures1M" sheetId="17" r:id="rId7"/>
    <sheet name="Futures3M" sheetId="18" r:id="rId8"/>
    <sheet name="FuturesHWConvAdj" sheetId="20" r:id="rId9"/>
    <sheet name="Swaps1M" sheetId="23" r:id="rId10"/>
    <sheet name="Swap3M" sheetId="25" r:id="rId11"/>
    <sheet name="Swap7DRepo" sheetId="26" r:id="rId12"/>
  </sheets>
  <definedNames>
    <definedName name="Calendar">'General Settings'!$I$10</definedName>
    <definedName name="Contributor" localSheetId="4">OIS!$O$2</definedName>
    <definedName name="Contributor">Swap3M!$P$2</definedName>
    <definedName name="ContributorFRA">FRA!$N$2</definedName>
    <definedName name="Contributors">'General Settings'!$C$12:$C$21</definedName>
    <definedName name="ContributorTable">'General Settings'!$C$12:$D$21</definedName>
    <definedName name="Counter">Futures1M!$Z$4</definedName>
    <definedName name="Currency">'General Settings'!$D$4</definedName>
    <definedName name="EvaluationDate">'General Settings'!$I$9</definedName>
    <definedName name="FamilyName" localSheetId="1">RepoRates!$K$2</definedName>
    <definedName name="FamilyName">'General Settings'!$I$18</definedName>
    <definedName name="FileOverwrite">'General Settings'!$I$8</definedName>
    <definedName name="FuturesCodes" localSheetId="6">Futures1M!$M$6:$M$17</definedName>
    <definedName name="FuturesCodes" localSheetId="7">Futures3M!$M$6:$M$47</definedName>
    <definedName name="FuturesDates" localSheetId="6">Futures1M!$N$6:$N$17</definedName>
    <definedName name="FuturesDates" localSheetId="7">Futures3M!$N$6:$N$47</definedName>
    <definedName name="IborIndex" localSheetId="6">Futures1M!$AI$4</definedName>
    <definedName name="IborIndex" localSheetId="7">Futures3M!$AH$4</definedName>
    <definedName name="Instruments" localSheetId="5">FRA!$M$5:$M$19</definedName>
    <definedName name="Instruments" localSheetId="4">OIS!$N$5:$N$58</definedName>
    <definedName name="Instruments" localSheetId="10">Swap3M!$O$5:$O$42</definedName>
    <definedName name="Instruments" localSheetId="11">Swap7DRepo!$O$5:$O$42</definedName>
    <definedName name="Instruments" localSheetId="9">Swaps1M!$N$5:$N$18</definedName>
    <definedName name="InterpolationType">'General Settings'!$D$9</definedName>
    <definedName name="LastFixingsTrigger">'General Settings'!$D$8</definedName>
    <definedName name="LastUpdate">'General Settings'!$D$23</definedName>
    <definedName name="LiffeCodes" localSheetId="6">Futures1M!#REF!</definedName>
    <definedName name="LiveDataFeed">'General Settings'!$D$24</definedName>
    <definedName name="MeanReversion" localSheetId="6">Futures1M!$AI$3</definedName>
    <definedName name="MeanReversion" localSheetId="7">Futures3M!$AH$3</definedName>
    <definedName name="MoneyMarketDayCounter">'General Settings'!$I$19</definedName>
    <definedName name="ObjectOverwrite">'General Settings'!$I$5</definedName>
    <definedName name="Permanent">'General Settings'!$I$4</definedName>
    <definedName name="PriceTickValue">'General Settings'!$I$17</definedName>
    <definedName name="Quote" localSheetId="3">Deposits!$O$3:$O$20</definedName>
    <definedName name="Quote" localSheetId="5">FRA!$W$5:$W$19</definedName>
    <definedName name="Quote" localSheetId="6">Futures1M!$Y$6:$Y$17</definedName>
    <definedName name="Quote" localSheetId="7">Futures3M!$Y$6:$Y$47</definedName>
    <definedName name="Quote" localSheetId="8">FuturesHWConvAdj!$P$5:$P$6</definedName>
    <definedName name="Quote" localSheetId="4">OIS!$X$5:$X$58</definedName>
    <definedName name="Quote" localSheetId="10">Swap3M!$Y$5:$Y$42</definedName>
    <definedName name="Quote" localSheetId="9">Swaps1M!$X$5:$X$18</definedName>
    <definedName name="QuoteLive" localSheetId="3">Deposits!$K$3:$K$20</definedName>
    <definedName name="QuoteLive" localSheetId="5">FRA!$S$5:$S$19</definedName>
    <definedName name="QuoteLive" localSheetId="6">Futures1M!$U$6:$U$17</definedName>
    <definedName name="QuoteLive" localSheetId="7">Futures3M!$U$6:$U$47</definedName>
    <definedName name="QuoteLive" localSheetId="8">FuturesHWConvAdj!$L$5:$L$6</definedName>
    <definedName name="QuoteLive" localSheetId="4">OIS!$T$5:$T$58</definedName>
    <definedName name="QuoteLive" localSheetId="10">Swap3M!$U$5:$U$42</definedName>
    <definedName name="QuoteLive" localSheetId="11">Swap7DRepo!$U$5:$U$42</definedName>
    <definedName name="QuoteLive" localSheetId="9">Swaps1M!$T$5:$T$18</definedName>
    <definedName name="QuoteStatic" localSheetId="3">Deposits!$M$3:$M$20</definedName>
    <definedName name="QuoteStatic" localSheetId="5">FRA!$U$5:$U$19</definedName>
    <definedName name="QuoteStatic" localSheetId="6">Futures1M!$W$6:$W$17</definedName>
    <definedName name="QuoteStatic" localSheetId="7">Futures3M!$W$6:$W$47</definedName>
    <definedName name="QuoteStatic" localSheetId="8">FuturesHWConvAdj!$N$5:$N$6</definedName>
    <definedName name="QuoteStatic" localSheetId="4">OIS!$V$5:$V$58</definedName>
    <definedName name="QuoteStatic" localSheetId="10">Swap3M!$W$5:$W$42</definedName>
    <definedName name="QuoteStatic" localSheetId="11">Swap7DRepo!$W$5:$W$42</definedName>
    <definedName name="QuoteStatic" localSheetId="9">Swaps1M!$V$5:$V$18</definedName>
    <definedName name="QuoteSuffix">'General Settings'!$I$15</definedName>
    <definedName name="RateTickValue">'General Settings'!$I$16</definedName>
    <definedName name="ReutersRtMode">'General Settings'!$D$6</definedName>
    <definedName name="SerializationPath">'General Settings'!$I$7</definedName>
    <definedName name="Serialize">'General Settings'!$I$6</definedName>
    <definedName name="Swap3M4Y">Swap3M!$Y$12</definedName>
    <definedName name="Swap6M4Y">Swap7DRepo!$Y$12</definedName>
    <definedName name="Traits" localSheetId="1">RepoRates!#REF!</definedName>
    <definedName name="Trigger">'General Settings'!$D$5</definedName>
    <definedName name="TriggerCounter">'General Settings'!$D$7</definedName>
    <definedName name="Volatility" localSheetId="6">Futures1M!$AI$2</definedName>
    <definedName name="Volatility" localSheetId="7">Futures3M!$AH$2</definedName>
  </definedNames>
  <calcPr calcId="145621"/>
</workbook>
</file>

<file path=xl/calcChain.xml><?xml version="1.0" encoding="utf-8"?>
<calcChain xmlns="http://schemas.openxmlformats.org/spreadsheetml/2006/main">
  <c r="O6" i="26" l="1"/>
  <c r="O7" i="26"/>
  <c r="O8" i="26"/>
  <c r="O9" i="26"/>
  <c r="O10" i="26"/>
  <c r="O11" i="26"/>
  <c r="O12" i="26"/>
  <c r="O13" i="26"/>
  <c r="O14" i="26"/>
  <c r="O15" i="26"/>
  <c r="O16" i="26"/>
  <c r="O17" i="26"/>
  <c r="O18" i="26"/>
  <c r="O19" i="26"/>
  <c r="O20" i="26"/>
  <c r="O21" i="26"/>
  <c r="O22" i="26"/>
  <c r="O23" i="26"/>
  <c r="O24" i="26"/>
  <c r="O25" i="26"/>
  <c r="O26" i="26"/>
  <c r="O27" i="26"/>
  <c r="O28" i="26"/>
  <c r="O29" i="26"/>
  <c r="O30" i="26"/>
  <c r="O31" i="26"/>
  <c r="O32" i="26"/>
  <c r="O33" i="26"/>
  <c r="O34" i="26"/>
  <c r="O35" i="26"/>
  <c r="O36" i="26"/>
  <c r="O37" i="26"/>
  <c r="O38" i="26"/>
  <c r="O39" i="26"/>
  <c r="O40" i="26"/>
  <c r="O41" i="26"/>
  <c r="O42" i="26"/>
  <c r="O5" i="26"/>
  <c r="L6" i="26"/>
  <c r="L7" i="26"/>
  <c r="L8" i="26"/>
  <c r="L9" i="26"/>
  <c r="L10" i="26"/>
  <c r="L11" i="26"/>
  <c r="L12" i="26"/>
  <c r="L13" i="26"/>
  <c r="L14" i="26"/>
  <c r="L15" i="26"/>
  <c r="L16" i="26"/>
  <c r="L17" i="26"/>
  <c r="L18" i="26"/>
  <c r="L19" i="26"/>
  <c r="L20" i="26"/>
  <c r="L21" i="26"/>
  <c r="L22" i="26"/>
  <c r="L23" i="26"/>
  <c r="L24" i="26"/>
  <c r="L25" i="26"/>
  <c r="L26" i="26"/>
  <c r="L27" i="26"/>
  <c r="L28" i="26"/>
  <c r="L29" i="26"/>
  <c r="L30" i="26"/>
  <c r="L31" i="26"/>
  <c r="L32" i="26"/>
  <c r="L33" i="26"/>
  <c r="L34" i="26"/>
  <c r="L35" i="26"/>
  <c r="L36" i="26"/>
  <c r="L37" i="26"/>
  <c r="L38" i="26"/>
  <c r="L39" i="26"/>
  <c r="L40" i="26"/>
  <c r="L41" i="26"/>
  <c r="L42" i="26"/>
  <c r="L5" i="26"/>
  <c r="I6" i="68"/>
  <c r="I7" i="68"/>
  <c r="I5" i="68"/>
  <c r="N6" i="68"/>
  <c r="N7" i="68"/>
  <c r="N5" i="68"/>
  <c r="Q7" i="68"/>
  <c r="Q6" i="68"/>
  <c r="Q5" i="68"/>
  <c r="K3" i="68"/>
  <c r="Z9" i="26"/>
  <c r="Z8" i="26"/>
  <c r="Z7" i="26"/>
  <c r="Z6" i="26"/>
  <c r="Z5" i="26"/>
  <c r="K7" i="68"/>
  <c r="L7" i="68" s="1"/>
  <c r="T7" i="68"/>
  <c r="K6" i="68"/>
  <c r="L6" i="68" s="1"/>
  <c r="T6" i="68"/>
  <c r="K5" i="68"/>
  <c r="L5" i="68" s="1"/>
  <c r="T5" i="68"/>
  <c r="R5" i="68" l="1"/>
  <c r="R6" i="68"/>
  <c r="R7" i="68"/>
  <c r="U5" i="68" l="1"/>
  <c r="U7" i="68"/>
  <c r="U6" i="68"/>
  <c r="W6" i="68"/>
  <c r="W7" i="68"/>
  <c r="W5" i="68"/>
  <c r="V5" i="68" l="1"/>
  <c r="X5" i="68" s="1"/>
  <c r="V7" i="68"/>
  <c r="X7" i="68" s="1"/>
  <c r="V6" i="68"/>
  <c r="X6" i="68" s="1"/>
  <c r="Y5" i="25" l="1" a="1"/>
  <c r="X5" i="23" a="1"/>
  <c r="Y6" i="18" a="1"/>
  <c r="Y12" i="18" s="1"/>
  <c r="Y6" i="17" a="1"/>
  <c r="Y17" i="17" s="1"/>
  <c r="W5" i="16" a="1"/>
  <c r="X5" i="22" a="1"/>
  <c r="O3" i="15" a="1"/>
  <c r="O10" i="15" s="1"/>
  <c r="O4" i="15"/>
  <c r="O5" i="15"/>
  <c r="O6" i="15"/>
  <c r="Y41" i="18" l="1"/>
  <c r="Y40" i="18"/>
  <c r="Y16" i="17"/>
  <c r="Y27" i="18"/>
  <c r="Y15" i="17"/>
  <c r="Y26" i="18"/>
  <c r="Y14" i="17"/>
  <c r="Y25" i="18"/>
  <c r="Y13" i="17"/>
  <c r="Y24" i="18"/>
  <c r="Y12" i="17"/>
  <c r="Y23" i="18"/>
  <c r="Y11" i="17"/>
  <c r="Y11" i="18"/>
  <c r="Y10" i="18"/>
  <c r="O8" i="15"/>
  <c r="Y9" i="17"/>
  <c r="Y9" i="18"/>
  <c r="O3" i="15"/>
  <c r="Y43" i="18"/>
  <c r="Y42" i="18"/>
  <c r="O9" i="15"/>
  <c r="Y10" i="17"/>
  <c r="O7" i="15"/>
  <c r="Y8" i="17"/>
  <c r="Y8" i="18"/>
  <c r="Y7" i="17"/>
  <c r="Y7" i="18"/>
  <c r="Y6" i="17"/>
  <c r="Y36" i="18"/>
  <c r="Y20" i="18"/>
  <c r="O17" i="15"/>
  <c r="Y35" i="18"/>
  <c r="Y19" i="18"/>
  <c r="Y18" i="18"/>
  <c r="Y32" i="18"/>
  <c r="Y16" i="18"/>
  <c r="O13" i="15"/>
  <c r="Y47" i="18"/>
  <c r="Y31" i="18"/>
  <c r="Y15" i="18"/>
  <c r="O12" i="15"/>
  <c r="Y46" i="18"/>
  <c r="Y30" i="18"/>
  <c r="Y14" i="18"/>
  <c r="Y39" i="18"/>
  <c r="Y22" i="18"/>
  <c r="Y21" i="18"/>
  <c r="O18" i="15"/>
  <c r="O16" i="15"/>
  <c r="Y34" i="18"/>
  <c r="O15" i="15"/>
  <c r="Y45" i="18"/>
  <c r="Y29" i="18"/>
  <c r="Y13" i="18"/>
  <c r="O20" i="15"/>
  <c r="Y38" i="18"/>
  <c r="Y6" i="18"/>
  <c r="O19" i="15"/>
  <c r="Y37" i="18"/>
  <c r="Y33" i="18"/>
  <c r="Y17" i="18"/>
  <c r="O14" i="15"/>
  <c r="O11" i="15"/>
  <c r="Y44" i="18"/>
  <c r="Y28" i="18"/>
  <c r="O6" i="25"/>
  <c r="O7" i="25"/>
  <c r="O8" i="25"/>
  <c r="O9" i="25"/>
  <c r="O10" i="25"/>
  <c r="O11" i="25"/>
  <c r="O12" i="25"/>
  <c r="O13" i="25"/>
  <c r="O14" i="25"/>
  <c r="O15" i="25"/>
  <c r="O16" i="25"/>
  <c r="O17" i="25"/>
  <c r="O18" i="25"/>
  <c r="O19" i="25"/>
  <c r="O20" i="25"/>
  <c r="O21" i="25"/>
  <c r="O22" i="25"/>
  <c r="O23" i="25"/>
  <c r="O24" i="25"/>
  <c r="O25" i="25"/>
  <c r="O26" i="25"/>
  <c r="O27" i="25"/>
  <c r="O28" i="25"/>
  <c r="O29" i="25"/>
  <c r="O30" i="25"/>
  <c r="O31" i="25"/>
  <c r="O32" i="25"/>
  <c r="O33" i="25"/>
  <c r="O34" i="25"/>
  <c r="O35" i="25"/>
  <c r="O36" i="25"/>
  <c r="O37" i="25"/>
  <c r="O38" i="25"/>
  <c r="O39" i="25"/>
  <c r="O40" i="25"/>
  <c r="O41" i="25"/>
  <c r="O42" i="25"/>
  <c r="O5" i="25"/>
  <c r="J4" i="15"/>
  <c r="J5" i="15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3" i="15"/>
  <c r="Q12" i="66"/>
  <c r="N12" i="66"/>
  <c r="I12" i="66"/>
  <c r="Q11" i="66"/>
  <c r="N11" i="66"/>
  <c r="I11" i="66"/>
  <c r="Q10" i="66"/>
  <c r="N10" i="66"/>
  <c r="I10" i="66"/>
  <c r="Q9" i="66"/>
  <c r="N9" i="66"/>
  <c r="I9" i="66"/>
  <c r="Q8" i="66"/>
  <c r="N8" i="66"/>
  <c r="I8" i="66"/>
  <c r="Q7" i="66"/>
  <c r="N7" i="66"/>
  <c r="I7" i="66"/>
  <c r="Q6" i="66"/>
  <c r="N6" i="66"/>
  <c r="I6" i="66"/>
  <c r="Q5" i="66"/>
  <c r="N5" i="66"/>
  <c r="I5" i="66"/>
  <c r="K3" i="66"/>
  <c r="K11" i="66"/>
  <c r="K5" i="66"/>
  <c r="T11" i="66"/>
  <c r="K6" i="66"/>
  <c r="K7" i="66"/>
  <c r="T5" i="66"/>
  <c r="L5" i="66"/>
  <c r="L11" i="66"/>
  <c r="T6" i="66"/>
  <c r="L6" i="66"/>
  <c r="K10" i="66"/>
  <c r="L10" i="66" s="1"/>
  <c r="K8" i="66"/>
  <c r="K12" i="66"/>
  <c r="J9" i="66"/>
  <c r="T10" i="66"/>
  <c r="N4" i="66"/>
  <c r="J2" i="15"/>
  <c r="T7" i="66"/>
  <c r="T8" i="66"/>
  <c r="L8" i="66"/>
  <c r="T12" i="66"/>
  <c r="L12" i="66"/>
  <c r="E41" i="26" l="1"/>
  <c r="E41" i="25"/>
  <c r="K9" i="66"/>
  <c r="R5" i="66"/>
  <c r="L7" i="66"/>
  <c r="R6" i="66"/>
  <c r="R11" i="66"/>
  <c r="R7" i="66"/>
  <c r="R8" i="66"/>
  <c r="R12" i="66"/>
  <c r="R10" i="66"/>
  <c r="F36" i="25"/>
  <c r="F30" i="25"/>
  <c r="F16" i="25"/>
  <c r="F40" i="25"/>
  <c r="F38" i="25"/>
  <c r="F13" i="25"/>
  <c r="F28" i="25"/>
  <c r="F29" i="25"/>
  <c r="F34" i="25"/>
  <c r="F23" i="25"/>
  <c r="F18" i="25"/>
  <c r="F26" i="25"/>
  <c r="F14" i="25"/>
  <c r="F32" i="25"/>
  <c r="F33" i="25"/>
  <c r="F24" i="25"/>
  <c r="F17" i="25"/>
  <c r="F6" i="25"/>
  <c r="F22" i="25"/>
  <c r="F41" i="25"/>
  <c r="F39" i="25"/>
  <c r="F15" i="25"/>
  <c r="F37" i="25"/>
  <c r="F25" i="25"/>
  <c r="F21" i="25"/>
  <c r="F35" i="25"/>
  <c r="F8" i="25"/>
  <c r="F7" i="25"/>
  <c r="F27" i="25"/>
  <c r="F10" i="25"/>
  <c r="F12" i="25"/>
  <c r="F31" i="25"/>
  <c r="F20" i="25"/>
  <c r="F11" i="25"/>
  <c r="F9" i="25"/>
  <c r="F19" i="25"/>
  <c r="F41" i="26"/>
  <c r="G41" i="26" s="1"/>
  <c r="L9" i="66"/>
  <c r="T9" i="66"/>
  <c r="AH4" i="18" l="1"/>
  <c r="J19" i="16"/>
  <c r="L19" i="16" s="1"/>
  <c r="J18" i="16"/>
  <c r="L18" i="16" s="1"/>
  <c r="J17" i="16"/>
  <c r="J16" i="16"/>
  <c r="L16" i="16" s="1"/>
  <c r="J15" i="16"/>
  <c r="L15" i="16" s="1"/>
  <c r="J14" i="16"/>
  <c r="L14" i="16" s="1"/>
  <c r="J13" i="16"/>
  <c r="L13" i="16" s="1"/>
  <c r="J12" i="16"/>
  <c r="L12" i="16" s="1"/>
  <c r="J10" i="16"/>
  <c r="L10" i="16" s="1"/>
  <c r="J9" i="16"/>
  <c r="L9" i="16" s="1"/>
  <c r="J8" i="16"/>
  <c r="L8" i="16" s="1"/>
  <c r="J7" i="16"/>
  <c r="L7" i="16" s="1"/>
  <c r="J6" i="16"/>
  <c r="L6" i="16" s="1"/>
  <c r="J5" i="16"/>
  <c r="L5" i="16" s="1"/>
  <c r="J11" i="16"/>
  <c r="L11" i="16" s="1"/>
  <c r="C17" i="16"/>
  <c r="D17" i="16" s="1"/>
  <c r="S15" i="16"/>
  <c r="S18" i="16"/>
  <c r="S14" i="16"/>
  <c r="S17" i="16"/>
  <c r="S16" i="16"/>
  <c r="U12" i="66"/>
  <c r="U10" i="66"/>
  <c r="G41" i="25"/>
  <c r="U11" i="66"/>
  <c r="U6" i="66"/>
  <c r="U5" i="66"/>
  <c r="R9" i="66"/>
  <c r="E17" i="16"/>
  <c r="U8" i="66"/>
  <c r="U7" i="66"/>
  <c r="W12" i="66"/>
  <c r="W10" i="66"/>
  <c r="W11" i="66"/>
  <c r="W6" i="66"/>
  <c r="W5" i="66"/>
  <c r="W8" i="66"/>
  <c r="W7" i="66"/>
  <c r="W16" i="16" l="1"/>
  <c r="W17" i="16"/>
  <c r="W14" i="16"/>
  <c r="W18" i="16"/>
  <c r="W15" i="16"/>
  <c r="V7" i="66"/>
  <c r="X7" i="66" s="1"/>
  <c r="V8" i="66"/>
  <c r="X8" i="66" s="1"/>
  <c r="V5" i="66"/>
  <c r="X5" i="66" s="1"/>
  <c r="V6" i="66"/>
  <c r="X6" i="66" s="1"/>
  <c r="V11" i="66"/>
  <c r="X11" i="66" s="1"/>
  <c r="V10" i="66"/>
  <c r="X10" i="66" s="1"/>
  <c r="V12" i="66"/>
  <c r="X12" i="66" s="1"/>
  <c r="L17" i="16"/>
  <c r="M17" i="16" s="1"/>
  <c r="D8" i="56"/>
  <c r="F17" i="16"/>
  <c r="U9" i="66"/>
  <c r="W9" i="66"/>
  <c r="V9" i="66" l="1"/>
  <c r="X9" i="66" s="1"/>
  <c r="AI2" i="17"/>
  <c r="AI3" i="17"/>
  <c r="AI4" i="17"/>
  <c r="AI5" i="17"/>
  <c r="AG6" i="17" a="1"/>
  <c r="AG6" i="17" l="1"/>
  <c r="AG14" i="17"/>
  <c r="AG7" i="17"/>
  <c r="AI7" i="17" s="1"/>
  <c r="AG15" i="17"/>
  <c r="AG10" i="17"/>
  <c r="AG11" i="17"/>
  <c r="AG12" i="17"/>
  <c r="AG13" i="17"/>
  <c r="AG8" i="17"/>
  <c r="AG16" i="17"/>
  <c r="AG9" i="17"/>
  <c r="AG17" i="17"/>
  <c r="AH7" i="17" l="1"/>
  <c r="AH6" i="17"/>
  <c r="AI6" i="17"/>
  <c r="AH8" i="17"/>
  <c r="AI8" i="17"/>
  <c r="AH9" i="17"/>
  <c r="AI9" i="17"/>
  <c r="AH10" i="17"/>
  <c r="AJ9" i="17"/>
  <c r="AJ8" i="17"/>
  <c r="AJ6" i="17"/>
  <c r="AJ7" i="17"/>
  <c r="AI10" i="17" l="1"/>
  <c r="AH11" i="17"/>
  <c r="AI11" i="17"/>
  <c r="AH12" i="17"/>
  <c r="AK8" i="17"/>
  <c r="AJ10" i="17"/>
  <c r="AJ11" i="17"/>
  <c r="AK7" i="17"/>
  <c r="AK9" i="17"/>
  <c r="AK6" i="17"/>
  <c r="AI12" i="17" l="1"/>
  <c r="AH13" i="17"/>
  <c r="AI13" i="17"/>
  <c r="AH14" i="17"/>
  <c r="AK10" i="17"/>
  <c r="AK11" i="17"/>
  <c r="AJ12" i="17"/>
  <c r="AJ13" i="17"/>
  <c r="AI14" i="17" l="1"/>
  <c r="AH15" i="17"/>
  <c r="AI15" i="17"/>
  <c r="AH16" i="17"/>
  <c r="AI16" i="17"/>
  <c r="AH17" i="17"/>
  <c r="AJ16" i="17"/>
  <c r="AJ14" i="17"/>
  <c r="AJ15" i="17"/>
  <c r="AK12" i="17"/>
  <c r="AK13" i="17"/>
  <c r="AI17" i="17" l="1"/>
  <c r="AG5" i="18"/>
  <c r="AK16" i="17"/>
  <c r="D6" i="17" a="1"/>
  <c r="AF6" i="18" a="1"/>
  <c r="AJ17" i="17"/>
  <c r="AK15" i="17"/>
  <c r="AK14" i="17"/>
  <c r="D6" i="17" l="1"/>
  <c r="D14" i="17"/>
  <c r="D16" i="17"/>
  <c r="D13" i="17"/>
  <c r="D7" i="17"/>
  <c r="D15" i="17"/>
  <c r="D8" i="17"/>
  <c r="D9" i="17"/>
  <c r="D17" i="17"/>
  <c r="D10" i="17"/>
  <c r="D11" i="17"/>
  <c r="D12" i="17"/>
  <c r="AF6" i="18"/>
  <c r="AG6" i="18" s="1"/>
  <c r="AF7" i="18"/>
  <c r="AG7" i="18" s="1"/>
  <c r="AF8" i="18"/>
  <c r="AG8" i="18" s="1"/>
  <c r="AF9" i="18"/>
  <c r="AF10" i="18"/>
  <c r="AG10" i="18" s="1"/>
  <c r="AF11" i="18"/>
  <c r="AF12" i="18"/>
  <c r="AG12" i="18" s="1"/>
  <c r="AF13" i="18"/>
  <c r="AF14" i="18"/>
  <c r="AF15" i="18"/>
  <c r="AG15" i="18" s="1"/>
  <c r="AF16" i="18"/>
  <c r="AG16" i="18" s="1"/>
  <c r="AF17" i="18"/>
  <c r="AF18" i="18"/>
  <c r="AF19" i="18"/>
  <c r="AF20" i="18"/>
  <c r="AG20" i="18" s="1"/>
  <c r="AF21" i="18"/>
  <c r="AG21" i="18"/>
  <c r="AF22" i="18"/>
  <c r="AG22" i="18" s="1"/>
  <c r="AF23" i="18"/>
  <c r="AF24" i="18"/>
  <c r="AG24" i="18" s="1"/>
  <c r="AF25" i="18"/>
  <c r="AG25" i="18" s="1"/>
  <c r="AF26" i="18"/>
  <c r="AG26" i="18" s="1"/>
  <c r="AF27" i="18"/>
  <c r="AK17" i="17"/>
  <c r="AG11" i="18" l="1"/>
  <c r="AG18" i="18"/>
  <c r="AG23" i="18"/>
  <c r="AG14" i="18"/>
  <c r="AG19" i="18"/>
  <c r="AG17" i="18"/>
  <c r="AG9" i="18"/>
  <c r="AG13" i="18"/>
  <c r="AG27" i="18"/>
  <c r="AF28" i="18"/>
  <c r="AG28" i="18" s="1"/>
  <c r="AF29" i="18"/>
  <c r="AG29" i="18" l="1"/>
  <c r="AF30" i="18"/>
  <c r="AF31" i="18"/>
  <c r="AG30" i="18" l="1"/>
  <c r="AG31" i="18"/>
  <c r="AF32" i="18"/>
  <c r="AG32" i="18" s="1"/>
  <c r="AF33" i="18" l="1"/>
  <c r="AG33" i="18" s="1"/>
  <c r="AF34" i="18"/>
  <c r="AG34" i="18" l="1"/>
  <c r="AF35" i="18"/>
  <c r="AG35" i="18" s="1"/>
  <c r="AF36" i="18"/>
  <c r="AG36" i="18" s="1"/>
  <c r="AF37" i="18"/>
  <c r="AF38" i="18"/>
  <c r="AF39" i="18"/>
  <c r="AG39" i="18" s="1"/>
  <c r="AF40" i="18"/>
  <c r="AG40" i="18" s="1"/>
  <c r="AF41" i="18"/>
  <c r="AG41" i="18" s="1"/>
  <c r="AF42" i="18"/>
  <c r="AF43" i="18"/>
  <c r="AG43" i="18" s="1"/>
  <c r="AF44" i="18"/>
  <c r="AG44" i="18" s="1"/>
  <c r="AF45" i="18"/>
  <c r="AG45" i="18" s="1"/>
  <c r="AF46" i="18"/>
  <c r="AF47" i="18"/>
  <c r="AG47" i="18" s="1"/>
  <c r="AG37" i="18" l="1"/>
  <c r="AG42" i="18"/>
  <c r="AG46" i="18"/>
  <c r="AG38" i="18"/>
  <c r="D6" i="18" a="1"/>
  <c r="D6" i="18" l="1"/>
  <c r="D23" i="18"/>
  <c r="D40" i="18"/>
  <c r="D34" i="18"/>
  <c r="D20" i="18"/>
  <c r="D45" i="18"/>
  <c r="D31" i="18"/>
  <c r="D9" i="18"/>
  <c r="D28" i="18"/>
  <c r="D18" i="18"/>
  <c r="D22" i="18"/>
  <c r="D39" i="18"/>
  <c r="D17" i="18"/>
  <c r="D36" i="18"/>
  <c r="D47" i="18"/>
  <c r="D19" i="18"/>
  <c r="D38" i="18"/>
  <c r="D33" i="18"/>
  <c r="D13" i="18"/>
  <c r="D16" i="18"/>
  <c r="D41" i="18"/>
  <c r="D21" i="18"/>
  <c r="D24" i="18"/>
  <c r="D43" i="18"/>
  <c r="D15" i="18"/>
  <c r="D26" i="18"/>
  <c r="D37" i="18"/>
  <c r="D14" i="18"/>
  <c r="D42" i="18"/>
  <c r="D11" i="18"/>
  <c r="D30" i="18"/>
  <c r="D25" i="18"/>
  <c r="D44" i="18"/>
  <c r="D8" i="18"/>
  <c r="D27" i="18"/>
  <c r="D46" i="18"/>
  <c r="D35" i="18"/>
  <c r="D7" i="18"/>
  <c r="D10" i="18"/>
  <c r="D29" i="18"/>
  <c r="D32" i="18"/>
  <c r="D12" i="18"/>
  <c r="U5" i="26"/>
  <c r="U6" i="26"/>
  <c r="U7" i="26"/>
  <c r="U8" i="26"/>
  <c r="U9" i="26"/>
  <c r="U10" i="26"/>
  <c r="U11" i="26"/>
  <c r="U12" i="26"/>
  <c r="U13" i="26"/>
  <c r="U14" i="26"/>
  <c r="U15" i="26"/>
  <c r="U16" i="26"/>
  <c r="U17" i="26"/>
  <c r="U18" i="26"/>
  <c r="U19" i="26"/>
  <c r="U20" i="26"/>
  <c r="U21" i="26"/>
  <c r="U22" i="26"/>
  <c r="U23" i="26"/>
  <c r="U24" i="26"/>
  <c r="U25" i="26"/>
  <c r="U26" i="26"/>
  <c r="U28" i="26"/>
  <c r="U27" i="26"/>
  <c r="U30" i="26"/>
  <c r="U29" i="26"/>
  <c r="U31" i="26"/>
  <c r="U32" i="26"/>
  <c r="U33" i="26"/>
  <c r="U34" i="26"/>
  <c r="U36" i="26"/>
  <c r="U35" i="26"/>
  <c r="U38" i="26"/>
  <c r="U37" i="26"/>
  <c r="U39" i="26"/>
  <c r="U40" i="26"/>
  <c r="U41" i="26"/>
  <c r="U42" i="26"/>
  <c r="P5" i="26" l="1" a="1"/>
  <c r="P42" i="26" s="1"/>
  <c r="Y5" i="26" a="1"/>
  <c r="Y42" i="26" s="1"/>
  <c r="P34" i="26" l="1"/>
  <c r="P18" i="26"/>
  <c r="P33" i="26"/>
  <c r="P17" i="26"/>
  <c r="P32" i="26"/>
  <c r="P16" i="26"/>
  <c r="P31" i="26"/>
  <c r="P15" i="26"/>
  <c r="P30" i="26"/>
  <c r="P14" i="26"/>
  <c r="P29" i="26"/>
  <c r="P13" i="26"/>
  <c r="P28" i="26"/>
  <c r="P12" i="26"/>
  <c r="P27" i="26"/>
  <c r="P11" i="26"/>
  <c r="P26" i="26"/>
  <c r="P10" i="26"/>
  <c r="P41" i="26"/>
  <c r="P25" i="26"/>
  <c r="P9" i="26"/>
  <c r="P40" i="26"/>
  <c r="P24" i="26"/>
  <c r="P8" i="26"/>
  <c r="P39" i="26"/>
  <c r="P23" i="26"/>
  <c r="P7" i="26"/>
  <c r="P38" i="26"/>
  <c r="P22" i="26"/>
  <c r="P6" i="26"/>
  <c r="P37" i="26"/>
  <c r="P21" i="26"/>
  <c r="P5" i="26"/>
  <c r="P36" i="26"/>
  <c r="P20" i="26"/>
  <c r="P35" i="26"/>
  <c r="P19" i="26"/>
  <c r="Y5" i="26"/>
  <c r="Y6" i="26"/>
  <c r="Y7" i="26"/>
  <c r="Y8" i="26"/>
  <c r="Y9" i="26"/>
  <c r="Y10" i="26"/>
  <c r="Y11" i="26"/>
  <c r="Y12" i="26"/>
  <c r="Y13" i="26"/>
  <c r="Y14" i="26"/>
  <c r="Y15" i="26"/>
  <c r="Y16" i="26"/>
  <c r="Y17" i="26"/>
  <c r="Y18" i="26"/>
  <c r="Y19" i="26"/>
  <c r="Y20" i="26"/>
  <c r="Y21" i="26"/>
  <c r="Y22" i="26"/>
  <c r="Y23" i="26"/>
  <c r="Y24" i="26"/>
  <c r="Y25" i="26"/>
  <c r="Y26" i="26"/>
  <c r="Y27" i="26"/>
  <c r="Y28" i="26"/>
  <c r="Y29" i="26"/>
  <c r="Y30" i="26"/>
  <c r="Y31" i="26"/>
  <c r="Y32" i="26"/>
  <c r="Y33" i="26"/>
  <c r="Y34" i="26"/>
  <c r="Y35" i="26"/>
  <c r="Y36" i="26"/>
  <c r="Y37" i="26"/>
  <c r="Y38" i="26"/>
  <c r="Y39" i="26"/>
  <c r="Y40" i="26"/>
  <c r="Y41" i="26"/>
  <c r="U5" i="25"/>
  <c r="Z41" i="26"/>
  <c r="Y5" i="25" l="1"/>
  <c r="U6" i="25"/>
  <c r="Y6" i="25" l="1"/>
  <c r="U7" i="25"/>
  <c r="Z6" i="25"/>
  <c r="Y7" i="25" l="1"/>
  <c r="U8" i="25"/>
  <c r="Z7" i="25"/>
  <c r="Y8" i="25" l="1"/>
  <c r="U9" i="25"/>
  <c r="Z8" i="25"/>
  <c r="Y9" i="25" l="1"/>
  <c r="U10" i="25"/>
  <c r="Z9" i="25"/>
  <c r="Y10" i="25" l="1"/>
  <c r="U11" i="25"/>
  <c r="Z10" i="25"/>
  <c r="Y11" i="25" l="1"/>
  <c r="U12" i="25"/>
  <c r="Z11" i="25"/>
  <c r="Y12" i="25" l="1"/>
  <c r="U13" i="25"/>
  <c r="Z12" i="25"/>
  <c r="Y13" i="25" l="1"/>
  <c r="U14" i="25"/>
  <c r="Z13" i="25"/>
  <c r="Y14" i="25" l="1"/>
  <c r="U15" i="25"/>
  <c r="Z14" i="25"/>
  <c r="Y15" i="25" l="1"/>
  <c r="U16" i="25"/>
  <c r="Z15" i="25"/>
  <c r="Y16" i="25" l="1"/>
  <c r="U17" i="25"/>
  <c r="Z16" i="25"/>
  <c r="Y17" i="25" l="1"/>
  <c r="U18" i="25"/>
  <c r="Z17" i="25"/>
  <c r="Y18" i="25" l="1"/>
  <c r="U19" i="25"/>
  <c r="Z18" i="25"/>
  <c r="Y19" i="25" l="1"/>
  <c r="U20" i="25"/>
  <c r="Z19" i="25"/>
  <c r="Y20" i="25" l="1"/>
  <c r="U21" i="25"/>
  <c r="Z20" i="25"/>
  <c r="Y21" i="25" l="1"/>
  <c r="U22" i="25"/>
  <c r="Z21" i="25"/>
  <c r="Y22" i="25" l="1"/>
  <c r="U23" i="25"/>
  <c r="Z22" i="25"/>
  <c r="Y23" i="25" l="1"/>
  <c r="U24" i="25"/>
  <c r="Z23" i="25"/>
  <c r="Y24" i="25" l="1"/>
  <c r="U25" i="25"/>
  <c r="Z24" i="25"/>
  <c r="Y25" i="25" l="1"/>
  <c r="U26" i="25"/>
  <c r="Z25" i="25"/>
  <c r="Y26" i="25" l="1"/>
  <c r="U27" i="25"/>
  <c r="Z26" i="25"/>
  <c r="Y27" i="25" l="1"/>
  <c r="U28" i="25"/>
  <c r="Z27" i="25"/>
  <c r="Y28" i="25" l="1"/>
  <c r="U29" i="25"/>
  <c r="Z28" i="25"/>
  <c r="Y29" i="25" l="1"/>
  <c r="U30" i="25"/>
  <c r="Z29" i="25"/>
  <c r="Y30" i="25" l="1"/>
  <c r="U31" i="25"/>
  <c r="U32" i="25"/>
  <c r="Z30" i="25"/>
  <c r="Y32" i="25" l="1"/>
  <c r="Y31" i="25"/>
  <c r="U33" i="25"/>
  <c r="Z32" i="25"/>
  <c r="Z31" i="25"/>
  <c r="Y33" i="25" l="1"/>
  <c r="U34" i="25"/>
  <c r="Z33" i="25"/>
  <c r="Y34" i="25" l="1"/>
  <c r="U35" i="25"/>
  <c r="Z34" i="25"/>
  <c r="Y35" i="25" l="1"/>
  <c r="U37" i="25"/>
  <c r="U36" i="25"/>
  <c r="Z35" i="25"/>
  <c r="Y36" i="25" l="1"/>
  <c r="Y37" i="25"/>
  <c r="U38" i="25"/>
  <c r="Z37" i="25"/>
  <c r="Z36" i="25"/>
  <c r="Y38" i="25" l="1"/>
  <c r="U39" i="25"/>
  <c r="Z38" i="25"/>
  <c r="Y39" i="25" l="1"/>
  <c r="U41" i="25"/>
  <c r="U40" i="25"/>
  <c r="Z39" i="25"/>
  <c r="Y40" i="25" l="1"/>
  <c r="Y41" i="25"/>
  <c r="U42" i="25"/>
  <c r="Z40" i="25"/>
  <c r="Z41" i="25"/>
  <c r="Y42" i="25" l="1"/>
  <c r="P5" i="25" a="1"/>
  <c r="P42" i="25" s="1"/>
  <c r="P28" i="25" l="1"/>
  <c r="P12" i="25"/>
  <c r="P36" i="25"/>
  <c r="P20" i="25"/>
  <c r="P35" i="25"/>
  <c r="P27" i="25"/>
  <c r="P19" i="25"/>
  <c r="P11" i="25"/>
  <c r="P34" i="25"/>
  <c r="P26" i="25"/>
  <c r="P18" i="25"/>
  <c r="P10" i="25"/>
  <c r="P41" i="25"/>
  <c r="P33" i="25"/>
  <c r="P25" i="25"/>
  <c r="P17" i="25"/>
  <c r="P9" i="25"/>
  <c r="P40" i="25"/>
  <c r="P32" i="25"/>
  <c r="P24" i="25"/>
  <c r="P16" i="25"/>
  <c r="P8" i="25"/>
  <c r="P39" i="25"/>
  <c r="P31" i="25"/>
  <c r="P23" i="25"/>
  <c r="P15" i="25"/>
  <c r="P7" i="25"/>
  <c r="P38" i="25"/>
  <c r="P30" i="25"/>
  <c r="P22" i="25"/>
  <c r="P14" i="25"/>
  <c r="P6" i="25"/>
  <c r="P37" i="25"/>
  <c r="P29" i="25"/>
  <c r="P21" i="25"/>
  <c r="P13" i="25"/>
  <c r="P5" i="25"/>
  <c r="H5" i="20"/>
  <c r="L5" i="20"/>
  <c r="P5" i="20" s="1" a="1"/>
  <c r="U8" i="18"/>
  <c r="U40" i="18"/>
  <c r="U36" i="18"/>
  <c r="U33" i="18"/>
  <c r="U6" i="18"/>
  <c r="U28" i="18"/>
  <c r="U31" i="18"/>
  <c r="U15" i="18"/>
  <c r="U47" i="18"/>
  <c r="U17" i="18"/>
  <c r="U34" i="18"/>
  <c r="U37" i="18"/>
  <c r="U42" i="18"/>
  <c r="U10" i="18"/>
  <c r="U13" i="18"/>
  <c r="U22" i="18"/>
  <c r="U44" i="18"/>
  <c r="U19" i="18"/>
  <c r="U29" i="18"/>
  <c r="U20" i="18"/>
  <c r="U18" i="18"/>
  <c r="U38" i="18"/>
  <c r="U7" i="18"/>
  <c r="U46" i="18"/>
  <c r="U14" i="18"/>
  <c r="U41" i="18"/>
  <c r="U24" i="18"/>
  <c r="U32" i="18"/>
  <c r="U45" i="18"/>
  <c r="U9" i="18"/>
  <c r="U21" i="18"/>
  <c r="U39" i="18"/>
  <c r="U12" i="18"/>
  <c r="U35" i="18"/>
  <c r="U16" i="18"/>
  <c r="U30" i="18"/>
  <c r="U25" i="18"/>
  <c r="U11" i="18"/>
  <c r="U43" i="18"/>
  <c r="U26" i="18"/>
  <c r="U23" i="18"/>
  <c r="U27" i="18"/>
  <c r="N6" i="18" a="1"/>
  <c r="H4" i="20"/>
  <c r="P6" i="20" l="1"/>
  <c r="P5" i="20"/>
  <c r="N13" i="18"/>
  <c r="N21" i="18"/>
  <c r="N29" i="18"/>
  <c r="N37" i="18"/>
  <c r="N45" i="18"/>
  <c r="N8" i="18"/>
  <c r="N16" i="18"/>
  <c r="N24" i="18"/>
  <c r="N32" i="18"/>
  <c r="N40" i="18"/>
  <c r="N27" i="18"/>
  <c r="N43" i="18"/>
  <c r="N7" i="18"/>
  <c r="N15" i="18"/>
  <c r="N11" i="18"/>
  <c r="N19" i="18"/>
  <c r="N35" i="18"/>
  <c r="N9" i="18"/>
  <c r="N17" i="18"/>
  <c r="N25" i="18"/>
  <c r="N41" i="18"/>
  <c r="N31" i="18"/>
  <c r="N47" i="18"/>
  <c r="N26" i="18"/>
  <c r="N34" i="18"/>
  <c r="N6" i="18"/>
  <c r="N14" i="18"/>
  <c r="N22" i="18"/>
  <c r="N30" i="18"/>
  <c r="N38" i="18"/>
  <c r="N46" i="18"/>
  <c r="N33" i="18"/>
  <c r="N39" i="18"/>
  <c r="N10" i="18"/>
  <c r="N42" i="18"/>
  <c r="N12" i="18"/>
  <c r="N20" i="18"/>
  <c r="N28" i="18"/>
  <c r="N36" i="18"/>
  <c r="N44" i="18"/>
  <c r="N23" i="18"/>
  <c r="N18" i="18"/>
  <c r="U8" i="17"/>
  <c r="U7" i="17"/>
  <c r="U14" i="17"/>
  <c r="U12" i="17"/>
  <c r="U9" i="17"/>
  <c r="U11" i="17"/>
  <c r="U16" i="17"/>
  <c r="U10" i="17"/>
  <c r="U17" i="17"/>
  <c r="U6" i="17"/>
  <c r="U15" i="17"/>
  <c r="U13" i="17"/>
  <c r="N6" i="17" a="1"/>
  <c r="N9" i="17" l="1"/>
  <c r="N17" i="17"/>
  <c r="N12" i="17"/>
  <c r="N7" i="17"/>
  <c r="N15" i="17"/>
  <c r="N10" i="17"/>
  <c r="N13" i="17"/>
  <c r="N8" i="17"/>
  <c r="N16" i="17"/>
  <c r="N11" i="17"/>
  <c r="N6" i="17"/>
  <c r="N14" i="17"/>
  <c r="M5" i="16" l="1"/>
  <c r="M6" i="16"/>
  <c r="S5" i="16"/>
  <c r="S6" i="16"/>
  <c r="W6" i="16" l="1"/>
  <c r="W5" i="16"/>
  <c r="M7" i="16"/>
  <c r="S7" i="16"/>
  <c r="W7" i="16" l="1"/>
  <c r="M8" i="16"/>
  <c r="S8" i="16"/>
  <c r="W8" i="16" l="1"/>
  <c r="M9" i="16"/>
  <c r="S9" i="16"/>
  <c r="W9" i="16" l="1"/>
  <c r="M10" i="16"/>
  <c r="S10" i="16"/>
  <c r="W10" i="16" l="1"/>
  <c r="M11" i="16"/>
  <c r="S11" i="16"/>
  <c r="W11" i="16" l="1"/>
  <c r="M12" i="16"/>
  <c r="S12" i="16"/>
  <c r="W12" i="16" l="1"/>
  <c r="M13" i="16"/>
  <c r="S13" i="16"/>
  <c r="W13" i="16" l="1"/>
  <c r="M14" i="16"/>
  <c r="M15" i="16" l="1"/>
  <c r="M16" i="16" l="1"/>
  <c r="M18" i="16" l="1"/>
  <c r="M19" i="16" l="1"/>
  <c r="S19" i="16"/>
  <c r="W19" i="16" l="1"/>
  <c r="N5" i="23"/>
  <c r="N6" i="23"/>
  <c r="T5" i="23"/>
  <c r="T6" i="23"/>
  <c r="X17" i="16"/>
  <c r="X6" i="23" l="1"/>
  <c r="X5" i="23"/>
  <c r="N7" i="23"/>
  <c r="T7" i="23"/>
  <c r="X7" i="23" l="1"/>
  <c r="N8" i="23"/>
  <c r="T8" i="23"/>
  <c r="X8" i="23" l="1"/>
  <c r="N9" i="23"/>
  <c r="T9" i="23"/>
  <c r="X9" i="23" l="1"/>
  <c r="N10" i="23"/>
  <c r="T10" i="23"/>
  <c r="X10" i="23" l="1"/>
  <c r="N11" i="23"/>
  <c r="T11" i="23"/>
  <c r="X11" i="23" l="1"/>
  <c r="N12" i="23"/>
  <c r="T12" i="23"/>
  <c r="X12" i="23" l="1"/>
  <c r="N13" i="23"/>
  <c r="T13" i="23"/>
  <c r="X13" i="23" l="1"/>
  <c r="N14" i="23"/>
  <c r="T14" i="23"/>
  <c r="X14" i="23" l="1"/>
  <c r="N15" i="23"/>
  <c r="T15" i="23"/>
  <c r="X15" i="23" l="1"/>
  <c r="N16" i="23"/>
  <c r="T16" i="23"/>
  <c r="X16" i="23" l="1"/>
  <c r="N17" i="23"/>
  <c r="T17" i="23"/>
  <c r="X17" i="23" l="1"/>
  <c r="N18" i="23"/>
  <c r="O5" i="23" s="1" a="1"/>
  <c r="O18" i="23" s="1"/>
  <c r="T18" i="23"/>
  <c r="X18" i="23" l="1"/>
  <c r="O5" i="23"/>
  <c r="O6" i="23"/>
  <c r="O7" i="23"/>
  <c r="O8" i="23"/>
  <c r="O9" i="23"/>
  <c r="O10" i="23"/>
  <c r="O11" i="23"/>
  <c r="O12" i="23"/>
  <c r="O13" i="23"/>
  <c r="O14" i="23"/>
  <c r="O15" i="23"/>
  <c r="O16" i="23"/>
  <c r="O17" i="23"/>
  <c r="Y18" i="23"/>
  <c r="Y17" i="23"/>
  <c r="Y16" i="23"/>
  <c r="N5" i="22" l="1"/>
  <c r="N6" i="22"/>
  <c r="T6" i="22"/>
  <c r="T5" i="22"/>
  <c r="X5" i="22" l="1"/>
  <c r="X6" i="22"/>
  <c r="N7" i="22"/>
  <c r="T7" i="22"/>
  <c r="X7" i="22" l="1"/>
  <c r="N8" i="22"/>
  <c r="T8" i="22"/>
  <c r="X8" i="22" l="1"/>
  <c r="N9" i="22"/>
  <c r="T9" i="22"/>
  <c r="X9" i="22" l="1"/>
  <c r="N10" i="22"/>
  <c r="T10" i="22"/>
  <c r="X10" i="22" l="1"/>
  <c r="N11" i="22"/>
  <c r="T11" i="22"/>
  <c r="X11" i="22" l="1"/>
  <c r="N12" i="22"/>
  <c r="T12" i="22"/>
  <c r="X12" i="22" l="1"/>
  <c r="N13" i="22"/>
  <c r="T13" i="22"/>
  <c r="X13" i="22" l="1"/>
  <c r="N14" i="22"/>
  <c r="T14" i="22"/>
  <c r="X14" i="22" l="1"/>
  <c r="N15" i="22"/>
  <c r="T15" i="22"/>
  <c r="X15" i="22" l="1"/>
  <c r="N16" i="22"/>
  <c r="T16" i="22"/>
  <c r="X16" i="22" l="1"/>
  <c r="N17" i="22"/>
  <c r="T17" i="22"/>
  <c r="X17" i="22" l="1"/>
  <c r="N18" i="22"/>
  <c r="T18" i="22"/>
  <c r="X18" i="22" l="1"/>
  <c r="N19" i="22"/>
  <c r="T19" i="22"/>
  <c r="X19" i="22" l="1"/>
  <c r="N20" i="22"/>
  <c r="T20" i="22"/>
  <c r="X20" i="22" l="1"/>
  <c r="N21" i="22"/>
  <c r="T21" i="22"/>
  <c r="X21" i="22" l="1"/>
  <c r="N22" i="22"/>
  <c r="T22" i="22"/>
  <c r="X22" i="22" l="1"/>
  <c r="N23" i="22"/>
  <c r="T23" i="22"/>
  <c r="X23" i="22" l="1"/>
  <c r="N24" i="22"/>
  <c r="T24" i="22"/>
  <c r="X24" i="22" l="1"/>
  <c r="N25" i="22"/>
  <c r="T25" i="22"/>
  <c r="X25" i="22" l="1"/>
  <c r="N26" i="22"/>
  <c r="T26" i="22"/>
  <c r="X26" i="22" l="1"/>
  <c r="N27" i="22"/>
  <c r="T27" i="22"/>
  <c r="X27" i="22" l="1"/>
  <c r="N28" i="22"/>
  <c r="T28" i="22"/>
  <c r="X28" i="22" l="1"/>
  <c r="N29" i="22"/>
  <c r="T29" i="22"/>
  <c r="X29" i="22" l="1"/>
  <c r="N30" i="22"/>
  <c r="T30" i="22"/>
  <c r="X30" i="22" l="1"/>
  <c r="N31" i="22"/>
  <c r="T31" i="22"/>
  <c r="X31" i="22" l="1"/>
  <c r="N32" i="22"/>
  <c r="T32" i="22"/>
  <c r="X32" i="22" l="1"/>
  <c r="N33" i="22"/>
  <c r="T33" i="22"/>
  <c r="X33" i="22" l="1"/>
  <c r="N34" i="22"/>
  <c r="T34" i="22"/>
  <c r="X34" i="22" l="1"/>
  <c r="N35" i="22"/>
  <c r="T35" i="22"/>
  <c r="X35" i="22" l="1"/>
  <c r="N36" i="22"/>
  <c r="T36" i="22"/>
  <c r="X36" i="22" l="1"/>
  <c r="N37" i="22"/>
  <c r="T37" i="22"/>
  <c r="X37" i="22" l="1"/>
  <c r="N38" i="22"/>
  <c r="T38" i="22"/>
  <c r="X38" i="22" l="1"/>
  <c r="N39" i="22"/>
  <c r="T39" i="22"/>
  <c r="X39" i="22" l="1"/>
  <c r="N40" i="22"/>
  <c r="T40" i="22"/>
  <c r="X40" i="22" l="1"/>
  <c r="N41" i="22"/>
  <c r="T41" i="22"/>
  <c r="X41" i="22" l="1"/>
  <c r="N42" i="22"/>
  <c r="T42" i="22"/>
  <c r="X42" i="22" l="1"/>
  <c r="N43" i="22"/>
  <c r="T43" i="22"/>
  <c r="X43" i="22" l="1"/>
  <c r="N44" i="22"/>
  <c r="T44" i="22"/>
  <c r="X44" i="22" l="1"/>
  <c r="N45" i="22"/>
  <c r="T45" i="22"/>
  <c r="X45" i="22" l="1"/>
  <c r="N46" i="22"/>
  <c r="T46" i="22"/>
  <c r="X46" i="22" l="1"/>
  <c r="N47" i="22"/>
  <c r="T47" i="22"/>
  <c r="X47" i="22" l="1"/>
  <c r="N48" i="22"/>
  <c r="T48" i="22"/>
  <c r="X48" i="22" l="1"/>
  <c r="N49" i="22"/>
  <c r="T49" i="22"/>
  <c r="X49" i="22" l="1"/>
  <c r="N50" i="22"/>
  <c r="T50" i="22"/>
  <c r="X50" i="22" l="1"/>
  <c r="N51" i="22"/>
  <c r="T51" i="22"/>
  <c r="X51" i="22" l="1"/>
  <c r="N52" i="22"/>
  <c r="T52" i="22"/>
  <c r="X52" i="22" l="1"/>
  <c r="N53" i="22"/>
  <c r="T53" i="22"/>
  <c r="X53" i="22" l="1"/>
  <c r="N54" i="22"/>
  <c r="T54" i="22"/>
  <c r="X54" i="22" l="1"/>
  <c r="N55" i="22"/>
  <c r="T55" i="22"/>
  <c r="X55" i="22" l="1"/>
  <c r="N56" i="22"/>
  <c r="T56" i="22"/>
  <c r="X56" i="22" l="1"/>
  <c r="N57" i="22"/>
  <c r="T57" i="22"/>
  <c r="X57" i="22" l="1"/>
  <c r="N58" i="22"/>
  <c r="T58" i="22"/>
  <c r="X58" i="22" l="1"/>
  <c r="O5" i="22" a="1"/>
  <c r="O5" i="22" l="1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O58" i="22"/>
  <c r="AJ5" i="17" l="1"/>
  <c r="I9" i="56"/>
  <c r="AK5" i="17"/>
  <c r="D12" i="56" l="1"/>
  <c r="N5" i="16" s="1" a="1"/>
  <c r="B1" i="56"/>
  <c r="N8" i="16" l="1"/>
  <c r="N16" i="16"/>
  <c r="N13" i="16"/>
  <c r="N10" i="16"/>
  <c r="N19" i="16"/>
  <c r="N15" i="16"/>
  <c r="N11" i="16"/>
  <c r="N9" i="16"/>
  <c r="N18" i="16"/>
  <c r="N7" i="16"/>
  <c r="N6" i="16"/>
  <c r="N5" i="16"/>
  <c r="N17" i="16"/>
  <c r="N14" i="16"/>
  <c r="N12" i="16"/>
  <c r="E4" i="23"/>
  <c r="E5" i="23"/>
  <c r="E6" i="23"/>
  <c r="E7" i="23"/>
  <c r="E8" i="23"/>
  <c r="E9" i="23"/>
  <c r="E10" i="23"/>
  <c r="E11" i="23"/>
  <c r="E12" i="23"/>
  <c r="E13" i="23"/>
  <c r="E14" i="23"/>
  <c r="E15" i="23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F21" i="22"/>
  <c r="F43" i="22"/>
  <c r="F47" i="22"/>
  <c r="F9" i="22"/>
  <c r="F44" i="22"/>
  <c r="F28" i="22"/>
  <c r="F30" i="22"/>
  <c r="F52" i="22"/>
  <c r="F45" i="22"/>
  <c r="F29" i="22"/>
  <c r="F17" i="22"/>
  <c r="F56" i="22"/>
  <c r="F32" i="22"/>
  <c r="F48" i="22"/>
  <c r="F18" i="22"/>
  <c r="F54" i="22"/>
  <c r="F7" i="23"/>
  <c r="F20" i="22"/>
  <c r="F12" i="22"/>
  <c r="F15" i="22"/>
  <c r="F12" i="23"/>
  <c r="F42" i="22"/>
  <c r="F58" i="22"/>
  <c r="F6" i="22"/>
  <c r="F6" i="23"/>
  <c r="F13" i="23"/>
  <c r="F35" i="22"/>
  <c r="F24" i="22"/>
  <c r="F23" i="22"/>
  <c r="F51" i="22"/>
  <c r="F11" i="23"/>
  <c r="F36" i="22"/>
  <c r="F40" i="22"/>
  <c r="F5" i="23"/>
  <c r="F15" i="23"/>
  <c r="F41" i="22"/>
  <c r="F26" i="22"/>
  <c r="F5" i="22"/>
  <c r="F16" i="22"/>
  <c r="F38" i="22"/>
  <c r="F46" i="22"/>
  <c r="F34" i="22"/>
  <c r="F31" i="22"/>
  <c r="F14" i="23"/>
  <c r="F8" i="23"/>
  <c r="F19" i="22"/>
  <c r="F57" i="22"/>
  <c r="F50" i="22"/>
  <c r="F37" i="22"/>
  <c r="F14" i="22"/>
  <c r="F9" i="23"/>
  <c r="F33" i="22"/>
  <c r="F55" i="22"/>
  <c r="F10" i="23"/>
  <c r="F22" i="22"/>
  <c r="F7" i="22"/>
  <c r="F27" i="22"/>
  <c r="F8" i="22"/>
  <c r="F49" i="22"/>
  <c r="F10" i="22"/>
  <c r="F39" i="22"/>
  <c r="F13" i="22"/>
  <c r="F53" i="22"/>
  <c r="F11" i="22"/>
  <c r="F25" i="22"/>
  <c r="Y6" i="22"/>
  <c r="Y7" i="22"/>
  <c r="Y8" i="22"/>
  <c r="Y5" i="22"/>
  <c r="E5" i="26" l="1"/>
  <c r="E11" i="25"/>
  <c r="G11" i="23"/>
  <c r="G15" i="23"/>
  <c r="G11" i="22"/>
  <c r="G6" i="23"/>
  <c r="G39" i="22"/>
  <c r="G42" i="22"/>
  <c r="G14" i="23"/>
  <c r="G8" i="23"/>
  <c r="G52" i="22"/>
  <c r="G35" i="22"/>
  <c r="G55" i="22"/>
  <c r="G9" i="22"/>
  <c r="G34" i="22"/>
  <c r="G5" i="23"/>
  <c r="F15" i="26"/>
  <c r="G12" i="23"/>
  <c r="F23" i="26"/>
  <c r="G44" i="22"/>
  <c r="G17" i="22"/>
  <c r="G10" i="23"/>
  <c r="G58" i="22"/>
  <c r="G57" i="22"/>
  <c r="G38" i="22"/>
  <c r="G13" i="23"/>
  <c r="G29" i="22"/>
  <c r="G41" i="22"/>
  <c r="F18" i="26"/>
  <c r="G37" i="22"/>
  <c r="G47" i="22"/>
  <c r="F39" i="26"/>
  <c r="G45" i="22"/>
  <c r="G20" i="22"/>
  <c r="G46" i="22"/>
  <c r="G14" i="22"/>
  <c r="G6" i="22"/>
  <c r="G32" i="22"/>
  <c r="G10" i="22"/>
  <c r="F28" i="26"/>
  <c r="G19" i="22"/>
  <c r="G36" i="22"/>
  <c r="F34" i="26"/>
  <c r="F31" i="26"/>
  <c r="G8" i="22"/>
  <c r="G56" i="22"/>
  <c r="G9" i="23"/>
  <c r="G5" i="22"/>
  <c r="G24" i="22"/>
  <c r="G16" i="22"/>
  <c r="G7" i="23"/>
  <c r="G54" i="22"/>
  <c r="G40" i="22"/>
  <c r="G43" i="22"/>
  <c r="G27" i="22"/>
  <c r="G25" i="22"/>
  <c r="G13" i="22"/>
  <c r="G31" i="22"/>
  <c r="G7" i="22"/>
  <c r="F7" i="26"/>
  <c r="G30" i="22"/>
  <c r="G21" i="22"/>
  <c r="G28" i="22"/>
  <c r="G51" i="22"/>
  <c r="G53" i="22"/>
  <c r="G26" i="22"/>
  <c r="G50" i="22"/>
  <c r="G15" i="22"/>
  <c r="F10" i="26"/>
  <c r="G23" i="22"/>
  <c r="G49" i="22"/>
  <c r="G12" i="22"/>
  <c r="G22" i="22"/>
  <c r="G48" i="22"/>
  <c r="G18" i="22"/>
  <c r="G33" i="22"/>
  <c r="F26" i="26"/>
  <c r="Y18" i="22"/>
  <c r="Y40" i="22"/>
  <c r="Y57" i="22"/>
  <c r="Y50" i="22"/>
  <c r="Y41" i="22"/>
  <c r="Y45" i="22"/>
  <c r="Y13" i="22"/>
  <c r="Y28" i="22"/>
  <c r="Y36" i="22"/>
  <c r="Y27" i="22"/>
  <c r="Y20" i="22"/>
  <c r="Y54" i="22"/>
  <c r="Y13" i="23"/>
  <c r="Y53" i="22"/>
  <c r="Y6" i="23"/>
  <c r="Y34" i="22"/>
  <c r="Y10" i="22"/>
  <c r="Y39" i="22"/>
  <c r="Y24" i="22"/>
  <c r="Y42" i="22"/>
  <c r="Y38" i="22"/>
  <c r="Y23" i="22"/>
  <c r="Y25" i="22"/>
  <c r="Y7" i="23"/>
  <c r="Y10" i="23"/>
  <c r="Y30" i="22"/>
  <c r="Y31" i="22"/>
  <c r="Y14" i="23"/>
  <c r="Y8" i="23"/>
  <c r="Y12" i="23"/>
  <c r="Y14" i="22"/>
  <c r="Y19" i="22"/>
  <c r="Y58" i="22"/>
  <c r="Y16" i="22"/>
  <c r="Y15" i="22"/>
  <c r="Y56" i="22"/>
  <c r="Y21" i="22"/>
  <c r="Y35" i="22"/>
  <c r="Y26" i="22"/>
  <c r="Y43" i="22"/>
  <c r="Y55" i="22"/>
  <c r="Y29" i="22"/>
  <c r="Y52" i="22"/>
  <c r="Y11" i="22"/>
  <c r="Y22" i="22"/>
  <c r="Y37" i="22"/>
  <c r="Y32" i="22"/>
  <c r="Y12" i="22"/>
  <c r="Y44" i="22"/>
  <c r="Y17" i="22"/>
  <c r="Y47" i="22"/>
  <c r="Y11" i="23"/>
  <c r="Y46" i="22"/>
  <c r="Y48" i="22"/>
  <c r="Y33" i="22"/>
  <c r="Y51" i="22"/>
  <c r="Y15" i="23"/>
  <c r="Y49" i="22"/>
  <c r="Y9" i="22"/>
  <c r="Y9" i="23"/>
  <c r="Y5" i="23"/>
  <c r="E20" i="26" l="1"/>
  <c r="E31" i="26"/>
  <c r="E26" i="26"/>
  <c r="E28" i="25"/>
  <c r="E23" i="26"/>
  <c r="E7" i="26"/>
  <c r="E12" i="25"/>
  <c r="E28" i="26"/>
  <c r="E39" i="26"/>
  <c r="E18" i="26"/>
  <c r="E15" i="26"/>
  <c r="E23" i="25"/>
  <c r="E15" i="25"/>
  <c r="E36" i="26"/>
  <c r="E34" i="26"/>
  <c r="E7" i="25"/>
  <c r="E12" i="26"/>
  <c r="E10" i="25"/>
  <c r="E4" i="26"/>
  <c r="E10" i="26"/>
  <c r="E32" i="26"/>
  <c r="E14" i="26"/>
  <c r="E25" i="26"/>
  <c r="E11" i="26"/>
  <c r="E40" i="26"/>
  <c r="E22" i="26"/>
  <c r="E13" i="26"/>
  <c r="E8" i="26"/>
  <c r="E29" i="26"/>
  <c r="E33" i="26"/>
  <c r="E19" i="26"/>
  <c r="E16" i="26"/>
  <c r="E30" i="26"/>
  <c r="E21" i="26"/>
  <c r="E9" i="26"/>
  <c r="E42" i="26"/>
  <c r="E27" i="26"/>
  <c r="E24" i="26"/>
  <c r="E6" i="26"/>
  <c r="E38" i="26"/>
  <c r="E37" i="26"/>
  <c r="E17" i="26"/>
  <c r="E35" i="26"/>
  <c r="E20" i="25"/>
  <c r="E18" i="25"/>
  <c r="E26" i="25"/>
  <c r="E17" i="25"/>
  <c r="E32" i="25"/>
  <c r="E34" i="25"/>
  <c r="E25" i="25"/>
  <c r="E19" i="25"/>
  <c r="E29" i="25"/>
  <c r="E4" i="25"/>
  <c r="E5" i="25"/>
  <c r="E14" i="25"/>
  <c r="E30" i="25"/>
  <c r="E8" i="25"/>
  <c r="E40" i="25"/>
  <c r="E31" i="25"/>
  <c r="E33" i="25"/>
  <c r="E27" i="25"/>
  <c r="E37" i="25"/>
  <c r="E13" i="25"/>
  <c r="E39" i="25"/>
  <c r="E36" i="25"/>
  <c r="E16" i="25"/>
  <c r="E9" i="25"/>
  <c r="E42" i="25"/>
  <c r="E38" i="25"/>
  <c r="E35" i="25"/>
  <c r="E21" i="25"/>
  <c r="E6" i="25"/>
  <c r="E22" i="25"/>
  <c r="E24" i="25"/>
  <c r="G10" i="26"/>
  <c r="F36" i="26"/>
  <c r="G39" i="26"/>
  <c r="G18" i="25"/>
  <c r="Z34" i="26"/>
  <c r="G15" i="25"/>
  <c r="Z10" i="26"/>
  <c r="G12" i="25"/>
  <c r="Z23" i="26"/>
  <c r="F9" i="26"/>
  <c r="F38" i="26"/>
  <c r="F5" i="26"/>
  <c r="F11" i="26"/>
  <c r="F24" i="26"/>
  <c r="G18" i="26"/>
  <c r="Z39" i="26"/>
  <c r="G15" i="26"/>
  <c r="F37" i="26"/>
  <c r="F6" i="26"/>
  <c r="G7" i="26"/>
  <c r="G26" i="26"/>
  <c r="G10" i="25"/>
  <c r="F13" i="26"/>
  <c r="G23" i="25"/>
  <c r="Z15" i="26"/>
  <c r="G31" i="26"/>
  <c r="F19" i="26"/>
  <c r="Z18" i="26"/>
  <c r="F25" i="26"/>
  <c r="F22" i="26"/>
  <c r="F12" i="26"/>
  <c r="F40" i="26"/>
  <c r="F14" i="26"/>
  <c r="F33" i="26"/>
  <c r="G23" i="26"/>
  <c r="G28" i="26"/>
  <c r="G36" i="25"/>
  <c r="F42" i="25"/>
  <c r="F42" i="26"/>
  <c r="G7" i="25"/>
  <c r="F21" i="26"/>
  <c r="G28" i="25"/>
  <c r="F16" i="26"/>
  <c r="Z26" i="26"/>
  <c r="F5" i="25"/>
  <c r="F35" i="26"/>
  <c r="Z31" i="26"/>
  <c r="F30" i="26"/>
  <c r="G34" i="26"/>
  <c r="Z28" i="26"/>
  <c r="G20" i="25"/>
  <c r="G11" i="25"/>
  <c r="F27" i="26"/>
  <c r="F8" i="26"/>
  <c r="F20" i="26"/>
  <c r="F32" i="26"/>
  <c r="F29" i="26"/>
  <c r="F17" i="26"/>
  <c r="Z5" i="25"/>
  <c r="Z42" i="25"/>
  <c r="F4" i="23" l="1"/>
  <c r="F4" i="25"/>
  <c r="G16" i="25"/>
  <c r="Z27" i="26"/>
  <c r="G37" i="25"/>
  <c r="G39" i="25"/>
  <c r="G22" i="26"/>
  <c r="Z37" i="26"/>
  <c r="G40" i="25"/>
  <c r="Z24" i="26"/>
  <c r="Z25" i="26"/>
  <c r="G30" i="25"/>
  <c r="Z22" i="26"/>
  <c r="Z30" i="26"/>
  <c r="G32" i="25"/>
  <c r="G17" i="25"/>
  <c r="G25" i="25"/>
  <c r="G27" i="25"/>
  <c r="G16" i="26"/>
  <c r="Z38" i="26"/>
  <c r="G34" i="25"/>
  <c r="Z16" i="26"/>
  <c r="Z36" i="26"/>
  <c r="G29" i="26"/>
  <c r="G42" i="26"/>
  <c r="G12" i="26"/>
  <c r="G21" i="25"/>
  <c r="G11" i="26"/>
  <c r="G24" i="25"/>
  <c r="G25" i="26"/>
  <c r="G32" i="26"/>
  <c r="G38" i="26"/>
  <c r="G42" i="25"/>
  <c r="Z35" i="26"/>
  <c r="Z29" i="26"/>
  <c r="G37" i="26"/>
  <c r="Z40" i="26"/>
  <c r="G35" i="25"/>
  <c r="G35" i="26"/>
  <c r="G20" i="26"/>
  <c r="G9" i="26"/>
  <c r="G13" i="26"/>
  <c r="G6" i="25"/>
  <c r="G17" i="26"/>
  <c r="G38" i="25"/>
  <c r="Z42" i="26"/>
  <c r="Z11" i="26"/>
  <c r="G29" i="25"/>
  <c r="G40" i="26"/>
  <c r="G8" i="26"/>
  <c r="G9" i="25"/>
  <c r="G27" i="26"/>
  <c r="G24" i="26"/>
  <c r="G19" i="26"/>
  <c r="G8" i="25"/>
  <c r="Z13" i="26"/>
  <c r="Z14" i="26"/>
  <c r="G5" i="26"/>
  <c r="G19" i="25"/>
  <c r="G33" i="25"/>
  <c r="Z33" i="26"/>
  <c r="G33" i="26"/>
  <c r="Z19" i="26"/>
  <c r="G14" i="26"/>
  <c r="Z12" i="26"/>
  <c r="G5" i="25"/>
  <c r="G30" i="26"/>
  <c r="G14" i="25"/>
  <c r="Z20" i="26"/>
  <c r="G6" i="26"/>
  <c r="G22" i="25"/>
  <c r="Z17" i="26"/>
  <c r="Z32" i="26"/>
  <c r="G36" i="26"/>
  <c r="Z21" i="26"/>
  <c r="G21" i="26"/>
  <c r="G26" i="25"/>
  <c r="G13" i="25"/>
  <c r="G31" i="25"/>
  <c r="B4" i="20" l="1"/>
  <c r="B5" i="20"/>
  <c r="B6" i="20"/>
  <c r="E5" i="18"/>
  <c r="E5" i="17"/>
  <c r="D4" i="16"/>
  <c r="D5" i="16"/>
  <c r="D6" i="16"/>
  <c r="D7" i="16"/>
  <c r="D8" i="16"/>
  <c r="D9" i="16"/>
  <c r="D10" i="16"/>
  <c r="C11" i="16"/>
  <c r="D11" i="16" s="1"/>
  <c r="C12" i="16"/>
  <c r="D12" i="16" s="1"/>
  <c r="C13" i="16"/>
  <c r="D13" i="16" s="1"/>
  <c r="C14" i="16"/>
  <c r="D14" i="16" s="1"/>
  <c r="C15" i="16"/>
  <c r="D15" i="16" s="1"/>
  <c r="C16" i="16"/>
  <c r="D16" i="16" s="1"/>
  <c r="C18" i="16"/>
  <c r="D18" i="16" s="1"/>
  <c r="C19" i="16"/>
  <c r="D19" i="16" s="1"/>
  <c r="C2" i="15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G4" i="26"/>
  <c r="E5" i="16"/>
  <c r="D9" i="15"/>
  <c r="D6" i="15"/>
  <c r="E19" i="16"/>
  <c r="E8" i="16"/>
  <c r="E12" i="16"/>
  <c r="D10" i="15"/>
  <c r="E18" i="16"/>
  <c r="D7" i="15"/>
  <c r="D3" i="15"/>
  <c r="D8" i="15"/>
  <c r="E14" i="16"/>
  <c r="D20" i="15"/>
  <c r="D18" i="15"/>
  <c r="G4" i="25"/>
  <c r="E9" i="16"/>
  <c r="D5" i="15"/>
  <c r="E16" i="16"/>
  <c r="D14" i="15"/>
  <c r="D12" i="15"/>
  <c r="C5" i="20"/>
  <c r="D11" i="15"/>
  <c r="D16" i="15"/>
  <c r="C6" i="20"/>
  <c r="D17" i="15"/>
  <c r="E15" i="16"/>
  <c r="E13" i="16"/>
  <c r="E11" i="16"/>
  <c r="E10" i="16"/>
  <c r="G4" i="23"/>
  <c r="E6" i="16"/>
  <c r="D15" i="15"/>
  <c r="D4" i="15"/>
  <c r="D19" i="15"/>
  <c r="E7" i="16"/>
  <c r="D13" i="15"/>
  <c r="X16" i="16"/>
  <c r="AH2" i="18" l="1"/>
  <c r="AH3" i="18"/>
  <c r="E6" i="18"/>
  <c r="E8" i="18"/>
  <c r="E10" i="18"/>
  <c r="E12" i="18"/>
  <c r="E14" i="18"/>
  <c r="E16" i="18"/>
  <c r="E18" i="18"/>
  <c r="E20" i="18"/>
  <c r="E22" i="18"/>
  <c r="E24" i="18"/>
  <c r="E26" i="18"/>
  <c r="E28" i="18"/>
  <c r="E30" i="18"/>
  <c r="E32" i="18"/>
  <c r="E34" i="18"/>
  <c r="E36" i="18"/>
  <c r="E38" i="18"/>
  <c r="E40" i="18"/>
  <c r="E42" i="18"/>
  <c r="E44" i="18"/>
  <c r="E46" i="18"/>
  <c r="E17" i="18"/>
  <c r="E7" i="18"/>
  <c r="E15" i="18"/>
  <c r="E23" i="18"/>
  <c r="E31" i="18"/>
  <c r="E39" i="18"/>
  <c r="E47" i="18"/>
  <c r="E9" i="18"/>
  <c r="E33" i="18"/>
  <c r="E41" i="18"/>
  <c r="E25" i="18"/>
  <c r="E11" i="18"/>
  <c r="E19" i="18"/>
  <c r="E27" i="18"/>
  <c r="E35" i="18"/>
  <c r="E43" i="18"/>
  <c r="E13" i="18"/>
  <c r="E21" i="18"/>
  <c r="E29" i="18"/>
  <c r="E37" i="18"/>
  <c r="E45" i="18"/>
  <c r="E7" i="17"/>
  <c r="E9" i="17"/>
  <c r="E11" i="17"/>
  <c r="E13" i="17"/>
  <c r="E15" i="17"/>
  <c r="E17" i="17"/>
  <c r="E12" i="17"/>
  <c r="E6" i="17"/>
  <c r="E14" i="17"/>
  <c r="E10" i="17"/>
  <c r="E8" i="17"/>
  <c r="E16" i="17"/>
  <c r="E4" i="16"/>
  <c r="F5" i="18"/>
  <c r="C4" i="20"/>
  <c r="F5" i="17"/>
  <c r="D2" i="15"/>
  <c r="F47" i="18"/>
  <c r="F19" i="16"/>
  <c r="F17" i="18"/>
  <c r="F20" i="18"/>
  <c r="F27" i="18"/>
  <c r="F35" i="18"/>
  <c r="E7" i="15"/>
  <c r="F44" i="18"/>
  <c r="F7" i="18"/>
  <c r="F24" i="18"/>
  <c r="G35" i="18"/>
  <c r="F34" i="18"/>
  <c r="F32" i="18"/>
  <c r="G17" i="18"/>
  <c r="E17" i="15"/>
  <c r="F9" i="16"/>
  <c r="G5" i="18"/>
  <c r="F46" i="18"/>
  <c r="E2" i="15"/>
  <c r="E11" i="15"/>
  <c r="F12" i="16"/>
  <c r="G20" i="18"/>
  <c r="F15" i="17"/>
  <c r="G15" i="17" s="1"/>
  <c r="F40" i="18"/>
  <c r="E10" i="15"/>
  <c r="F5" i="16"/>
  <c r="F37" i="18"/>
  <c r="G37" i="18" s="1"/>
  <c r="F23" i="18"/>
  <c r="F6" i="16"/>
  <c r="E19" i="15"/>
  <c r="F6" i="18"/>
  <c r="G6" i="18" s="1"/>
  <c r="F12" i="18"/>
  <c r="F12" i="17"/>
  <c r="F16" i="17"/>
  <c r="G32" i="18"/>
  <c r="D4" i="20"/>
  <c r="E4" i="15"/>
  <c r="D5" i="20"/>
  <c r="G7" i="18"/>
  <c r="F10" i="17"/>
  <c r="G10" i="17" s="1"/>
  <c r="F22" i="18"/>
  <c r="F9" i="17"/>
  <c r="G9" i="17" s="1"/>
  <c r="E9" i="15"/>
  <c r="E14" i="15"/>
  <c r="E6" i="15"/>
  <c r="E13" i="15"/>
  <c r="E8" i="15"/>
  <c r="F16" i="18"/>
  <c r="G5" i="17"/>
  <c r="F28" i="18"/>
  <c r="G28" i="18" s="1"/>
  <c r="F31" i="18"/>
  <c r="G31" i="18" s="1"/>
  <c r="F7" i="16"/>
  <c r="F10" i="16"/>
  <c r="F14" i="18"/>
  <c r="D6" i="20"/>
  <c r="G40" i="18"/>
  <c r="F15" i="16"/>
  <c r="F26" i="18"/>
  <c r="E5" i="15"/>
  <c r="F19" i="18"/>
  <c r="F13" i="18"/>
  <c r="F16" i="16"/>
  <c r="G26" i="18"/>
  <c r="G22" i="18"/>
  <c r="G46" i="18"/>
  <c r="F21" i="18"/>
  <c r="G21" i="18" s="1"/>
  <c r="F8" i="17"/>
  <c r="G13" i="18"/>
  <c r="F18" i="18"/>
  <c r="G18" i="18" s="1"/>
  <c r="G16" i="17"/>
  <c r="F15" i="18"/>
  <c r="G15" i="18" s="1"/>
  <c r="G12" i="17"/>
  <c r="F6" i="17"/>
  <c r="G14" i="18"/>
  <c r="G8" i="17"/>
  <c r="F17" i="17"/>
  <c r="G17" i="17" s="1"/>
  <c r="F18" i="16"/>
  <c r="E12" i="15"/>
  <c r="F11" i="17"/>
  <c r="G11" i="17" s="1"/>
  <c r="F11" i="16"/>
  <c r="F29" i="18"/>
  <c r="G29" i="18" s="1"/>
  <c r="F8" i="16"/>
  <c r="F10" i="18"/>
  <c r="G10" i="18" s="1"/>
  <c r="E18" i="15"/>
  <c r="F7" i="17"/>
  <c r="G7" i="17" s="1"/>
  <c r="F36" i="18"/>
  <c r="E15" i="15"/>
  <c r="F41" i="18"/>
  <c r="G41" i="18" s="1"/>
  <c r="F30" i="18"/>
  <c r="G30" i="18" s="1"/>
  <c r="G23" i="18"/>
  <c r="G19" i="18"/>
  <c r="F42" i="18"/>
  <c r="G42" i="18" s="1"/>
  <c r="E3" i="15"/>
  <c r="F8" i="18"/>
  <c r="G8" i="18" s="1"/>
  <c r="F11" i="18"/>
  <c r="G11" i="18" s="1"/>
  <c r="F13" i="16"/>
  <c r="G47" i="18"/>
  <c r="G36" i="18"/>
  <c r="G27" i="18"/>
  <c r="F38" i="18"/>
  <c r="G38" i="18" s="1"/>
  <c r="E16" i="15"/>
  <c r="F13" i="17"/>
  <c r="G13" i="17" s="1"/>
  <c r="F43" i="18"/>
  <c r="G43" i="18" s="1"/>
  <c r="F9" i="18"/>
  <c r="G9" i="18" s="1"/>
  <c r="G44" i="18"/>
  <c r="G16" i="18"/>
  <c r="G6" i="17"/>
  <c r="G34" i="18"/>
  <c r="F25" i="18"/>
  <c r="G25" i="18" s="1"/>
  <c r="F33" i="18"/>
  <c r="G33" i="18" s="1"/>
  <c r="G12" i="18"/>
  <c r="F39" i="18"/>
  <c r="G39" i="18" s="1"/>
  <c r="E20" i="15"/>
  <c r="F14" i="16"/>
  <c r="F45" i="18"/>
  <c r="G45" i="18" s="1"/>
  <c r="F14" i="17"/>
  <c r="G14" i="17" s="1"/>
  <c r="G24" i="18"/>
  <c r="P12" i="15"/>
  <c r="Z17" i="17"/>
  <c r="P14" i="15"/>
  <c r="Z24" i="18"/>
  <c r="Z8" i="18"/>
  <c r="Z27" i="18"/>
  <c r="Z18" i="18"/>
  <c r="Z45" i="18"/>
  <c r="Z13" i="18"/>
  <c r="P18" i="15"/>
  <c r="Z31" i="18"/>
  <c r="X9" i="16"/>
  <c r="P5" i="15"/>
  <c r="Z34" i="18"/>
  <c r="Z8" i="17"/>
  <c r="X5" i="16"/>
  <c r="Z11" i="18"/>
  <c r="Z10" i="17"/>
  <c r="Z46" i="18"/>
  <c r="P13" i="15"/>
  <c r="X15" i="16"/>
  <c r="Z6" i="17"/>
  <c r="Z16" i="18"/>
  <c r="Z39" i="18"/>
  <c r="Z17" i="18"/>
  <c r="P4" i="15"/>
  <c r="Z14" i="17"/>
  <c r="Z42" i="18"/>
  <c r="Z37" i="18"/>
  <c r="Z28" i="18"/>
  <c r="X12" i="16"/>
  <c r="Z47" i="18"/>
  <c r="Z21" i="18"/>
  <c r="Z7" i="18"/>
  <c r="Z33" i="18"/>
  <c r="Z7" i="17"/>
  <c r="Z29" i="18"/>
  <c r="Z11" i="17"/>
  <c r="Z15" i="18"/>
  <c r="Z9" i="18"/>
  <c r="P17" i="15"/>
  <c r="Z9" i="17"/>
  <c r="Z38" i="18"/>
  <c r="Z6" i="18"/>
  <c r="Z40" i="18"/>
  <c r="Z10" i="18"/>
  <c r="Z20" i="18"/>
  <c r="Z12" i="18"/>
  <c r="Z44" i="18"/>
  <c r="P11" i="15"/>
  <c r="Z43" i="18"/>
  <c r="X7" i="16"/>
  <c r="X11" i="16"/>
  <c r="Z19" i="18"/>
  <c r="Z25" i="18"/>
  <c r="Z22" i="18"/>
  <c r="X6" i="16"/>
  <c r="Z32" i="18"/>
  <c r="P6" i="15"/>
  <c r="Z15" i="17"/>
  <c r="X10" i="16"/>
  <c r="P7" i="15"/>
  <c r="P15" i="15"/>
  <c r="Z12" i="17"/>
  <c r="Q5" i="20"/>
  <c r="Z16" i="17"/>
  <c r="Z30" i="18"/>
  <c r="Z26" i="18"/>
  <c r="Z35" i="18"/>
  <c r="P20" i="15"/>
  <c r="P8" i="15"/>
  <c r="X8" i="16"/>
  <c r="X18" i="16"/>
  <c r="P10" i="15"/>
  <c r="Z14" i="18"/>
  <c r="Z36" i="18"/>
  <c r="Z23" i="18"/>
  <c r="P19" i="15"/>
  <c r="P16" i="15"/>
  <c r="X13" i="16"/>
  <c r="P9" i="15"/>
  <c r="P3" i="15"/>
  <c r="Z13" i="17"/>
  <c r="Z41" i="18"/>
  <c r="Q6" i="20"/>
  <c r="Q3" i="20" s="1"/>
  <c r="X14" i="16"/>
  <c r="X19" i="16"/>
  <c r="F4" i="22" l="1"/>
  <c r="G4" i="22"/>
  <c r="M6" i="17" a="1"/>
  <c r="Y3" i="22"/>
  <c r="Y3" i="23"/>
  <c r="P1" i="15"/>
  <c r="X3" i="16"/>
  <c r="M7" i="17" l="1"/>
  <c r="M6" i="17"/>
  <c r="M8" i="17"/>
  <c r="M9" i="17"/>
  <c r="M10" i="17" l="1"/>
  <c r="M11" i="17"/>
  <c r="M12" i="17" l="1"/>
  <c r="M13" i="17"/>
  <c r="M14" i="17" l="1"/>
  <c r="M15" i="17"/>
  <c r="M16" i="17" l="1"/>
  <c r="M17" i="17"/>
  <c r="M6" i="18" a="1"/>
  <c r="M7" i="18" l="1"/>
  <c r="M6" i="18"/>
  <c r="M8" i="18"/>
  <c r="M9" i="18"/>
  <c r="Z4" i="17"/>
  <c r="M10" i="18" l="1"/>
  <c r="M11" i="18"/>
  <c r="M12" i="18" l="1"/>
  <c r="M13" i="18"/>
  <c r="M14" i="18" l="1"/>
  <c r="M15" i="18"/>
  <c r="M16" i="18" l="1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AH5" i="18" l="1"/>
  <c r="Z3" i="26"/>
  <c r="AH32" i="18"/>
  <c r="AH22" i="18"/>
  <c r="AH18" i="18"/>
  <c r="AH7" i="18"/>
  <c r="AH21" i="18"/>
  <c r="AH46" i="18"/>
  <c r="AH23" i="18"/>
  <c r="AH6" i="18"/>
  <c r="AH9" i="18"/>
  <c r="AH15" i="18"/>
  <c r="AH33" i="18"/>
  <c r="AH19" i="18"/>
  <c r="AH42" i="18"/>
  <c r="AH25" i="18"/>
  <c r="AH13" i="18"/>
  <c r="AH26" i="18"/>
  <c r="AH40" i="18"/>
  <c r="AH44" i="18"/>
  <c r="AI5" i="18"/>
  <c r="AH27" i="18"/>
  <c r="AH20" i="18"/>
  <c r="AH14" i="18"/>
  <c r="AH43" i="18"/>
  <c r="AH31" i="18"/>
  <c r="AH29" i="18"/>
  <c r="AH34" i="18"/>
  <c r="AH11" i="18"/>
  <c r="AH8" i="18"/>
  <c r="Z3" i="25"/>
  <c r="AH39" i="18"/>
  <c r="AH24" i="18"/>
  <c r="Z4" i="18"/>
  <c r="AH30" i="18"/>
  <c r="AH36" i="18"/>
  <c r="AH28" i="18"/>
  <c r="AH17" i="18"/>
  <c r="AH45" i="18"/>
  <c r="AH12" i="18"/>
  <c r="AH37" i="18"/>
  <c r="AH41" i="18"/>
  <c r="AH35" i="18"/>
  <c r="AH16" i="18"/>
  <c r="AH47" i="18"/>
  <c r="AH10" i="18"/>
  <c r="AH38" i="18"/>
  <c r="AI29" i="18"/>
  <c r="AI42" i="18"/>
  <c r="AI16" i="18"/>
  <c r="AI9" i="18"/>
  <c r="AI7" i="18"/>
  <c r="AI35" i="18"/>
  <c r="AI23" i="18"/>
  <c r="AI31" i="18"/>
  <c r="O4" i="22"/>
  <c r="AI8" i="18"/>
  <c r="AI28" i="18"/>
  <c r="AI25" i="18"/>
  <c r="AI27" i="18"/>
  <c r="AI33" i="18"/>
  <c r="AI12" i="18"/>
  <c r="AI18" i="18"/>
  <c r="AI32" i="18"/>
  <c r="AI14" i="18"/>
  <c r="AI45" i="18"/>
  <c r="AI21" i="18"/>
  <c r="AI34" i="18"/>
  <c r="AI38" i="18"/>
  <c r="AI11" i="18"/>
  <c r="O4" i="23"/>
  <c r="AI44" i="18"/>
  <c r="AI46" i="18"/>
  <c r="N4" i="16"/>
  <c r="AI43" i="18"/>
  <c r="AI13" i="18"/>
  <c r="AI6" i="18"/>
  <c r="AI10" i="18"/>
  <c r="AI30" i="18"/>
  <c r="O5" i="18"/>
  <c r="AI20" i="18"/>
  <c r="AI22" i="18"/>
  <c r="P4" i="26"/>
  <c r="AI40" i="18"/>
  <c r="AI47" i="18"/>
  <c r="O5" i="17"/>
  <c r="AI39" i="18"/>
  <c r="AI26" i="18"/>
  <c r="AI17" i="18"/>
  <c r="AI37" i="18"/>
  <c r="AI36" i="18"/>
  <c r="AI24" i="18"/>
  <c r="AI41" i="18"/>
  <c r="AI19" i="18"/>
  <c r="AI15" i="18"/>
  <c r="D7" i="56"/>
  <c r="P4" i="25" l="1"/>
  <c r="N4" i="68"/>
</calcChain>
</file>

<file path=xl/sharedStrings.xml><?xml version="1.0" encoding="utf-8"?>
<sst xmlns="http://schemas.openxmlformats.org/spreadsheetml/2006/main" count="1511" uniqueCount="219">
  <si>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</si>
  <si>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</si>
  <si>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</si>
  <si>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</si>
  <si>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</si>
  <si>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</si>
  <si>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</si>
  <si>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</si>
  <si>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</si>
  <si>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</si>
  <si>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</si>
  <si>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</si>
  <si>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</si>
  <si>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</si>
  <si>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</si>
  <si>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</si>
  <si>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</si>
  <si>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</si>
  <si>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</si>
  <si>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</si>
  <si>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</si>
  <si>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</si>
  <si>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</si>
  <si>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</si>
  <si>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FamilyName</t>
  </si>
  <si>
    <t>60Y</t>
  </si>
  <si>
    <t>50Y</t>
  </si>
  <si>
    <t>45Y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</si>
  <si>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</si>
  <si>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</si>
  <si>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</si>
  <si>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</si>
  <si>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</si>
  <si>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</si>
  <si>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</si>
  <si>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</si>
  <si>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</si>
  <si>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</si>
  <si>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</si>
  <si>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</si>
  <si>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</si>
  <si>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</si>
  <si>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</si>
  <si>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</si>
  <si>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</si>
  <si>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</si>
  <si>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</si>
  <si>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</si>
  <si>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</si>
  <si>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</si>
  <si>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</si>
  <si>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</si>
  <si>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</si>
  <si>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</si>
  <si>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</si>
  <si>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</si>
  <si>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</si>
  <si>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</si>
  <si>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</si>
  <si>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IborIndex</t>
  </si>
  <si>
    <t>USD</t>
  </si>
  <si>
    <t>3L</t>
  </si>
  <si>
    <t>6L</t>
  </si>
  <si>
    <t>JPY</t>
  </si>
  <si>
    <t>GBP</t>
  </si>
  <si>
    <t>EUR</t>
  </si>
  <si>
    <t>CHF</t>
  </si>
  <si>
    <t>21M</t>
  </si>
  <si>
    <t>18M</t>
  </si>
  <si>
    <t>15M</t>
  </si>
  <si>
    <t>Length</t>
  </si>
  <si>
    <t>PriceTickValue</t>
  </si>
  <si>
    <t>RateTickValue</t>
  </si>
  <si>
    <t>_Quote</t>
  </si>
  <si>
    <t>QuoteSuffix</t>
  </si>
  <si>
    <t>ADDITIONAL SETTINGS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</si>
  <si>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</si>
  <si>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</si>
  <si>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</si>
  <si>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</si>
  <si>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</si>
  <si>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</si>
  <si>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</si>
  <si>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</si>
  <si>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</si>
  <si>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</si>
  <si>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</si>
  <si>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</si>
  <si>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</si>
  <si>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</si>
  <si>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</si>
  <si>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</si>
  <si>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</si>
  <si>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</si>
  <si>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x9F</t>
  </si>
  <si>
    <t>x8F</t>
  </si>
  <si>
    <t>x7F</t>
  </si>
  <si>
    <t>x6F</t>
  </si>
  <si>
    <t>x5F</t>
  </si>
  <si>
    <t>x4F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</si>
  <si>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</si>
  <si>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</si>
  <si>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</si>
  <si>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</si>
  <si>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</si>
  <si>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</si>
  <si>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</si>
  <si>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</si>
  <si>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</si>
  <si>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</si>
  <si>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</si>
  <si>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</si>
  <si>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</si>
  <si>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</si>
  <si>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</si>
  <si>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</si>
  <si>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</si>
  <si>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</si>
  <si>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</si>
  <si>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</si>
  <si>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</si>
  <si>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</si>
  <si>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X1S</t>
  </si>
  <si>
    <t>ON</t>
  </si>
  <si>
    <t>Quote</t>
  </si>
  <si>
    <t>Meanreversion</t>
  </si>
  <si>
    <t>Volatility</t>
  </si>
  <si>
    <t>ASK</t>
  </si>
  <si>
    <t>BID</t>
  </si>
  <si>
    <t>KLIEM</t>
  </si>
  <si>
    <t>Prebon</t>
  </si>
  <si>
    <t>TRIT</t>
  </si>
  <si>
    <t>Tradition</t>
  </si>
  <si>
    <t>TTKL</t>
  </si>
  <si>
    <t>Tullets</t>
  </si>
  <si>
    <t>The record could not be found</t>
  </si>
  <si>
    <t>ICAP</t>
  </si>
  <si>
    <t>CKCC</t>
  </si>
  <si>
    <t>Reuters</t>
  </si>
  <si>
    <t>SN</t>
  </si>
  <si>
    <t>LAST</t>
  </si>
  <si>
    <t>TN</t>
  </si>
  <si>
    <t>Contributors</t>
  </si>
  <si>
    <t>Change</t>
  </si>
  <si>
    <t>Effective</t>
  </si>
  <si>
    <t>Static</t>
  </si>
  <si>
    <t>X</t>
  </si>
  <si>
    <t>Mid Safe</t>
  </si>
  <si>
    <t>HST_CLOSE</t>
  </si>
  <si>
    <t>EXPIRE DATE</t>
  </si>
  <si>
    <t>Effective Date</t>
  </si>
  <si>
    <t>US</t>
  </si>
  <si>
    <t>JP</t>
  </si>
  <si>
    <t>GB</t>
  </si>
  <si>
    <t>EU</t>
  </si>
  <si>
    <t>mean reversion</t>
  </si>
  <si>
    <t>CH</t>
  </si>
  <si>
    <t>sigma</t>
  </si>
  <si>
    <t>HW parameters</t>
  </si>
  <si>
    <t>Mid Equivalent</t>
  </si>
  <si>
    <t>Live Data Feed</t>
  </si>
  <si>
    <t>Last update</t>
  </si>
  <si>
    <t>GCMN</t>
  </si>
  <si>
    <t>ICAP NY</t>
  </si>
  <si>
    <t>SMKR</t>
  </si>
  <si>
    <t>Contributor Code</t>
  </si>
  <si>
    <t>MonotonicCubicNaturalSpline</t>
  </si>
  <si>
    <t>InterpolationType</t>
  </si>
  <si>
    <t>TriggerCounter</t>
  </si>
  <si>
    <t>FRQ:1S</t>
  </si>
  <si>
    <t>ReutersRtMode</t>
  </si>
  <si>
    <t>GENERAL_SETTINGS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</si>
  <si>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</si>
  <si>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</si>
  <si>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</si>
  <si>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</si>
  <si>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</si>
  <si>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</si>
  <si>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</si>
  <si>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EvaluationDate</t>
  </si>
  <si>
    <t>LastFixingsTrigger</t>
  </si>
  <si>
    <t>Index</t>
  </si>
  <si>
    <t>Relinkable Handle</t>
  </si>
  <si>
    <t>LastFixing_Quote</t>
  </si>
  <si>
    <t>MoneyMarketDayCounter</t>
  </si>
  <si>
    <t>Actual/360</t>
  </si>
  <si>
    <t>PYNY</t>
  </si>
  <si>
    <t>Tullet NY</t>
  </si>
  <si>
    <t>QM</t>
  </si>
  <si>
    <t>3AB</t>
  </si>
  <si>
    <t>SM</t>
  </si>
  <si>
    <t>6AB</t>
  </si>
  <si>
    <t>IRSS</t>
  </si>
  <si>
    <t xml:space="preserve">    </t>
  </si>
  <si>
    <t>fix days</t>
  </si>
  <si>
    <t>calendar</t>
  </si>
  <si>
    <t>bdc</t>
  </si>
  <si>
    <t>Modified Following</t>
  </si>
  <si>
    <t>eom</t>
  </si>
  <si>
    <t>dc</t>
  </si>
  <si>
    <t>Calendar</t>
  </si>
  <si>
    <t>12M</t>
  </si>
  <si>
    <t>ICAA</t>
  </si>
  <si>
    <t>ICAP AUST</t>
  </si>
  <si>
    <t>Shibor</t>
  </si>
  <si>
    <t>indexes</t>
  </si>
  <si>
    <t>China</t>
  </si>
  <si>
    <t>CNY</t>
  </si>
  <si>
    <t>Tradition HK</t>
  </si>
  <si>
    <t>TRHK</t>
  </si>
  <si>
    <t>3S</t>
  </si>
  <si>
    <t>7D</t>
  </si>
  <si>
    <t>1D</t>
  </si>
  <si>
    <t>CFXS</t>
  </si>
  <si>
    <t>RPFIX</t>
  </si>
  <si>
    <t>14D</t>
  </si>
  <si>
    <t>PRIMACT_1</t>
  </si>
  <si>
    <t>ND</t>
  </si>
  <si>
    <t>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</si>
</sst>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mm/dd/yy;@"/>
    <numFmt numFmtId="172" formatCode="ddd\,\ dd\-mmm\-yyyy"/>
    <numFmt numFmtId="173" formatCode="0.000"/>
    <numFmt numFmtId="174" formatCode="0.000%"/>
    <numFmt numFmtId="175" formatCode="ddd\,\ dd\-mmm\-yyyy\,\ h:mm:ss"/>
    <numFmt numFmtId="176" formatCode="ddd\,\ dd\-mmm\-yyyy\ h:mm:ss"/>
    <numFmt numFmtId="177" formatCode="ddd\,\ dd\-mmm\-yy"/>
  </numFmts>
  <fonts count="2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MS Sans Serif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b/>
      <sz val="12"/>
      <name val="MS Sans Serif"/>
      <family val="2"/>
    </font>
    <font>
      <i/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color indexed="10"/>
      <name val="Microsoft Sans Serif"/>
      <family val="2"/>
    </font>
    <font>
      <sz val="8"/>
      <color indexed="9"/>
      <name val="Arial"/>
      <family val="2"/>
    </font>
    <font>
      <b/>
      <u/>
      <sz val="8"/>
      <name val="Arial"/>
      <family val="2"/>
    </font>
    <font>
      <sz val="8"/>
      <color indexed="10"/>
      <name val="Arial"/>
      <family val="2"/>
    </font>
    <font>
      <sz val="8"/>
      <color indexed="9"/>
      <name val="Arial"/>
      <family val="2"/>
    </font>
    <font>
      <sz val="8"/>
      <color indexed="12"/>
      <name val="Arial"/>
      <family val="2"/>
    </font>
    <font>
      <sz val="8"/>
      <name val="MS Sans Serif"/>
      <family val="2"/>
    </font>
    <font>
      <sz val="8"/>
      <color indexed="10"/>
      <name val="MS Sans Serif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4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6">
    <xf numFmtId="0" fontId="0" fillId="0" borderId="0"/>
    <xf numFmtId="0" fontId="1" fillId="0" borderId="0"/>
    <xf numFmtId="0" fontId="5" fillId="0" borderId="0"/>
    <xf numFmtId="166" fontId="6" fillId="5" borderId="0">
      <alignment horizontal="center" vertical="center"/>
    </xf>
    <xf numFmtId="9" fontId="10" fillId="0" borderId="0" applyFont="0" applyFill="0" applyBorder="0" applyAlignment="0" applyProtection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167" fontId="12" fillId="0" borderId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" fillId="0" borderId="0"/>
    <xf numFmtId="9" fontId="5" fillId="0" borderId="0" applyFont="0" applyFill="0" applyBorder="0" applyAlignment="0" applyProtection="0"/>
    <xf numFmtId="0" fontId="5" fillId="0" borderId="0"/>
  </cellStyleXfs>
  <cellXfs count="366">
    <xf numFmtId="0" fontId="0" fillId="0" borderId="0" xfId="0"/>
    <xf numFmtId="0" fontId="2" fillId="3" borderId="1" xfId="1" applyFont="1" applyFill="1" applyBorder="1"/>
    <xf numFmtId="0" fontId="2" fillId="3" borderId="2" xfId="1" applyFont="1" applyFill="1" applyBorder="1"/>
    <xf numFmtId="0" fontId="2" fillId="3" borderId="3" xfId="1" applyFont="1" applyFill="1" applyBorder="1"/>
    <xf numFmtId="0" fontId="2" fillId="3" borderId="4" xfId="1" applyFont="1" applyFill="1" applyBorder="1"/>
    <xf numFmtId="0" fontId="2" fillId="3" borderId="7" xfId="1" applyFont="1" applyFill="1" applyBorder="1"/>
    <xf numFmtId="0" fontId="2" fillId="4" borderId="5" xfId="1" applyNumberFormat="1" applyFont="1" applyFill="1" applyBorder="1" applyAlignment="1" applyProtection="1">
      <alignment horizontal="center"/>
    </xf>
    <xf numFmtId="0" fontId="2" fillId="3" borderId="0" xfId="1" applyFont="1" applyFill="1" applyBorder="1"/>
    <xf numFmtId="15" fontId="2" fillId="3" borderId="4" xfId="1" applyNumberFormat="1" applyFont="1" applyFill="1" applyBorder="1"/>
    <xf numFmtId="165" fontId="2" fillId="4" borderId="6" xfId="1" applyNumberFormat="1" applyFont="1" applyFill="1" applyBorder="1" applyAlignment="1" applyProtection="1">
      <alignment horizontal="center"/>
    </xf>
    <xf numFmtId="0" fontId="2" fillId="2" borderId="5" xfId="1" applyNumberFormat="1" applyFont="1" applyFill="1" applyBorder="1"/>
    <xf numFmtId="0" fontId="1" fillId="0" borderId="0" xfId="1"/>
    <xf numFmtId="0" fontId="5" fillId="0" borderId="0" xfId="1" applyFont="1"/>
    <xf numFmtId="165" fontId="2" fillId="4" borderId="6" xfId="1" quotePrefix="1" applyNumberFormat="1" applyFont="1" applyFill="1" applyBorder="1" applyAlignment="1" applyProtection="1">
      <alignment horizontal="center"/>
    </xf>
    <xf numFmtId="0" fontId="2" fillId="4" borderId="11" xfId="1" applyNumberFormat="1" applyFont="1" applyFill="1" applyBorder="1" applyAlignment="1" applyProtection="1"/>
    <xf numFmtId="0" fontId="3" fillId="3" borderId="5" xfId="1" applyFont="1" applyFill="1" applyBorder="1" applyAlignment="1">
      <alignment horizontal="center"/>
    </xf>
    <xf numFmtId="0" fontId="5" fillId="3" borderId="1" xfId="1" applyFont="1" applyFill="1" applyBorder="1"/>
    <xf numFmtId="0" fontId="5" fillId="3" borderId="2" xfId="1" applyFont="1" applyFill="1" applyBorder="1"/>
    <xf numFmtId="0" fontId="5" fillId="3" borderId="3" xfId="1" applyFont="1" applyFill="1" applyBorder="1"/>
    <xf numFmtId="0" fontId="5" fillId="3" borderId="4" xfId="1" applyFont="1" applyFill="1" applyBorder="1"/>
    <xf numFmtId="0" fontId="5" fillId="4" borderId="5" xfId="1" applyNumberFormat="1" applyFont="1" applyFill="1" applyBorder="1" applyAlignment="1" applyProtection="1"/>
    <xf numFmtId="0" fontId="5" fillId="0" borderId="0" xfId="1" applyFont="1" applyAlignment="1">
      <alignment horizontal="left"/>
    </xf>
    <xf numFmtId="0" fontId="5" fillId="3" borderId="15" xfId="1" applyFont="1" applyFill="1" applyBorder="1" applyAlignment="1">
      <alignment horizontal="left"/>
    </xf>
    <xf numFmtId="0" fontId="5" fillId="3" borderId="15" xfId="1" applyFont="1" applyFill="1" applyBorder="1"/>
    <xf numFmtId="0" fontId="2" fillId="4" borderId="5" xfId="1" applyNumberFormat="1" applyFont="1" applyFill="1" applyBorder="1" applyAlignment="1" applyProtection="1">
      <alignment vertical="center"/>
    </xf>
    <xf numFmtId="0" fontId="5" fillId="3" borderId="11" xfId="1" applyNumberFormat="1" applyFont="1" applyFill="1" applyBorder="1" applyAlignment="1">
      <alignment horizontal="left"/>
    </xf>
    <xf numFmtId="0" fontId="5" fillId="3" borderId="11" xfId="1" applyNumberFormat="1" applyFont="1" applyFill="1" applyBorder="1" applyAlignment="1">
      <alignment horizontal="center"/>
    </xf>
    <xf numFmtId="0" fontId="5" fillId="3" borderId="12" xfId="1" applyNumberFormat="1" applyFont="1" applyFill="1" applyBorder="1" applyAlignment="1">
      <alignment horizontal="center"/>
    </xf>
    <xf numFmtId="0" fontId="5" fillId="3" borderId="18" xfId="1" applyFont="1" applyFill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2" fillId="4" borderId="6" xfId="1" applyNumberFormat="1" applyFont="1" applyFill="1" applyBorder="1" applyAlignment="1" applyProtection="1">
      <alignment horizontal="center" vertical="center"/>
    </xf>
    <xf numFmtId="0" fontId="3" fillId="3" borderId="5" xfId="1" applyFont="1" applyFill="1" applyBorder="1" applyAlignment="1">
      <alignment vertical="center"/>
    </xf>
    <xf numFmtId="0" fontId="9" fillId="3" borderId="5" xfId="1" applyFont="1" applyFill="1" applyBorder="1" applyAlignment="1">
      <alignment horizontal="center" vertical="center" wrapText="1"/>
    </xf>
    <xf numFmtId="0" fontId="9" fillId="3" borderId="6" xfId="1" applyFont="1" applyFill="1" applyBorder="1" applyAlignment="1">
      <alignment horizontal="center" vertical="center" wrapText="1"/>
    </xf>
    <xf numFmtId="169" fontId="2" fillId="4" borderId="6" xfId="1" quotePrefix="1" applyNumberFormat="1" applyFont="1" applyFill="1" applyBorder="1" applyAlignment="1" applyProtection="1">
      <alignment horizontal="center"/>
    </xf>
    <xf numFmtId="170" fontId="2" fillId="4" borderId="6" xfId="1" quotePrefix="1" applyNumberFormat="1" applyFont="1" applyFill="1" applyBorder="1" applyAlignment="1" applyProtection="1">
      <alignment horizontal="center"/>
    </xf>
    <xf numFmtId="0" fontId="13" fillId="0" borderId="0" xfId="1" applyFont="1"/>
    <xf numFmtId="164" fontId="14" fillId="4" borderId="5" xfId="1" applyNumberFormat="1" applyFont="1" applyFill="1" applyBorder="1" applyAlignment="1" applyProtection="1">
      <alignment horizontal="left"/>
    </xf>
    <xf numFmtId="0" fontId="5" fillId="3" borderId="5" xfId="1" applyNumberFormat="1" applyFont="1" applyFill="1" applyBorder="1" applyAlignment="1"/>
    <xf numFmtId="0" fontId="9" fillId="3" borderId="5" xfId="1" applyFont="1" applyFill="1" applyBorder="1" applyAlignment="1"/>
    <xf numFmtId="0" fontId="14" fillId="4" borderId="5" xfId="1" applyNumberFormat="1" applyFont="1" applyFill="1" applyBorder="1" applyAlignment="1" applyProtection="1">
      <alignment vertical="center"/>
    </xf>
    <xf numFmtId="0" fontId="2" fillId="4" borderId="5" xfId="1" applyNumberFormat="1" applyFont="1" applyFill="1" applyBorder="1" applyAlignment="1" applyProtection="1">
      <alignment horizontal="center" vertical="center"/>
    </xf>
    <xf numFmtId="0" fontId="5" fillId="3" borderId="5" xfId="1" applyFont="1" applyFill="1" applyBorder="1" applyAlignment="1">
      <alignment vertical="center"/>
    </xf>
    <xf numFmtId="0" fontId="13" fillId="3" borderId="19" xfId="1" applyFont="1" applyFill="1" applyBorder="1"/>
    <xf numFmtId="0" fontId="13" fillId="3" borderId="20" xfId="1" applyFont="1" applyFill="1" applyBorder="1"/>
    <xf numFmtId="0" fontId="13" fillId="3" borderId="21" xfId="1" applyFont="1" applyFill="1" applyBorder="1"/>
    <xf numFmtId="0" fontId="1" fillId="0" borderId="0" xfId="1" applyAlignment="1">
      <alignment horizontal="left"/>
    </xf>
    <xf numFmtId="0" fontId="10" fillId="0" borderId="0" xfId="1" applyFont="1"/>
    <xf numFmtId="0" fontId="5" fillId="3" borderId="2" xfId="1" applyFont="1" applyFill="1" applyBorder="1" applyAlignment="1">
      <alignment horizontal="left"/>
    </xf>
    <xf numFmtId="0" fontId="5" fillId="3" borderId="11" xfId="1" applyNumberFormat="1" applyFont="1" applyFill="1" applyBorder="1" applyAlignment="1"/>
    <xf numFmtId="0" fontId="5" fillId="3" borderId="7" xfId="1" applyFont="1" applyFill="1" applyBorder="1" applyAlignment="1">
      <alignment horizontal="center"/>
    </xf>
    <xf numFmtId="0" fontId="5" fillId="3" borderId="22" xfId="1" applyNumberFormat="1" applyFont="1" applyFill="1" applyBorder="1" applyAlignment="1"/>
    <xf numFmtId="0" fontId="9" fillId="3" borderId="20" xfId="1" applyFont="1" applyFill="1" applyBorder="1" applyAlignment="1">
      <alignment horizontal="center" vertical="center" wrapText="1"/>
    </xf>
    <xf numFmtId="0" fontId="5" fillId="3" borderId="0" xfId="1" applyFont="1" applyFill="1" applyBorder="1"/>
    <xf numFmtId="0" fontId="13" fillId="3" borderId="1" xfId="1" applyFont="1" applyFill="1" applyBorder="1"/>
    <xf numFmtId="0" fontId="13" fillId="3" borderId="2" xfId="1" applyFont="1" applyFill="1" applyBorder="1"/>
    <xf numFmtId="0" fontId="15" fillId="3" borderId="3" xfId="1" applyFont="1" applyFill="1" applyBorder="1"/>
    <xf numFmtId="0" fontId="13" fillId="3" borderId="4" xfId="1" applyFont="1" applyFill="1" applyBorder="1"/>
    <xf numFmtId="171" fontId="5" fillId="3" borderId="13" xfId="10" applyNumberFormat="1" applyFont="1" applyFill="1" applyBorder="1" applyAlignment="1">
      <alignment horizontal="center"/>
    </xf>
    <xf numFmtId="0" fontId="5" fillId="3" borderId="16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center"/>
    </xf>
    <xf numFmtId="0" fontId="5" fillId="3" borderId="14" xfId="1" applyFont="1" applyFill="1" applyBorder="1" applyAlignment="1">
      <alignment horizontal="center"/>
    </xf>
    <xf numFmtId="0" fontId="9" fillId="3" borderId="5" xfId="1" applyFont="1" applyFill="1" applyBorder="1" applyAlignment="1">
      <alignment horizontal="center"/>
    </xf>
    <xf numFmtId="0" fontId="15" fillId="3" borderId="7" xfId="1" applyFont="1" applyFill="1" applyBorder="1"/>
    <xf numFmtId="164" fontId="14" fillId="4" borderId="11" xfId="1" applyNumberFormat="1" applyFont="1" applyFill="1" applyBorder="1" applyAlignment="1" applyProtection="1">
      <alignment horizontal="left"/>
    </xf>
    <xf numFmtId="171" fontId="5" fillId="3" borderId="16" xfId="10" applyNumberFormat="1" applyFont="1" applyFill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9" fillId="3" borderId="11" xfId="1" applyFont="1" applyFill="1" applyBorder="1" applyAlignment="1">
      <alignment horizontal="center"/>
    </xf>
    <xf numFmtId="0" fontId="13" fillId="3" borderId="7" xfId="1" applyFont="1" applyFill="1" applyBorder="1"/>
    <xf numFmtId="0" fontId="15" fillId="3" borderId="8" xfId="1" applyFont="1" applyFill="1" applyBorder="1"/>
    <xf numFmtId="0" fontId="16" fillId="3" borderId="9" xfId="1" applyFont="1" applyFill="1" applyBorder="1"/>
    <xf numFmtId="0" fontId="13" fillId="3" borderId="10" xfId="1" applyFont="1" applyFill="1" applyBorder="1"/>
    <xf numFmtId="0" fontId="13" fillId="3" borderId="12" xfId="1" applyFont="1" applyFill="1" applyBorder="1"/>
    <xf numFmtId="0" fontId="13" fillId="3" borderId="15" xfId="1" applyFont="1" applyFill="1" applyBorder="1"/>
    <xf numFmtId="0" fontId="13" fillId="3" borderId="16" xfId="1" applyFont="1" applyFill="1" applyBorder="1"/>
    <xf numFmtId="0" fontId="13" fillId="3" borderId="17" xfId="1" applyFont="1" applyFill="1" applyBorder="1"/>
    <xf numFmtId="0" fontId="13" fillId="3" borderId="5" xfId="1" applyFont="1" applyFill="1" applyBorder="1"/>
    <xf numFmtId="0" fontId="13" fillId="3" borderId="18" xfId="1" applyFont="1" applyFill="1" applyBorder="1"/>
    <xf numFmtId="0" fontId="5" fillId="3" borderId="7" xfId="1" applyFont="1" applyFill="1" applyBorder="1" applyAlignment="1">
      <alignment horizontal="left"/>
    </xf>
    <xf numFmtId="0" fontId="2" fillId="4" borderId="5" xfId="1" applyNumberFormat="1" applyFont="1" applyFill="1" applyBorder="1" applyAlignment="1" applyProtection="1"/>
    <xf numFmtId="0" fontId="5" fillId="3" borderId="5" xfId="1" applyNumberFormat="1" applyFont="1" applyFill="1" applyBorder="1" applyAlignment="1">
      <alignment horizontal="center"/>
    </xf>
    <xf numFmtId="0" fontId="5" fillId="3" borderId="6" xfId="1" applyNumberFormat="1" applyFont="1" applyFill="1" applyBorder="1" applyAlignment="1">
      <alignment horizontal="center"/>
    </xf>
    <xf numFmtId="170" fontId="5" fillId="0" borderId="5" xfId="10" applyNumberFormat="1" applyFont="1" applyFill="1" applyBorder="1" applyAlignment="1">
      <alignment horizontal="center"/>
    </xf>
    <xf numFmtId="170" fontId="5" fillId="0" borderId="11" xfId="10" applyNumberFormat="1" applyFont="1" applyFill="1" applyBorder="1" applyAlignment="1">
      <alignment horizontal="center"/>
    </xf>
    <xf numFmtId="0" fontId="9" fillId="3" borderId="14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8" xfId="1" applyFont="1" applyFill="1" applyBorder="1"/>
    <xf numFmtId="0" fontId="5" fillId="3" borderId="9" xfId="1" applyFont="1" applyFill="1" applyBorder="1"/>
    <xf numFmtId="0" fontId="5" fillId="0" borderId="3" xfId="1" applyFont="1" applyBorder="1"/>
    <xf numFmtId="0" fontId="13" fillId="0" borderId="0" xfId="1" applyFont="1" applyAlignment="1">
      <alignment horizontal="left"/>
    </xf>
    <xf numFmtId="0" fontId="5" fillId="3" borderId="2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5" fillId="0" borderId="11" xfId="10" applyNumberFormat="1" applyFont="1" applyFill="1" applyBorder="1" applyAlignment="1">
      <alignment horizontal="center"/>
    </xf>
    <xf numFmtId="0" fontId="5" fillId="0" borderId="5" xfId="10" applyNumberFormat="1" applyFont="1" applyFill="1" applyBorder="1" applyAlignment="1">
      <alignment horizontal="center"/>
    </xf>
    <xf numFmtId="0" fontId="5" fillId="3" borderId="10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/>
    </xf>
    <xf numFmtId="0" fontId="5" fillId="3" borderId="5" xfId="1" applyNumberFormat="1" applyFont="1" applyFill="1" applyBorder="1" applyAlignment="1">
      <alignment horizontal="left"/>
    </xf>
    <xf numFmtId="0" fontId="5" fillId="0" borderId="9" xfId="1" applyFont="1" applyBorder="1"/>
    <xf numFmtId="171" fontId="5" fillId="3" borderId="11" xfId="10" applyNumberFormat="1" applyFont="1" applyFill="1" applyBorder="1" applyAlignment="1">
      <alignment horizontal="center"/>
    </xf>
    <xf numFmtId="171" fontId="5" fillId="3" borderId="11" xfId="10" applyNumberFormat="1" applyFont="1" applyFill="1" applyBorder="1" applyAlignment="1">
      <alignment horizontal="left"/>
    </xf>
    <xf numFmtId="0" fontId="13" fillId="0" borderId="0" xfId="1" applyFont="1" applyAlignment="1">
      <alignment horizontal="center"/>
    </xf>
    <xf numFmtId="0" fontId="13" fillId="0" borderId="5" xfId="1" applyFont="1" applyFill="1" applyBorder="1"/>
    <xf numFmtId="0" fontId="13" fillId="0" borderId="5" xfId="1" applyFont="1" applyFill="1" applyBorder="1" applyAlignment="1">
      <alignment horizontal="center"/>
    </xf>
    <xf numFmtId="0" fontId="9" fillId="0" borderId="14" xfId="1" applyFont="1" applyBorder="1" applyAlignment="1">
      <alignment horizontal="center" vertical="center" wrapText="1"/>
    </xf>
    <xf numFmtId="0" fontId="5" fillId="3" borderId="24" xfId="1" applyFont="1" applyFill="1" applyBorder="1"/>
    <xf numFmtId="170" fontId="5" fillId="0" borderId="17" xfId="4" applyNumberFormat="1" applyFont="1" applyFill="1" applyBorder="1" applyAlignment="1">
      <alignment horizontal="center"/>
    </xf>
    <xf numFmtId="169" fontId="5" fillId="0" borderId="0" xfId="4" applyNumberFormat="1" applyFont="1" applyFill="1" applyBorder="1" applyAlignment="1">
      <alignment horizontal="center"/>
    </xf>
    <xf numFmtId="170" fontId="5" fillId="0" borderId="18" xfId="4" applyNumberFormat="1" applyFont="1" applyFill="1" applyBorder="1" applyAlignment="1">
      <alignment horizontal="center"/>
    </xf>
    <xf numFmtId="0" fontId="5" fillId="3" borderId="0" xfId="1" applyFont="1" applyFill="1" applyBorder="1" applyAlignment="1">
      <alignment horizontal="center"/>
    </xf>
    <xf numFmtId="169" fontId="5" fillId="0" borderId="23" xfId="4" applyNumberFormat="1" applyFont="1" applyBorder="1"/>
    <xf numFmtId="169" fontId="5" fillId="0" borderId="17" xfId="4" applyNumberFormat="1" applyFont="1" applyFill="1" applyBorder="1" applyAlignment="1">
      <alignment horizontal="center"/>
    </xf>
    <xf numFmtId="170" fontId="5" fillId="0" borderId="0" xfId="4" applyNumberFormat="1" applyFont="1" applyFill="1" applyBorder="1" applyAlignment="1"/>
    <xf numFmtId="0" fontId="5" fillId="0" borderId="18" xfId="4" applyNumberFormat="1" applyFont="1" applyFill="1" applyBorder="1" applyAlignment="1">
      <alignment horizontal="center"/>
    </xf>
    <xf numFmtId="170" fontId="5" fillId="0" borderId="12" xfId="4" applyNumberFormat="1" applyFont="1" applyFill="1" applyBorder="1" applyAlignment="1">
      <alignment horizontal="center"/>
    </xf>
    <xf numFmtId="169" fontId="5" fillId="0" borderId="15" xfId="4" applyNumberFormat="1" applyFont="1" applyFill="1" applyBorder="1" applyAlignment="1">
      <alignment horizontal="center"/>
    </xf>
    <xf numFmtId="169" fontId="5" fillId="0" borderId="11" xfId="4" applyNumberFormat="1" applyFont="1" applyBorder="1"/>
    <xf numFmtId="169" fontId="5" fillId="0" borderId="12" xfId="4" applyNumberFormat="1" applyFont="1" applyFill="1" applyBorder="1" applyAlignment="1">
      <alignment horizontal="center"/>
    </xf>
    <xf numFmtId="170" fontId="5" fillId="0" borderId="15" xfId="4" applyNumberFormat="1" applyFont="1" applyFill="1" applyBorder="1" applyAlignment="1"/>
    <xf numFmtId="0" fontId="5" fillId="0" borderId="16" xfId="4" applyNumberFormat="1" applyFont="1" applyFill="1" applyBorder="1" applyAlignment="1">
      <alignment horizontal="center"/>
    </xf>
    <xf numFmtId="170" fontId="5" fillId="0" borderId="19" xfId="4" applyNumberFormat="1" applyFont="1" applyFill="1" applyBorder="1" applyAlignment="1">
      <alignment horizontal="center"/>
    </xf>
    <xf numFmtId="169" fontId="5" fillId="0" borderId="20" xfId="4" applyNumberFormat="1" applyFont="1" applyFill="1" applyBorder="1" applyAlignment="1">
      <alignment horizontal="center"/>
    </xf>
    <xf numFmtId="169" fontId="5" fillId="0" borderId="22" xfId="4" applyNumberFormat="1" applyFont="1" applyBorder="1"/>
    <xf numFmtId="169" fontId="5" fillId="0" borderId="19" xfId="4" applyNumberFormat="1" applyFont="1" applyFill="1" applyBorder="1" applyAlignment="1">
      <alignment horizontal="center"/>
    </xf>
    <xf numFmtId="170" fontId="5" fillId="0" borderId="20" xfId="4" applyNumberFormat="1" applyFont="1" applyFill="1" applyBorder="1" applyAlignment="1"/>
    <xf numFmtId="0" fontId="5" fillId="0" borderId="21" xfId="4" applyNumberFormat="1" applyFont="1" applyFill="1" applyBorder="1" applyAlignment="1">
      <alignment horizontal="center"/>
    </xf>
    <xf numFmtId="170" fontId="9" fillId="0" borderId="6" xfId="4" applyNumberFormat="1" applyFont="1" applyFill="1" applyBorder="1" applyAlignment="1">
      <alignment horizontal="center" vertical="center" wrapText="1"/>
    </xf>
    <xf numFmtId="170" fontId="9" fillId="0" borderId="13" xfId="4" applyNumberFormat="1" applyFont="1" applyFill="1" applyBorder="1" applyAlignment="1">
      <alignment horizontal="center" vertical="center" wrapText="1"/>
    </xf>
    <xf numFmtId="169" fontId="9" fillId="0" borderId="5" xfId="4" applyNumberFormat="1" applyFont="1" applyFill="1" applyBorder="1" applyAlignment="1">
      <alignment horizontal="center" vertical="center" wrapText="1"/>
    </xf>
    <xf numFmtId="169" fontId="9" fillId="0" borderId="6" xfId="4" applyNumberFormat="1" applyFont="1" applyFill="1" applyBorder="1" applyAlignment="1">
      <alignment horizontal="center" vertical="center" wrapText="1"/>
    </xf>
    <xf numFmtId="0" fontId="5" fillId="0" borderId="0" xfId="1" applyFont="1" applyFill="1" applyBorder="1"/>
    <xf numFmtId="0" fontId="5" fillId="3" borderId="0" xfId="1" applyFont="1" applyFill="1"/>
    <xf numFmtId="0" fontId="16" fillId="3" borderId="0" xfId="1" applyFont="1" applyFill="1" applyBorder="1"/>
    <xf numFmtId="0" fontId="5" fillId="3" borderId="7" xfId="1" applyFont="1" applyFill="1" applyBorder="1"/>
    <xf numFmtId="0" fontId="5" fillId="3" borderId="10" xfId="1" applyFont="1" applyFill="1" applyBorder="1"/>
    <xf numFmtId="10" fontId="5" fillId="0" borderId="0" xfId="4" applyNumberFormat="1" applyFont="1"/>
    <xf numFmtId="0" fontId="5" fillId="3" borderId="1" xfId="1" applyFont="1" applyFill="1" applyBorder="1" applyAlignment="1">
      <alignment horizontal="center"/>
    </xf>
    <xf numFmtId="169" fontId="5" fillId="0" borderId="11" xfId="4" applyNumberFormat="1" applyFont="1" applyFill="1" applyBorder="1" applyAlignment="1">
      <alignment horizontal="center"/>
    </xf>
    <xf numFmtId="0" fontId="5" fillId="0" borderId="15" xfId="4" applyNumberFormat="1" applyFont="1" applyFill="1" applyBorder="1" applyAlignment="1"/>
    <xf numFmtId="169" fontId="5" fillId="0" borderId="15" xfId="4" applyNumberFormat="1" applyFont="1" applyFill="1" applyBorder="1" applyAlignment="1"/>
    <xf numFmtId="0" fontId="5" fillId="0" borderId="15" xfId="4" applyNumberFormat="1" applyFont="1" applyFill="1" applyBorder="1" applyAlignment="1">
      <alignment horizontal="center"/>
    </xf>
    <xf numFmtId="169" fontId="5" fillId="0" borderId="23" xfId="4" applyNumberFormat="1" applyFont="1" applyFill="1" applyBorder="1" applyAlignment="1">
      <alignment horizontal="center"/>
    </xf>
    <xf numFmtId="0" fontId="5" fillId="0" borderId="0" xfId="4" applyNumberFormat="1" applyFont="1" applyFill="1" applyBorder="1" applyAlignment="1"/>
    <xf numFmtId="169" fontId="5" fillId="0" borderId="0" xfId="4" applyNumberFormat="1" applyFont="1" applyFill="1" applyBorder="1" applyAlignment="1"/>
    <xf numFmtId="0" fontId="5" fillId="0" borderId="0" xfId="4" applyNumberFormat="1" applyFont="1" applyFill="1" applyBorder="1" applyAlignment="1">
      <alignment horizontal="center"/>
    </xf>
    <xf numFmtId="169" fontId="5" fillId="0" borderId="22" xfId="4" applyNumberFormat="1" applyFont="1" applyFill="1" applyBorder="1" applyAlignment="1">
      <alignment horizontal="center"/>
    </xf>
    <xf numFmtId="0" fontId="5" fillId="0" borderId="20" xfId="4" applyNumberFormat="1" applyFont="1" applyFill="1" applyBorder="1" applyAlignment="1"/>
    <xf numFmtId="0" fontId="5" fillId="0" borderId="20" xfId="4" applyNumberFormat="1" applyFont="1" applyFill="1" applyBorder="1" applyAlignment="1">
      <alignment horizontal="center"/>
    </xf>
    <xf numFmtId="0" fontId="5" fillId="0" borderId="0" xfId="1" applyFont="1" applyAlignment="1">
      <alignment horizontal="center" vertical="center"/>
    </xf>
    <xf numFmtId="169" fontId="9" fillId="0" borderId="14" xfId="4" applyNumberFormat="1" applyFont="1" applyFill="1" applyBorder="1" applyAlignment="1">
      <alignment horizontal="center" vertical="center" wrapText="1"/>
    </xf>
    <xf numFmtId="0" fontId="5" fillId="3" borderId="13" xfId="1" applyFont="1" applyFill="1" applyBorder="1" applyAlignment="1">
      <alignment horizontal="center"/>
    </xf>
    <xf numFmtId="0" fontId="5" fillId="0" borderId="10" xfId="1" applyFont="1" applyFill="1" applyBorder="1"/>
    <xf numFmtId="0" fontId="18" fillId="3" borderId="3" xfId="1" applyFont="1" applyFill="1" applyBorder="1"/>
    <xf numFmtId="169" fontId="5" fillId="0" borderId="16" xfId="4" applyNumberFormat="1" applyFont="1" applyFill="1" applyBorder="1" applyAlignment="1">
      <alignment horizontal="center"/>
    </xf>
    <xf numFmtId="169" fontId="5" fillId="0" borderId="11" xfId="1" applyNumberFormat="1" applyFont="1" applyBorder="1"/>
    <xf numFmtId="164" fontId="5" fillId="0" borderId="15" xfId="4" applyNumberFormat="1" applyFont="1" applyFill="1" applyBorder="1" applyAlignment="1">
      <alignment horizontal="center"/>
    </xf>
    <xf numFmtId="172" fontId="5" fillId="0" borderId="15" xfId="4" applyNumberFormat="1" applyFont="1" applyFill="1" applyBorder="1" applyAlignment="1">
      <alignment horizontal="center"/>
    </xf>
    <xf numFmtId="1" fontId="5" fillId="0" borderId="15" xfId="4" applyNumberFormat="1" applyFont="1" applyFill="1" applyBorder="1" applyAlignment="1">
      <alignment horizontal="center"/>
    </xf>
    <xf numFmtId="1" fontId="5" fillId="0" borderId="16" xfId="4" applyNumberFormat="1" applyFont="1" applyFill="1" applyBorder="1" applyAlignment="1">
      <alignment horizontal="center"/>
    </xf>
    <xf numFmtId="0" fontId="18" fillId="3" borderId="7" xfId="1" applyFont="1" applyFill="1" applyBorder="1"/>
    <xf numFmtId="169" fontId="5" fillId="0" borderId="18" xfId="4" applyNumberFormat="1" applyFont="1" applyFill="1" applyBorder="1" applyAlignment="1">
      <alignment horizontal="center"/>
    </xf>
    <xf numFmtId="169" fontId="5" fillId="0" borderId="23" xfId="1" applyNumberFormat="1" applyFont="1" applyBorder="1"/>
    <xf numFmtId="164" fontId="5" fillId="0" borderId="0" xfId="4" applyNumberFormat="1" applyFont="1" applyFill="1" applyBorder="1" applyAlignment="1">
      <alignment horizontal="center"/>
    </xf>
    <xf numFmtId="172" fontId="5" fillId="0" borderId="0" xfId="4" applyNumberFormat="1" applyFont="1" applyFill="1" applyBorder="1" applyAlignment="1">
      <alignment horizontal="center"/>
    </xf>
    <xf numFmtId="1" fontId="5" fillId="0" borderId="0" xfId="4" applyNumberFormat="1" applyFont="1" applyFill="1" applyBorder="1" applyAlignment="1">
      <alignment horizontal="center"/>
    </xf>
    <xf numFmtId="1" fontId="5" fillId="0" borderId="18" xfId="4" applyNumberFormat="1" applyFont="1" applyFill="1" applyBorder="1" applyAlignment="1">
      <alignment horizontal="center"/>
    </xf>
    <xf numFmtId="169" fontId="5" fillId="0" borderId="23" xfId="1" applyNumberFormat="1" applyFont="1" applyFill="1" applyBorder="1"/>
    <xf numFmtId="169" fontId="5" fillId="0" borderId="21" xfId="4" applyNumberFormat="1" applyFont="1" applyFill="1" applyBorder="1" applyAlignment="1">
      <alignment horizontal="center"/>
    </xf>
    <xf numFmtId="169" fontId="5" fillId="0" borderId="22" xfId="1" applyNumberFormat="1" applyFont="1" applyFill="1" applyBorder="1"/>
    <xf numFmtId="164" fontId="5" fillId="0" borderId="20" xfId="4" applyNumberFormat="1" applyFont="1" applyFill="1" applyBorder="1" applyAlignment="1">
      <alignment horizontal="center"/>
    </xf>
    <xf numFmtId="172" fontId="5" fillId="0" borderId="20" xfId="4" applyNumberFormat="1" applyFont="1" applyFill="1" applyBorder="1" applyAlignment="1">
      <alignment horizontal="center"/>
    </xf>
    <xf numFmtId="1" fontId="5" fillId="0" borderId="20" xfId="4" applyNumberFormat="1" applyFont="1" applyFill="1" applyBorder="1" applyAlignment="1">
      <alignment horizontal="center"/>
    </xf>
    <xf numFmtId="1" fontId="5" fillId="0" borderId="21" xfId="4" applyNumberFormat="1" applyFont="1" applyFill="1" applyBorder="1" applyAlignment="1">
      <alignment horizontal="center"/>
    </xf>
    <xf numFmtId="169" fontId="9" fillId="0" borderId="13" xfId="4" applyNumberFormat="1" applyFont="1" applyFill="1" applyBorder="1" applyAlignment="1">
      <alignment horizontal="center" vertical="center" wrapText="1"/>
    </xf>
    <xf numFmtId="0" fontId="18" fillId="3" borderId="4" xfId="1" applyFont="1" applyFill="1" applyBorder="1"/>
    <xf numFmtId="0" fontId="18" fillId="3" borderId="8" xfId="1" applyFont="1" applyFill="1" applyBorder="1"/>
    <xf numFmtId="0" fontId="5" fillId="3" borderId="9" xfId="1" applyFont="1" applyFill="1" applyBorder="1" applyAlignment="1">
      <alignment horizontal="center"/>
    </xf>
    <xf numFmtId="169" fontId="9" fillId="0" borderId="19" xfId="4" applyNumberFormat="1" applyFont="1" applyFill="1" applyBorder="1" applyAlignment="1">
      <alignment horizontal="center" vertical="center" wrapText="1"/>
    </xf>
    <xf numFmtId="169" fontId="9" fillId="0" borderId="20" xfId="4" applyNumberFormat="1" applyFont="1" applyFill="1" applyBorder="1" applyAlignment="1">
      <alignment horizontal="center" vertical="center" wrapText="1"/>
    </xf>
    <xf numFmtId="169" fontId="9" fillId="0" borderId="22" xfId="4" applyNumberFormat="1" applyFont="1" applyFill="1" applyBorder="1" applyAlignment="1">
      <alignment horizontal="center" vertical="center" wrapText="1"/>
    </xf>
    <xf numFmtId="170" fontId="9" fillId="0" borderId="19" xfId="4" applyNumberFormat="1" applyFont="1" applyFill="1" applyBorder="1" applyAlignment="1">
      <alignment horizontal="center" vertical="center" wrapText="1"/>
    </xf>
    <xf numFmtId="0" fontId="9" fillId="0" borderId="20" xfId="1" applyFont="1" applyBorder="1" applyAlignment="1">
      <alignment horizontal="center" vertical="center" wrapText="1"/>
    </xf>
    <xf numFmtId="169" fontId="9" fillId="0" borderId="21" xfId="4" applyNumberFormat="1" applyFont="1" applyFill="1" applyBorder="1" applyAlignment="1">
      <alignment horizontal="center" vertical="center" wrapText="1"/>
    </xf>
    <xf numFmtId="0" fontId="5" fillId="0" borderId="1" xfId="1" applyFont="1" applyBorder="1"/>
    <xf numFmtId="0" fontId="5" fillId="0" borderId="2" xfId="1" applyFont="1" applyBorder="1"/>
    <xf numFmtId="0" fontId="5" fillId="0" borderId="4" xfId="1" applyFont="1" applyBorder="1"/>
    <xf numFmtId="0" fontId="5" fillId="0" borderId="0" xfId="1" applyFont="1" applyBorder="1"/>
    <xf numFmtId="173" fontId="5" fillId="0" borderId="12" xfId="4" applyNumberFormat="1" applyFont="1" applyFill="1" applyBorder="1" applyAlignment="1"/>
    <xf numFmtId="169" fontId="5" fillId="0" borderId="16" xfId="4" applyNumberFormat="1" applyFont="1" applyFill="1" applyBorder="1" applyAlignment="1"/>
    <xf numFmtId="169" fontId="5" fillId="3" borderId="0" xfId="4" applyNumberFormat="1" applyFont="1" applyFill="1" applyBorder="1" applyAlignment="1">
      <alignment horizontal="center"/>
    </xf>
    <xf numFmtId="173" fontId="5" fillId="0" borderId="11" xfId="4" applyNumberFormat="1" applyFont="1" applyFill="1" applyBorder="1" applyAlignment="1"/>
    <xf numFmtId="164" fontId="5" fillId="3" borderId="0" xfId="4" applyNumberFormat="1" applyFont="1" applyFill="1" applyBorder="1" applyAlignment="1">
      <alignment horizontal="center"/>
    </xf>
    <xf numFmtId="172" fontId="5" fillId="0" borderId="16" xfId="4" applyNumberFormat="1" applyFont="1" applyFill="1" applyBorder="1" applyAlignment="1"/>
    <xf numFmtId="172" fontId="5" fillId="0" borderId="12" xfId="4" applyNumberFormat="1" applyFont="1" applyFill="1" applyBorder="1" applyAlignment="1"/>
    <xf numFmtId="0" fontId="5" fillId="0" borderId="8" xfId="1" applyFont="1" applyBorder="1"/>
    <xf numFmtId="174" fontId="5" fillId="0" borderId="19" xfId="4" applyNumberFormat="1" applyFont="1" applyFill="1" applyBorder="1" applyAlignment="1"/>
    <xf numFmtId="174" fontId="5" fillId="0" borderId="22" xfId="4" applyNumberFormat="1" applyFont="1" applyFill="1" applyBorder="1" applyAlignment="1"/>
    <xf numFmtId="0" fontId="5" fillId="0" borderId="21" xfId="4" applyNumberFormat="1" applyFont="1" applyFill="1" applyBorder="1" applyAlignment="1"/>
    <xf numFmtId="2" fontId="5" fillId="0" borderId="17" xfId="4" applyNumberFormat="1" applyFont="1" applyFill="1" applyBorder="1" applyAlignment="1"/>
    <xf numFmtId="169" fontId="5" fillId="0" borderId="18" xfId="4" applyNumberFormat="1" applyFont="1" applyFill="1" applyBorder="1" applyAlignment="1"/>
    <xf numFmtId="172" fontId="9" fillId="0" borderId="6" xfId="4" applyNumberFormat="1" applyFont="1" applyFill="1" applyBorder="1" applyAlignment="1">
      <alignment horizontal="center" vertical="center" wrapText="1"/>
    </xf>
    <xf numFmtId="0" fontId="18" fillId="0" borderId="0" xfId="1" applyFont="1" applyFill="1"/>
    <xf numFmtId="0" fontId="5" fillId="3" borderId="13" xfId="1" applyFont="1" applyFill="1" applyBorder="1" applyAlignment="1">
      <alignment horizontal="center" wrapText="1"/>
    </xf>
    <xf numFmtId="0" fontId="5" fillId="3" borderId="21" xfId="1" applyFont="1" applyFill="1" applyBorder="1" applyAlignment="1">
      <alignment horizontal="center"/>
    </xf>
    <xf numFmtId="0" fontId="1" fillId="3" borderId="3" xfId="1" applyFill="1" applyBorder="1"/>
    <xf numFmtId="0" fontId="19" fillId="3" borderId="0" xfId="1" applyFont="1" applyFill="1" applyBorder="1" applyAlignment="1">
      <alignment horizontal="right"/>
    </xf>
    <xf numFmtId="0" fontId="20" fillId="3" borderId="0" xfId="1" applyFont="1" applyFill="1" applyBorder="1" applyAlignment="1">
      <alignment horizontal="center"/>
    </xf>
    <xf numFmtId="0" fontId="4" fillId="3" borderId="7" xfId="1" applyFont="1" applyFill="1" applyBorder="1"/>
    <xf numFmtId="0" fontId="20" fillId="3" borderId="4" xfId="1" applyFont="1" applyFill="1" applyBorder="1"/>
    <xf numFmtId="0" fontId="20" fillId="3" borderId="12" xfId="1" applyFont="1" applyFill="1" applyBorder="1" applyAlignment="1">
      <alignment horizontal="center"/>
    </xf>
    <xf numFmtId="0" fontId="20" fillId="3" borderId="11" xfId="1" applyFont="1" applyFill="1" applyBorder="1" applyAlignment="1">
      <alignment horizontal="center"/>
    </xf>
    <xf numFmtId="0" fontId="20" fillId="3" borderId="17" xfId="1" applyFont="1" applyFill="1" applyBorder="1" applyAlignment="1">
      <alignment horizontal="center"/>
    </xf>
    <xf numFmtId="0" fontId="20" fillId="3" borderId="23" xfId="1" applyFont="1" applyFill="1" applyBorder="1" applyAlignment="1">
      <alignment horizontal="center"/>
    </xf>
    <xf numFmtId="0" fontId="20" fillId="3" borderId="0" xfId="1" applyFont="1" applyFill="1" applyBorder="1"/>
    <xf numFmtId="0" fontId="20" fillId="3" borderId="6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1" fontId="20" fillId="3" borderId="12" xfId="1" applyNumberFormat="1" applyFont="1" applyFill="1" applyBorder="1" applyAlignment="1">
      <alignment horizontal="center"/>
    </xf>
    <xf numFmtId="0" fontId="20" fillId="2" borderId="11" xfId="1" applyFont="1" applyFill="1" applyBorder="1"/>
    <xf numFmtId="1" fontId="20" fillId="3" borderId="17" xfId="1" applyNumberFormat="1" applyFont="1" applyFill="1" applyBorder="1" applyAlignment="1">
      <alignment horizontal="center"/>
    </xf>
    <xf numFmtId="0" fontId="20" fillId="2" borderId="23" xfId="1" applyFont="1" applyFill="1" applyBorder="1"/>
    <xf numFmtId="0" fontId="20" fillId="3" borderId="17" xfId="1" applyNumberFormat="1" applyFont="1" applyFill="1" applyBorder="1" applyAlignment="1">
      <alignment horizontal="center"/>
    </xf>
    <xf numFmtId="176" fontId="20" fillId="3" borderId="17" xfId="1" applyNumberFormat="1" applyFont="1" applyFill="1" applyBorder="1" applyAlignment="1">
      <alignment horizontal="center"/>
    </xf>
    <xf numFmtId="0" fontId="20" fillId="2" borderId="22" xfId="1" applyFont="1" applyFill="1" applyBorder="1"/>
    <xf numFmtId="0" fontId="4" fillId="3" borderId="4" xfId="1" applyFont="1" applyFill="1" applyBorder="1"/>
    <xf numFmtId="0" fontId="4" fillId="3" borderId="0" xfId="1" applyFont="1" applyFill="1" applyBorder="1"/>
    <xf numFmtId="0" fontId="5" fillId="3" borderId="4" xfId="11" applyFont="1" applyFill="1" applyBorder="1"/>
    <xf numFmtId="0" fontId="10" fillId="3" borderId="7" xfId="11" applyFont="1" applyFill="1" applyBorder="1"/>
    <xf numFmtId="165" fontId="2" fillId="4" borderId="5" xfId="1" applyNumberFormat="1" applyFont="1" applyFill="1" applyBorder="1" applyAlignment="1" applyProtection="1">
      <alignment horizontal="center"/>
    </xf>
    <xf numFmtId="165" fontId="2" fillId="4" borderId="5" xfId="1" quotePrefix="1" applyNumberFormat="1" applyFont="1" applyFill="1" applyBorder="1" applyAlignment="1" applyProtection="1">
      <alignment horizontal="left"/>
    </xf>
    <xf numFmtId="165" fontId="2" fillId="4" borderId="5" xfId="1" quotePrefix="1" applyNumberFormat="1" applyFont="1" applyFill="1" applyBorder="1" applyAlignment="1" applyProtection="1">
      <alignment horizontal="center"/>
    </xf>
    <xf numFmtId="0" fontId="5" fillId="2" borderId="5" xfId="11" applyFont="1" applyFill="1" applyBorder="1"/>
    <xf numFmtId="0" fontId="9" fillId="0" borderId="13" xfId="1" applyFont="1" applyFill="1" applyBorder="1" applyAlignment="1">
      <alignment horizontal="center" vertical="center" wrapText="1"/>
    </xf>
    <xf numFmtId="0" fontId="1" fillId="0" borderId="0" xfId="1" applyAlignment="1">
      <alignment horizontal="center"/>
    </xf>
    <xf numFmtId="0" fontId="13" fillId="0" borderId="0" xfId="1" quotePrefix="1" applyFont="1"/>
    <xf numFmtId="169" fontId="9" fillId="0" borderId="13" xfId="4" applyNumberFormat="1" applyFont="1" applyFill="1" applyBorder="1" applyAlignment="1">
      <alignment horizontal="center" vertical="center" wrapText="1"/>
    </xf>
    <xf numFmtId="174" fontId="5" fillId="0" borderId="21" xfId="4" applyNumberFormat="1" applyFont="1" applyFill="1" applyBorder="1" applyAlignment="1"/>
    <xf numFmtId="173" fontId="5" fillId="0" borderId="16" xfId="4" applyNumberFormat="1" applyFont="1" applyFill="1" applyBorder="1" applyAlignment="1"/>
    <xf numFmtId="169" fontId="9" fillId="0" borderId="13" xfId="4" applyNumberFormat="1" applyFont="1" applyFill="1" applyBorder="1" applyAlignment="1">
      <alignment horizontal="center" vertical="center" wrapText="1"/>
    </xf>
    <xf numFmtId="0" fontId="1" fillId="8" borderId="0" xfId="1" applyFill="1"/>
    <xf numFmtId="0" fontId="5" fillId="8" borderId="0" xfId="1" applyFont="1" applyFill="1" applyBorder="1"/>
    <xf numFmtId="0" fontId="5" fillId="8" borderId="0" xfId="2" applyFill="1"/>
    <xf numFmtId="175" fontId="21" fillId="3" borderId="0" xfId="1" applyNumberFormat="1" applyFont="1" applyFill="1" applyBorder="1" applyAlignment="1">
      <alignment horizontal="center"/>
    </xf>
    <xf numFmtId="0" fontId="17" fillId="3" borderId="0" xfId="1" quotePrefix="1" applyFont="1" applyFill="1" applyBorder="1" applyAlignment="1">
      <alignment horizontal="center"/>
    </xf>
    <xf numFmtId="0" fontId="8" fillId="3" borderId="5" xfId="1" applyFont="1" applyFill="1" applyBorder="1" applyAlignment="1">
      <alignment vertical="center"/>
    </xf>
    <xf numFmtId="0" fontId="5" fillId="4" borderId="5" xfId="1" applyNumberFormat="1" applyFont="1" applyFill="1" applyBorder="1" applyAlignment="1" applyProtection="1">
      <alignment horizontal="center" vertical="center"/>
    </xf>
    <xf numFmtId="0" fontId="5" fillId="4" borderId="5" xfId="1" applyNumberFormat="1" applyFont="1" applyFill="1" applyBorder="1" applyAlignment="1" applyProtection="1">
      <alignment vertical="center"/>
    </xf>
    <xf numFmtId="170" fontId="5" fillId="0" borderId="5" xfId="10" applyNumberFormat="1" applyFont="1" applyFill="1" applyBorder="1" applyAlignment="1">
      <alignment horizontal="right"/>
    </xf>
    <xf numFmtId="0" fontId="22" fillId="2" borderId="0" xfId="2" applyFont="1" applyFill="1"/>
    <xf numFmtId="0" fontId="22" fillId="3" borderId="10" xfId="1" applyFont="1" applyFill="1" applyBorder="1"/>
    <xf numFmtId="0" fontId="22" fillId="3" borderId="9" xfId="1" applyFont="1" applyFill="1" applyBorder="1"/>
    <xf numFmtId="0" fontId="22" fillId="3" borderId="9" xfId="2" applyFont="1" applyFill="1" applyBorder="1"/>
    <xf numFmtId="0" fontId="22" fillId="3" borderId="8" xfId="2" applyFont="1" applyFill="1" applyBorder="1"/>
    <xf numFmtId="0" fontId="22" fillId="3" borderId="7" xfId="1" applyFont="1" applyFill="1" applyBorder="1"/>
    <xf numFmtId="0" fontId="22" fillId="3" borderId="0" xfId="1" applyFont="1" applyFill="1" applyBorder="1"/>
    <xf numFmtId="0" fontId="22" fillId="3" borderId="0" xfId="2" applyFont="1" applyFill="1" applyBorder="1"/>
    <xf numFmtId="0" fontId="22" fillId="3" borderId="4" xfId="2" applyFont="1" applyFill="1" applyBorder="1"/>
    <xf numFmtId="0" fontId="22" fillId="4" borderId="5" xfId="1" applyNumberFormat="1" applyFont="1" applyFill="1" applyBorder="1" applyAlignment="1" applyProtection="1">
      <alignment horizontal="center"/>
    </xf>
    <xf numFmtId="164" fontId="22" fillId="4" borderId="5" xfId="1" applyNumberFormat="1" applyFont="1" applyFill="1" applyBorder="1" applyAlignment="1" applyProtection="1">
      <alignment horizontal="left"/>
    </xf>
    <xf numFmtId="0" fontId="22" fillId="4" borderId="6" xfId="1" applyNumberFormat="1" applyFont="1" applyFill="1" applyBorder="1" applyAlignment="1" applyProtection="1"/>
    <xf numFmtId="0" fontId="22" fillId="4" borderId="11" xfId="1" applyNumberFormat="1" applyFont="1" applyFill="1" applyBorder="1" applyAlignment="1" applyProtection="1"/>
    <xf numFmtId="0" fontId="22" fillId="3" borderId="3" xfId="1" applyFont="1" applyFill="1" applyBorder="1"/>
    <xf numFmtId="0" fontId="22" fillId="3" borderId="2" xfId="1" applyFont="1" applyFill="1" applyBorder="1"/>
    <xf numFmtId="0" fontId="22" fillId="2" borderId="0" xfId="1" applyFont="1" applyFill="1"/>
    <xf numFmtId="0" fontId="25" fillId="3" borderId="0" xfId="2" applyFont="1" applyFill="1" applyBorder="1" applyAlignment="1">
      <alignment horizontal="center"/>
    </xf>
    <xf numFmtId="0" fontId="7" fillId="6" borderId="25" xfId="1" applyFont="1" applyFill="1" applyBorder="1" applyAlignment="1">
      <alignment horizontal="centerContinuous"/>
    </xf>
    <xf numFmtId="0" fontId="7" fillId="6" borderId="26" xfId="1" applyFont="1" applyFill="1" applyBorder="1" applyAlignment="1">
      <alignment horizontal="centerContinuous"/>
    </xf>
    <xf numFmtId="0" fontId="7" fillId="6" borderId="27" xfId="1" applyFont="1" applyFill="1" applyBorder="1" applyAlignment="1">
      <alignment horizontal="centerContinuous"/>
    </xf>
    <xf numFmtId="0" fontId="22" fillId="3" borderId="20" xfId="2" applyFont="1" applyFill="1" applyBorder="1"/>
    <xf numFmtId="0" fontId="23" fillId="3" borderId="5" xfId="1" applyNumberFormat="1" applyFont="1" applyFill="1" applyBorder="1" applyAlignment="1">
      <alignment horizontal="center" vertical="center" wrapText="1"/>
    </xf>
    <xf numFmtId="0" fontId="22" fillId="3" borderId="0" xfId="2" applyFont="1" applyFill="1" applyBorder="1" applyAlignment="1">
      <alignment horizontal="center" vertical="center" wrapText="1"/>
    </xf>
    <xf numFmtId="172" fontId="2" fillId="4" borderId="5" xfId="1" applyNumberFormat="1" applyFont="1" applyFill="1" applyBorder="1" applyAlignment="1" applyProtection="1">
      <alignment horizontal="center"/>
    </xf>
    <xf numFmtId="176" fontId="20" fillId="3" borderId="22" xfId="1" applyNumberFormat="1" applyFont="1" applyFill="1" applyBorder="1" applyAlignment="1">
      <alignment horizontal="center"/>
    </xf>
    <xf numFmtId="0" fontId="5" fillId="3" borderId="2" xfId="1" applyNumberFormat="1" applyFont="1" applyFill="1" applyBorder="1" applyAlignment="1">
      <alignment horizontal="center"/>
    </xf>
    <xf numFmtId="170" fontId="5" fillId="3" borderId="2" xfId="10" applyNumberFormat="1" applyFont="1" applyFill="1" applyBorder="1" applyAlignment="1">
      <alignment horizontal="center"/>
    </xf>
    <xf numFmtId="0" fontId="5" fillId="3" borderId="2" xfId="1" applyNumberFormat="1" applyFont="1" applyFill="1" applyBorder="1" applyAlignment="1">
      <alignment horizontal="left"/>
    </xf>
    <xf numFmtId="0" fontId="5" fillId="3" borderId="2" xfId="1" applyNumberFormat="1" applyFont="1" applyFill="1" applyBorder="1" applyAlignment="1" applyProtection="1"/>
    <xf numFmtId="0" fontId="22" fillId="2" borderId="5" xfId="1" applyNumberFormat="1" applyFont="1" applyFill="1" applyBorder="1" applyAlignment="1">
      <alignment horizontal="center"/>
    </xf>
    <xf numFmtId="0" fontId="5" fillId="3" borderId="28" xfId="1" applyNumberFormat="1" applyFont="1" applyFill="1" applyBorder="1" applyAlignment="1"/>
    <xf numFmtId="0" fontId="14" fillId="4" borderId="29" xfId="1" applyNumberFormat="1" applyFont="1" applyFill="1" applyBorder="1" applyAlignment="1" applyProtection="1"/>
    <xf numFmtId="0" fontId="14" fillId="4" borderId="30" xfId="1" applyNumberFormat="1" applyFont="1" applyFill="1" applyBorder="1" applyAlignment="1" applyProtection="1"/>
    <xf numFmtId="0" fontId="14" fillId="4" borderId="31" xfId="1" applyNumberFormat="1" applyFont="1" applyFill="1" applyBorder="1" applyAlignment="1" applyProtection="1"/>
    <xf numFmtId="0" fontId="14" fillId="4" borderId="32" xfId="1" applyNumberFormat="1" applyFont="1" applyFill="1" applyBorder="1" applyAlignment="1" applyProtection="1"/>
    <xf numFmtId="0" fontId="7" fillId="6" borderId="25" xfId="1" applyFont="1" applyFill="1" applyBorder="1" applyAlignment="1">
      <alignment horizontal="centerContinuous" vertical="center"/>
    </xf>
    <xf numFmtId="0" fontId="7" fillId="6" borderId="26" xfId="1" applyFont="1" applyFill="1" applyBorder="1" applyAlignment="1">
      <alignment horizontal="centerContinuous" vertical="center"/>
    </xf>
    <xf numFmtId="0" fontId="7" fillId="6" borderId="27" xfId="1" applyFont="1" applyFill="1" applyBorder="1" applyAlignment="1">
      <alignment horizontal="centerContinuous" vertical="center"/>
    </xf>
    <xf numFmtId="0" fontId="1" fillId="7" borderId="2" xfId="1" applyFill="1" applyBorder="1"/>
    <xf numFmtId="0" fontId="1" fillId="7" borderId="26" xfId="1" applyFill="1" applyBorder="1"/>
    <xf numFmtId="0" fontId="10" fillId="7" borderId="26" xfId="1" applyFont="1" applyFill="1" applyBorder="1"/>
    <xf numFmtId="0" fontId="1" fillId="7" borderId="26" xfId="1" applyFill="1" applyBorder="1" applyAlignment="1">
      <alignment horizontal="left"/>
    </xf>
    <xf numFmtId="0" fontId="1" fillId="7" borderId="1" xfId="1" applyFill="1" applyBorder="1"/>
    <xf numFmtId="0" fontId="1" fillId="7" borderId="3" xfId="1" applyFill="1" applyBorder="1"/>
    <xf numFmtId="0" fontId="3" fillId="3" borderId="33" xfId="1" applyFont="1" applyFill="1" applyBorder="1" applyAlignment="1">
      <alignment vertical="center"/>
    </xf>
    <xf numFmtId="0" fontId="2" fillId="4" borderId="28" xfId="1" applyNumberFormat="1" applyFont="1" applyFill="1" applyBorder="1" applyAlignment="1" applyProtection="1">
      <alignment horizontal="center" vertical="center"/>
    </xf>
    <xf numFmtId="0" fontId="5" fillId="7" borderId="0" xfId="1" applyFont="1" applyFill="1" applyBorder="1"/>
    <xf numFmtId="0" fontId="1" fillId="7" borderId="0" xfId="1" applyFill="1"/>
    <xf numFmtId="0" fontId="1" fillId="7" borderId="0" xfId="1" applyFill="1" applyAlignment="1">
      <alignment horizontal="left"/>
    </xf>
    <xf numFmtId="0" fontId="1" fillId="7" borderId="7" xfId="1" applyFill="1" applyBorder="1"/>
    <xf numFmtId="0" fontId="5" fillId="3" borderId="36" xfId="1" applyNumberFormat="1" applyFont="1" applyFill="1" applyBorder="1" applyAlignment="1"/>
    <xf numFmtId="0" fontId="5" fillId="3" borderId="37" xfId="1" applyNumberFormat="1" applyFont="1" applyFill="1" applyBorder="1" applyAlignment="1"/>
    <xf numFmtId="0" fontId="5" fillId="3" borderId="35" xfId="1" applyNumberFormat="1" applyFont="1" applyFill="1" applyBorder="1" applyAlignment="1">
      <alignment horizontal="right"/>
    </xf>
    <xf numFmtId="0" fontId="5" fillId="3" borderId="34" xfId="1" applyNumberFormat="1" applyFont="1" applyFill="1" applyBorder="1" applyAlignment="1">
      <alignment horizontal="right"/>
    </xf>
    <xf numFmtId="0" fontId="5" fillId="3" borderId="36" xfId="1" applyNumberFormat="1" applyFont="1" applyFill="1" applyBorder="1" applyAlignment="1">
      <alignment horizontal="right"/>
    </xf>
    <xf numFmtId="0" fontId="5" fillId="3" borderId="38" xfId="1" applyNumberFormat="1" applyFont="1" applyFill="1" applyBorder="1" applyAlignment="1">
      <alignment horizontal="right"/>
    </xf>
    <xf numFmtId="0" fontId="5" fillId="3" borderId="6" xfId="1" applyNumberFormat="1" applyFont="1" applyFill="1" applyBorder="1" applyAlignment="1">
      <alignment horizontal="left"/>
    </xf>
    <xf numFmtId="0" fontId="5" fillId="3" borderId="19" xfId="1" applyNumberFormat="1" applyFont="1" applyFill="1" applyBorder="1" applyAlignment="1">
      <alignment horizontal="left"/>
    </xf>
    <xf numFmtId="0" fontId="5" fillId="3" borderId="37" xfId="1" applyNumberFormat="1" applyFont="1" applyFill="1" applyBorder="1" applyAlignment="1">
      <alignment horizontal="left"/>
    </xf>
    <xf numFmtId="0" fontId="5" fillId="3" borderId="39" xfId="1" applyNumberFormat="1" applyFont="1" applyFill="1" applyBorder="1" applyAlignment="1">
      <alignment horizontal="left"/>
    </xf>
    <xf numFmtId="0" fontId="9" fillId="0" borderId="5" xfId="1" applyFont="1" applyBorder="1" applyAlignment="1">
      <alignment horizontal="center" vertical="center" wrapText="1"/>
    </xf>
    <xf numFmtId="170" fontId="9" fillId="0" borderId="5" xfId="4" applyNumberFormat="1" applyFont="1" applyFill="1" applyBorder="1" applyAlignment="1">
      <alignment horizontal="center" vertical="center" wrapText="1"/>
    </xf>
    <xf numFmtId="169" fontId="5" fillId="0" borderId="40" xfId="4" applyNumberFormat="1" applyFont="1" applyFill="1" applyBorder="1" applyAlignment="1">
      <alignment horizontal="center"/>
    </xf>
    <xf numFmtId="169" fontId="5" fillId="0" borderId="41" xfId="4" applyNumberFormat="1" applyFont="1" applyFill="1" applyBorder="1" applyAlignment="1">
      <alignment horizontal="center"/>
    </xf>
    <xf numFmtId="170" fontId="5" fillId="0" borderId="42" xfId="4" applyNumberFormat="1" applyFont="1" applyFill="1" applyBorder="1" applyAlignment="1">
      <alignment horizontal="center"/>
    </xf>
    <xf numFmtId="0" fontId="9" fillId="3" borderId="13" xfId="1" applyFont="1" applyFill="1" applyBorder="1" applyAlignment="1">
      <alignment horizontal="center" vertical="center" wrapText="1"/>
    </xf>
    <xf numFmtId="169" fontId="5" fillId="0" borderId="17" xfId="4" applyNumberFormat="1" applyFont="1" applyFill="1" applyBorder="1" applyAlignment="1"/>
    <xf numFmtId="169" fontId="5" fillId="0" borderId="12" xfId="4" applyNumberFormat="1" applyFont="1" applyFill="1" applyBorder="1" applyAlignment="1"/>
    <xf numFmtId="170" fontId="5" fillId="0" borderId="9" xfId="4" applyNumberFormat="1" applyFont="1" applyFill="1" applyBorder="1" applyAlignment="1"/>
    <xf numFmtId="0" fontId="5" fillId="0" borderId="9" xfId="4" applyNumberFormat="1" applyFont="1" applyFill="1" applyBorder="1" applyAlignment="1">
      <alignment horizontal="center"/>
    </xf>
    <xf numFmtId="0" fontId="5" fillId="0" borderId="41" xfId="4" applyNumberFormat="1" applyFont="1" applyFill="1" applyBorder="1" applyAlignment="1">
      <alignment horizontal="center"/>
    </xf>
    <xf numFmtId="169" fontId="5" fillId="0" borderId="9" xfId="4" applyNumberFormat="1" applyFont="1" applyFill="1" applyBorder="1" applyAlignment="1"/>
    <xf numFmtId="169" fontId="5" fillId="0" borderId="42" xfId="4" applyNumberFormat="1" applyFont="1" applyFill="1" applyBorder="1" applyAlignment="1"/>
    <xf numFmtId="170" fontId="5" fillId="0" borderId="22" xfId="4" applyNumberFormat="1" applyFont="1" applyFill="1" applyBorder="1" applyAlignment="1"/>
    <xf numFmtId="170" fontId="5" fillId="0" borderId="23" xfId="4" applyNumberFormat="1" applyFont="1" applyFill="1" applyBorder="1" applyAlignment="1"/>
    <xf numFmtId="170" fontId="5" fillId="0" borderId="40" xfId="4" applyNumberFormat="1" applyFont="1" applyFill="1" applyBorder="1" applyAlignment="1"/>
    <xf numFmtId="170" fontId="5" fillId="0" borderId="11" xfId="4" applyNumberFormat="1" applyFont="1" applyFill="1" applyBorder="1" applyAlignment="1"/>
    <xf numFmtId="0" fontId="13" fillId="0" borderId="0" xfId="1" applyFont="1" applyBorder="1"/>
    <xf numFmtId="0" fontId="15" fillId="3" borderId="4" xfId="1" applyFont="1" applyFill="1" applyBorder="1"/>
    <xf numFmtId="0" fontId="13" fillId="3" borderId="0" xfId="1" applyFont="1" applyFill="1" applyBorder="1"/>
    <xf numFmtId="0" fontId="13" fillId="0" borderId="4" xfId="1" applyFont="1" applyBorder="1"/>
    <xf numFmtId="0" fontId="5" fillId="3" borderId="43" xfId="1" applyFont="1" applyFill="1" applyBorder="1"/>
    <xf numFmtId="0" fontId="5" fillId="0" borderId="9" xfId="1" applyFont="1" applyFill="1" applyBorder="1"/>
    <xf numFmtId="0" fontId="9" fillId="0" borderId="13" xfId="1" applyFont="1" applyBorder="1" applyAlignment="1">
      <alignment horizontal="center" vertical="center" wrapText="1"/>
    </xf>
    <xf numFmtId="0" fontId="5" fillId="3" borderId="24" xfId="1" applyFont="1" applyFill="1" applyBorder="1" applyAlignment="1">
      <alignment horizontal="center"/>
    </xf>
    <xf numFmtId="170" fontId="24" fillId="0" borderId="13" xfId="14" applyNumberFormat="1" applyFont="1" applyFill="1" applyBorder="1" applyAlignment="1">
      <alignment horizontal="center" vertical="center" wrapText="1"/>
    </xf>
    <xf numFmtId="170" fontId="24" fillId="0" borderId="14" xfId="14" applyNumberFormat="1" applyFont="1" applyFill="1" applyBorder="1" applyAlignment="1">
      <alignment horizontal="center" vertical="center" wrapText="1"/>
    </xf>
    <xf numFmtId="170" fontId="24" fillId="0" borderId="6" xfId="14" applyNumberFormat="1" applyFont="1" applyFill="1" applyBorder="1" applyAlignment="1">
      <alignment horizontal="center" vertical="center" wrapText="1"/>
    </xf>
    <xf numFmtId="170" fontId="24" fillId="0" borderId="22" xfId="14" applyNumberFormat="1" applyFont="1" applyFill="1" applyBorder="1" applyAlignment="1">
      <alignment horizontal="center" vertical="center" wrapText="1"/>
    </xf>
    <xf numFmtId="0" fontId="22" fillId="2" borderId="6" xfId="1" applyNumberFormat="1" applyFont="1" applyFill="1" applyBorder="1" applyAlignment="1">
      <alignment horizontal="center"/>
    </xf>
    <xf numFmtId="170" fontId="22" fillId="0" borderId="18" xfId="14" applyNumberFormat="1" applyFont="1" applyFill="1" applyBorder="1" applyAlignment="1"/>
    <xf numFmtId="177" fontId="22" fillId="0" borderId="0" xfId="14" applyNumberFormat="1" applyFont="1" applyFill="1" applyBorder="1" applyAlignment="1"/>
    <xf numFmtId="169" fontId="22" fillId="0" borderId="0" xfId="14" applyNumberFormat="1" applyFont="1" applyFill="1" applyBorder="1" applyAlignment="1"/>
    <xf numFmtId="0" fontId="22" fillId="0" borderId="17" xfId="15" applyFont="1" applyBorder="1" applyAlignment="1"/>
    <xf numFmtId="170" fontId="22" fillId="0" borderId="0" xfId="14" applyNumberFormat="1" applyFont="1" applyFill="1" applyBorder="1" applyAlignment="1"/>
    <xf numFmtId="170" fontId="22" fillId="0" borderId="17" xfId="14" applyNumberFormat="1" applyFont="1" applyFill="1" applyBorder="1" applyAlignment="1"/>
    <xf numFmtId="170" fontId="22" fillId="0" borderId="22" xfId="14" applyNumberFormat="1" applyFont="1" applyFill="1" applyBorder="1" applyAlignment="1">
      <alignment horizontal="center"/>
    </xf>
    <xf numFmtId="170" fontId="22" fillId="0" borderId="23" xfId="14" applyNumberFormat="1" applyFont="1" applyFill="1" applyBorder="1" applyAlignment="1">
      <alignment horizontal="center"/>
    </xf>
    <xf numFmtId="170" fontId="22" fillId="0" borderId="16" xfId="14" applyNumberFormat="1" applyFont="1" applyFill="1" applyBorder="1" applyAlignment="1"/>
    <xf numFmtId="177" fontId="22" fillId="0" borderId="15" xfId="14" applyNumberFormat="1" applyFont="1" applyFill="1" applyBorder="1" applyAlignment="1"/>
    <xf numFmtId="169" fontId="22" fillId="0" borderId="15" xfId="14" applyNumberFormat="1" applyFont="1" applyFill="1" applyBorder="1" applyAlignment="1"/>
    <xf numFmtId="0" fontId="22" fillId="0" borderId="12" xfId="15" applyFont="1" applyBorder="1" applyAlignment="1"/>
    <xf numFmtId="170" fontId="22" fillId="0" borderId="15" xfId="14" applyNumberFormat="1" applyFont="1" applyFill="1" applyBorder="1" applyAlignment="1"/>
    <xf numFmtId="170" fontId="22" fillId="0" borderId="12" xfId="14" applyNumberFormat="1" applyFont="1" applyFill="1" applyBorder="1" applyAlignment="1"/>
    <xf numFmtId="170" fontId="22" fillId="0" borderId="11" xfId="14" applyNumberFormat="1" applyFont="1" applyFill="1" applyBorder="1" applyAlignment="1">
      <alignment horizontal="center"/>
    </xf>
    <xf numFmtId="0" fontId="22" fillId="3" borderId="4" xfId="1" applyFont="1" applyFill="1" applyBorder="1"/>
    <xf numFmtId="0" fontId="22" fillId="2" borderId="9" xfId="1" applyFont="1" applyFill="1" applyBorder="1"/>
    <xf numFmtId="0" fontId="22" fillId="2" borderId="9" xfId="2" applyFont="1" applyFill="1" applyBorder="1"/>
    <xf numFmtId="0" fontId="9" fillId="0" borderId="6" xfId="1" applyFont="1" applyBorder="1" applyAlignment="1">
      <alignment horizontal="center" vertical="center" wrapText="1"/>
    </xf>
    <xf numFmtId="169" fontId="5" fillId="0" borderId="19" xfId="4" applyNumberFormat="1" applyFont="1" applyFill="1" applyBorder="1" applyAlignment="1"/>
    <xf numFmtId="169" fontId="9" fillId="0" borderId="13" xfId="4" applyNumberFormat="1" applyFont="1" applyFill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0" fontId="22" fillId="9" borderId="5" xfId="1" applyNumberFormat="1" applyFont="1" applyFill="1" applyBorder="1" applyAlignment="1">
      <alignment horizontal="center"/>
    </xf>
    <xf numFmtId="0" fontId="22" fillId="9" borderId="6" xfId="1" applyNumberFormat="1" applyFont="1" applyFill="1" applyBorder="1" applyAlignment="1">
      <alignment horizontal="center"/>
    </xf>
    <xf numFmtId="0" fontId="22" fillId="3" borderId="24" xfId="2" applyFont="1" applyFill="1" applyBorder="1"/>
    <xf numFmtId="0" fontId="22" fillId="3" borderId="2" xfId="2" applyFont="1" applyFill="1" applyBorder="1"/>
    <xf numFmtId="0" fontId="22" fillId="3" borderId="1" xfId="1" applyFont="1" applyFill="1" applyBorder="1"/>
  </cellXfs>
  <cellStyles count="16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 3 2" xfId="15"/>
    <cellStyle name="Normal_SwaptionATMVols" xfId="2"/>
    <cellStyle name="Normale_AZIONI" xfId="7"/>
    <cellStyle name="Percent 2" xfId="4"/>
    <cellStyle name="Percent 3" xfId="10"/>
    <cellStyle name="Percent 4" xfId="12"/>
    <cellStyle name="Percent 4 2" xfId="14"/>
    <cellStyle name="result" xfId="3"/>
    <cellStyle name="Valuta (0)_AZIONI" xfId="8"/>
    <cellStyle name="Valuta_AZIONI" xfId="9"/>
  </cellStyles>
  <dxfs count="21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Paused at 12:54:29</v>
        <stp/>
        <stp>{450065A3-6CDE-4371-BA94-FFBF2D4A74FA}</stp>
        <tr r="O4" s="22"/>
      </tp>
      <tp t="s">
        <v>Paused at 12:54:29</v>
        <stp/>
        <stp>{4D6714F4-7E16-4BE0-B074-6B31A4B578B1}</stp>
        <tr r="N4" s="68"/>
      </tp>
      <tp t="s">
        <v>Paused at 12:54:29</v>
        <stp/>
        <stp>{40F81E4E-C189-45E2-B8DF-2F6404C7F9B0}</stp>
        <tr r="H4" s="20"/>
      </tp>
      <tp t="s">
        <v>Paused at 12:54:29</v>
        <stp/>
        <stp>{95E459FE-877C-4563-B84A-C78E477C0CEA}</stp>
        <tr r="N4" s="66"/>
      </tp>
      <tp t="s">
        <v>Paused at 12:54:29</v>
        <stp/>
        <stp>{CE76B318-57C4-4FAE-8A99-C280B042A989}</stp>
        <tr r="J2" s="15"/>
      </tp>
    </main>
    <main first="pldatasource.rdatartdserver">
      <tp t="s">
        <v>No instrument defined.</v>
        <stp/>
        <stp>{1F37DBCA-B366-4BAB-9BE4-E29AAD9A3A07}</stp>
        <tr r="O5" s="18"/>
      </tp>
      <tp t="s">
        <v>Paused at 12:54:29</v>
        <stp/>
        <stp>{25A75B5B-2E6E-40BD-960C-7D54913A4001}</stp>
        <tr r="P4" s="25"/>
      </tp>
      <tp t="s">
        <v>Paused at 12:54:29</v>
        <stp/>
        <stp>{A8257EF0-FDAA-4801-97B1-0FD58A6EC510}</stp>
        <tr r="P4" s="26"/>
      </tp>
    </main>
    <main first="pldatasource.rdatartdserver">
      <tp t="s">
        <v>Paused at 12:54:29</v>
        <stp/>
        <stp>{AF7BD4B9-B9E1-435C-8694-8C87C5942398}</stp>
        <tr r="N4" s="16"/>
      </tp>
      <tp t="s">
        <v>No instrument defined.</v>
        <stp/>
        <stp>{9D0BBDD2-1186-472E-938B-88E1AB6FC55E}</stp>
        <tr r="O5" s="17"/>
      </tp>
      <tp t="s">
        <v>Paused at 12:54:29</v>
        <stp/>
        <stp>{EAF4216C-600F-43A6-8AAF-673830E9DC90}</stp>
        <tr r="O4" s="23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J28"/>
  <sheetViews>
    <sheetView tabSelected="1" workbookViewId="0">
      <selection activeCell="D5" sqref="D5"/>
    </sheetView>
  </sheetViews>
  <sheetFormatPr defaultRowHeight="12.75" x14ac:dyDescent="0.2"/>
  <cols>
    <col min="1" max="1" width="1.7109375" style="240" customWidth="1"/>
    <col min="2" max="2" width="2.7109375" style="240" customWidth="1"/>
    <col min="3" max="3" width="14.85546875" style="240" bestFit="1" customWidth="1"/>
    <col min="4" max="4" width="21.42578125" style="240" bestFit="1" customWidth="1"/>
    <col min="5" max="7" width="2.7109375" style="240" customWidth="1"/>
    <col min="8" max="8" width="18.5703125" style="240" bestFit="1" customWidth="1"/>
    <col min="9" max="9" width="53.7109375" style="240" bestFit="1" customWidth="1"/>
    <col min="10" max="10" width="2.7109375" style="240" customWidth="1"/>
    <col min="11" max="16384" width="9.140625" style="240"/>
  </cols>
  <sheetData>
    <row r="1" spans="2:10" ht="13.5" thickBot="1" x14ac:dyDescent="0.25">
      <c r="B1" s="240" t="str">
        <f>_xll.qlxlVersion(TRUE,Trigger)</f>
        <v>QuantLibXL 1.4.0 - MS VC++ 9.0 - Multithreaded Dynamic Runtime library - Release Configuration - Apr 29 2014 14:47:17</v>
      </c>
    </row>
    <row r="2" spans="2:10" ht="16.5" thickBot="1" x14ac:dyDescent="0.3">
      <c r="B2" s="284" t="s">
        <v>171</v>
      </c>
      <c r="C2" s="285"/>
      <c r="D2" s="285"/>
      <c r="E2" s="286"/>
      <c r="G2" s="266" t="s">
        <v>7</v>
      </c>
      <c r="H2" s="267"/>
      <c r="I2" s="267"/>
      <c r="J2" s="268"/>
    </row>
    <row r="3" spans="2:10" x14ac:dyDescent="0.2">
      <c r="B3" s="209"/>
      <c r="C3" s="226"/>
      <c r="D3" s="226"/>
      <c r="E3" s="225"/>
      <c r="G3" s="5"/>
      <c r="H3" s="7"/>
      <c r="I3" s="7"/>
      <c r="J3" s="4"/>
    </row>
    <row r="4" spans="2:10" x14ac:dyDescent="0.2">
      <c r="B4" s="209"/>
      <c r="C4" s="224" t="s">
        <v>0</v>
      </c>
      <c r="D4" s="273" t="s">
        <v>207</v>
      </c>
      <c r="E4" s="210"/>
      <c r="G4" s="5"/>
      <c r="H4" s="10" t="s">
        <v>5</v>
      </c>
      <c r="I4" s="229" t="b">
        <v>1</v>
      </c>
      <c r="J4" s="8"/>
    </row>
    <row r="5" spans="2:10" x14ac:dyDescent="0.2">
      <c r="B5" s="209"/>
      <c r="C5" s="221" t="s">
        <v>6</v>
      </c>
      <c r="D5" s="223">
        <v>41809.469108796293</v>
      </c>
      <c r="E5" s="210"/>
      <c r="G5" s="5"/>
      <c r="H5" s="10" t="s">
        <v>4</v>
      </c>
      <c r="I5" s="229" t="b">
        <v>0</v>
      </c>
      <c r="J5" s="8"/>
    </row>
    <row r="6" spans="2:10" x14ac:dyDescent="0.2">
      <c r="B6" s="209"/>
      <c r="C6" s="221" t="s">
        <v>170</v>
      </c>
      <c r="D6" s="222" t="s">
        <v>169</v>
      </c>
      <c r="E6" s="210"/>
      <c r="G6" s="5"/>
      <c r="H6" s="10" t="s">
        <v>3</v>
      </c>
      <c r="I6" s="229" t="b">
        <v>0</v>
      </c>
      <c r="J6" s="8"/>
    </row>
    <row r="7" spans="2:10" x14ac:dyDescent="0.2">
      <c r="B7" s="209"/>
      <c r="C7" s="221" t="s">
        <v>168</v>
      </c>
      <c r="D7" s="220">
        <f>_xll.ohTrigger(Deposits!P1,FRA!X3,Futures3M!Z4,FuturesHWConvAdj!Q3,Swaps1M!Y3,Swap3M!Z3,Swap7DRepo!Z3,,,OIS!Y3)</f>
        <v>40</v>
      </c>
      <c r="E7" s="210"/>
      <c r="G7" s="5"/>
      <c r="H7" s="10" t="s">
        <v>2</v>
      </c>
      <c r="I7" s="230"/>
      <c r="J7" s="8"/>
    </row>
    <row r="8" spans="2:10" x14ac:dyDescent="0.2">
      <c r="B8" s="209"/>
      <c r="C8" s="221" t="s">
        <v>180</v>
      </c>
      <c r="D8" s="220">
        <f>_xll.ohTrigger(U6:U12)</f>
        <v>7</v>
      </c>
      <c r="E8" s="210"/>
      <c r="G8" s="5"/>
      <c r="H8" s="10" t="s">
        <v>1</v>
      </c>
      <c r="I8" s="231" t="b">
        <v>1</v>
      </c>
      <c r="J8" s="8"/>
    </row>
    <row r="9" spans="2:10" x14ac:dyDescent="0.2">
      <c r="B9" s="209"/>
      <c r="C9" s="219" t="s">
        <v>167</v>
      </c>
      <c r="D9" s="218" t="s">
        <v>166</v>
      </c>
      <c r="E9" s="210"/>
      <c r="G9" s="228"/>
      <c r="H9" s="232" t="s">
        <v>179</v>
      </c>
      <c r="I9" s="272">
        <f>_xll.qlSettingsEvaluationDate(Trigger)</f>
        <v>41809</v>
      </c>
      <c r="J9" s="227"/>
    </row>
    <row r="10" spans="2:10" x14ac:dyDescent="0.2">
      <c r="B10" s="209"/>
      <c r="C10" s="215"/>
      <c r="D10" s="215"/>
      <c r="E10" s="210"/>
      <c r="G10" s="228"/>
      <c r="H10" s="10" t="s">
        <v>200</v>
      </c>
      <c r="I10" s="272" t="s">
        <v>206</v>
      </c>
      <c r="J10" s="227"/>
    </row>
    <row r="11" spans="2:10" ht="13.5" thickBot="1" x14ac:dyDescent="0.25">
      <c r="B11" s="209"/>
      <c r="C11" s="217" t="s">
        <v>142</v>
      </c>
      <c r="D11" s="216" t="s">
        <v>165</v>
      </c>
      <c r="E11" s="210"/>
      <c r="G11" s="3"/>
      <c r="H11" s="2"/>
      <c r="I11" s="2"/>
      <c r="J11" s="1"/>
    </row>
    <row r="12" spans="2:10" ht="13.5" thickBot="1" x14ac:dyDescent="0.25">
      <c r="B12" s="209"/>
      <c r="C12" s="214" t="s">
        <v>138</v>
      </c>
      <c r="D12" s="213" t="str">
        <f>""</f>
        <v/>
      </c>
      <c r="E12" s="210"/>
      <c r="G12" s="242"/>
      <c r="H12" s="242"/>
      <c r="I12" s="242"/>
      <c r="J12" s="242"/>
    </row>
    <row r="13" spans="2:10" ht="16.5" thickBot="1" x14ac:dyDescent="0.3">
      <c r="B13" s="209"/>
      <c r="C13" s="214" t="s">
        <v>129</v>
      </c>
      <c r="D13" s="213" t="s">
        <v>137</v>
      </c>
      <c r="E13" s="210"/>
      <c r="G13" s="266" t="s">
        <v>75</v>
      </c>
      <c r="H13" s="267"/>
      <c r="I13" s="267"/>
      <c r="J13" s="268"/>
    </row>
    <row r="14" spans="2:10" x14ac:dyDescent="0.2">
      <c r="B14" s="209"/>
      <c r="C14" s="214" t="s">
        <v>136</v>
      </c>
      <c r="D14" s="213" t="s">
        <v>136</v>
      </c>
      <c r="E14" s="210"/>
      <c r="G14" s="5"/>
      <c r="H14" s="7"/>
      <c r="I14" s="7"/>
      <c r="J14" s="4"/>
    </row>
    <row r="15" spans="2:10" x14ac:dyDescent="0.2">
      <c r="B15" s="209"/>
      <c r="C15" s="214" t="s">
        <v>134</v>
      </c>
      <c r="D15" s="213" t="s">
        <v>133</v>
      </c>
      <c r="E15" s="210"/>
      <c r="G15" s="5"/>
      <c r="H15" s="10" t="s">
        <v>74</v>
      </c>
      <c r="I15" s="13" t="s">
        <v>73</v>
      </c>
      <c r="J15" s="8"/>
    </row>
    <row r="16" spans="2:10" x14ac:dyDescent="0.2">
      <c r="B16" s="209"/>
      <c r="C16" s="214" t="s">
        <v>187</v>
      </c>
      <c r="D16" s="213" t="s">
        <v>186</v>
      </c>
      <c r="E16" s="210"/>
      <c r="G16" s="5"/>
      <c r="H16" s="10" t="s">
        <v>72</v>
      </c>
      <c r="I16" s="37">
        <v>1E-4</v>
      </c>
      <c r="J16" s="8"/>
    </row>
    <row r="17" spans="2:10" x14ac:dyDescent="0.2">
      <c r="B17" s="209"/>
      <c r="C17" s="214" t="s">
        <v>132</v>
      </c>
      <c r="D17" s="213" t="s">
        <v>131</v>
      </c>
      <c r="E17" s="210"/>
      <c r="G17" s="5"/>
      <c r="H17" s="10" t="s">
        <v>71</v>
      </c>
      <c r="I17" s="36">
        <v>-0.01</v>
      </c>
      <c r="J17" s="8"/>
    </row>
    <row r="18" spans="2:10" x14ac:dyDescent="0.2">
      <c r="B18" s="209"/>
      <c r="C18" s="214" t="s">
        <v>208</v>
      </c>
      <c r="D18" s="213" t="s">
        <v>209</v>
      </c>
      <c r="E18" s="210"/>
      <c r="G18" s="5"/>
      <c r="H18" s="10" t="s">
        <v>24</v>
      </c>
      <c r="I18" s="36" t="s">
        <v>204</v>
      </c>
      <c r="J18" s="8"/>
    </row>
    <row r="19" spans="2:10" x14ac:dyDescent="0.2">
      <c r="B19" s="209"/>
      <c r="C19" s="214" t="s">
        <v>130</v>
      </c>
      <c r="D19" s="213" t="s">
        <v>164</v>
      </c>
      <c r="E19" s="210"/>
      <c r="G19" s="5"/>
      <c r="H19" s="10" t="s">
        <v>184</v>
      </c>
      <c r="I19" s="9" t="s">
        <v>185</v>
      </c>
      <c r="J19" s="8"/>
    </row>
    <row r="20" spans="2:10" ht="13.5" thickBot="1" x14ac:dyDescent="0.25">
      <c r="B20" s="209"/>
      <c r="C20" s="214" t="s">
        <v>203</v>
      </c>
      <c r="D20" s="213" t="s">
        <v>202</v>
      </c>
      <c r="E20" s="210"/>
      <c r="G20" s="3"/>
      <c r="H20" s="2"/>
      <c r="I20" s="2"/>
      <c r="J20" s="1"/>
    </row>
    <row r="21" spans="2:10" x14ac:dyDescent="0.2">
      <c r="B21" s="209"/>
      <c r="C21" s="212" t="s">
        <v>163</v>
      </c>
      <c r="D21" s="211" t="s">
        <v>162</v>
      </c>
      <c r="E21" s="210"/>
    </row>
    <row r="22" spans="2:10" x14ac:dyDescent="0.2">
      <c r="B22" s="209"/>
      <c r="C22" s="208"/>
      <c r="D22" s="208"/>
      <c r="E22" s="210"/>
    </row>
    <row r="23" spans="2:10" x14ac:dyDescent="0.2">
      <c r="B23" s="209"/>
      <c r="C23" s="207" t="s">
        <v>161</v>
      </c>
      <c r="D23" s="243">
        <v>41795.654097222221</v>
      </c>
      <c r="E23" s="19"/>
    </row>
    <row r="24" spans="2:10" x14ac:dyDescent="0.2">
      <c r="B24" s="209"/>
      <c r="C24" s="207" t="s">
        <v>160</v>
      </c>
      <c r="D24" s="244" t="b">
        <v>1</v>
      </c>
      <c r="E24" s="19"/>
    </row>
    <row r="25" spans="2:10" ht="11.25" customHeight="1" thickBot="1" x14ac:dyDescent="0.25">
      <c r="B25" s="206"/>
      <c r="C25" s="17"/>
      <c r="D25" s="17"/>
      <c r="E25" s="16"/>
    </row>
    <row r="26" spans="2:10" x14ac:dyDescent="0.2">
      <c r="C26" s="241"/>
      <c r="D26" s="241"/>
      <c r="E26" s="241"/>
    </row>
    <row r="27" spans="2:10" x14ac:dyDescent="0.2">
      <c r="C27" s="241"/>
      <c r="D27" s="241"/>
      <c r="E27" s="241"/>
    </row>
    <row r="28" spans="2:10" x14ac:dyDescent="0.2">
      <c r="C28" s="241"/>
      <c r="D28" s="241"/>
      <c r="E28" s="241"/>
    </row>
  </sheetData>
  <conditionalFormatting sqref="D24">
    <cfRule type="cellIs" dxfId="20" priority="1" stopIfTrue="1" operator="equal">
      <formula>TRUE</formula>
    </cfRule>
  </conditionalFormatting>
  <dataValidations count="4">
    <dataValidation type="list" allowBlank="1" showInputMessage="1" showErrorMessage="1" sqref="D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1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4">
      <formula1>"EUR,USD,GBP,JPY,CHF,AUD,CNY"</formula1>
    </dataValidation>
    <dataValidation type="list" allowBlank="1" showInputMessage="1" showErrorMessage="1" sqref="I10">
      <formula1>"TARGET,UnitedKingdom::Exchange,UnitedKingdom::Metals,UnitedKingdom::Settlement,UnitedStates::GovernmentBond,UnitedStates::NERC,UnitedStates::NYSE,UnitedStates::Settlement,Switzerland,Japan,Italy::Exchange,NullCalendar,Australia,China"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9"/>
  <sheetViews>
    <sheetView workbookViewId="0"/>
  </sheetViews>
  <sheetFormatPr defaultRowHeight="11.25" x14ac:dyDescent="0.2"/>
  <cols>
    <col min="1" max="2" width="2.140625" style="264" customWidth="1"/>
    <col min="3" max="3" width="6.5703125" style="264" bestFit="1" customWidth="1"/>
    <col min="4" max="4" width="5.42578125" style="264" customWidth="1"/>
    <col min="5" max="5" width="9.7109375" style="264" customWidth="1"/>
    <col min="6" max="6" width="19.28515625" style="264" bestFit="1" customWidth="1"/>
    <col min="7" max="7" width="5" style="264" bestFit="1" customWidth="1"/>
    <col min="8" max="8" width="11" style="264" bestFit="1" customWidth="1"/>
    <col min="9" max="10" width="12" style="264" bestFit="1" customWidth="1"/>
    <col min="11" max="11" width="17.28515625" style="264" bestFit="1" customWidth="1"/>
    <col min="12" max="12" width="33.85546875" style="264" bestFit="1" customWidth="1"/>
    <col min="13" max="13" width="7.42578125" style="264" customWidth="1"/>
    <col min="14" max="14" width="17.140625" style="264" customWidth="1"/>
    <col min="15" max="15" width="15.140625" style="264" bestFit="1" customWidth="1"/>
    <col min="16" max="16" width="10" style="264" bestFit="1" customWidth="1"/>
    <col min="17" max="18" width="7" style="264" bestFit="1" customWidth="1"/>
    <col min="19" max="19" width="2.140625" style="264" customWidth="1"/>
    <col min="20" max="20" width="11" style="264" bestFit="1" customWidth="1"/>
    <col min="21" max="21" width="10.140625" style="264" customWidth="1"/>
    <col min="22" max="22" width="8" style="264" bestFit="1" customWidth="1"/>
    <col min="23" max="23" width="13.7109375" style="264" customWidth="1"/>
    <col min="24" max="24" width="8" style="264" bestFit="1" customWidth="1"/>
    <col min="25" max="25" width="2.140625" style="264" customWidth="1"/>
    <col min="26" max="27" width="10.28515625" style="264" bestFit="1" customWidth="1"/>
    <col min="28" max="29" width="2.7109375" style="264" customWidth="1"/>
    <col min="30" max="16384" width="9.140625" style="264"/>
  </cols>
  <sheetData>
    <row r="1" spans="2:29" s="249" customFormat="1" ht="12" thickBot="1" x14ac:dyDescent="0.25">
      <c r="N1" s="264"/>
      <c r="O1" s="264"/>
      <c r="P1" s="264"/>
      <c r="Q1" s="264"/>
      <c r="R1" s="264"/>
      <c r="S1" s="264"/>
      <c r="T1" s="264"/>
      <c r="U1" s="264"/>
      <c r="V1" s="264"/>
      <c r="W1" s="264"/>
      <c r="X1" s="264"/>
      <c r="Y1" s="264"/>
      <c r="Z1" s="264"/>
      <c r="AA1" s="264"/>
      <c r="AB1" s="264"/>
      <c r="AC1" s="264"/>
    </row>
    <row r="2" spans="2:29" s="249" customFormat="1" x14ac:dyDescent="0.2">
      <c r="B2" s="250"/>
      <c r="C2" s="251"/>
      <c r="D2" s="251"/>
      <c r="E2" s="251"/>
      <c r="F2" s="251"/>
      <c r="G2" s="251"/>
      <c r="H2" s="251"/>
      <c r="I2" s="251"/>
      <c r="J2" s="251"/>
      <c r="K2" s="251"/>
      <c r="L2" s="252"/>
      <c r="M2" s="252"/>
      <c r="N2" s="252"/>
      <c r="O2" s="252"/>
      <c r="P2" s="252"/>
      <c r="Q2" s="252"/>
      <c r="R2" s="252"/>
      <c r="S2" s="252"/>
      <c r="T2" s="252"/>
      <c r="U2" s="252"/>
      <c r="V2" s="252"/>
      <c r="W2" s="252"/>
      <c r="X2" s="252"/>
      <c r="Y2" s="253"/>
    </row>
    <row r="3" spans="2:29" s="249" customFormat="1" x14ac:dyDescent="0.2">
      <c r="B3" s="254"/>
      <c r="C3" s="255"/>
      <c r="D3" s="255"/>
      <c r="E3" s="255"/>
      <c r="F3" s="255"/>
      <c r="G3" s="255"/>
      <c r="H3" s="255"/>
      <c r="I3" s="255"/>
      <c r="J3" s="255"/>
      <c r="K3" s="258" t="str">
        <f>IF(Serialize,_xll.ohObjectSave(J5:L7,SerializationPath&amp;#REF!,FileOverwrite,,Serialize),"---")</f>
        <v>---</v>
      </c>
      <c r="L3" s="256"/>
      <c r="M3" s="256"/>
      <c r="N3" s="265" t="s">
        <v>214</v>
      </c>
      <c r="O3" s="265" t="s">
        <v>213</v>
      </c>
      <c r="P3" s="256"/>
      <c r="Q3" s="256"/>
      <c r="R3" s="256"/>
      <c r="S3" s="256"/>
      <c r="T3" s="256"/>
      <c r="U3" s="256"/>
      <c r="V3" s="256"/>
      <c r="W3" s="256"/>
      <c r="X3" s="256"/>
      <c r="Y3" s="257"/>
    </row>
    <row r="4" spans="2:29" s="249" customFormat="1" ht="21.75" customHeight="1" x14ac:dyDescent="0.2">
      <c r="B4" s="254"/>
      <c r="C4" s="270" t="s">
        <v>23</v>
      </c>
      <c r="D4" s="270" t="s">
        <v>194</v>
      </c>
      <c r="E4" s="270" t="s">
        <v>195</v>
      </c>
      <c r="F4" s="270" t="s">
        <v>196</v>
      </c>
      <c r="G4" s="270" t="s">
        <v>198</v>
      </c>
      <c r="H4" s="270" t="s">
        <v>199</v>
      </c>
      <c r="I4" s="270" t="s">
        <v>205</v>
      </c>
      <c r="J4" s="270" t="s">
        <v>182</v>
      </c>
      <c r="K4" s="270" t="s">
        <v>181</v>
      </c>
      <c r="L4" s="270" t="s">
        <v>183</v>
      </c>
      <c r="M4" s="271"/>
      <c r="N4" s="334" t="str">
        <f>_xll.RData(N5:N7,O4:P4,"RTFEED:IDN",,,O5)</f>
        <v>Paused at 12:54:29</v>
      </c>
      <c r="O4" s="335" t="s">
        <v>178</v>
      </c>
      <c r="P4" s="335" t="s">
        <v>216</v>
      </c>
      <c r="Q4" s="335" t="s">
        <v>177</v>
      </c>
      <c r="R4" s="336" t="s">
        <v>176</v>
      </c>
      <c r="S4" s="256"/>
      <c r="T4" s="334" t="s">
        <v>175</v>
      </c>
      <c r="U4" s="335" t="s">
        <v>174</v>
      </c>
      <c r="V4" s="335" t="s">
        <v>173</v>
      </c>
      <c r="W4" s="336" t="s">
        <v>172</v>
      </c>
      <c r="X4" s="337"/>
      <c r="Y4" s="257"/>
    </row>
    <row r="5" spans="2:29" s="249" customFormat="1" x14ac:dyDescent="0.2">
      <c r="B5" s="254"/>
      <c r="C5" s="361" t="s">
        <v>212</v>
      </c>
      <c r="D5" s="362">
        <v>0</v>
      </c>
      <c r="E5" s="362" t="s">
        <v>206</v>
      </c>
      <c r="F5" s="362" t="s">
        <v>197</v>
      </c>
      <c r="G5" s="362" t="b">
        <v>1</v>
      </c>
      <c r="H5" s="362" t="s">
        <v>185</v>
      </c>
      <c r="I5" s="362" t="str">
        <f>PROPER(Currency)&amp;"Repo"&amp;C5</f>
        <v>CnyRepo1D</v>
      </c>
      <c r="J5" s="362"/>
      <c r="K5" s="362" t="str">
        <f>_xll.qlIborIndex(I5,FamilyName,"1D",D5,Currency,E5,F5,G5,H5,J5,Permanent,Trigger,ObjectOverwrite)</f>
        <v>CNYRepo1D#0010</v>
      </c>
      <c r="L5" s="362" t="str">
        <f>_xll.qlLastFixingQuote(PROPER(Currency)&amp;"Repo"&amp;C5&amp;$L$4,K5,Permanent,Trigger,ObjectOverwrite)</f>
        <v>CnyRepo1DLastFixing_Quote#0011</v>
      </c>
      <c r="M5" s="256"/>
      <c r="N5" s="339" t="str">
        <f>"CN"&amp;C5&amp;$N$3&amp;"="&amp;$O$3</f>
        <v>CN1DRPFIX=CFXS</v>
      </c>
      <c r="O5" s="340">
        <v>41809</v>
      </c>
      <c r="P5" s="341">
        <v>2.74</v>
      </c>
      <c r="Q5" s="341" t="b">
        <f t="shared" ref="Q5:Q7" si="0">IF(AND(ISNUMBER($P5),$P5&lt;&gt;0%),TRUE,FALSE)</f>
        <v>1</v>
      </c>
      <c r="R5" s="342" t="b">
        <f>IF($Q5,_xll.qlIndexAddFixings($K5,$O5,$P5/100,TRUE,ISERROR($T5)),NA())</f>
        <v>1</v>
      </c>
      <c r="S5" s="256"/>
      <c r="T5" s="339" t="e">
        <f>_xll.qlIndexFixing($K5,$O5,TRUE,$Q5)</f>
        <v>#NUM!</v>
      </c>
      <c r="U5" s="343">
        <f>IF($R5,_xll.qlIndexFixing($K5,$O5,FALSE,$Q5),"-")</f>
        <v>2.7400000000000001E-2</v>
      </c>
      <c r="V5" s="343" t="e">
        <f t="shared" ref="V5:V7" si="1">T5-U5</f>
        <v>#NUM!</v>
      </c>
      <c r="W5" s="344" t="e">
        <f>_xll.qlIndexFixing($K5,$O5,TRUE,$U5)</f>
        <v>#NUM!</v>
      </c>
      <c r="X5" s="345">
        <f t="shared" ref="X5:X7" si="2">IF(ISERROR(V5),0,ABS(V5))</f>
        <v>0</v>
      </c>
      <c r="Y5" s="257"/>
    </row>
    <row r="6" spans="2:29" s="249" customFormat="1" x14ac:dyDescent="0.2">
      <c r="B6" s="254"/>
      <c r="C6" s="361" t="s">
        <v>211</v>
      </c>
      <c r="D6" s="362">
        <v>0</v>
      </c>
      <c r="E6" s="362" t="s">
        <v>206</v>
      </c>
      <c r="F6" s="362" t="s">
        <v>197</v>
      </c>
      <c r="G6" s="362" t="b">
        <v>1</v>
      </c>
      <c r="H6" s="362" t="s">
        <v>185</v>
      </c>
      <c r="I6" s="362" t="str">
        <f>PROPER(Currency)&amp;"Repo"&amp;C6</f>
        <v>CnyRepo7D</v>
      </c>
      <c r="J6" s="362"/>
      <c r="K6" s="362" t="str">
        <f>_xll.qlIborIndex(I6,FamilyName,"1W",D6,Currency,E6,F6,G6,H6,J6,Permanent,Trigger,ObjectOverwrite)</f>
        <v>CNYRepo7D#0014</v>
      </c>
      <c r="L6" s="362" t="str">
        <f>_xll.qlLastFixingQuote(PROPER(Currency)&amp;"Repo"&amp;C6&amp;$L$4,K6,Permanent,Trigger,ObjectOverwrite)</f>
        <v>CnyRepo7DLastFixing_Quote#0017</v>
      </c>
      <c r="M6" s="256"/>
      <c r="N6" s="339" t="str">
        <f t="shared" ref="N6:N7" si="3">"CN"&amp;C6&amp;$N$3&amp;"="&amp;$O$3</f>
        <v>CN7DRPFIX=CFXS</v>
      </c>
      <c r="O6" s="340">
        <v>41809</v>
      </c>
      <c r="P6" s="341">
        <v>3.18</v>
      </c>
      <c r="Q6" s="341" t="b">
        <f t="shared" si="0"/>
        <v>1</v>
      </c>
      <c r="R6" s="342" t="b">
        <f>IF($Q6,_xll.qlIndexAddFixings($K6,$O6,$P6/100,TRUE,ISERROR($T6)),NA())</f>
        <v>1</v>
      </c>
      <c r="S6" s="256"/>
      <c r="T6" s="339" t="e">
        <f>_xll.qlIndexFixing($K6,$O6,TRUE,$Q6)</f>
        <v>#NUM!</v>
      </c>
      <c r="U6" s="343">
        <f>IF($R6,_xll.qlIndexFixing($K6,$O6,FALSE,$Q6),"-")</f>
        <v>3.1800000000000002E-2</v>
      </c>
      <c r="V6" s="343" t="e">
        <f t="shared" si="1"/>
        <v>#NUM!</v>
      </c>
      <c r="W6" s="344" t="e">
        <f>_xll.qlIndexFixing($K6,$O6,TRUE,$U6)</f>
        <v>#NUM!</v>
      </c>
      <c r="X6" s="346">
        <f t="shared" si="2"/>
        <v>0</v>
      </c>
      <c r="Y6" s="257"/>
    </row>
    <row r="7" spans="2:29" s="249" customFormat="1" x14ac:dyDescent="0.2">
      <c r="B7" s="254"/>
      <c r="C7" s="361" t="s">
        <v>215</v>
      </c>
      <c r="D7" s="362">
        <v>0</v>
      </c>
      <c r="E7" s="362" t="s">
        <v>206</v>
      </c>
      <c r="F7" s="362" t="s">
        <v>197</v>
      </c>
      <c r="G7" s="362" t="b">
        <v>1</v>
      </c>
      <c r="H7" s="362" t="s">
        <v>185</v>
      </c>
      <c r="I7" s="362" t="str">
        <f>PROPER(Currency)&amp;"Repo"&amp;C7</f>
        <v>CnyRepo14D</v>
      </c>
      <c r="J7" s="362"/>
      <c r="K7" s="362" t="str">
        <f>_xll.qlIborIndex(I7,FamilyName,C7,D7,Currency,E7,F7,G7,H7,J7,Permanent,Trigger,ObjectOverwrite)</f>
        <v>CNYRepo14D#0015</v>
      </c>
      <c r="L7" s="362" t="str">
        <f>_xll.qlLastFixingQuote(PROPER(Currency)&amp;"Repo"&amp;C7&amp;$L$4,K7,Permanent,Trigger,ObjectOverwrite)</f>
        <v>CnyRepo14DLastFixing_Quote#0018</v>
      </c>
      <c r="M7" s="256"/>
      <c r="N7" s="339" t="str">
        <f t="shared" si="3"/>
        <v>CN14DRPFIX=CFXS</v>
      </c>
      <c r="O7" s="340">
        <v>41809</v>
      </c>
      <c r="P7" s="341">
        <v>4.3</v>
      </c>
      <c r="Q7" s="341" t="b">
        <f t="shared" si="0"/>
        <v>1</v>
      </c>
      <c r="R7" s="342" t="b">
        <f>IF($Q7,_xll.qlIndexAddFixings($K7,$O7,$P7/100,TRUE,ISERROR($T7)),NA())</f>
        <v>1</v>
      </c>
      <c r="S7" s="256"/>
      <c r="T7" s="339" t="e">
        <f>_xll.qlIndexFixing($K7,$O7,TRUE,$Q7)</f>
        <v>#NUM!</v>
      </c>
      <c r="U7" s="343">
        <f>IF($R7,_xll.qlIndexFixing($K7,$O7,FALSE,$Q7),"-")</f>
        <v>4.2999999999999997E-2</v>
      </c>
      <c r="V7" s="343" t="e">
        <f t="shared" si="1"/>
        <v>#NUM!</v>
      </c>
      <c r="W7" s="344" t="e">
        <f>_xll.qlIndexFixing($K7,$O7,TRUE,$U7)</f>
        <v>#NUM!</v>
      </c>
      <c r="X7" s="346">
        <f t="shared" si="2"/>
        <v>0</v>
      </c>
      <c r="Y7" s="257"/>
    </row>
    <row r="8" spans="2:29" s="249" customFormat="1" ht="12" thickBot="1" x14ac:dyDescent="0.25">
      <c r="B8" s="262"/>
      <c r="C8" s="263"/>
      <c r="D8" s="263"/>
      <c r="E8" s="263"/>
      <c r="F8" s="263"/>
      <c r="G8" s="263"/>
      <c r="H8" s="263"/>
      <c r="I8" s="263"/>
      <c r="J8" s="263"/>
      <c r="K8" s="263"/>
      <c r="L8" s="263"/>
      <c r="M8" s="263"/>
      <c r="N8" s="363"/>
      <c r="O8" s="363"/>
      <c r="P8" s="363"/>
      <c r="Q8" s="363"/>
      <c r="R8" s="363"/>
      <c r="S8" s="364"/>
      <c r="T8" s="363"/>
      <c r="U8" s="363"/>
      <c r="V8" s="363"/>
      <c r="W8" s="363"/>
      <c r="X8" s="363"/>
      <c r="Y8" s="365"/>
    </row>
    <row r="9" spans="2:29" s="249" customFormat="1" x14ac:dyDescent="0.2">
      <c r="K9" s="264"/>
      <c r="L9" s="355"/>
      <c r="M9" s="355"/>
      <c r="N9" s="356"/>
      <c r="O9" s="356"/>
      <c r="P9" s="355"/>
      <c r="Q9" s="356"/>
      <c r="R9" s="356"/>
      <c r="S9" s="356"/>
      <c r="T9" s="356"/>
      <c r="U9" s="356"/>
      <c r="V9" s="356"/>
      <c r="W9" s="356"/>
      <c r="X9" s="356"/>
      <c r="Y9" s="355"/>
    </row>
  </sheetData>
  <conditionalFormatting sqref="V5:V7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dataValidations count="3">
    <dataValidation type="list" allowBlank="1" showInputMessage="1" showErrorMessage="1" sqref="E5:E7">
      <formula1>"TARGET,UnitedKingdom::Exchange,UnitedKingdom::Metals,UnitedKingdom::Settlement,UnitedStates::GovernmentBond,UnitedStates::NERC,UnitedStates::NYSE,UnitedStates::Settlement,Switzerland,Japan,Italy::Exchange,NullCalendar,Australia,China"</formula1>
    </dataValidation>
    <dataValidation type="list" allowBlank="1" showInputMessage="1" showErrorMessage="1" sqref="H5:H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5:F7">
      <formula1>"Following,Modified Following,Preceding,Modified Preceding,Unadjusted"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14"/>
  <sheetViews>
    <sheetView workbookViewId="0"/>
  </sheetViews>
  <sheetFormatPr defaultRowHeight="11.25" x14ac:dyDescent="0.2"/>
  <cols>
    <col min="1" max="2" width="2.140625" style="264" customWidth="1"/>
    <col min="3" max="3" width="6.5703125" style="264" bestFit="1" customWidth="1"/>
    <col min="4" max="4" width="5.42578125" style="264" customWidth="1"/>
    <col min="5" max="5" width="9.7109375" style="264" customWidth="1"/>
    <col min="6" max="6" width="19.28515625" style="264" bestFit="1" customWidth="1"/>
    <col min="7" max="7" width="5" style="264" bestFit="1" customWidth="1"/>
    <col min="8" max="8" width="11" style="264" bestFit="1" customWidth="1"/>
    <col min="9" max="10" width="12" style="264" bestFit="1" customWidth="1"/>
    <col min="11" max="11" width="17.28515625" style="264" bestFit="1" customWidth="1"/>
    <col min="12" max="12" width="33.85546875" style="264" bestFit="1" customWidth="1"/>
    <col min="13" max="13" width="2.140625" style="264" customWidth="1"/>
    <col min="14" max="14" width="14.7109375" style="264" customWidth="1"/>
    <col min="15" max="15" width="15.140625" style="264" bestFit="1" customWidth="1"/>
    <col min="16" max="18" width="7" style="264" bestFit="1" customWidth="1"/>
    <col min="19" max="19" width="2.140625" style="264" customWidth="1"/>
    <col min="20" max="20" width="11" style="264" bestFit="1" customWidth="1"/>
    <col min="21" max="21" width="10.140625" style="264" customWidth="1"/>
    <col min="22" max="22" width="8" style="264" bestFit="1" customWidth="1"/>
    <col min="23" max="23" width="13.7109375" style="264" customWidth="1"/>
    <col min="24" max="24" width="8" style="264" bestFit="1" customWidth="1"/>
    <col min="25" max="25" width="2.140625" style="264" customWidth="1"/>
    <col min="26" max="27" width="10.28515625" style="264" bestFit="1" customWidth="1"/>
    <col min="28" max="29" width="2.7109375" style="264" customWidth="1"/>
    <col min="30" max="16384" width="9.140625" style="264"/>
  </cols>
  <sheetData>
    <row r="1" spans="2:29" s="249" customFormat="1" ht="12" thickBot="1" x14ac:dyDescent="0.25">
      <c r="N1" s="264"/>
      <c r="O1" s="264"/>
      <c r="P1" s="264"/>
      <c r="Q1" s="264"/>
      <c r="R1" s="264"/>
      <c r="S1" s="264"/>
      <c r="T1" s="264"/>
      <c r="U1" s="264"/>
      <c r="V1" s="264"/>
      <c r="W1" s="264"/>
      <c r="X1" s="264"/>
      <c r="Y1" s="264"/>
      <c r="Z1" s="264"/>
      <c r="AA1" s="264"/>
      <c r="AB1" s="264"/>
      <c r="AC1" s="264"/>
    </row>
    <row r="2" spans="2:29" s="249" customFormat="1" x14ac:dyDescent="0.2">
      <c r="B2" s="250"/>
      <c r="C2" s="251"/>
      <c r="D2" s="251"/>
      <c r="E2" s="251"/>
      <c r="F2" s="251"/>
      <c r="G2" s="251"/>
      <c r="H2" s="251"/>
      <c r="I2" s="251"/>
      <c r="J2" s="251"/>
      <c r="K2" s="252"/>
      <c r="L2" s="252"/>
      <c r="M2" s="252"/>
      <c r="N2" s="252"/>
      <c r="O2" s="252"/>
      <c r="P2" s="252"/>
      <c r="Q2" s="252"/>
      <c r="R2" s="252"/>
      <c r="S2" s="252"/>
      <c r="T2" s="252"/>
      <c r="U2" s="252"/>
      <c r="V2" s="252"/>
      <c r="W2" s="252"/>
      <c r="X2" s="252"/>
      <c r="Y2" s="253"/>
    </row>
    <row r="3" spans="2:29" s="249" customFormat="1" x14ac:dyDescent="0.2">
      <c r="B3" s="254"/>
      <c r="C3" s="255"/>
      <c r="D3" s="255"/>
      <c r="E3" s="255"/>
      <c r="F3" s="255"/>
      <c r="G3" s="255"/>
      <c r="H3" s="255"/>
      <c r="I3" s="255"/>
      <c r="J3" s="255"/>
      <c r="K3" s="258" t="str">
        <f>IF(Serialize,_xll.ohObjectSave(J5:L10,SerializationPath&amp;#REF!,FileOverwrite,,Serialize),"---")</f>
        <v>---</v>
      </c>
      <c r="L3" s="256"/>
      <c r="M3" s="256"/>
      <c r="N3" s="265"/>
      <c r="O3" s="256"/>
      <c r="P3" s="256"/>
      <c r="Q3" s="256"/>
      <c r="R3" s="256"/>
      <c r="S3" s="256"/>
      <c r="T3" s="256"/>
      <c r="U3" s="256"/>
      <c r="V3" s="256"/>
      <c r="W3" s="256"/>
      <c r="X3" s="256"/>
      <c r="Y3" s="257"/>
    </row>
    <row r="4" spans="2:29" s="249" customFormat="1" ht="21.75" customHeight="1" x14ac:dyDescent="0.2">
      <c r="B4" s="254"/>
      <c r="C4" s="270" t="s">
        <v>23</v>
      </c>
      <c r="D4" s="270" t="s">
        <v>194</v>
      </c>
      <c r="E4" s="270" t="s">
        <v>195</v>
      </c>
      <c r="F4" s="270" t="s">
        <v>196</v>
      </c>
      <c r="G4" s="270" t="s">
        <v>198</v>
      </c>
      <c r="H4" s="270" t="s">
        <v>199</v>
      </c>
      <c r="I4" s="270" t="s">
        <v>205</v>
      </c>
      <c r="J4" s="270" t="s">
        <v>182</v>
      </c>
      <c r="K4" s="270" t="s">
        <v>181</v>
      </c>
      <c r="L4" s="270" t="s">
        <v>183</v>
      </c>
      <c r="M4" s="271"/>
      <c r="N4" s="334" t="str">
        <f>_xll.RData(N5:N12,O4:P4,"RTFEED:IDN",,,O5)</f>
        <v>Paused at 12:54:29</v>
      </c>
      <c r="O4" s="335" t="s">
        <v>178</v>
      </c>
      <c r="P4" s="335" t="s">
        <v>140</v>
      </c>
      <c r="Q4" s="335" t="s">
        <v>177</v>
      </c>
      <c r="R4" s="336" t="s">
        <v>176</v>
      </c>
      <c r="S4" s="256"/>
      <c r="T4" s="334" t="s">
        <v>175</v>
      </c>
      <c r="U4" s="335" t="s">
        <v>174</v>
      </c>
      <c r="V4" s="335" t="s">
        <v>173</v>
      </c>
      <c r="W4" s="336" t="s">
        <v>172</v>
      </c>
      <c r="X4" s="337"/>
      <c r="Y4" s="257"/>
    </row>
    <row r="5" spans="2:29" s="249" customFormat="1" x14ac:dyDescent="0.2">
      <c r="B5" s="254"/>
      <c r="C5" s="278" t="s">
        <v>123</v>
      </c>
      <c r="D5" s="338">
        <v>0</v>
      </c>
      <c r="E5" s="338" t="s">
        <v>206</v>
      </c>
      <c r="F5" s="338" t="s">
        <v>197</v>
      </c>
      <c r="G5" s="338" t="b">
        <v>1</v>
      </c>
      <c r="H5" s="338" t="s">
        <v>185</v>
      </c>
      <c r="I5" s="338" t="str">
        <f t="shared" ref="I5:I12" si="0">Currency&amp;FamilyName&amp;C5</f>
        <v>CNYShiborON</v>
      </c>
      <c r="J5" s="260"/>
      <c r="K5" s="261" t="str">
        <f>_xll.qlIborIndex(I5,FamilyName,"1D",D5,Currency,E5,F5,G5,H5,J5,Permanent,Trigger,ObjectOverwrite)</f>
        <v>CNYShiborON#0005</v>
      </c>
      <c r="L5" s="261" t="str">
        <f>_xll.qlLastFixingQuote(PROPER(Currency)&amp;FamilyName&amp;C5&amp;$L$4,K5,Permanent,Trigger,ObjectOverwrite)</f>
        <v>CnyShiborONLastFixing_Quote#0005</v>
      </c>
      <c r="M5" s="256"/>
      <c r="N5" s="339" t="str">
        <f t="shared" ref="N5:N12" si="1">"SHI"&amp;Currency&amp;C5&amp;$N$3&amp;"D="</f>
        <v>SHICNYOND=</v>
      </c>
      <c r="O5" s="340">
        <v>41809</v>
      </c>
      <c r="P5" s="341">
        <v>2.698</v>
      </c>
      <c r="Q5" s="341" t="b">
        <f t="shared" ref="Q5:Q12" si="2">IF(AND(ISNUMBER($P5),$P5&lt;&gt;0%),TRUE,FALSE)</f>
        <v>1</v>
      </c>
      <c r="R5" s="342" t="b">
        <f>IF($Q5,_xll.qlIndexAddFixings($K5,$O5,$P5/100,TRUE,ISERROR($T5)),NA())</f>
        <v>1</v>
      </c>
      <c r="S5" s="256"/>
      <c r="T5" s="339" t="e">
        <f>_xll.qlIndexFixing($K5,$O5,TRUE,$Q5)</f>
        <v>#NUM!</v>
      </c>
      <c r="U5" s="343">
        <f>IF($R5,_xll.qlIndexFixing($K5,$O5,FALSE,$Q5),"-")</f>
        <v>2.6980000000000001E-2</v>
      </c>
      <c r="V5" s="343" t="e">
        <f t="shared" ref="V5:V12" si="3">T5-U5</f>
        <v>#NUM!</v>
      </c>
      <c r="W5" s="344" t="e">
        <f>_xll.qlIndexFixing($K5,$O5,TRUE,$U5)</f>
        <v>#NUM!</v>
      </c>
      <c r="X5" s="345">
        <f t="shared" ref="X5:X12" si="4">IF(ISERROR(V5),0,ABS(V5))</f>
        <v>0</v>
      </c>
      <c r="Y5" s="257"/>
    </row>
    <row r="6" spans="2:29" s="249" customFormat="1" x14ac:dyDescent="0.2">
      <c r="B6" s="254"/>
      <c r="C6" s="278" t="s">
        <v>22</v>
      </c>
      <c r="D6" s="338">
        <v>0</v>
      </c>
      <c r="E6" s="338" t="s">
        <v>206</v>
      </c>
      <c r="F6" s="338" t="s">
        <v>197</v>
      </c>
      <c r="G6" s="338" t="b">
        <v>1</v>
      </c>
      <c r="H6" s="338" t="s">
        <v>185</v>
      </c>
      <c r="I6" s="338" t="str">
        <f t="shared" si="0"/>
        <v>CNYShiborSW</v>
      </c>
      <c r="J6" s="260"/>
      <c r="K6" s="261" t="str">
        <f>_xll.qlIborIndex(I6,FamilyName,"1W",D6,Currency,E6,F6,G6,H6,J6,Permanent,Trigger,ObjectOverwrite)</f>
        <v>CNYShiborSW#0005</v>
      </c>
      <c r="L6" s="261" t="str">
        <f>_xll.qlLastFixingQuote(PROPER(Currency)&amp;FamilyName&amp;C6&amp;$L$4,K6,Permanent,Trigger,ObjectOverwrite)</f>
        <v>CnyShiborSWLastFixing_Quote#0005</v>
      </c>
      <c r="M6" s="256"/>
      <c r="N6" s="339" t="str">
        <f t="shared" si="1"/>
        <v>SHICNYSWD=</v>
      </c>
      <c r="O6" s="340">
        <v>41809</v>
      </c>
      <c r="P6" s="341">
        <v>3.093</v>
      </c>
      <c r="Q6" s="341" t="b">
        <f t="shared" si="2"/>
        <v>1</v>
      </c>
      <c r="R6" s="342" t="b">
        <f>IF($Q6,_xll.qlIndexAddFixings($K6,$O6,$P6/100,TRUE,ISERROR($T6)),NA())</f>
        <v>1</v>
      </c>
      <c r="S6" s="256"/>
      <c r="T6" s="339" t="e">
        <f>_xll.qlIndexFixing($K6,$O6,TRUE,$Q6)</f>
        <v>#NUM!</v>
      </c>
      <c r="U6" s="343">
        <f>IF($R6,_xll.qlIndexFixing($K6,$O6,FALSE,$Q6),"-")</f>
        <v>3.0929999999999999E-2</v>
      </c>
      <c r="V6" s="343" t="e">
        <f t="shared" si="3"/>
        <v>#NUM!</v>
      </c>
      <c r="W6" s="344" t="e">
        <f>_xll.qlIndexFixing($K6,$O6,TRUE,$U6)</f>
        <v>#NUM!</v>
      </c>
      <c r="X6" s="346">
        <f t="shared" si="4"/>
        <v>0</v>
      </c>
      <c r="Y6" s="257"/>
    </row>
    <row r="7" spans="2:29" s="249" customFormat="1" x14ac:dyDescent="0.2">
      <c r="B7" s="254"/>
      <c r="C7" s="278" t="s">
        <v>21</v>
      </c>
      <c r="D7" s="338">
        <v>0</v>
      </c>
      <c r="E7" s="338" t="s">
        <v>206</v>
      </c>
      <c r="F7" s="338" t="s">
        <v>197</v>
      </c>
      <c r="G7" s="338" t="b">
        <v>1</v>
      </c>
      <c r="H7" s="338" t="s">
        <v>185</v>
      </c>
      <c r="I7" s="338" t="str">
        <f t="shared" si="0"/>
        <v>CNYShibor2W</v>
      </c>
      <c r="J7" s="260"/>
      <c r="K7" s="261" t="str">
        <f>_xll.qlIborIndex(I7,FamilyName,C7,D7,Currency,E7,F7,G7,H7,J7,Permanent,Trigger,ObjectOverwrite)</f>
        <v>CNYShibor2W#0005</v>
      </c>
      <c r="L7" s="261" t="str">
        <f>_xll.qlLastFixingQuote(PROPER(Currency)&amp;FamilyName&amp;C7&amp;$L$4,K7,Permanent,Trigger,ObjectOverwrite)</f>
        <v>CnyShibor2WLastFixing_Quote#0005</v>
      </c>
      <c r="M7" s="256"/>
      <c r="N7" s="339" t="str">
        <f t="shared" si="1"/>
        <v>SHICNY2WD=</v>
      </c>
      <c r="O7" s="340">
        <v>41809</v>
      </c>
      <c r="P7" s="341">
        <v>4.03</v>
      </c>
      <c r="Q7" s="341" t="b">
        <f t="shared" si="2"/>
        <v>1</v>
      </c>
      <c r="R7" s="342" t="b">
        <f>IF($Q7,_xll.qlIndexAddFixings($K7,$O7,$P7/100,TRUE,ISERROR($T7)),NA())</f>
        <v>1</v>
      </c>
      <c r="S7" s="256"/>
      <c r="T7" s="339" t="e">
        <f>_xll.qlIndexFixing($K7,$O7,TRUE,$Q7)</f>
        <v>#NUM!</v>
      </c>
      <c r="U7" s="343">
        <f>IF($R7,_xll.qlIndexFixing($K7,$O7,FALSE,$Q7),"-")</f>
        <v>4.0300000000000002E-2</v>
      </c>
      <c r="V7" s="343" t="e">
        <f t="shared" si="3"/>
        <v>#NUM!</v>
      </c>
      <c r="W7" s="344" t="e">
        <f>_xll.qlIndexFixing($K7,$O7,TRUE,$U7)</f>
        <v>#NUM!</v>
      </c>
      <c r="X7" s="346">
        <f t="shared" si="4"/>
        <v>0</v>
      </c>
      <c r="Y7" s="257"/>
    </row>
    <row r="8" spans="2:29" s="249" customFormat="1" x14ac:dyDescent="0.2">
      <c r="B8" s="254"/>
      <c r="C8" s="278" t="s">
        <v>19</v>
      </c>
      <c r="D8" s="338">
        <v>0</v>
      </c>
      <c r="E8" s="338" t="s">
        <v>206</v>
      </c>
      <c r="F8" s="338" t="s">
        <v>197</v>
      </c>
      <c r="G8" s="338" t="b">
        <v>1</v>
      </c>
      <c r="H8" s="338" t="s">
        <v>185</v>
      </c>
      <c r="I8" s="338" t="str">
        <f t="shared" si="0"/>
        <v>CNYShibor1M</v>
      </c>
      <c r="J8" s="260"/>
      <c r="K8" s="261" t="str">
        <f>_xll.qlIborIndex(I8,FamilyName,C8,D8,Currency,E8,F8,G8,H8,J8,Permanent,Trigger,ObjectOverwrite)</f>
        <v>CNYShibor1M#0005</v>
      </c>
      <c r="L8" s="261" t="str">
        <f>_xll.qlLastFixingQuote(PROPER(Currency)&amp;FamilyName&amp;C8&amp;$L$4,K8,Permanent,Trigger,ObjectOverwrite)</f>
        <v>CnyShibor1MLastFixing_Quote#0005</v>
      </c>
      <c r="M8" s="256"/>
      <c r="N8" s="339" t="str">
        <f t="shared" si="1"/>
        <v>SHICNY1MD=</v>
      </c>
      <c r="O8" s="340">
        <v>41809</v>
      </c>
      <c r="P8" s="341">
        <v>5.2329999999999997</v>
      </c>
      <c r="Q8" s="341" t="b">
        <f t="shared" si="2"/>
        <v>1</v>
      </c>
      <c r="R8" s="342" t="b">
        <f>IF($Q8,_xll.qlIndexAddFixings($K8,$O8,$P8/100,TRUE,ISERROR($T8)),NA())</f>
        <v>1</v>
      </c>
      <c r="S8" s="256"/>
      <c r="T8" s="339" t="e">
        <f>_xll.qlIndexFixing($K8,$O8,TRUE,$Q8)</f>
        <v>#NUM!</v>
      </c>
      <c r="U8" s="343">
        <f>IF($R8,_xll.qlIndexFixing($K8,$O8,FALSE,$Q8),"-")</f>
        <v>5.2329999999999995E-2</v>
      </c>
      <c r="V8" s="343" t="e">
        <f t="shared" si="3"/>
        <v>#NUM!</v>
      </c>
      <c r="W8" s="344" t="e">
        <f>_xll.qlIndexFixing($K8,$O8,TRUE,$U8)</f>
        <v>#NUM!</v>
      </c>
      <c r="X8" s="346">
        <f t="shared" si="4"/>
        <v>0</v>
      </c>
      <c r="Y8" s="257"/>
    </row>
    <row r="9" spans="2:29" s="249" customFormat="1" x14ac:dyDescent="0.2">
      <c r="B9" s="254"/>
      <c r="C9" s="278" t="s">
        <v>17</v>
      </c>
      <c r="D9" s="338">
        <v>0</v>
      </c>
      <c r="E9" s="338" t="s">
        <v>206</v>
      </c>
      <c r="F9" s="338" t="s">
        <v>197</v>
      </c>
      <c r="G9" s="338" t="b">
        <v>1</v>
      </c>
      <c r="H9" s="338" t="s">
        <v>185</v>
      </c>
      <c r="I9" s="338" t="str">
        <f t="shared" si="0"/>
        <v>CNYShibor3M</v>
      </c>
      <c r="J9" s="260" t="str">
        <f>_xll.qlRelinkableHandleYieldTermStructure(Currency&amp;C9,,Permanent,Trigger,ObjectOverwrite)</f>
        <v>CNY3M#0004</v>
      </c>
      <c r="K9" s="261" t="str">
        <f>_xll.qlIborIndex(I9,FamilyName,C9,D9,Currency,E9,F9,G9,H9,J9,Permanent,Trigger,ObjectOverwrite)</f>
        <v>CNYShibor3M#0004</v>
      </c>
      <c r="L9" s="261" t="str">
        <f>_xll.qlLastFixingQuote(PROPER(Currency)&amp;FamilyName&amp;C9&amp;$L$4,K9,Permanent,Trigger,ObjectOverwrite)</f>
        <v>CnyShibor3MLastFixing_Quote#0004</v>
      </c>
      <c r="M9" s="256"/>
      <c r="N9" s="339" t="str">
        <f t="shared" si="1"/>
        <v>SHICNY3MD=</v>
      </c>
      <c r="O9" s="340">
        <v>41809</v>
      </c>
      <c r="P9" s="341">
        <v>4.7691999999999997</v>
      </c>
      <c r="Q9" s="341" t="b">
        <f t="shared" si="2"/>
        <v>1</v>
      </c>
      <c r="R9" s="342" t="b">
        <f>IF($Q9,_xll.qlIndexAddFixings($K9,$O9,$P9/100,TRUE,ISERROR($T9)),NA())</f>
        <v>1</v>
      </c>
      <c r="S9" s="256"/>
      <c r="T9" s="339" t="e">
        <f>_xll.qlIndexFixing($K9,$O9,TRUE,$Q9)</f>
        <v>#NUM!</v>
      </c>
      <c r="U9" s="343">
        <f>IF($R9,_xll.qlIndexFixing($K9,$O9,FALSE,$Q9),"-")</f>
        <v>4.7691999999999998E-2</v>
      </c>
      <c r="V9" s="343" t="e">
        <f t="shared" si="3"/>
        <v>#NUM!</v>
      </c>
      <c r="W9" s="344" t="e">
        <f>_xll.qlIndexFixing($K9,$O9,TRUE,$U9)</f>
        <v>#NUM!</v>
      </c>
      <c r="X9" s="346">
        <f t="shared" si="4"/>
        <v>0</v>
      </c>
      <c r="Y9" s="257"/>
    </row>
    <row r="10" spans="2:29" s="249" customFormat="1" x14ac:dyDescent="0.2">
      <c r="B10" s="254"/>
      <c r="C10" s="278" t="s">
        <v>14</v>
      </c>
      <c r="D10" s="338">
        <v>0</v>
      </c>
      <c r="E10" s="338" t="s">
        <v>206</v>
      </c>
      <c r="F10" s="338" t="s">
        <v>197</v>
      </c>
      <c r="G10" s="338" t="b">
        <v>1</v>
      </c>
      <c r="H10" s="338" t="s">
        <v>185</v>
      </c>
      <c r="I10" s="338" t="str">
        <f t="shared" si="0"/>
        <v>CNYShibor6M</v>
      </c>
      <c r="J10" s="260"/>
      <c r="K10" s="261" t="str">
        <f>_xll.qlIborIndex(I10,FamilyName,C10,D10,Currency,E10,F10,G10,H10,J10,Permanent,Trigger,ObjectOverwrite)</f>
        <v>CNYShibor6M#0005</v>
      </c>
      <c r="L10" s="261" t="str">
        <f>_xll.qlLastFixingQuote(PROPER(Currency)&amp;FamilyName&amp;C10&amp;$L$4,K10,Permanent,Trigger,ObjectOverwrite)</f>
        <v>CnyShibor6MLastFixing_Quote#0005</v>
      </c>
      <c r="M10" s="256"/>
      <c r="N10" s="339" t="str">
        <f t="shared" si="1"/>
        <v>SHICNY6MD=</v>
      </c>
      <c r="O10" s="340">
        <v>41809</v>
      </c>
      <c r="P10" s="341">
        <v>4.9215999999999998</v>
      </c>
      <c r="Q10" s="341" t="b">
        <f t="shared" si="2"/>
        <v>1</v>
      </c>
      <c r="R10" s="342" t="b">
        <f>IF($Q10,_xll.qlIndexAddFixings($K10,$O10,$P10/100,TRUE,ISERROR($T10)),NA())</f>
        <v>1</v>
      </c>
      <c r="S10" s="256"/>
      <c r="T10" s="339" t="e">
        <f>_xll.qlIndexFixing($K10,$O10,TRUE,$Q10)</f>
        <v>#NUM!</v>
      </c>
      <c r="U10" s="343">
        <f>IF($R10,_xll.qlIndexFixing($K10,$O10,FALSE,$Q10),"-")</f>
        <v>4.9215999999999996E-2</v>
      </c>
      <c r="V10" s="343" t="e">
        <f t="shared" si="3"/>
        <v>#NUM!</v>
      </c>
      <c r="W10" s="344" t="e">
        <f>_xll.qlIndexFixing($K10,$O10,TRUE,$U10)</f>
        <v>#NUM!</v>
      </c>
      <c r="X10" s="346">
        <f t="shared" si="4"/>
        <v>0</v>
      </c>
      <c r="Y10" s="257"/>
    </row>
    <row r="11" spans="2:29" s="249" customFormat="1" x14ac:dyDescent="0.2">
      <c r="B11" s="254"/>
      <c r="C11" s="278" t="s">
        <v>11</v>
      </c>
      <c r="D11" s="338">
        <v>0</v>
      </c>
      <c r="E11" s="338" t="s">
        <v>206</v>
      </c>
      <c r="F11" s="338" t="s">
        <v>197</v>
      </c>
      <c r="G11" s="338" t="b">
        <v>1</v>
      </c>
      <c r="H11" s="338" t="s">
        <v>185</v>
      </c>
      <c r="I11" s="338" t="str">
        <f t="shared" si="0"/>
        <v>CNYShibor9M</v>
      </c>
      <c r="J11" s="260"/>
      <c r="K11" s="261" t="str">
        <f>_xll.qlIborIndex(I11,FamilyName,C11,D11,Currency,E11,F11,G11,H11,J11,Permanent,Trigger,ObjectOverwrite)</f>
        <v>CNYShibor9M#0005</v>
      </c>
      <c r="L11" s="261" t="str">
        <f>_xll.qlLastFixingQuote(PROPER(Currency)&amp;FamilyName&amp;C11&amp;$L$4,K11,Permanent,Trigger,ObjectOverwrite)</f>
        <v>CnyShibor9MLastFixing_Quote#0005</v>
      </c>
      <c r="M11" s="256"/>
      <c r="N11" s="339" t="str">
        <f t="shared" si="1"/>
        <v>SHICNY9MD=</v>
      </c>
      <c r="O11" s="340">
        <v>41809</v>
      </c>
      <c r="P11" s="341">
        <v>4.9805000000000001</v>
      </c>
      <c r="Q11" s="341" t="b">
        <f t="shared" si="2"/>
        <v>1</v>
      </c>
      <c r="R11" s="342" t="b">
        <f>IF($Q11,_xll.qlIndexAddFixings($K11,$O11,$P11/100,TRUE,ISERROR($T11)),NA())</f>
        <v>1</v>
      </c>
      <c r="S11" s="255"/>
      <c r="T11" s="339" t="e">
        <f>_xll.qlIndexFixing($K11,$O11,TRUE,$Q11)</f>
        <v>#NUM!</v>
      </c>
      <c r="U11" s="343">
        <f>IF($R11,_xll.qlIndexFixing($K11,$O11,FALSE,$Q11),"-")</f>
        <v>4.9805000000000002E-2</v>
      </c>
      <c r="V11" s="343" t="e">
        <f t="shared" si="3"/>
        <v>#NUM!</v>
      </c>
      <c r="W11" s="344" t="e">
        <f>_xll.qlIndexFixing($K11,$O11,TRUE,$U11)</f>
        <v>#NUM!</v>
      </c>
      <c r="X11" s="346">
        <f t="shared" si="4"/>
        <v>0</v>
      </c>
      <c r="Y11" s="257"/>
    </row>
    <row r="12" spans="2:29" s="249" customFormat="1" x14ac:dyDescent="0.2">
      <c r="B12" s="254"/>
      <c r="C12" s="278" t="s">
        <v>8</v>
      </c>
      <c r="D12" s="338">
        <v>0</v>
      </c>
      <c r="E12" s="338" t="s">
        <v>206</v>
      </c>
      <c r="F12" s="338" t="s">
        <v>197</v>
      </c>
      <c r="G12" s="338" t="b">
        <v>1</v>
      </c>
      <c r="H12" s="338" t="s">
        <v>185</v>
      </c>
      <c r="I12" s="338" t="str">
        <f t="shared" si="0"/>
        <v>CNYShibor1Y</v>
      </c>
      <c r="J12" s="260"/>
      <c r="K12" s="261" t="str">
        <f>_xll.qlIborIndex(I12,FamilyName,C12,D12,Currency,E12,F12,G12,H12,J12,Permanent,Trigger,ObjectOverwrite)</f>
        <v>CNYShibor1Y#0005</v>
      </c>
      <c r="L12" s="259" t="str">
        <f>_xll.qlLastFixingQuote(PROPER(Currency)&amp;FamilyName&amp;C12&amp;$L$4,K12,Permanent,Trigger,ObjectOverwrite)</f>
        <v>CnyShibor1YLastFixing_Quote#0005</v>
      </c>
      <c r="M12" s="256"/>
      <c r="N12" s="347" t="str">
        <f t="shared" si="1"/>
        <v>SHICNY1YD=</v>
      </c>
      <c r="O12" s="348">
        <v>41809</v>
      </c>
      <c r="P12" s="349">
        <v>5</v>
      </c>
      <c r="Q12" s="349" t="b">
        <f t="shared" si="2"/>
        <v>1</v>
      </c>
      <c r="R12" s="350" t="b">
        <f>IF($Q12,_xll.qlIndexAddFixings($K12,$O12,$P12/100,TRUE,ISERROR($T12)),NA())</f>
        <v>1</v>
      </c>
      <c r="S12" s="255"/>
      <c r="T12" s="347" t="e">
        <f>_xll.qlIndexFixing($K12,$O12,TRUE,$Q12)</f>
        <v>#NUM!</v>
      </c>
      <c r="U12" s="351">
        <f>IF($R12,_xll.qlIndexFixing($K12,$O12,FALSE,$Q12),"-")</f>
        <v>0.05</v>
      </c>
      <c r="V12" s="351" t="e">
        <f t="shared" si="3"/>
        <v>#NUM!</v>
      </c>
      <c r="W12" s="352" t="e">
        <f>_xll.qlIndexFixing($K12,$O12,TRUE,$U12)</f>
        <v>#NUM!</v>
      </c>
      <c r="X12" s="353">
        <f t="shared" si="4"/>
        <v>0</v>
      </c>
      <c r="Y12" s="257"/>
    </row>
    <row r="13" spans="2:29" s="249" customFormat="1" ht="12" thickBot="1" x14ac:dyDescent="0.25">
      <c r="B13" s="262"/>
      <c r="C13" s="263"/>
      <c r="D13" s="263"/>
      <c r="E13" s="263"/>
      <c r="F13" s="263"/>
      <c r="G13" s="263"/>
      <c r="H13" s="263"/>
      <c r="I13" s="263"/>
      <c r="J13" s="263"/>
      <c r="K13" s="263"/>
      <c r="L13" s="255"/>
      <c r="M13" s="255"/>
      <c r="N13" s="269"/>
      <c r="O13" s="269"/>
      <c r="P13" s="269"/>
      <c r="Q13" s="269"/>
      <c r="R13" s="269"/>
      <c r="S13" s="256"/>
      <c r="T13" s="269"/>
      <c r="U13" s="269"/>
      <c r="V13" s="269"/>
      <c r="W13" s="269"/>
      <c r="X13" s="269"/>
      <c r="Y13" s="354"/>
    </row>
    <row r="14" spans="2:29" s="249" customFormat="1" x14ac:dyDescent="0.2">
      <c r="K14" s="264"/>
      <c r="L14" s="355"/>
      <c r="M14" s="355"/>
      <c r="N14" s="356"/>
      <c r="O14" s="356"/>
      <c r="P14" s="355"/>
      <c r="Q14" s="356"/>
      <c r="R14" s="356"/>
      <c r="S14" s="356"/>
      <c r="T14" s="356"/>
      <c r="U14" s="356"/>
      <c r="V14" s="356"/>
      <c r="W14" s="356"/>
      <c r="X14" s="356"/>
      <c r="Y14" s="355"/>
    </row>
  </sheetData>
  <conditionalFormatting sqref="V5:V12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3">
    <dataValidation type="list" allowBlank="1" showInputMessage="1" showErrorMessage="1" sqref="F5:F12">
      <formula1>"Following,Modified Following,Preceding,Modified Preceding,Unadjusted"</formula1>
    </dataValidation>
    <dataValidation type="list" allowBlank="1" showInputMessage="1" showErrorMessage="1" sqref="H5:H1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5:E12">
      <formula1>"TARGET,UnitedKingdom::Exchange,UnitedKingdom::Metals,UnitedKingdom::Settlement,UnitedStates::GovernmentBond,UnitedStates::NERC,UnitedStates::NYSE,UnitedStates::Settlement,Switzerland,Japan,Italy::Exchange,NullCalendar,Australia,China"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X28"/>
  <sheetViews>
    <sheetView workbookViewId="0"/>
  </sheetViews>
  <sheetFormatPr defaultRowHeight="11.25" x14ac:dyDescent="0.2"/>
  <cols>
    <col min="1" max="1" width="2.7109375" style="38" customWidth="1"/>
    <col min="2" max="2" width="5.140625" style="38" bestFit="1" customWidth="1"/>
    <col min="3" max="3" width="17.85546875" style="38" bestFit="1" customWidth="1"/>
    <col min="4" max="4" width="17.5703125" style="38" bestFit="1" customWidth="1"/>
    <col min="5" max="5" width="36.85546875" style="38" bestFit="1" customWidth="1"/>
    <col min="6" max="6" width="2.85546875" style="38" customWidth="1"/>
    <col min="7" max="8" width="2.7109375" style="38" customWidth="1"/>
    <col min="9" max="9" width="3.85546875" style="38" bestFit="1" customWidth="1"/>
    <col min="10" max="10" width="11.85546875" style="38" customWidth="1"/>
    <col min="11" max="11" width="5.7109375" style="38" bestFit="1" customWidth="1"/>
    <col min="12" max="12" width="2.7109375" style="38" customWidth="1"/>
    <col min="13" max="13" width="5.7109375" style="38" bestFit="1" customWidth="1"/>
    <col min="14" max="14" width="2.7109375" style="38" customWidth="1"/>
    <col min="15" max="15" width="7.7109375" style="38" bestFit="1" customWidth="1"/>
    <col min="16" max="16" width="7" style="38" bestFit="1" customWidth="1"/>
    <col min="17" max="18" width="2.7109375" style="38" customWidth="1"/>
    <col min="19" max="19" width="9.28515625" style="38" bestFit="1" customWidth="1"/>
    <col min="20" max="20" width="7.140625" style="38" bestFit="1" customWidth="1"/>
    <col min="21" max="21" width="9.85546875" style="38" customWidth="1"/>
    <col min="22" max="22" width="5.140625" style="38" bestFit="1" customWidth="1"/>
    <col min="23" max="23" width="4.85546875" style="38" bestFit="1" customWidth="1"/>
    <col min="24" max="16384" width="9.140625" style="38"/>
  </cols>
  <sheetData>
    <row r="1" spans="1:23" x14ac:dyDescent="0.2">
      <c r="A1" s="81"/>
      <c r="B1" s="328"/>
      <c r="C1" s="328"/>
      <c r="D1" s="328"/>
      <c r="E1" s="328"/>
      <c r="F1" s="329"/>
      <c r="H1" s="52"/>
      <c r="I1" s="111"/>
      <c r="J1" s="111"/>
      <c r="K1" s="111"/>
      <c r="L1" s="111"/>
      <c r="M1" s="111"/>
      <c r="N1" s="111"/>
      <c r="O1" s="133"/>
      <c r="P1" s="132">
        <f>_xll.ohTrigger(P3:P16)</f>
        <v>5</v>
      </c>
      <c r="Q1" s="98"/>
      <c r="R1" s="12"/>
      <c r="S1" s="12"/>
      <c r="T1" s="12"/>
      <c r="U1" s="12"/>
      <c r="V1" s="12"/>
      <c r="W1" s="12"/>
    </row>
    <row r="2" spans="1:23" ht="22.5" customHeight="1" x14ac:dyDescent="0.2">
      <c r="A2" s="28"/>
      <c r="B2" s="44"/>
      <c r="C2" s="33" t="str">
        <f>Currency&amp;"_010_"&amp;"Deposits.xml"</f>
        <v>CNY_010_Deposits.xml</v>
      </c>
      <c r="D2" s="43" t="str">
        <f>IF(Serialize,_xll.ohObjectSave(D3:D20,SerializationPath&amp;C2,FileOverwrite,Serialize),"---")</f>
        <v>---</v>
      </c>
      <c r="E2" s="42" t="str">
        <f>_xll.ohRangeRetrieveError(D2)</f>
        <v/>
      </c>
      <c r="F2" s="98"/>
      <c r="H2" s="52"/>
      <c r="I2" s="129"/>
      <c r="J2" s="106" t="str">
        <f>_xll.RData(J3:J20,K2:K2,,ReutersRtMode,,K3)</f>
        <v>Paused at 12:54:29</v>
      </c>
      <c r="K2" s="357" t="s">
        <v>140</v>
      </c>
      <c r="L2" s="111"/>
      <c r="M2" s="130" t="s">
        <v>145</v>
      </c>
      <c r="N2" s="111"/>
      <c r="O2" s="129" t="s">
        <v>144</v>
      </c>
      <c r="P2" s="128" t="s">
        <v>143</v>
      </c>
      <c r="Q2" s="98"/>
      <c r="R2" s="12"/>
      <c r="S2" s="12"/>
      <c r="T2" s="12"/>
      <c r="U2" s="12"/>
      <c r="V2" s="12"/>
      <c r="W2" s="12"/>
    </row>
    <row r="3" spans="1:23" x14ac:dyDescent="0.2">
      <c r="A3" s="28"/>
      <c r="B3" s="41" t="s">
        <v>93</v>
      </c>
      <c r="C3" s="40" t="str">
        <f t="shared" ref="C3:C20" si="0">Currency&amp;$B3&amp;QuoteSuffix</f>
        <v>CNYOND_Quote</v>
      </c>
      <c r="D3" s="40" t="str">
        <f>_xll.qlSimpleQuote(C3,,RateTickValue,Permanent,Trigger,ObjectOverwrite)</f>
        <v>CNYOND_Quote#0003</v>
      </c>
      <c r="E3" s="39" t="str">
        <f>_xll.ohRangeRetrieveError(D3)</f>
        <v/>
      </c>
      <c r="F3" s="98"/>
      <c r="H3" s="52"/>
      <c r="I3" s="127" t="s">
        <v>123</v>
      </c>
      <c r="J3" s="126" t="str">
        <f t="shared" ref="J3:J20" si="1">"SHI"&amp;Currency&amp;B3&amp;"="</f>
        <v>SHICNYOND=</v>
      </c>
      <c r="K3" s="358">
        <v>2.698</v>
      </c>
      <c r="L3" s="111"/>
      <c r="M3" s="124">
        <v>2.5</v>
      </c>
      <c r="N3" s="111"/>
      <c r="O3" s="169">
        <f t="array" ref="O3:O20">QuoteLive</f>
        <v>2.698</v>
      </c>
      <c r="P3" s="122" t="e">
        <f>_xll.qlSimpleQuoteSetValue(D3,O3/100,Trigger)</f>
        <v>#N/A</v>
      </c>
      <c r="Q3" s="98"/>
      <c r="R3" s="12"/>
      <c r="S3" s="12"/>
      <c r="T3" s="12"/>
      <c r="U3" s="12"/>
      <c r="V3" s="12"/>
      <c r="W3" s="12"/>
    </row>
    <row r="4" spans="1:23" x14ac:dyDescent="0.2">
      <c r="A4" s="28"/>
      <c r="B4" s="41" t="s">
        <v>92</v>
      </c>
      <c r="C4" s="40" t="str">
        <f t="shared" si="0"/>
        <v>CNYTND_Quote</v>
      </c>
      <c r="D4" s="40" t="str">
        <f>_xll.qlSimpleQuote(C4,,RateTickValue,Permanent,Trigger,ObjectOverwrite)</f>
        <v>CNYTND_Quote#0003</v>
      </c>
      <c r="E4" s="39" t="str">
        <f>_xll.ohRangeRetrieveError(D4)</f>
        <v/>
      </c>
      <c r="F4" s="98"/>
      <c r="H4" s="52"/>
      <c r="I4" s="115" t="s">
        <v>141</v>
      </c>
      <c r="J4" s="114" t="str">
        <f t="shared" si="1"/>
        <v>SHICNYTND=</v>
      </c>
      <c r="K4" s="315" t="s">
        <v>135</v>
      </c>
      <c r="L4" s="111"/>
      <c r="M4" s="143">
        <v>2.625</v>
      </c>
      <c r="N4" s="111"/>
      <c r="O4" s="162" t="str">
        <v>The record could not be found</v>
      </c>
      <c r="P4" s="108" t="e">
        <f>_xll.qlSimpleQuoteSetValue(D4,O4/100,Trigger)</f>
        <v>#NUM!</v>
      </c>
      <c r="Q4" s="98"/>
      <c r="R4" s="12"/>
      <c r="S4" s="12"/>
      <c r="T4" s="12"/>
      <c r="U4" s="12"/>
      <c r="V4" s="12"/>
      <c r="W4" s="12"/>
    </row>
    <row r="5" spans="1:23" x14ac:dyDescent="0.2">
      <c r="A5" s="28"/>
      <c r="B5" s="41" t="s">
        <v>91</v>
      </c>
      <c r="C5" s="40" t="str">
        <f t="shared" si="0"/>
        <v>CNYSND_Quote</v>
      </c>
      <c r="D5" s="40" t="str">
        <f>_xll.qlSimpleQuote(C5,,RateTickValue,Permanent,Trigger,ObjectOverwrite)</f>
        <v>CNYSND_Quote#0003</v>
      </c>
      <c r="E5" s="39" t="str">
        <f>_xll.ohRangeRetrieveError(D5)</f>
        <v/>
      </c>
      <c r="F5" s="98"/>
      <c r="H5" s="52"/>
      <c r="I5" s="115" t="s">
        <v>139</v>
      </c>
      <c r="J5" s="114" t="str">
        <f t="shared" si="1"/>
        <v>SHICNYSND=</v>
      </c>
      <c r="K5" s="315" t="s">
        <v>135</v>
      </c>
      <c r="L5" s="111"/>
      <c r="M5" s="143">
        <v>2.625</v>
      </c>
      <c r="N5" s="111"/>
      <c r="O5" s="162" t="str">
        <v>The record could not be found</v>
      </c>
      <c r="P5" s="108" t="e">
        <f>_xll.qlSimpleQuoteSetValue(D5,O5/100,Trigger)</f>
        <v>#NUM!</v>
      </c>
      <c r="Q5" s="98"/>
      <c r="R5" s="12"/>
      <c r="S5" s="12"/>
      <c r="T5" s="12"/>
      <c r="U5" s="12"/>
      <c r="V5" s="12"/>
      <c r="W5" s="12"/>
    </row>
    <row r="6" spans="1:23" x14ac:dyDescent="0.2">
      <c r="A6" s="28"/>
      <c r="B6" s="41" t="s">
        <v>90</v>
      </c>
      <c r="C6" s="40" t="str">
        <f t="shared" si="0"/>
        <v>CNYSWD_Quote</v>
      </c>
      <c r="D6" s="40" t="str">
        <f>_xll.qlSimpleQuote(C6,,RateTickValue,Permanent,Trigger,ObjectOverwrite)</f>
        <v>CNYSWD_Quote#0003</v>
      </c>
      <c r="E6" s="39" t="str">
        <f>_xll.ohRangeRetrieveError(D6)</f>
        <v/>
      </c>
      <c r="F6" s="98"/>
      <c r="H6" s="52"/>
      <c r="I6" s="115" t="s">
        <v>22</v>
      </c>
      <c r="J6" s="114" t="str">
        <f t="shared" si="1"/>
        <v>SHICNYSWD=</v>
      </c>
      <c r="K6" s="315">
        <v>3.093</v>
      </c>
      <c r="L6" s="111"/>
      <c r="M6" s="143">
        <v>2.625</v>
      </c>
      <c r="N6" s="111"/>
      <c r="O6" s="162">
        <v>3.093</v>
      </c>
      <c r="P6" s="108" t="e">
        <f>_xll.qlSimpleQuoteSetValue(D6,O6/100,Trigger)</f>
        <v>#N/A</v>
      </c>
      <c r="Q6" s="98"/>
      <c r="R6" s="12"/>
      <c r="S6" s="12"/>
      <c r="T6" s="12"/>
      <c r="U6" s="12"/>
      <c r="V6" s="12"/>
      <c r="W6" s="12"/>
    </row>
    <row r="7" spans="1:23" x14ac:dyDescent="0.2">
      <c r="A7" s="28"/>
      <c r="B7" s="41" t="s">
        <v>89</v>
      </c>
      <c r="C7" s="40" t="str">
        <f t="shared" si="0"/>
        <v>CNY2WD_Quote</v>
      </c>
      <c r="D7" s="40" t="str">
        <f>_xll.qlSimpleQuote(C7,,RateTickValue,Permanent,Trigger,ObjectOverwrite)</f>
        <v>CNY2WD_Quote#0003</v>
      </c>
      <c r="E7" s="39" t="str">
        <f>_xll.ohRangeRetrieveError(D7)</f>
        <v/>
      </c>
      <c r="F7" s="98"/>
      <c r="H7" s="52"/>
      <c r="I7" s="115" t="s">
        <v>21</v>
      </c>
      <c r="J7" s="114" t="str">
        <f t="shared" si="1"/>
        <v>SHICNY2WD=</v>
      </c>
      <c r="K7" s="315">
        <v>4.03</v>
      </c>
      <c r="L7" s="111"/>
      <c r="M7" s="143">
        <v>2.625</v>
      </c>
      <c r="N7" s="111"/>
      <c r="O7" s="162">
        <v>4.03</v>
      </c>
      <c r="P7" s="108" t="e">
        <f>_xll.qlSimpleQuoteSetValue(D7,O7/100,Trigger)</f>
        <v>#N/A</v>
      </c>
      <c r="Q7" s="98"/>
      <c r="R7" s="12"/>
      <c r="S7" s="12"/>
      <c r="T7" s="12"/>
      <c r="U7" s="12"/>
      <c r="V7" s="12"/>
      <c r="W7" s="12"/>
    </row>
    <row r="8" spans="1:23" x14ac:dyDescent="0.2">
      <c r="A8" s="28"/>
      <c r="B8" s="41" t="s">
        <v>88</v>
      </c>
      <c r="C8" s="40" t="str">
        <f t="shared" si="0"/>
        <v>CNY3WD_Quote</v>
      </c>
      <c r="D8" s="40" t="str">
        <f>_xll.qlSimpleQuote(C8,,RateTickValue,Permanent,Trigger,ObjectOverwrite)</f>
        <v>CNY3WD_Quote#0003</v>
      </c>
      <c r="E8" s="39" t="str">
        <f>_xll.ohRangeRetrieveError(D8)</f>
        <v/>
      </c>
      <c r="F8" s="98"/>
      <c r="H8" s="52"/>
      <c r="I8" s="115" t="s">
        <v>20</v>
      </c>
      <c r="J8" s="114" t="str">
        <f t="shared" si="1"/>
        <v>SHICNY3WD=</v>
      </c>
      <c r="K8" s="315" t="s">
        <v>135</v>
      </c>
      <c r="L8" s="111"/>
      <c r="M8" s="112">
        <v>2.625</v>
      </c>
      <c r="N8" s="111"/>
      <c r="O8" s="162" t="str">
        <v>The record could not be found</v>
      </c>
      <c r="P8" s="108" t="e">
        <f>_xll.qlSimpleQuoteSetValue(D8,O8/100,Trigger)</f>
        <v>#NUM!</v>
      </c>
      <c r="Q8" s="98"/>
      <c r="R8" s="12"/>
      <c r="S8" s="12"/>
      <c r="T8" s="12"/>
      <c r="U8" s="12"/>
      <c r="V8" s="12"/>
      <c r="W8" s="12"/>
    </row>
    <row r="9" spans="1:23" x14ac:dyDescent="0.2">
      <c r="A9" s="28"/>
      <c r="B9" s="41" t="s">
        <v>87</v>
      </c>
      <c r="C9" s="40" t="str">
        <f t="shared" si="0"/>
        <v>CNY1MD_Quote</v>
      </c>
      <c r="D9" s="40" t="str">
        <f>_xll.qlSimpleQuote(C9,,RateTickValue,Permanent,Trigger,ObjectOverwrite)</f>
        <v>CNY1MD_Quote#0003</v>
      </c>
      <c r="E9" s="39" t="str">
        <f>_xll.ohRangeRetrieveError(D9)</f>
        <v/>
      </c>
      <c r="F9" s="98"/>
      <c r="H9" s="52"/>
      <c r="I9" s="115" t="s">
        <v>19</v>
      </c>
      <c r="J9" s="114" t="str">
        <f t="shared" si="1"/>
        <v>SHICNY1MD=</v>
      </c>
      <c r="K9" s="315">
        <v>5.2329999999999997</v>
      </c>
      <c r="L9" s="111"/>
      <c r="M9" s="112">
        <v>2.625</v>
      </c>
      <c r="N9" s="111"/>
      <c r="O9" s="162">
        <v>5.2329999999999997</v>
      </c>
      <c r="P9" s="108" t="e">
        <f>_xll.qlSimpleQuoteSetValue(D9,O9/100,Trigger)</f>
        <v>#N/A</v>
      </c>
      <c r="Q9" s="98"/>
      <c r="R9" s="12"/>
      <c r="S9" s="12"/>
      <c r="T9" s="12"/>
      <c r="U9" s="12"/>
      <c r="V9" s="12"/>
      <c r="W9" s="12"/>
    </row>
    <row r="10" spans="1:23" x14ac:dyDescent="0.2">
      <c r="A10" s="28"/>
      <c r="B10" s="41" t="s">
        <v>86</v>
      </c>
      <c r="C10" s="40" t="str">
        <f t="shared" si="0"/>
        <v>CNY2MD_Quote</v>
      </c>
      <c r="D10" s="40" t="str">
        <f>_xll.qlSimpleQuote(C10,,RateTickValue,Permanent,Trigger,ObjectOverwrite)</f>
        <v>CNY2MD_Quote#0003</v>
      </c>
      <c r="E10" s="39" t="str">
        <f>_xll.ohRangeRetrieveError(D10)</f>
        <v/>
      </c>
      <c r="F10" s="98"/>
      <c r="H10" s="52"/>
      <c r="I10" s="115" t="s">
        <v>18</v>
      </c>
      <c r="J10" s="114" t="str">
        <f t="shared" si="1"/>
        <v>SHICNY2MD=</v>
      </c>
      <c r="K10" s="315" t="s">
        <v>135</v>
      </c>
      <c r="L10" s="111"/>
      <c r="M10" s="112">
        <v>2.625</v>
      </c>
      <c r="N10" s="111"/>
      <c r="O10" s="162" t="str">
        <v>The record could not be found</v>
      </c>
      <c r="P10" s="108" t="e">
        <f>_xll.qlSimpleQuoteSetValue(D10,O10/100,Trigger)</f>
        <v>#NUM!</v>
      </c>
      <c r="Q10" s="98"/>
      <c r="R10" s="12"/>
      <c r="S10" s="12"/>
      <c r="T10" s="12"/>
      <c r="U10" s="12"/>
      <c r="V10" s="12"/>
      <c r="W10" s="12"/>
    </row>
    <row r="11" spans="1:23" x14ac:dyDescent="0.2">
      <c r="A11" s="28"/>
      <c r="B11" s="41" t="s">
        <v>85</v>
      </c>
      <c r="C11" s="40" t="str">
        <f t="shared" si="0"/>
        <v>CNY3MD_Quote</v>
      </c>
      <c r="D11" s="40" t="str">
        <f>_xll.qlSimpleQuote(C11,,RateTickValue,Permanent,Trigger,ObjectOverwrite)</f>
        <v>CNY3MD_Quote#0003</v>
      </c>
      <c r="E11" s="39" t="str">
        <f>_xll.ohRangeRetrieveError(D11)</f>
        <v/>
      </c>
      <c r="F11" s="98"/>
      <c r="H11" s="52"/>
      <c r="I11" s="115" t="s">
        <v>17</v>
      </c>
      <c r="J11" s="114" t="str">
        <f t="shared" si="1"/>
        <v>SHICNY3MD=</v>
      </c>
      <c r="K11" s="315">
        <v>4.7691999999999997</v>
      </c>
      <c r="L11" s="111"/>
      <c r="M11" s="112">
        <v>2.6749999999999998</v>
      </c>
      <c r="N11" s="111"/>
      <c r="O11" s="162">
        <v>4.7691999999999997</v>
      </c>
      <c r="P11" s="108" t="e">
        <f>_xll.qlSimpleQuoteSetValue(D11,O11/100,Trigger)</f>
        <v>#N/A</v>
      </c>
      <c r="Q11" s="98"/>
      <c r="R11" s="12"/>
      <c r="S11" s="12"/>
      <c r="T11" s="12"/>
      <c r="U11" s="12"/>
      <c r="V11" s="12"/>
      <c r="W11" s="12"/>
    </row>
    <row r="12" spans="1:23" x14ac:dyDescent="0.2">
      <c r="A12" s="28"/>
      <c r="B12" s="41" t="s">
        <v>84</v>
      </c>
      <c r="C12" s="40" t="str">
        <f t="shared" si="0"/>
        <v>CNY4MD_Quote</v>
      </c>
      <c r="D12" s="40" t="str">
        <f>_xll.qlSimpleQuote(C12,,RateTickValue,Permanent,Trigger,ObjectOverwrite)</f>
        <v>CNY4MD_Quote#0003</v>
      </c>
      <c r="E12" s="39" t="str">
        <f>_xll.ohRangeRetrieveError(D12)</f>
        <v/>
      </c>
      <c r="F12" s="98"/>
      <c r="H12" s="52"/>
      <c r="I12" s="115" t="s">
        <v>16</v>
      </c>
      <c r="J12" s="114" t="str">
        <f t="shared" si="1"/>
        <v>SHICNY4MD=</v>
      </c>
      <c r="K12" s="315" t="s">
        <v>135</v>
      </c>
      <c r="L12" s="111"/>
      <c r="M12" s="112">
        <v>2.7250000000000001</v>
      </c>
      <c r="N12" s="111"/>
      <c r="O12" s="162" t="str">
        <v>The record could not be found</v>
      </c>
      <c r="P12" s="108" t="e">
        <f>_xll.qlSimpleQuoteSetValue(D12,O12/100,Trigger)</f>
        <v>#NUM!</v>
      </c>
      <c r="Q12" s="98"/>
      <c r="R12" s="12"/>
      <c r="S12" s="12"/>
      <c r="T12" s="12"/>
      <c r="U12" s="12"/>
      <c r="V12" s="12"/>
      <c r="W12" s="12"/>
    </row>
    <row r="13" spans="1:23" x14ac:dyDescent="0.2">
      <c r="A13" s="28"/>
      <c r="B13" s="41" t="s">
        <v>83</v>
      </c>
      <c r="C13" s="40" t="str">
        <f t="shared" si="0"/>
        <v>CNY5MD_Quote</v>
      </c>
      <c r="D13" s="40" t="str">
        <f>_xll.qlSimpleQuote(C13,,RateTickValue,Permanent,Trigger,ObjectOverwrite)</f>
        <v>CNY5MD_Quote#0003</v>
      </c>
      <c r="E13" s="39" t="str">
        <f>_xll.ohRangeRetrieveError(D13)</f>
        <v/>
      </c>
      <c r="F13" s="98"/>
      <c r="H13" s="52"/>
      <c r="I13" s="115" t="s">
        <v>15</v>
      </c>
      <c r="J13" s="114" t="str">
        <f t="shared" si="1"/>
        <v>SHICNY5MD=</v>
      </c>
      <c r="K13" s="315" t="s">
        <v>135</v>
      </c>
      <c r="L13" s="111"/>
      <c r="M13" s="112">
        <v>2.7250000000000001</v>
      </c>
      <c r="N13" s="111"/>
      <c r="O13" s="162" t="str">
        <v>The record could not be found</v>
      </c>
      <c r="P13" s="108" t="e">
        <f>_xll.qlSimpleQuoteSetValue(D13,O13/100,Trigger)</f>
        <v>#NUM!</v>
      </c>
      <c r="Q13" s="98"/>
      <c r="R13" s="12"/>
      <c r="S13" s="12"/>
      <c r="T13" s="12"/>
      <c r="U13" s="12"/>
      <c r="V13" s="12"/>
      <c r="W13" s="12"/>
    </row>
    <row r="14" spans="1:23" x14ac:dyDescent="0.2">
      <c r="A14" s="28"/>
      <c r="B14" s="41" t="s">
        <v>82</v>
      </c>
      <c r="C14" s="40" t="str">
        <f t="shared" si="0"/>
        <v>CNY6MD_Quote</v>
      </c>
      <c r="D14" s="40" t="str">
        <f>_xll.qlSimpleQuote(C14,,RateTickValue,Permanent,Trigger,ObjectOverwrite)</f>
        <v>CNY6MD_Quote#0003</v>
      </c>
      <c r="E14" s="39" t="str">
        <f>_xll.ohRangeRetrieveError(D14)</f>
        <v/>
      </c>
      <c r="F14" s="98"/>
      <c r="H14" s="52"/>
      <c r="I14" s="115" t="s">
        <v>14</v>
      </c>
      <c r="J14" s="114" t="str">
        <f t="shared" si="1"/>
        <v>SHICNY6MD=</v>
      </c>
      <c r="K14" s="315">
        <v>4.9215999999999998</v>
      </c>
      <c r="L14" s="111"/>
      <c r="M14" s="112">
        <v>2.7250000000000001</v>
      </c>
      <c r="N14" s="111"/>
      <c r="O14" s="162">
        <v>4.9215999999999998</v>
      </c>
      <c r="P14" s="108" t="e">
        <f>_xll.qlSimpleQuoteSetValue(D14,O14/100,Trigger)</f>
        <v>#N/A</v>
      </c>
      <c r="Q14" s="98"/>
      <c r="R14" s="12"/>
      <c r="S14" s="12"/>
      <c r="T14" s="12"/>
      <c r="U14" s="12"/>
      <c r="V14" s="12"/>
      <c r="W14" s="12"/>
    </row>
    <row r="15" spans="1:23" x14ac:dyDescent="0.2">
      <c r="A15" s="28"/>
      <c r="B15" s="41" t="s">
        <v>81</v>
      </c>
      <c r="C15" s="40" t="str">
        <f t="shared" si="0"/>
        <v>CNY7MD_Quote</v>
      </c>
      <c r="D15" s="40" t="str">
        <f>_xll.qlSimpleQuote(C15,,RateTickValue,Permanent,Trigger,ObjectOverwrite)</f>
        <v>CNY7MD_Quote#0003</v>
      </c>
      <c r="E15" s="39" t="str">
        <f>_xll.ohRangeRetrieveError(D15)</f>
        <v/>
      </c>
      <c r="F15" s="98"/>
      <c r="H15" s="52"/>
      <c r="I15" s="115" t="s">
        <v>13</v>
      </c>
      <c r="J15" s="114" t="str">
        <f t="shared" si="1"/>
        <v>SHICNY7MD=</v>
      </c>
      <c r="K15" s="315" t="s">
        <v>135</v>
      </c>
      <c r="L15" s="111"/>
      <c r="M15" s="112">
        <v>2.8250000000000002</v>
      </c>
      <c r="N15" s="111"/>
      <c r="O15" s="162" t="str">
        <v>The record could not be found</v>
      </c>
      <c r="P15" s="108" t="e">
        <f>_xll.qlSimpleQuoteSetValue(D15,O15/100,Trigger)</f>
        <v>#NUM!</v>
      </c>
      <c r="Q15" s="98"/>
      <c r="R15" s="12"/>
      <c r="S15" s="12"/>
      <c r="T15" s="12"/>
      <c r="U15" s="12"/>
      <c r="V15" s="12"/>
      <c r="W15" s="12"/>
    </row>
    <row r="16" spans="1:23" x14ac:dyDescent="0.2">
      <c r="A16" s="28"/>
      <c r="B16" s="41" t="s">
        <v>80</v>
      </c>
      <c r="C16" s="40" t="str">
        <f t="shared" si="0"/>
        <v>CNY8MD_Quote</v>
      </c>
      <c r="D16" s="40" t="str">
        <f>_xll.qlSimpleQuote(C16,,RateTickValue,Permanent,Trigger,ObjectOverwrite)</f>
        <v>CNY8MD_Quote#0003</v>
      </c>
      <c r="E16" s="39" t="str">
        <f>_xll.ohRangeRetrieveError(D16)</f>
        <v/>
      </c>
      <c r="F16" s="98"/>
      <c r="H16" s="52"/>
      <c r="I16" s="115" t="s">
        <v>12</v>
      </c>
      <c r="J16" s="114" t="str">
        <f t="shared" si="1"/>
        <v>SHICNY8MD=</v>
      </c>
      <c r="K16" s="315" t="s">
        <v>135</v>
      </c>
      <c r="L16" s="111"/>
      <c r="M16" s="112">
        <v>2.8250000000000002</v>
      </c>
      <c r="N16" s="111"/>
      <c r="O16" s="162" t="str">
        <v>The record could not be found</v>
      </c>
      <c r="P16" s="108" t="e">
        <f>_xll.qlSimpleQuoteSetValue(D16,O16/100,Trigger)</f>
        <v>#NUM!</v>
      </c>
      <c r="Q16" s="98"/>
      <c r="R16" s="12"/>
      <c r="S16" s="12"/>
      <c r="T16" s="12"/>
      <c r="U16" s="12"/>
      <c r="V16" s="12"/>
      <c r="W16" s="12"/>
    </row>
    <row r="17" spans="1:24" x14ac:dyDescent="0.2">
      <c r="A17" s="28"/>
      <c r="B17" s="41" t="s">
        <v>79</v>
      </c>
      <c r="C17" s="40" t="str">
        <f t="shared" si="0"/>
        <v>CNY9MD_Quote</v>
      </c>
      <c r="D17" s="40" t="str">
        <f>_xll.qlSimpleQuote(C17,,RateTickValue,Permanent,Trigger,ObjectOverwrite)</f>
        <v>CNY9MD_Quote#0003</v>
      </c>
      <c r="E17" s="39" t="str">
        <f>_xll.ohRangeRetrieveError(D17)</f>
        <v/>
      </c>
      <c r="F17" s="98"/>
      <c r="H17" s="52"/>
      <c r="I17" s="115" t="s">
        <v>11</v>
      </c>
      <c r="J17" s="114" t="str">
        <f t="shared" si="1"/>
        <v>SHICNY9MD=</v>
      </c>
      <c r="K17" s="315">
        <v>4.9805000000000001</v>
      </c>
      <c r="L17" s="111"/>
      <c r="M17" s="112">
        <v>2.8250000000000002</v>
      </c>
      <c r="N17" s="111"/>
      <c r="O17" s="162">
        <v>4.9805000000000001</v>
      </c>
      <c r="P17" s="108" t="e">
        <f>_xll.qlSimpleQuoteSetValue(D17,O17/100,Trigger)</f>
        <v>#N/A</v>
      </c>
      <c r="Q17" s="98"/>
      <c r="R17" s="12"/>
      <c r="S17" s="12"/>
      <c r="T17" s="12"/>
      <c r="U17" s="12"/>
      <c r="V17" s="12"/>
      <c r="W17" s="12"/>
    </row>
    <row r="18" spans="1:24" x14ac:dyDescent="0.2">
      <c r="A18" s="28"/>
      <c r="B18" s="41" t="s">
        <v>78</v>
      </c>
      <c r="C18" s="40" t="str">
        <f t="shared" si="0"/>
        <v>CNY10MD_Quote</v>
      </c>
      <c r="D18" s="40" t="str">
        <f>_xll.qlSimpleQuote(C18,,RateTickValue,Permanent,Trigger,ObjectOverwrite)</f>
        <v>CNY10MD_Quote#0003</v>
      </c>
      <c r="E18" s="39" t="str">
        <f>_xll.ohRangeRetrieveError(D18)</f>
        <v/>
      </c>
      <c r="F18" s="98"/>
      <c r="H18" s="52"/>
      <c r="I18" s="115" t="s">
        <v>10</v>
      </c>
      <c r="J18" s="114" t="str">
        <f t="shared" si="1"/>
        <v>SHICNY10MD=</v>
      </c>
      <c r="K18" s="315" t="s">
        <v>135</v>
      </c>
      <c r="L18" s="111"/>
      <c r="M18" s="112">
        <v>2.875</v>
      </c>
      <c r="N18" s="111"/>
      <c r="O18" s="162" t="str">
        <v>The record could not be found</v>
      </c>
      <c r="P18" s="108" t="e">
        <f>_xll.qlSimpleQuoteSetValue(D18,O18/100,Trigger)</f>
        <v>#NUM!</v>
      </c>
      <c r="Q18" s="98"/>
      <c r="R18" s="12"/>
      <c r="S18" s="12"/>
      <c r="T18" s="12"/>
      <c r="U18" s="12"/>
      <c r="V18" s="12"/>
      <c r="W18" s="12"/>
    </row>
    <row r="19" spans="1:24" x14ac:dyDescent="0.2">
      <c r="A19" s="28"/>
      <c r="B19" s="41" t="s">
        <v>77</v>
      </c>
      <c r="C19" s="40" t="str">
        <f t="shared" si="0"/>
        <v>CNY11MD_Quote</v>
      </c>
      <c r="D19" s="40" t="str">
        <f>_xll.qlSimpleQuote(C19,,RateTickValue,Permanent,Trigger,ObjectOverwrite)</f>
        <v>CNY11MD_Quote#0003</v>
      </c>
      <c r="E19" s="39" t="str">
        <f>_xll.ohRangeRetrieveError(D19)</f>
        <v/>
      </c>
      <c r="F19" s="98"/>
      <c r="H19" s="52"/>
      <c r="I19" s="115" t="s">
        <v>9</v>
      </c>
      <c r="J19" s="114" t="str">
        <f t="shared" si="1"/>
        <v>SHICNY11MD=</v>
      </c>
      <c r="K19" s="315" t="s">
        <v>135</v>
      </c>
      <c r="L19" s="111"/>
      <c r="M19" s="112">
        <v>2.9249999999999998</v>
      </c>
      <c r="N19" s="111"/>
      <c r="O19" s="162" t="str">
        <v>The record could not be found</v>
      </c>
      <c r="P19" s="108" t="e">
        <f>_xll.qlSimpleQuoteSetValue(D19,O19/100,Trigger)</f>
        <v>#NUM!</v>
      </c>
      <c r="Q19" s="98"/>
      <c r="R19" s="12"/>
      <c r="S19" s="12"/>
      <c r="T19" s="12"/>
      <c r="U19" s="12"/>
      <c r="V19" s="12"/>
      <c r="W19" s="12"/>
    </row>
    <row r="20" spans="1:24" x14ac:dyDescent="0.2">
      <c r="A20" s="28"/>
      <c r="B20" s="41" t="s">
        <v>76</v>
      </c>
      <c r="C20" s="40" t="str">
        <f t="shared" si="0"/>
        <v>CNY1YD_Quote</v>
      </c>
      <c r="D20" s="40" t="str">
        <f>_xll.qlSimpleQuote(C20,,RateTickValue,Permanent,Trigger,ObjectOverwrite)</f>
        <v>CNY1YD_Quote#0003</v>
      </c>
      <c r="E20" s="39" t="str">
        <f>_xll.ohRangeRetrieveError(D20)</f>
        <v/>
      </c>
      <c r="F20" s="98"/>
      <c r="H20" s="52"/>
      <c r="I20" s="121" t="s">
        <v>8</v>
      </c>
      <c r="J20" s="120" t="str">
        <f t="shared" si="1"/>
        <v>SHICNY1YD=</v>
      </c>
      <c r="K20" s="316">
        <v>5</v>
      </c>
      <c r="L20" s="111"/>
      <c r="M20" s="112">
        <v>2.9750000000000001</v>
      </c>
      <c r="N20" s="111"/>
      <c r="O20" s="155">
        <v>5</v>
      </c>
      <c r="P20" s="116" t="e">
        <f>_xll.qlSimpleQuoteSetValue(D20,O20/100,Trigger)</f>
        <v>#N/A</v>
      </c>
      <c r="Q20" s="98"/>
      <c r="R20" s="12"/>
      <c r="S20" s="12"/>
      <c r="T20" s="12"/>
      <c r="U20" s="12"/>
      <c r="V20" s="12"/>
      <c r="W20" s="12"/>
    </row>
    <row r="21" spans="1:24" ht="12" thickBot="1" x14ac:dyDescent="0.25">
      <c r="A21" s="330"/>
      <c r="B21" s="17"/>
      <c r="C21" s="17"/>
      <c r="D21" s="17"/>
      <c r="E21" s="17"/>
      <c r="F21" s="16"/>
      <c r="H21" s="18"/>
      <c r="I21" s="107"/>
      <c r="J21" s="107"/>
      <c r="K21" s="107"/>
      <c r="L21" s="17"/>
      <c r="M21" s="107"/>
      <c r="N21" s="17"/>
      <c r="O21" s="107"/>
      <c r="P21" s="107"/>
      <c r="Q21" s="16"/>
      <c r="R21" s="12"/>
      <c r="S21" s="12"/>
      <c r="T21" s="12"/>
      <c r="U21" s="12"/>
      <c r="V21" s="12"/>
      <c r="W21" s="12"/>
    </row>
    <row r="22" spans="1:24" x14ac:dyDescent="0.2"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W22" s="12"/>
    </row>
    <row r="23" spans="1:24" x14ac:dyDescent="0.2">
      <c r="N23" s="12"/>
      <c r="O23" s="12"/>
      <c r="P23" s="12"/>
      <c r="Q23" s="12"/>
      <c r="R23" s="12"/>
      <c r="S23" s="12"/>
      <c r="T23" s="12"/>
      <c r="U23" s="12"/>
      <c r="X23" s="12"/>
    </row>
    <row r="24" spans="1:24" ht="15" x14ac:dyDescent="0.25">
      <c r="I24"/>
      <c r="N24" s="12"/>
      <c r="O24" s="12"/>
      <c r="P24" s="12"/>
      <c r="Q24" s="12"/>
      <c r="R24" s="12"/>
      <c r="S24" s="12"/>
      <c r="T24" s="12"/>
      <c r="U24" s="12"/>
    </row>
    <row r="25" spans="1:24" ht="19.5" customHeight="1" x14ac:dyDescent="0.25">
      <c r="E25"/>
      <c r="J25"/>
      <c r="N25" s="12"/>
      <c r="O25" s="12"/>
      <c r="P25" s="12"/>
      <c r="Q25" s="12"/>
      <c r="R25" s="12"/>
      <c r="S25" s="12"/>
      <c r="T25" s="12"/>
      <c r="U25" s="12"/>
    </row>
    <row r="26" spans="1:24" x14ac:dyDescent="0.2">
      <c r="N26" s="12"/>
      <c r="O26" s="12"/>
      <c r="P26" s="12"/>
      <c r="Q26" s="12"/>
      <c r="R26" s="12"/>
      <c r="S26" s="12"/>
      <c r="T26" s="12"/>
      <c r="U26" s="12"/>
    </row>
    <row r="27" spans="1:24" x14ac:dyDescent="0.2">
      <c r="N27" s="12"/>
      <c r="O27" s="12"/>
      <c r="P27" s="12"/>
      <c r="Q27" s="12"/>
      <c r="R27" s="12"/>
      <c r="S27" s="12"/>
      <c r="T27" s="12"/>
      <c r="U27" s="12"/>
    </row>
    <row r="28" spans="1:24" x14ac:dyDescent="0.2">
      <c r="N28" s="12"/>
      <c r="O28" s="12"/>
      <c r="P28" s="12"/>
      <c r="Q28" s="12"/>
      <c r="R28" s="12"/>
      <c r="S28" s="12"/>
      <c r="T28" s="12"/>
      <c r="U28" s="12"/>
    </row>
  </sheetData>
  <conditionalFormatting sqref="P3:P20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B96"/>
  <sheetViews>
    <sheetView workbookViewId="0"/>
  </sheetViews>
  <sheetFormatPr defaultRowHeight="11.25" x14ac:dyDescent="0.2"/>
  <cols>
    <col min="1" max="1" width="2.7109375" style="12" customWidth="1"/>
    <col min="2" max="2" width="4" style="12" bestFit="1" customWidth="1"/>
    <col min="3" max="3" width="3.42578125" style="12" bestFit="1" customWidth="1"/>
    <col min="4" max="4" width="3.85546875" style="12" bestFit="1" customWidth="1"/>
    <col min="5" max="5" width="14.85546875" style="12" bestFit="1" customWidth="1"/>
    <col min="6" max="6" width="19" style="21" bestFit="1" customWidth="1"/>
    <col min="7" max="7" width="38.28515625" style="12" customWidth="1"/>
    <col min="8" max="10" width="2.7109375" style="12" customWidth="1"/>
    <col min="11" max="11" width="3.85546875" style="12" bestFit="1" customWidth="1"/>
    <col min="12" max="12" width="4.28515625" style="12" customWidth="1"/>
    <col min="13" max="13" width="3.42578125" style="12" bestFit="1" customWidth="1"/>
    <col min="14" max="14" width="9.42578125" style="12" customWidth="1"/>
    <col min="15" max="15" width="14" style="12" bestFit="1" customWidth="1"/>
    <col min="16" max="18" width="9.140625" style="12"/>
    <col min="19" max="19" width="10" style="12" customWidth="1"/>
    <col min="20" max="20" width="9.140625" style="12"/>
    <col min="21" max="21" width="2.7109375" style="12" customWidth="1"/>
    <col min="22" max="22" width="5.7109375" style="12" bestFit="1" customWidth="1"/>
    <col min="23" max="23" width="2.7109375" style="12" customWidth="1"/>
    <col min="24" max="24" width="7.7109375" style="12" bestFit="1" customWidth="1"/>
    <col min="25" max="25" width="7" style="12" bestFit="1" customWidth="1"/>
    <col min="26" max="26" width="2.7109375" style="12" customWidth="1"/>
    <col min="27" max="16384" width="9.140625" style="12"/>
  </cols>
  <sheetData>
    <row r="1" spans="1:28" x14ac:dyDescent="0.2">
      <c r="A1" s="97"/>
      <c r="B1" s="90"/>
      <c r="C1" s="90"/>
      <c r="D1" s="90"/>
      <c r="E1" s="90"/>
      <c r="F1" s="90"/>
      <c r="G1" s="90"/>
      <c r="H1" s="89"/>
      <c r="J1" s="153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89"/>
    </row>
    <row r="2" spans="1:28" ht="15" x14ac:dyDescent="0.25">
      <c r="A2" s="81"/>
      <c r="B2" s="55"/>
      <c r="C2" s="55"/>
      <c r="D2" s="55"/>
      <c r="E2" s="55"/>
      <c r="F2" s="55"/>
      <c r="G2" s="55"/>
      <c r="H2" s="19"/>
      <c r="J2" s="135"/>
      <c r="K2" s="55"/>
      <c r="L2" s="55"/>
      <c r="M2" s="55"/>
      <c r="N2" s="55"/>
      <c r="O2" s="62" t="s">
        <v>203</v>
      </c>
      <c r="P2" s="55"/>
      <c r="Q2" s="55"/>
      <c r="R2"/>
      <c r="S2" s="55"/>
      <c r="T2" s="55"/>
      <c r="U2" s="111"/>
      <c r="V2" s="111"/>
      <c r="W2" s="111"/>
      <c r="X2" s="111"/>
      <c r="Y2" s="111"/>
      <c r="Z2" s="19"/>
    </row>
    <row r="3" spans="1:28" x14ac:dyDescent="0.2">
      <c r="A3" s="81"/>
      <c r="B3" s="55"/>
      <c r="C3" s="55"/>
      <c r="D3" s="55"/>
      <c r="E3" s="23"/>
      <c r="F3" s="23"/>
      <c r="G3" s="23"/>
      <c r="H3" s="19"/>
      <c r="J3" s="52"/>
      <c r="K3" s="111"/>
      <c r="L3" s="55"/>
      <c r="M3" s="55"/>
      <c r="N3" s="55"/>
      <c r="O3" s="55"/>
      <c r="P3" s="55"/>
      <c r="Q3" s="55"/>
      <c r="R3" s="55"/>
      <c r="S3" s="55"/>
      <c r="T3" s="55"/>
      <c r="U3" s="111"/>
      <c r="V3" s="111"/>
      <c r="W3" s="111"/>
      <c r="X3" s="55"/>
      <c r="Y3" s="132">
        <f>_xll.ohTrigger(Y5:Y24)</f>
        <v>5</v>
      </c>
      <c r="Z3" s="98"/>
    </row>
    <row r="4" spans="1:28" ht="22.5" x14ac:dyDescent="0.2">
      <c r="A4" s="52"/>
      <c r="B4" s="34"/>
      <c r="C4" s="34"/>
      <c r="D4" s="88"/>
      <c r="E4" s="245" t="str">
        <f>Currency&amp;"_010_"&amp;"OIS.xml"</f>
        <v>CNY_010_OIS.xml</v>
      </c>
      <c r="F4" s="246" t="str">
        <f>IF(Serialize,_xll.ohObjectSave(_xll.ohPack(F5:F95),SerializationPath&amp;E4,FileOverwrite,Serialize),"---")</f>
        <v>---</v>
      </c>
      <c r="G4" s="247" t="str">
        <f>_xll.ohRangeRetrieveError(F4)</f>
        <v/>
      </c>
      <c r="H4" s="19"/>
      <c r="J4" s="52"/>
      <c r="K4" s="205"/>
      <c r="L4" s="54"/>
      <c r="M4" s="54"/>
      <c r="N4" s="54"/>
      <c r="O4" s="183" t="str">
        <f>_xll.RData(O5:O58,P4:S4,"RTFEED:IDN",ReutersRtMode,,P5)</f>
        <v>Paused at 12:54:29</v>
      </c>
      <c r="P4" s="180" t="s">
        <v>128</v>
      </c>
      <c r="Q4" s="180" t="s">
        <v>127</v>
      </c>
      <c r="R4" s="180" t="s">
        <v>140</v>
      </c>
      <c r="S4" s="180" t="s">
        <v>148</v>
      </c>
      <c r="T4" s="182" t="s">
        <v>159</v>
      </c>
      <c r="U4" s="111"/>
      <c r="V4" s="130" t="s">
        <v>145</v>
      </c>
      <c r="W4" s="111"/>
      <c r="X4" s="233" t="s">
        <v>144</v>
      </c>
      <c r="Y4" s="35" t="s">
        <v>143</v>
      </c>
      <c r="Z4" s="98"/>
    </row>
    <row r="5" spans="1:28" ht="11.25" customHeight="1" x14ac:dyDescent="0.2">
      <c r="A5" s="52"/>
      <c r="B5" s="83"/>
      <c r="C5" s="83" t="s">
        <v>104</v>
      </c>
      <c r="D5" s="248" t="s">
        <v>22</v>
      </c>
      <c r="E5" s="99" t="str">
        <f t="shared" ref="E5:E36" si="0">Currency&amp;$B5&amp;$C5&amp;$D5&amp;QuoteSuffix</f>
        <v>CNYOISSW_Quote</v>
      </c>
      <c r="F5" s="99" t="str">
        <f>_xll.qlSimpleQuote(Currency&amp;$B5&amp;$C5&amp;$D5&amp;QuoteSuffix,,RateTickValue,Permanent,Trigger,ObjectOverwrite)</f>
        <v>CNYOISSW_Quote#0003</v>
      </c>
      <c r="G5" s="20" t="str">
        <f>_xll.ohRangeRetrieveError(F5)</f>
        <v/>
      </c>
      <c r="H5" s="19"/>
      <c r="J5" s="52"/>
      <c r="K5" s="127" t="s">
        <v>22</v>
      </c>
      <c r="L5" s="149"/>
      <c r="M5" s="149" t="s">
        <v>104</v>
      </c>
      <c r="N5" s="148" t="str">
        <f t="shared" ref="N5:N36" si="1">Currency&amp;$K5&amp;$L5&amp;$M5</f>
        <v>CNYSWOIS</v>
      </c>
      <c r="O5" s="148" t="str">
        <f t="array" ref="O5:O58">Instruments&amp;"="&amp;"ICAA"</f>
        <v>CNYSWOIS=ICAA</v>
      </c>
      <c r="P5" s="123" t="s">
        <v>135</v>
      </c>
      <c r="Q5" s="123" t="s">
        <v>135</v>
      </c>
      <c r="R5" s="123" t="s">
        <v>135</v>
      </c>
      <c r="S5" s="123" t="s">
        <v>135</v>
      </c>
      <c r="T5" s="125" t="e">
        <f>_xll.qlMidEquivalent($P5,$Q5,$R5,$S5)</f>
        <v>#NUM!</v>
      </c>
      <c r="U5" s="111"/>
      <c r="V5" s="124">
        <v>2.5</v>
      </c>
      <c r="W5" s="111"/>
      <c r="X5" s="169" t="e">
        <f t="array" ref="X5:X58">QuoteLive</f>
        <v>#NUM!</v>
      </c>
      <c r="Y5" s="122" t="e">
        <f>_xll.qlSimpleQuoteSetValue(F5,X5/100,Trigger)</f>
        <v>#NUM!</v>
      </c>
      <c r="Z5" s="98"/>
    </row>
    <row r="6" spans="1:28" ht="11.25" customHeight="1" x14ac:dyDescent="0.2">
      <c r="A6" s="52"/>
      <c r="B6" s="83"/>
      <c r="C6" s="83" t="s">
        <v>104</v>
      </c>
      <c r="D6" s="248" t="s">
        <v>21</v>
      </c>
      <c r="E6" s="99" t="str">
        <f t="shared" si="0"/>
        <v>CNYOIS2W_Quote</v>
      </c>
      <c r="F6" s="99" t="str">
        <f>_xll.qlSimpleQuote(Currency&amp;$B6&amp;$C6&amp;$D6&amp;QuoteSuffix,,RateTickValue,Permanent,Trigger,ObjectOverwrite)</f>
        <v>CNYOIS2W_Quote#0003</v>
      </c>
      <c r="G6" s="20" t="str">
        <f>_xll.ohRangeRetrieveError(F6)</f>
        <v/>
      </c>
      <c r="H6" s="19"/>
      <c r="J6" s="52"/>
      <c r="K6" s="115" t="s">
        <v>21</v>
      </c>
      <c r="L6" s="146"/>
      <c r="M6" s="146" t="s">
        <v>104</v>
      </c>
      <c r="N6" s="144" t="str">
        <f t="shared" si="1"/>
        <v>CNY2WOIS</v>
      </c>
      <c r="O6" s="144" t="str">
        <v>CNY2WOIS=ICAA</v>
      </c>
      <c r="P6" s="109" t="s">
        <v>135</v>
      </c>
      <c r="Q6" s="109" t="s">
        <v>135</v>
      </c>
      <c r="R6" s="109" t="s">
        <v>135</v>
      </c>
      <c r="S6" s="109" t="s">
        <v>135</v>
      </c>
      <c r="T6" s="113" t="e">
        <f>_xll.qlMidEquivalent($P6,$Q6,$R6,$S6)</f>
        <v>#NUM!</v>
      </c>
      <c r="U6" s="111"/>
      <c r="V6" s="112" t="e">
        <v>#NUM!</v>
      </c>
      <c r="W6" s="111"/>
      <c r="X6" s="162" t="e">
        <v>#NUM!</v>
      </c>
      <c r="Y6" s="108" t="e">
        <f>_xll.qlSimpleQuoteSetValue(F6,X6/100,Trigger)</f>
        <v>#NUM!</v>
      </c>
      <c r="Z6" s="98"/>
    </row>
    <row r="7" spans="1:28" ht="11.25" customHeight="1" x14ac:dyDescent="0.2">
      <c r="A7" s="52"/>
      <c r="B7" s="83"/>
      <c r="C7" s="83" t="s">
        <v>104</v>
      </c>
      <c r="D7" s="248" t="s">
        <v>20</v>
      </c>
      <c r="E7" s="99" t="str">
        <f t="shared" si="0"/>
        <v>CNYOIS3W_Quote</v>
      </c>
      <c r="F7" s="99" t="str">
        <f>_xll.qlSimpleQuote(Currency&amp;$B7&amp;$C7&amp;$D7&amp;QuoteSuffix,,RateTickValue,Permanent,Trigger,ObjectOverwrite)</f>
        <v>CNYOIS3W_Quote#0003</v>
      </c>
      <c r="G7" s="20" t="str">
        <f>_xll.ohRangeRetrieveError(F7)</f>
        <v/>
      </c>
      <c r="H7" s="19"/>
      <c r="J7" s="52"/>
      <c r="K7" s="115" t="s">
        <v>20</v>
      </c>
      <c r="L7" s="146"/>
      <c r="M7" s="146" t="s">
        <v>104</v>
      </c>
      <c r="N7" s="144" t="str">
        <f t="shared" si="1"/>
        <v>CNY3WOIS</v>
      </c>
      <c r="O7" s="144" t="str">
        <v>CNY3WOIS=ICAA</v>
      </c>
      <c r="P7" s="109" t="s">
        <v>135</v>
      </c>
      <c r="Q7" s="109" t="s">
        <v>135</v>
      </c>
      <c r="R7" s="109" t="s">
        <v>135</v>
      </c>
      <c r="S7" s="109" t="s">
        <v>135</v>
      </c>
      <c r="T7" s="113" t="e">
        <f>_xll.qlMidEquivalent($P7,$Q7,$R7,$S7)</f>
        <v>#NUM!</v>
      </c>
      <c r="U7" s="111"/>
      <c r="V7" s="112" t="e">
        <v>#NUM!</v>
      </c>
      <c r="W7" s="111"/>
      <c r="X7" s="162" t="e">
        <v>#NUM!</v>
      </c>
      <c r="Y7" s="108" t="e">
        <f>_xll.qlSimpleQuoteSetValue(F7,X7/100,Trigger)</f>
        <v>#NUM!</v>
      </c>
      <c r="Z7" s="98"/>
    </row>
    <row r="8" spans="1:28" ht="11.25" customHeight="1" x14ac:dyDescent="0.25">
      <c r="A8" s="52"/>
      <c r="B8" s="83"/>
      <c r="C8" s="83" t="s">
        <v>104</v>
      </c>
      <c r="D8" s="248" t="s">
        <v>19</v>
      </c>
      <c r="E8" s="99" t="str">
        <f t="shared" si="0"/>
        <v>CNYOIS1M_Quote</v>
      </c>
      <c r="F8" s="99" t="str">
        <f>_xll.qlSimpleQuote(Currency&amp;$B8&amp;$C8&amp;$D8&amp;QuoteSuffix,,RateTickValue,Permanent,Trigger,ObjectOverwrite)</f>
        <v>CNYOIS1M_Quote#0003</v>
      </c>
      <c r="G8" s="20" t="str">
        <f>_xll.ohRangeRetrieveError(F8)</f>
        <v/>
      </c>
      <c r="H8" s="19"/>
      <c r="J8" s="52"/>
      <c r="K8" s="115" t="s">
        <v>19</v>
      </c>
      <c r="L8" s="146"/>
      <c r="M8" s="146" t="s">
        <v>104</v>
      </c>
      <c r="N8" s="144" t="str">
        <f t="shared" si="1"/>
        <v>CNY1MOIS</v>
      </c>
      <c r="O8" s="144" t="str">
        <v>CNY1MOIS=ICAA</v>
      </c>
      <c r="P8" s="109" t="s">
        <v>135</v>
      </c>
      <c r="Q8" s="109" t="s">
        <v>135</v>
      </c>
      <c r="R8" s="109" t="s">
        <v>135</v>
      </c>
      <c r="S8" s="109" t="s">
        <v>135</v>
      </c>
      <c r="T8" s="113" t="e">
        <f>_xll.qlMidEquivalent($P8,$Q8,$R8,$S8)</f>
        <v>#NUM!</v>
      </c>
      <c r="U8" s="111"/>
      <c r="V8" s="112">
        <v>2.4990000000000001</v>
      </c>
      <c r="W8" s="111"/>
      <c r="X8" s="162" t="e">
        <v>#NUM!</v>
      </c>
      <c r="Y8" s="108" t="e">
        <f>_xll.qlSimpleQuoteSetValue(F8,X8/100,Trigger)</f>
        <v>#NUM!</v>
      </c>
      <c r="Z8" s="98"/>
      <c r="AB8"/>
    </row>
    <row r="9" spans="1:28" ht="11.25" customHeight="1" x14ac:dyDescent="0.2">
      <c r="A9" s="52"/>
      <c r="B9" s="83"/>
      <c r="C9" s="83" t="s">
        <v>104</v>
      </c>
      <c r="D9" s="248" t="s">
        <v>18</v>
      </c>
      <c r="E9" s="99" t="str">
        <f t="shared" si="0"/>
        <v>CNYOIS2M_Quote</v>
      </c>
      <c r="F9" s="99" t="str">
        <f>_xll.qlSimpleQuote(Currency&amp;$B9&amp;$C9&amp;$D9&amp;QuoteSuffix,,RateTickValue,Permanent,Trigger,ObjectOverwrite)</f>
        <v>CNYOIS2M_Quote#0003</v>
      </c>
      <c r="G9" s="20" t="str">
        <f>_xll.ohRangeRetrieveError(F9)</f>
        <v/>
      </c>
      <c r="H9" s="19"/>
      <c r="J9" s="52"/>
      <c r="K9" s="115" t="s">
        <v>18</v>
      </c>
      <c r="L9" s="146"/>
      <c r="M9" s="146" t="s">
        <v>104</v>
      </c>
      <c r="N9" s="144" t="str">
        <f t="shared" si="1"/>
        <v>CNY2MOIS</v>
      </c>
      <c r="O9" s="144" t="str">
        <v>CNY2MOIS=ICAA</v>
      </c>
      <c r="P9" s="109" t="s">
        <v>135</v>
      </c>
      <c r="Q9" s="109" t="s">
        <v>135</v>
      </c>
      <c r="R9" s="109" t="s">
        <v>135</v>
      </c>
      <c r="S9" s="109" t="s">
        <v>135</v>
      </c>
      <c r="T9" s="113" t="e">
        <f>_xll.qlMidEquivalent($P9,$Q9,$R9,$S9)</f>
        <v>#NUM!</v>
      </c>
      <c r="U9" s="111"/>
      <c r="V9" s="112">
        <v>2.4975000000000001</v>
      </c>
      <c r="W9" s="111"/>
      <c r="X9" s="162" t="e">
        <v>#NUM!</v>
      </c>
      <c r="Y9" s="108" t="e">
        <f>_xll.qlSimpleQuoteSetValue(F9,X9/100,Trigger)</f>
        <v>#NUM!</v>
      </c>
      <c r="Z9" s="98"/>
    </row>
    <row r="10" spans="1:28" ht="11.25" customHeight="1" x14ac:dyDescent="0.2">
      <c r="A10" s="52"/>
      <c r="B10" s="83"/>
      <c r="C10" s="83" t="s">
        <v>104</v>
      </c>
      <c r="D10" s="248" t="s">
        <v>17</v>
      </c>
      <c r="E10" s="99" t="str">
        <f t="shared" si="0"/>
        <v>CNYOIS3M_Quote</v>
      </c>
      <c r="F10" s="99" t="str">
        <f>_xll.qlSimpleQuote(Currency&amp;$B10&amp;$C10&amp;$D10&amp;QuoteSuffix,,RateTickValue,Permanent,Trigger,ObjectOverwrite)</f>
        <v>CNYOIS3M_Quote#0003</v>
      </c>
      <c r="G10" s="20" t="str">
        <f>_xll.ohRangeRetrieveError(F10)</f>
        <v/>
      </c>
      <c r="H10" s="19"/>
      <c r="J10" s="52"/>
      <c r="K10" s="115" t="s">
        <v>17</v>
      </c>
      <c r="L10" s="146"/>
      <c r="M10" s="146" t="s">
        <v>104</v>
      </c>
      <c r="N10" s="144" t="str">
        <f t="shared" si="1"/>
        <v>CNY3MOIS</v>
      </c>
      <c r="O10" s="144" t="str">
        <v>CNY3MOIS=ICAA</v>
      </c>
      <c r="P10" s="109" t="s">
        <v>135</v>
      </c>
      <c r="Q10" s="109" t="s">
        <v>135</v>
      </c>
      <c r="R10" s="109" t="s">
        <v>135</v>
      </c>
      <c r="S10" s="109" t="s">
        <v>135</v>
      </c>
      <c r="T10" s="113" t="e">
        <f>_xll.qlMidEquivalent($P10,$Q10,$R10,$S10)</f>
        <v>#NUM!</v>
      </c>
      <c r="U10" s="111"/>
      <c r="V10" s="112">
        <v>2.4950000000000001</v>
      </c>
      <c r="W10" s="111"/>
      <c r="X10" s="162" t="e">
        <v>#NUM!</v>
      </c>
      <c r="Y10" s="108" t="e">
        <f>_xll.qlSimpleQuoteSetValue(F10,X10/100,Trigger)</f>
        <v>#NUM!</v>
      </c>
      <c r="Z10" s="98"/>
    </row>
    <row r="11" spans="1:28" ht="11.25" customHeight="1" x14ac:dyDescent="0.2">
      <c r="A11" s="52"/>
      <c r="B11" s="83"/>
      <c r="C11" s="83" t="s">
        <v>104</v>
      </c>
      <c r="D11" s="248" t="s">
        <v>16</v>
      </c>
      <c r="E11" s="99" t="str">
        <f t="shared" si="0"/>
        <v>CNYOIS4M_Quote</v>
      </c>
      <c r="F11" s="99" t="str">
        <f>_xll.qlSimpleQuote(Currency&amp;$B11&amp;$C11&amp;$D11&amp;QuoteSuffix,,RateTickValue,Permanent,Trigger,ObjectOverwrite)</f>
        <v>CNYOIS4M_Quote#0003</v>
      </c>
      <c r="G11" s="20" t="str">
        <f>_xll.ohRangeRetrieveError(F11)</f>
        <v/>
      </c>
      <c r="H11" s="19"/>
      <c r="J11" s="52"/>
      <c r="K11" s="115" t="s">
        <v>16</v>
      </c>
      <c r="L11" s="146"/>
      <c r="M11" s="146" t="s">
        <v>104</v>
      </c>
      <c r="N11" s="144" t="str">
        <f t="shared" si="1"/>
        <v>CNY4MOIS</v>
      </c>
      <c r="O11" s="144" t="str">
        <v>CNY4MOIS=ICAA</v>
      </c>
      <c r="P11" s="109" t="s">
        <v>135</v>
      </c>
      <c r="Q11" s="109" t="s">
        <v>135</v>
      </c>
      <c r="R11" s="109" t="s">
        <v>135</v>
      </c>
      <c r="S11" s="109" t="s">
        <v>135</v>
      </c>
      <c r="T11" s="113" t="e">
        <f>_xll.qlMidEquivalent($P11,$Q11,$R11,$S11)</f>
        <v>#NUM!</v>
      </c>
      <c r="U11" s="111"/>
      <c r="V11" s="112">
        <v>2.5</v>
      </c>
      <c r="W11" s="111"/>
      <c r="X11" s="162" t="e">
        <v>#NUM!</v>
      </c>
      <c r="Y11" s="108" t="e">
        <f>_xll.qlSimpleQuoteSetValue(F11,X11/100,Trigger)</f>
        <v>#NUM!</v>
      </c>
      <c r="Z11" s="98"/>
    </row>
    <row r="12" spans="1:28" ht="11.25" customHeight="1" x14ac:dyDescent="0.2">
      <c r="A12" s="52"/>
      <c r="B12" s="83"/>
      <c r="C12" s="83" t="s">
        <v>104</v>
      </c>
      <c r="D12" s="248" t="s">
        <v>15</v>
      </c>
      <c r="E12" s="99" t="str">
        <f t="shared" si="0"/>
        <v>CNYOIS5M_Quote</v>
      </c>
      <c r="F12" s="99" t="str">
        <f>_xll.qlSimpleQuote(Currency&amp;$B12&amp;$C12&amp;$D12&amp;QuoteSuffix,,RateTickValue,Permanent,Trigger,ObjectOverwrite)</f>
        <v>CNYOIS5M_Quote#0003</v>
      </c>
      <c r="G12" s="20" t="str">
        <f>_xll.ohRangeRetrieveError(F12)</f>
        <v/>
      </c>
      <c r="H12" s="19"/>
      <c r="J12" s="52"/>
      <c r="K12" s="115" t="s">
        <v>15</v>
      </c>
      <c r="L12" s="146"/>
      <c r="M12" s="146" t="s">
        <v>104</v>
      </c>
      <c r="N12" s="144" t="str">
        <f t="shared" si="1"/>
        <v>CNY5MOIS</v>
      </c>
      <c r="O12" s="144" t="str">
        <v>CNY5MOIS=ICAA</v>
      </c>
      <c r="P12" s="109" t="s">
        <v>135</v>
      </c>
      <c r="Q12" s="109" t="s">
        <v>135</v>
      </c>
      <c r="R12" s="109" t="s">
        <v>135</v>
      </c>
      <c r="S12" s="109" t="s">
        <v>135</v>
      </c>
      <c r="T12" s="113" t="e">
        <f>_xll.qlMidEquivalent($P12,$Q12,$R12,$S12)</f>
        <v>#NUM!</v>
      </c>
      <c r="U12" s="111"/>
      <c r="V12" s="112">
        <v>2.5</v>
      </c>
      <c r="W12" s="111"/>
      <c r="X12" s="162" t="e">
        <v>#NUM!</v>
      </c>
      <c r="Y12" s="108" t="e">
        <f>_xll.qlSimpleQuoteSetValue(F12,X12/100,Trigger)</f>
        <v>#NUM!</v>
      </c>
      <c r="Z12" s="98"/>
    </row>
    <row r="13" spans="1:28" ht="11.25" customHeight="1" x14ac:dyDescent="0.2">
      <c r="A13" s="52"/>
      <c r="B13" s="83"/>
      <c r="C13" s="83" t="s">
        <v>104</v>
      </c>
      <c r="D13" s="248" t="s">
        <v>14</v>
      </c>
      <c r="E13" s="99" t="str">
        <f t="shared" si="0"/>
        <v>CNYOIS6M_Quote</v>
      </c>
      <c r="F13" s="99" t="str">
        <f>_xll.qlSimpleQuote(Currency&amp;$B13&amp;$C13&amp;$D13&amp;QuoteSuffix,,RateTickValue,Permanent,Trigger,ObjectOverwrite)</f>
        <v>CNYOIS6M_Quote#0003</v>
      </c>
      <c r="G13" s="20" t="str">
        <f>_xll.ohRangeRetrieveError(F13)</f>
        <v/>
      </c>
      <c r="H13" s="19"/>
      <c r="J13" s="52"/>
      <c r="K13" s="115" t="s">
        <v>14</v>
      </c>
      <c r="L13" s="146"/>
      <c r="M13" s="146" t="s">
        <v>104</v>
      </c>
      <c r="N13" s="144" t="str">
        <f t="shared" si="1"/>
        <v>CNY6MOIS</v>
      </c>
      <c r="O13" s="144" t="str">
        <v>CNY6MOIS=ICAA</v>
      </c>
      <c r="P13" s="109" t="s">
        <v>135</v>
      </c>
      <c r="Q13" s="109" t="s">
        <v>135</v>
      </c>
      <c r="R13" s="109" t="s">
        <v>135</v>
      </c>
      <c r="S13" s="109" t="s">
        <v>135</v>
      </c>
      <c r="T13" s="113" t="e">
        <f>_xll.qlMidEquivalent($P13,$Q13,$R13,$S13)</f>
        <v>#NUM!</v>
      </c>
      <c r="U13" s="111"/>
      <c r="V13" s="112">
        <v>2.5034999999999998</v>
      </c>
      <c r="W13" s="111"/>
      <c r="X13" s="162" t="e">
        <v>#NUM!</v>
      </c>
      <c r="Y13" s="108" t="e">
        <f>_xll.qlSimpleQuoteSetValue(F13,X13/100,Trigger)</f>
        <v>#NUM!</v>
      </c>
      <c r="Z13" s="98"/>
    </row>
    <row r="14" spans="1:28" ht="11.25" customHeight="1" x14ac:dyDescent="0.2">
      <c r="A14" s="52"/>
      <c r="B14" s="83"/>
      <c r="C14" s="83" t="s">
        <v>104</v>
      </c>
      <c r="D14" s="248" t="s">
        <v>13</v>
      </c>
      <c r="E14" s="99" t="str">
        <f t="shared" si="0"/>
        <v>CNYOIS7M_Quote</v>
      </c>
      <c r="F14" s="99" t="str">
        <f>_xll.qlSimpleQuote(Currency&amp;$B14&amp;$C14&amp;$D14&amp;QuoteSuffix,,RateTickValue,Permanent,Trigger,ObjectOverwrite)</f>
        <v>CNYOIS7M_Quote#0003</v>
      </c>
      <c r="G14" s="20" t="str">
        <f>_xll.ohRangeRetrieveError(F14)</f>
        <v/>
      </c>
      <c r="H14" s="19"/>
      <c r="J14" s="52"/>
      <c r="K14" s="115" t="s">
        <v>13</v>
      </c>
      <c r="L14" s="146"/>
      <c r="M14" s="146" t="s">
        <v>104</v>
      </c>
      <c r="N14" s="144" t="str">
        <f t="shared" si="1"/>
        <v>CNY7MOIS</v>
      </c>
      <c r="O14" s="144" t="str">
        <v>CNY7MOIS=ICAA</v>
      </c>
      <c r="P14" s="109" t="s">
        <v>135</v>
      </c>
      <c r="Q14" s="109" t="s">
        <v>135</v>
      </c>
      <c r="R14" s="109" t="s">
        <v>135</v>
      </c>
      <c r="S14" s="109" t="s">
        <v>135</v>
      </c>
      <c r="T14" s="113" t="e">
        <f>_xll.qlMidEquivalent($P14,$Q14,$R14,$S14)</f>
        <v>#NUM!</v>
      </c>
      <c r="U14" s="111"/>
      <c r="V14" s="112" t="e">
        <v>#NUM!</v>
      </c>
      <c r="W14" s="111"/>
      <c r="X14" s="162" t="e">
        <v>#NUM!</v>
      </c>
      <c r="Y14" s="108" t="e">
        <f>_xll.qlSimpleQuoteSetValue(F14,X14/100,Trigger)</f>
        <v>#NUM!</v>
      </c>
      <c r="Z14" s="98"/>
    </row>
    <row r="15" spans="1:28" ht="11.25" customHeight="1" x14ac:dyDescent="0.2">
      <c r="A15" s="52"/>
      <c r="B15" s="83"/>
      <c r="C15" s="83" t="s">
        <v>104</v>
      </c>
      <c r="D15" s="248" t="s">
        <v>12</v>
      </c>
      <c r="E15" s="99" t="str">
        <f t="shared" si="0"/>
        <v>CNYOIS8M_Quote</v>
      </c>
      <c r="F15" s="99" t="str">
        <f>_xll.qlSimpleQuote(Currency&amp;$B15&amp;$C15&amp;$D15&amp;QuoteSuffix,,RateTickValue,Permanent,Trigger,ObjectOverwrite)</f>
        <v>CNYOIS8M_Quote#0003</v>
      </c>
      <c r="G15" s="20" t="str">
        <f>_xll.ohRangeRetrieveError(F15)</f>
        <v/>
      </c>
      <c r="H15" s="19"/>
      <c r="J15" s="52"/>
      <c r="K15" s="115" t="s">
        <v>12</v>
      </c>
      <c r="L15" s="146"/>
      <c r="M15" s="146" t="s">
        <v>104</v>
      </c>
      <c r="N15" s="144" t="str">
        <f t="shared" si="1"/>
        <v>CNY8MOIS</v>
      </c>
      <c r="O15" s="144" t="str">
        <v>CNY8MOIS=ICAA</v>
      </c>
      <c r="P15" s="109" t="s">
        <v>135</v>
      </c>
      <c r="Q15" s="109" t="s">
        <v>135</v>
      </c>
      <c r="R15" s="109" t="s">
        <v>135</v>
      </c>
      <c r="S15" s="109" t="s">
        <v>135</v>
      </c>
      <c r="T15" s="113" t="e">
        <f>_xll.qlMidEquivalent($P15,$Q15,$R15,$S15)</f>
        <v>#NUM!</v>
      </c>
      <c r="U15" s="111"/>
      <c r="V15" s="112" t="e">
        <v>#NUM!</v>
      </c>
      <c r="W15" s="111"/>
      <c r="X15" s="162" t="e">
        <v>#NUM!</v>
      </c>
      <c r="Y15" s="108" t="e">
        <f>_xll.qlSimpleQuoteSetValue(F15,X15/100,Trigger)</f>
        <v>#NUM!</v>
      </c>
      <c r="Z15" s="98"/>
    </row>
    <row r="16" spans="1:28" ht="11.25" customHeight="1" x14ac:dyDescent="0.2">
      <c r="A16" s="52"/>
      <c r="B16" s="83"/>
      <c r="C16" s="83" t="s">
        <v>104</v>
      </c>
      <c r="D16" s="248" t="s">
        <v>11</v>
      </c>
      <c r="E16" s="99" t="str">
        <f t="shared" si="0"/>
        <v>CNYOIS9M_Quote</v>
      </c>
      <c r="F16" s="99" t="str">
        <f>_xll.qlSimpleQuote(Currency&amp;$B16&amp;$C16&amp;$D16&amp;QuoteSuffix,,RateTickValue,Permanent,Trigger,ObjectOverwrite)</f>
        <v>CNYOIS9M_Quote#0003</v>
      </c>
      <c r="G16" s="20" t="str">
        <f>_xll.ohRangeRetrieveError(F16)</f>
        <v/>
      </c>
      <c r="H16" s="19"/>
      <c r="J16" s="52"/>
      <c r="K16" s="115" t="s">
        <v>11</v>
      </c>
      <c r="L16" s="146"/>
      <c r="M16" s="146" t="s">
        <v>104</v>
      </c>
      <c r="N16" s="144" t="str">
        <f t="shared" si="1"/>
        <v>CNY9MOIS</v>
      </c>
      <c r="O16" s="144" t="str">
        <v>CNY9MOIS=ICAA</v>
      </c>
      <c r="P16" s="109" t="s">
        <v>135</v>
      </c>
      <c r="Q16" s="109" t="s">
        <v>135</v>
      </c>
      <c r="R16" s="109" t="s">
        <v>135</v>
      </c>
      <c r="S16" s="109" t="s">
        <v>135</v>
      </c>
      <c r="T16" s="113" t="e">
        <f>_xll.qlMidEquivalent($P16,$Q16,$R16,$S16)</f>
        <v>#NUM!</v>
      </c>
      <c r="U16" s="111"/>
      <c r="V16" s="112">
        <v>2.5149999999999997</v>
      </c>
      <c r="W16" s="111"/>
      <c r="X16" s="162" t="e">
        <v>#NUM!</v>
      </c>
      <c r="Y16" s="108" t="e">
        <f>_xll.qlSimpleQuoteSetValue(F16,X16/100,Trigger)</f>
        <v>#NUM!</v>
      </c>
      <c r="Z16" s="98"/>
    </row>
    <row r="17" spans="1:26" ht="11.25" customHeight="1" x14ac:dyDescent="0.2">
      <c r="A17" s="52"/>
      <c r="B17" s="83"/>
      <c r="C17" s="83" t="s">
        <v>104</v>
      </c>
      <c r="D17" s="248" t="s">
        <v>10</v>
      </c>
      <c r="E17" s="99" t="str">
        <f t="shared" si="0"/>
        <v>CNYOIS10M_Quote</v>
      </c>
      <c r="F17" s="99" t="str">
        <f>_xll.qlSimpleQuote(Currency&amp;$B17&amp;$C17&amp;$D17&amp;QuoteSuffix,,RateTickValue,Permanent,Trigger,ObjectOverwrite)</f>
        <v>CNYOIS10M_Quote#0003</v>
      </c>
      <c r="G17" s="20" t="str">
        <f>_xll.ohRangeRetrieveError(F17)</f>
        <v/>
      </c>
      <c r="H17" s="19"/>
      <c r="J17" s="52"/>
      <c r="K17" s="115" t="s">
        <v>10</v>
      </c>
      <c r="L17" s="146"/>
      <c r="M17" s="146" t="s">
        <v>104</v>
      </c>
      <c r="N17" s="144" t="str">
        <f t="shared" si="1"/>
        <v>CNY10MOIS</v>
      </c>
      <c r="O17" s="144" t="str">
        <v>CNY10MOIS=ICAA</v>
      </c>
      <c r="P17" s="109" t="s">
        <v>135</v>
      </c>
      <c r="Q17" s="109" t="s">
        <v>135</v>
      </c>
      <c r="R17" s="109" t="s">
        <v>135</v>
      </c>
      <c r="S17" s="109" t="s">
        <v>135</v>
      </c>
      <c r="T17" s="113" t="e">
        <f>_xll.qlMidEquivalent($P17,$Q17,$R17,$S17)</f>
        <v>#NUM!</v>
      </c>
      <c r="U17" s="111"/>
      <c r="V17" s="112" t="e">
        <v>#NUM!</v>
      </c>
      <c r="W17" s="111"/>
      <c r="X17" s="162" t="e">
        <v>#NUM!</v>
      </c>
      <c r="Y17" s="108" t="e">
        <f>_xll.qlSimpleQuoteSetValue(F17,X17/100,Trigger)</f>
        <v>#NUM!</v>
      </c>
      <c r="Z17" s="98"/>
    </row>
    <row r="18" spans="1:26" ht="11.25" customHeight="1" x14ac:dyDescent="0.2">
      <c r="A18" s="52"/>
      <c r="B18" s="83"/>
      <c r="C18" s="83" t="s">
        <v>104</v>
      </c>
      <c r="D18" s="248" t="s">
        <v>9</v>
      </c>
      <c r="E18" s="99" t="str">
        <f t="shared" si="0"/>
        <v>CNYOIS11M_Quote</v>
      </c>
      <c r="F18" s="99" t="str">
        <f>_xll.qlSimpleQuote(Currency&amp;$B18&amp;$C18&amp;$D18&amp;QuoteSuffix,,RateTickValue,Permanent,Trigger,ObjectOverwrite)</f>
        <v>CNYOIS11M_Quote#0003</v>
      </c>
      <c r="G18" s="20" t="str">
        <f>_xll.ohRangeRetrieveError(F18)</f>
        <v/>
      </c>
      <c r="H18" s="19"/>
      <c r="J18" s="52"/>
      <c r="K18" s="115" t="s">
        <v>9</v>
      </c>
      <c r="L18" s="146"/>
      <c r="M18" s="146" t="s">
        <v>104</v>
      </c>
      <c r="N18" s="144" t="str">
        <f t="shared" si="1"/>
        <v>CNY11MOIS</v>
      </c>
      <c r="O18" s="144" t="str">
        <v>CNY11MOIS=ICAA</v>
      </c>
      <c r="P18" s="109" t="s">
        <v>135</v>
      </c>
      <c r="Q18" s="109" t="s">
        <v>135</v>
      </c>
      <c r="R18" s="109" t="s">
        <v>135</v>
      </c>
      <c r="S18" s="109" t="s">
        <v>135</v>
      </c>
      <c r="T18" s="113" t="e">
        <f>_xll.qlMidEquivalent($P18,$Q18,$R18,$S18)</f>
        <v>#NUM!</v>
      </c>
      <c r="U18" s="111"/>
      <c r="V18" s="112" t="e">
        <v>#NUM!</v>
      </c>
      <c r="W18" s="111"/>
      <c r="X18" s="162" t="e">
        <v>#NUM!</v>
      </c>
      <c r="Y18" s="108" t="e">
        <f>_xll.qlSimpleQuoteSetValue(F18,X18/100,Trigger)</f>
        <v>#NUM!</v>
      </c>
      <c r="Z18" s="98"/>
    </row>
    <row r="19" spans="1:26" ht="11.25" customHeight="1" x14ac:dyDescent="0.2">
      <c r="A19" s="52"/>
      <c r="B19" s="83"/>
      <c r="C19" s="83" t="s">
        <v>104</v>
      </c>
      <c r="D19" s="248" t="s">
        <v>201</v>
      </c>
      <c r="E19" s="99" t="str">
        <f t="shared" si="0"/>
        <v>CNYOIS12M_Quote</v>
      </c>
      <c r="F19" s="99" t="str">
        <f>_xll.qlSimpleQuote(Currency&amp;$B19&amp;$C19&amp;$D19&amp;QuoteSuffix,,RateTickValue,Permanent,Trigger,ObjectOverwrite)</f>
        <v>CNYOIS12M_Quote#0003</v>
      </c>
      <c r="G19" s="20" t="str">
        <f>_xll.ohRangeRetrieveError(F19)</f>
        <v/>
      </c>
      <c r="H19" s="19"/>
      <c r="J19" s="52"/>
      <c r="K19" s="115" t="s">
        <v>201</v>
      </c>
      <c r="L19" s="146"/>
      <c r="M19" s="146" t="s">
        <v>104</v>
      </c>
      <c r="N19" s="144" t="str">
        <f t="shared" si="1"/>
        <v>CNY12MOIS</v>
      </c>
      <c r="O19" s="144" t="str">
        <v>CNY12MOIS=ICAA</v>
      </c>
      <c r="P19" s="109" t="s">
        <v>135</v>
      </c>
      <c r="Q19" s="109" t="s">
        <v>135</v>
      </c>
      <c r="R19" s="109" t="s">
        <v>135</v>
      </c>
      <c r="S19" s="109" t="s">
        <v>135</v>
      </c>
      <c r="T19" s="113" t="e">
        <f>_xll.qlMidEquivalent($P19,$Q19,$R19,$S19)</f>
        <v>#NUM!</v>
      </c>
      <c r="U19" s="111"/>
      <c r="V19" s="112">
        <v>2.5375000000000001</v>
      </c>
      <c r="W19" s="111"/>
      <c r="X19" s="162" t="e">
        <v>#NUM!</v>
      </c>
      <c r="Y19" s="108" t="e">
        <f>_xll.qlSimpleQuoteSetValue(F19,X19/100,Trigger)</f>
        <v>#NUM!</v>
      </c>
      <c r="Z19" s="98"/>
    </row>
    <row r="20" spans="1:26" ht="11.25" customHeight="1" x14ac:dyDescent="0.2">
      <c r="A20" s="52"/>
      <c r="B20" s="83"/>
      <c r="C20" s="83" t="s">
        <v>104</v>
      </c>
      <c r="D20" s="248" t="s">
        <v>121</v>
      </c>
      <c r="E20" s="99" t="str">
        <f t="shared" si="0"/>
        <v>CNYOIS13M_Quote</v>
      </c>
      <c r="F20" s="99" t="str">
        <f>_xll.qlSimpleQuote(Currency&amp;$B20&amp;$C20&amp;$D20&amp;QuoteSuffix,,RateTickValue,Permanent,Trigger,ObjectOverwrite)</f>
        <v>CNYOIS13M_Quote#0003</v>
      </c>
      <c r="G20" s="20" t="str">
        <f>_xll.ohRangeRetrieveError(F20)</f>
        <v/>
      </c>
      <c r="H20" s="19"/>
      <c r="J20" s="52"/>
      <c r="K20" s="115" t="s">
        <v>121</v>
      </c>
      <c r="L20" s="146"/>
      <c r="M20" s="146" t="s">
        <v>104</v>
      </c>
      <c r="N20" s="144" t="str">
        <f t="shared" si="1"/>
        <v>CNY13MOIS</v>
      </c>
      <c r="O20" s="144" t="str">
        <v>CNY13MOIS=ICAA</v>
      </c>
      <c r="P20" s="109" t="s">
        <v>135</v>
      </c>
      <c r="Q20" s="109" t="s">
        <v>135</v>
      </c>
      <c r="R20" s="109" t="s">
        <v>135</v>
      </c>
      <c r="S20" s="109" t="s">
        <v>135</v>
      </c>
      <c r="T20" s="113" t="e">
        <f>_xll.qlMidEquivalent($P20,$Q20,$R20,$S20)</f>
        <v>#NUM!</v>
      </c>
      <c r="U20" s="111"/>
      <c r="V20" s="112" t="e">
        <v>#NUM!</v>
      </c>
      <c r="W20" s="111"/>
      <c r="X20" s="162" t="e">
        <v>#NUM!</v>
      </c>
      <c r="Y20" s="108" t="e">
        <f>_xll.qlSimpleQuoteSetValue(F20,X20/100,Trigger)</f>
        <v>#NUM!</v>
      </c>
      <c r="Z20" s="98"/>
    </row>
    <row r="21" spans="1:26" ht="11.25" customHeight="1" x14ac:dyDescent="0.2">
      <c r="A21" s="52"/>
      <c r="B21" s="83"/>
      <c r="C21" s="83" t="s">
        <v>104</v>
      </c>
      <c r="D21" s="248" t="s">
        <v>120</v>
      </c>
      <c r="E21" s="99" t="str">
        <f t="shared" si="0"/>
        <v>CNYOIS14M_Quote</v>
      </c>
      <c r="F21" s="99" t="str">
        <f>_xll.qlSimpleQuote(Currency&amp;$B21&amp;$C21&amp;$D21&amp;QuoteSuffix,,RateTickValue,Permanent,Trigger,ObjectOverwrite)</f>
        <v>CNYOIS14M_Quote#0003</v>
      </c>
      <c r="G21" s="20" t="str">
        <f>_xll.ohRangeRetrieveError(F21)</f>
        <v/>
      </c>
      <c r="H21" s="19"/>
      <c r="J21" s="52"/>
      <c r="K21" s="115" t="s">
        <v>120</v>
      </c>
      <c r="L21" s="146"/>
      <c r="M21" s="146" t="s">
        <v>104</v>
      </c>
      <c r="N21" s="144" t="str">
        <f t="shared" si="1"/>
        <v>CNY14MOIS</v>
      </c>
      <c r="O21" s="144" t="str">
        <v>CNY14MOIS=ICAA</v>
      </c>
      <c r="P21" s="109" t="s">
        <v>135</v>
      </c>
      <c r="Q21" s="109" t="s">
        <v>135</v>
      </c>
      <c r="R21" s="109" t="s">
        <v>135</v>
      </c>
      <c r="S21" s="109" t="s">
        <v>135</v>
      </c>
      <c r="T21" s="113" t="e">
        <f>_xll.qlMidEquivalent($P21,$Q21,$R21,$S21)</f>
        <v>#NUM!</v>
      </c>
      <c r="U21" s="111"/>
      <c r="V21" s="112" t="e">
        <v>#NUM!</v>
      </c>
      <c r="W21" s="111"/>
      <c r="X21" s="162" t="e">
        <v>#NUM!</v>
      </c>
      <c r="Y21" s="108" t="e">
        <f>_xll.qlSimpleQuoteSetValue(F21,X21/100,Trigger)</f>
        <v>#NUM!</v>
      </c>
      <c r="Z21" s="98"/>
    </row>
    <row r="22" spans="1:26" ht="11.25" customHeight="1" x14ac:dyDescent="0.2">
      <c r="A22" s="52"/>
      <c r="B22" s="83"/>
      <c r="C22" s="83" t="s">
        <v>104</v>
      </c>
      <c r="D22" s="248" t="s">
        <v>69</v>
      </c>
      <c r="E22" s="99" t="str">
        <f t="shared" si="0"/>
        <v>CNYOIS15M_Quote</v>
      </c>
      <c r="F22" s="99" t="str">
        <f>_xll.qlSimpleQuote(Currency&amp;$B22&amp;$C22&amp;$D22&amp;QuoteSuffix,,RateTickValue,Permanent,Trigger,ObjectOverwrite)</f>
        <v>CNYOIS15M_Quote#0003</v>
      </c>
      <c r="G22" s="20" t="str">
        <f>_xll.ohRangeRetrieveError(F22)</f>
        <v/>
      </c>
      <c r="H22" s="19"/>
      <c r="J22" s="52"/>
      <c r="K22" s="115" t="s">
        <v>69</v>
      </c>
      <c r="L22" s="146"/>
      <c r="M22" s="146" t="s">
        <v>104</v>
      </c>
      <c r="N22" s="144" t="str">
        <f t="shared" si="1"/>
        <v>CNY15MOIS</v>
      </c>
      <c r="O22" s="144" t="str">
        <v>CNY15MOIS=ICAA</v>
      </c>
      <c r="P22" s="109" t="s">
        <v>135</v>
      </c>
      <c r="Q22" s="109" t="s">
        <v>135</v>
      </c>
      <c r="R22" s="109" t="s">
        <v>135</v>
      </c>
      <c r="S22" s="109" t="s">
        <v>135</v>
      </c>
      <c r="T22" s="113" t="e">
        <f>_xll.qlMidEquivalent($P22,$Q22,$R22,$S22)</f>
        <v>#NUM!</v>
      </c>
      <c r="U22" s="111"/>
      <c r="V22" s="112" t="e">
        <v>#NUM!</v>
      </c>
      <c r="W22" s="111"/>
      <c r="X22" s="162" t="e">
        <v>#NUM!</v>
      </c>
      <c r="Y22" s="108" t="e">
        <f>_xll.qlSimpleQuoteSetValue(F22,X22/100,Trigger)</f>
        <v>#NUM!</v>
      </c>
      <c r="Z22" s="98"/>
    </row>
    <row r="23" spans="1:26" ht="11.25" customHeight="1" x14ac:dyDescent="0.2">
      <c r="A23" s="52"/>
      <c r="B23" s="83"/>
      <c r="C23" s="83" t="s">
        <v>104</v>
      </c>
      <c r="D23" s="248" t="s">
        <v>119</v>
      </c>
      <c r="E23" s="99" t="str">
        <f t="shared" si="0"/>
        <v>CNYOIS16M_Quote</v>
      </c>
      <c r="F23" s="99" t="str">
        <f>_xll.qlSimpleQuote(Currency&amp;$B23&amp;$C23&amp;$D23&amp;QuoteSuffix,,RateTickValue,Permanent,Trigger,ObjectOverwrite)</f>
        <v>CNYOIS16M_Quote#0003</v>
      </c>
      <c r="G23" s="20" t="str">
        <f>_xll.ohRangeRetrieveError(F23)</f>
        <v/>
      </c>
      <c r="H23" s="19"/>
      <c r="J23" s="52"/>
      <c r="K23" s="115" t="s">
        <v>119</v>
      </c>
      <c r="L23" s="146"/>
      <c r="M23" s="146" t="s">
        <v>104</v>
      </c>
      <c r="N23" s="144" t="str">
        <f t="shared" si="1"/>
        <v>CNY16MOIS</v>
      </c>
      <c r="O23" s="144" t="str">
        <v>CNY16MOIS=ICAA</v>
      </c>
      <c r="P23" s="109" t="s">
        <v>135</v>
      </c>
      <c r="Q23" s="109" t="s">
        <v>135</v>
      </c>
      <c r="R23" s="109" t="s">
        <v>135</v>
      </c>
      <c r="S23" s="109" t="s">
        <v>135</v>
      </c>
      <c r="T23" s="113" t="e">
        <f>_xll.qlMidEquivalent($P23,$Q23,$R23,$S23)</f>
        <v>#NUM!</v>
      </c>
      <c r="U23" s="111"/>
      <c r="V23" s="112" t="e">
        <v>#NUM!</v>
      </c>
      <c r="W23" s="111"/>
      <c r="X23" s="162" t="e">
        <v>#NUM!</v>
      </c>
      <c r="Y23" s="108" t="e">
        <f>_xll.qlSimpleQuoteSetValue(F23,X23/100,Trigger)</f>
        <v>#NUM!</v>
      </c>
      <c r="Z23" s="98"/>
    </row>
    <row r="24" spans="1:26" ht="11.25" customHeight="1" x14ac:dyDescent="0.2">
      <c r="A24" s="52"/>
      <c r="B24" s="83"/>
      <c r="C24" s="83" t="s">
        <v>104</v>
      </c>
      <c r="D24" s="248" t="s">
        <v>118</v>
      </c>
      <c r="E24" s="99" t="str">
        <f t="shared" si="0"/>
        <v>CNYOIS17M_Quote</v>
      </c>
      <c r="F24" s="99" t="str">
        <f>_xll.qlSimpleQuote(Currency&amp;$B24&amp;$C24&amp;$D24&amp;QuoteSuffix,,RateTickValue,Permanent,Trigger,ObjectOverwrite)</f>
        <v>CNYOIS17M_Quote#0003</v>
      </c>
      <c r="G24" s="20" t="str">
        <f>_xll.ohRangeRetrieveError(F24)</f>
        <v/>
      </c>
      <c r="H24" s="19"/>
      <c r="J24" s="52"/>
      <c r="K24" s="115" t="s">
        <v>118</v>
      </c>
      <c r="L24" s="146"/>
      <c r="M24" s="146" t="s">
        <v>104</v>
      </c>
      <c r="N24" s="144" t="str">
        <f t="shared" si="1"/>
        <v>CNY17MOIS</v>
      </c>
      <c r="O24" s="144" t="str">
        <v>CNY17MOIS=ICAA</v>
      </c>
      <c r="P24" s="109" t="s">
        <v>135</v>
      </c>
      <c r="Q24" s="109" t="s">
        <v>135</v>
      </c>
      <c r="R24" s="109" t="s">
        <v>135</v>
      </c>
      <c r="S24" s="109" t="s">
        <v>135</v>
      </c>
      <c r="T24" s="113" t="e">
        <f>_xll.qlMidEquivalent($P24,$Q24,$R24,$S24)</f>
        <v>#NUM!</v>
      </c>
      <c r="U24" s="111"/>
      <c r="V24" s="112" t="e">
        <v>#NUM!</v>
      </c>
      <c r="W24" s="111"/>
      <c r="X24" s="162" t="e">
        <v>#NUM!</v>
      </c>
      <c r="Y24" s="108" t="e">
        <f>_xll.qlSimpleQuoteSetValue(F24,X24/100,Trigger)</f>
        <v>#NUM!</v>
      </c>
      <c r="Z24" s="98"/>
    </row>
    <row r="25" spans="1:26" ht="11.25" customHeight="1" x14ac:dyDescent="0.2">
      <c r="A25" s="52"/>
      <c r="B25" s="83"/>
      <c r="C25" s="83" t="s">
        <v>104</v>
      </c>
      <c r="D25" s="248" t="s">
        <v>68</v>
      </c>
      <c r="E25" s="99" t="str">
        <f t="shared" si="0"/>
        <v>CNYOIS18M_Quote</v>
      </c>
      <c r="F25" s="99" t="str">
        <f>_xll.qlSimpleQuote(Currency&amp;$B25&amp;$C25&amp;$D25&amp;QuoteSuffix,,RateTickValue,Permanent,Trigger,ObjectOverwrite)</f>
        <v>CNYOIS18M_Quote#0003</v>
      </c>
      <c r="G25" s="20" t="str">
        <f>_xll.ohRangeRetrieveError(F25)</f>
        <v/>
      </c>
      <c r="H25" s="19"/>
      <c r="J25" s="52"/>
      <c r="K25" s="115" t="s">
        <v>68</v>
      </c>
      <c r="L25" s="146"/>
      <c r="M25" s="146" t="s">
        <v>104</v>
      </c>
      <c r="N25" s="144" t="str">
        <f t="shared" si="1"/>
        <v>CNY18MOIS</v>
      </c>
      <c r="O25" s="144" t="str">
        <v>CNY18MOIS=ICAA</v>
      </c>
      <c r="P25" s="109" t="s">
        <v>135</v>
      </c>
      <c r="Q25" s="109" t="s">
        <v>135</v>
      </c>
      <c r="R25" s="109" t="s">
        <v>135</v>
      </c>
      <c r="S25" s="109" t="s">
        <v>135</v>
      </c>
      <c r="T25" s="113" t="e">
        <f>_xll.qlMidEquivalent($P25,$Q25,$R25,$S25)</f>
        <v>#NUM!</v>
      </c>
      <c r="U25" s="111"/>
      <c r="V25" s="112">
        <v>2.62</v>
      </c>
      <c r="W25" s="111"/>
      <c r="X25" s="162" t="e">
        <v>#NUM!</v>
      </c>
      <c r="Y25" s="108" t="e">
        <f>_xll.qlSimpleQuoteSetValue(F25,X25/100,Trigger)</f>
        <v>#NUM!</v>
      </c>
      <c r="Z25" s="98"/>
    </row>
    <row r="26" spans="1:26" ht="11.25" customHeight="1" x14ac:dyDescent="0.2">
      <c r="A26" s="52"/>
      <c r="B26" s="83"/>
      <c r="C26" s="83" t="s">
        <v>104</v>
      </c>
      <c r="D26" s="248" t="s">
        <v>117</v>
      </c>
      <c r="E26" s="99" t="str">
        <f t="shared" si="0"/>
        <v>CNYOIS19M_Quote</v>
      </c>
      <c r="F26" s="99" t="str">
        <f>_xll.qlSimpleQuote(Currency&amp;$B26&amp;$C26&amp;$D26&amp;QuoteSuffix,,RateTickValue,Permanent,Trigger,ObjectOverwrite)</f>
        <v>CNYOIS19M_Quote#0003</v>
      </c>
      <c r="G26" s="20" t="str">
        <f>_xll.ohRangeRetrieveError(F26)</f>
        <v/>
      </c>
      <c r="H26" s="19"/>
      <c r="J26" s="52"/>
      <c r="K26" s="115" t="s">
        <v>117</v>
      </c>
      <c r="L26" s="146"/>
      <c r="M26" s="146" t="s">
        <v>104</v>
      </c>
      <c r="N26" s="144" t="str">
        <f t="shared" si="1"/>
        <v>CNY19MOIS</v>
      </c>
      <c r="O26" s="144" t="str">
        <v>CNY19MOIS=ICAA</v>
      </c>
      <c r="P26" s="109" t="s">
        <v>135</v>
      </c>
      <c r="Q26" s="109" t="s">
        <v>135</v>
      </c>
      <c r="R26" s="109" t="s">
        <v>135</v>
      </c>
      <c r="S26" s="109" t="s">
        <v>135</v>
      </c>
      <c r="T26" s="113" t="e">
        <f>_xll.qlMidEquivalent($P26,$Q26,$R26,$S26)</f>
        <v>#NUM!</v>
      </c>
      <c r="U26" s="111"/>
      <c r="V26" s="112" t="e">
        <v>#NUM!</v>
      </c>
      <c r="W26" s="111"/>
      <c r="X26" s="162" t="e">
        <v>#NUM!</v>
      </c>
      <c r="Y26" s="108" t="e">
        <f>_xll.qlSimpleQuoteSetValue(F26,X26/100,Trigger)</f>
        <v>#NUM!</v>
      </c>
      <c r="Z26" s="98"/>
    </row>
    <row r="27" spans="1:26" ht="11.25" customHeight="1" x14ac:dyDescent="0.2">
      <c r="A27" s="52"/>
      <c r="B27" s="83"/>
      <c r="C27" s="83" t="s">
        <v>104</v>
      </c>
      <c r="D27" s="248" t="s">
        <v>116</v>
      </c>
      <c r="E27" s="99" t="str">
        <f t="shared" si="0"/>
        <v>CNYOIS20M_Quote</v>
      </c>
      <c r="F27" s="99" t="str">
        <f>_xll.qlSimpleQuote(Currency&amp;$B27&amp;$C27&amp;$D27&amp;QuoteSuffix,,RateTickValue,Permanent,Trigger,ObjectOverwrite)</f>
        <v>CNYOIS20M_Quote#0003</v>
      </c>
      <c r="G27" s="20" t="str">
        <f>_xll.ohRangeRetrieveError(F27)</f>
        <v/>
      </c>
      <c r="H27" s="19"/>
      <c r="J27" s="52"/>
      <c r="K27" s="115" t="s">
        <v>116</v>
      </c>
      <c r="L27" s="146"/>
      <c r="M27" s="146" t="s">
        <v>104</v>
      </c>
      <c r="N27" s="144" t="str">
        <f t="shared" si="1"/>
        <v>CNY20MOIS</v>
      </c>
      <c r="O27" s="144" t="str">
        <v>CNY20MOIS=ICAA</v>
      </c>
      <c r="P27" s="109" t="s">
        <v>135</v>
      </c>
      <c r="Q27" s="109" t="s">
        <v>135</v>
      </c>
      <c r="R27" s="109" t="s">
        <v>135</v>
      </c>
      <c r="S27" s="109" t="s">
        <v>135</v>
      </c>
      <c r="T27" s="113" t="e">
        <f>_xll.qlMidEquivalent($P27,$Q27,$R27,$S27)</f>
        <v>#NUM!</v>
      </c>
      <c r="U27" s="111"/>
      <c r="V27" s="112" t="e">
        <v>#NUM!</v>
      </c>
      <c r="W27" s="111"/>
      <c r="X27" s="162" t="e">
        <v>#NUM!</v>
      </c>
      <c r="Y27" s="108" t="e">
        <f>_xll.qlSimpleQuoteSetValue(F27,X27/100,Trigger)</f>
        <v>#NUM!</v>
      </c>
      <c r="Z27" s="98"/>
    </row>
    <row r="28" spans="1:26" ht="11.25" customHeight="1" x14ac:dyDescent="0.2">
      <c r="A28" s="52"/>
      <c r="B28" s="83"/>
      <c r="C28" s="83" t="s">
        <v>104</v>
      </c>
      <c r="D28" s="248" t="s">
        <v>67</v>
      </c>
      <c r="E28" s="99" t="str">
        <f t="shared" si="0"/>
        <v>CNYOIS21M_Quote</v>
      </c>
      <c r="F28" s="99" t="str">
        <f>_xll.qlSimpleQuote(Currency&amp;$B28&amp;$C28&amp;$D28&amp;QuoteSuffix,,RateTickValue,Permanent,Trigger,ObjectOverwrite)</f>
        <v>CNYOIS21M_Quote#0003</v>
      </c>
      <c r="G28" s="20" t="str">
        <f>_xll.ohRangeRetrieveError(F28)</f>
        <v/>
      </c>
      <c r="H28" s="19"/>
      <c r="J28" s="52"/>
      <c r="K28" s="115" t="s">
        <v>67</v>
      </c>
      <c r="L28" s="146"/>
      <c r="M28" s="146" t="s">
        <v>104</v>
      </c>
      <c r="N28" s="144" t="str">
        <f t="shared" si="1"/>
        <v>CNY21MOIS</v>
      </c>
      <c r="O28" s="144" t="str">
        <v>CNY21MOIS=ICAA</v>
      </c>
      <c r="P28" s="109" t="s">
        <v>135</v>
      </c>
      <c r="Q28" s="109" t="s">
        <v>135</v>
      </c>
      <c r="R28" s="109" t="s">
        <v>135</v>
      </c>
      <c r="S28" s="109" t="s">
        <v>135</v>
      </c>
      <c r="T28" s="113" t="e">
        <f>_xll.qlMidEquivalent($P28,$Q28,$R28,$S28)</f>
        <v>#NUM!</v>
      </c>
      <c r="U28" s="111"/>
      <c r="V28" s="112" t="e">
        <v>#NUM!</v>
      </c>
      <c r="W28" s="111"/>
      <c r="X28" s="162" t="e">
        <v>#NUM!</v>
      </c>
      <c r="Y28" s="108" t="e">
        <f>_xll.qlSimpleQuoteSetValue(F28,X28/100,Trigger)</f>
        <v>#NUM!</v>
      </c>
      <c r="Z28" s="98"/>
    </row>
    <row r="29" spans="1:26" ht="11.25" customHeight="1" x14ac:dyDescent="0.2">
      <c r="A29" s="52"/>
      <c r="B29" s="83"/>
      <c r="C29" s="83" t="s">
        <v>104</v>
      </c>
      <c r="D29" s="248" t="s">
        <v>115</v>
      </c>
      <c r="E29" s="99" t="str">
        <f t="shared" si="0"/>
        <v>CNYOIS22M_Quote</v>
      </c>
      <c r="F29" s="99" t="str">
        <f>_xll.qlSimpleQuote(Currency&amp;$B29&amp;$C29&amp;$D29&amp;QuoteSuffix,,RateTickValue,Permanent,Trigger,ObjectOverwrite)</f>
        <v>CNYOIS22M_Quote#0003</v>
      </c>
      <c r="G29" s="20" t="str">
        <f>_xll.ohRangeRetrieveError(F29)</f>
        <v/>
      </c>
      <c r="H29" s="19"/>
      <c r="J29" s="52"/>
      <c r="K29" s="115" t="s">
        <v>115</v>
      </c>
      <c r="L29" s="146"/>
      <c r="M29" s="146" t="s">
        <v>104</v>
      </c>
      <c r="N29" s="144" t="str">
        <f t="shared" si="1"/>
        <v>CNY22MOIS</v>
      </c>
      <c r="O29" s="144" t="str">
        <v>CNY22MOIS=ICAA</v>
      </c>
      <c r="P29" s="109" t="s">
        <v>135</v>
      </c>
      <c r="Q29" s="109" t="s">
        <v>135</v>
      </c>
      <c r="R29" s="109" t="s">
        <v>135</v>
      </c>
      <c r="S29" s="109" t="s">
        <v>135</v>
      </c>
      <c r="T29" s="113" t="e">
        <f>_xll.qlMidEquivalent($P29,$Q29,$R29,$S29)</f>
        <v>#NUM!</v>
      </c>
      <c r="U29" s="111"/>
      <c r="V29" s="112" t="e">
        <v>#NUM!</v>
      </c>
      <c r="W29" s="111"/>
      <c r="X29" s="162" t="e">
        <v>#NUM!</v>
      </c>
      <c r="Y29" s="108" t="e">
        <f>_xll.qlSimpleQuoteSetValue(F29,X29/100,Trigger)</f>
        <v>#NUM!</v>
      </c>
      <c r="Z29" s="98"/>
    </row>
    <row r="30" spans="1:26" ht="11.25" customHeight="1" x14ac:dyDescent="0.2">
      <c r="A30" s="52"/>
      <c r="B30" s="83"/>
      <c r="C30" s="83" t="s">
        <v>104</v>
      </c>
      <c r="D30" s="248" t="s">
        <v>114</v>
      </c>
      <c r="E30" s="99" t="str">
        <f t="shared" si="0"/>
        <v>CNYOIS23M_Quote</v>
      </c>
      <c r="F30" s="99" t="str">
        <f>_xll.qlSimpleQuote(Currency&amp;$B30&amp;$C30&amp;$D30&amp;QuoteSuffix,,RateTickValue,Permanent,Trigger,ObjectOverwrite)</f>
        <v>CNYOIS23M_Quote#0003</v>
      </c>
      <c r="G30" s="20" t="str">
        <f>_xll.ohRangeRetrieveError(F30)</f>
        <v/>
      </c>
      <c r="H30" s="19"/>
      <c r="J30" s="52"/>
      <c r="K30" s="115" t="s">
        <v>114</v>
      </c>
      <c r="L30" s="146"/>
      <c r="M30" s="146" t="s">
        <v>104</v>
      </c>
      <c r="N30" s="144" t="str">
        <f t="shared" si="1"/>
        <v>CNY23MOIS</v>
      </c>
      <c r="O30" s="144" t="str">
        <v>CNY23MOIS=ICAA</v>
      </c>
      <c r="P30" s="109" t="s">
        <v>135</v>
      </c>
      <c r="Q30" s="109" t="s">
        <v>135</v>
      </c>
      <c r="R30" s="109" t="s">
        <v>135</v>
      </c>
      <c r="S30" s="109" t="s">
        <v>135</v>
      </c>
      <c r="T30" s="113" t="e">
        <f>_xll.qlMidEquivalent($P30,$Q30,$R30,$S30)</f>
        <v>#NUM!</v>
      </c>
      <c r="U30" s="111"/>
      <c r="V30" s="112" t="e">
        <v>#NUM!</v>
      </c>
      <c r="W30" s="111"/>
      <c r="X30" s="162" t="e">
        <v>#NUM!</v>
      </c>
      <c r="Y30" s="108" t="e">
        <f>_xll.qlSimpleQuoteSetValue(F30,X30/100,Trigger)</f>
        <v>#NUM!</v>
      </c>
      <c r="Z30" s="98"/>
    </row>
    <row r="31" spans="1:26" ht="11.25" customHeight="1" x14ac:dyDescent="0.2">
      <c r="A31" s="52"/>
      <c r="B31" s="83"/>
      <c r="C31" s="83" t="s">
        <v>104</v>
      </c>
      <c r="D31" s="248" t="s">
        <v>58</v>
      </c>
      <c r="E31" s="99" t="str">
        <f t="shared" si="0"/>
        <v>CNYOIS2Y_Quote</v>
      </c>
      <c r="F31" s="99" t="str">
        <f>_xll.qlSimpleQuote(Currency&amp;$B31&amp;$C31&amp;$D31&amp;QuoteSuffix,,RateTickValue,Permanent,Trigger,ObjectOverwrite)</f>
        <v>CNYOIS2Y_Quote#0003</v>
      </c>
      <c r="G31" s="20" t="str">
        <f>_xll.ohRangeRetrieveError(F31)</f>
        <v/>
      </c>
      <c r="H31" s="19"/>
      <c r="J31" s="52"/>
      <c r="K31" s="115" t="s">
        <v>58</v>
      </c>
      <c r="L31" s="146"/>
      <c r="M31" s="146" t="s">
        <v>104</v>
      </c>
      <c r="N31" s="144" t="str">
        <f t="shared" si="1"/>
        <v>CNY2YOIS</v>
      </c>
      <c r="O31" s="144" t="str">
        <v>CNY2YOIS=ICAA</v>
      </c>
      <c r="P31" s="109" t="s">
        <v>135</v>
      </c>
      <c r="Q31" s="109" t="s">
        <v>135</v>
      </c>
      <c r="R31" s="109" t="s">
        <v>135</v>
      </c>
      <c r="S31" s="109" t="s">
        <v>135</v>
      </c>
      <c r="T31" s="113" t="e">
        <f>_xll.qlMidEquivalent($P31,$Q31,$R31,$S31)</f>
        <v>#NUM!</v>
      </c>
      <c r="U31" s="111"/>
      <c r="V31" s="112">
        <v>2.7250000000000001</v>
      </c>
      <c r="W31" s="111"/>
      <c r="X31" s="162" t="e">
        <v>#NUM!</v>
      </c>
      <c r="Y31" s="108" t="e">
        <f>_xll.qlSimpleQuoteSetValue(F31,X31/100,Trigger)</f>
        <v>#NUM!</v>
      </c>
      <c r="Z31" s="98"/>
    </row>
    <row r="32" spans="1:26" ht="11.25" customHeight="1" x14ac:dyDescent="0.2">
      <c r="A32" s="52"/>
      <c r="B32" s="83"/>
      <c r="C32" s="83" t="s">
        <v>104</v>
      </c>
      <c r="D32" s="248" t="s">
        <v>113</v>
      </c>
      <c r="E32" s="99" t="str">
        <f t="shared" si="0"/>
        <v>CNYOIS27M_Quote</v>
      </c>
      <c r="F32" s="99" t="str">
        <f>_xll.qlSimpleQuote(Currency&amp;$B32&amp;$C32&amp;$D32&amp;QuoteSuffix,,RateTickValue,Permanent,Trigger,ObjectOverwrite)</f>
        <v>CNYOIS27M_Quote#0003</v>
      </c>
      <c r="G32" s="20" t="str">
        <f>_xll.ohRangeRetrieveError(F32)</f>
        <v/>
      </c>
      <c r="H32" s="19"/>
      <c r="J32" s="52"/>
      <c r="K32" s="115" t="s">
        <v>113</v>
      </c>
      <c r="L32" s="146"/>
      <c r="M32" s="146" t="s">
        <v>104</v>
      </c>
      <c r="N32" s="144" t="str">
        <f t="shared" si="1"/>
        <v>CNY27MOIS</v>
      </c>
      <c r="O32" s="144" t="str">
        <v>CNY27MOIS=ICAA</v>
      </c>
      <c r="P32" s="109" t="s">
        <v>135</v>
      </c>
      <c r="Q32" s="109" t="s">
        <v>135</v>
      </c>
      <c r="R32" s="109" t="s">
        <v>135</v>
      </c>
      <c r="S32" s="109" t="s">
        <v>135</v>
      </c>
      <c r="T32" s="113" t="e">
        <f>_xll.qlMidEquivalent($P32,$Q32,$R32,$S32)</f>
        <v>#NUM!</v>
      </c>
      <c r="U32" s="111"/>
      <c r="V32" s="112" t="e">
        <v>#NUM!</v>
      </c>
      <c r="W32" s="111"/>
      <c r="X32" s="162" t="e">
        <v>#NUM!</v>
      </c>
      <c r="Y32" s="108" t="e">
        <f>_xll.qlSimpleQuoteSetValue(F32,X32/100,Trigger)</f>
        <v>#NUM!</v>
      </c>
      <c r="Z32" s="98"/>
    </row>
    <row r="33" spans="1:26" ht="11.25" customHeight="1" x14ac:dyDescent="0.2">
      <c r="A33" s="52"/>
      <c r="B33" s="83"/>
      <c r="C33" s="83" t="s">
        <v>104</v>
      </c>
      <c r="D33" s="248" t="s">
        <v>112</v>
      </c>
      <c r="E33" s="99" t="str">
        <f t="shared" si="0"/>
        <v>CNYOIS30M_Quote</v>
      </c>
      <c r="F33" s="99" t="str">
        <f>_xll.qlSimpleQuote(Currency&amp;$B33&amp;$C33&amp;$D33&amp;QuoteSuffix,,RateTickValue,Permanent,Trigger,ObjectOverwrite)</f>
        <v>CNYOIS30M_Quote#0003</v>
      </c>
      <c r="G33" s="20" t="str">
        <f>_xll.ohRangeRetrieveError(F33)</f>
        <v/>
      </c>
      <c r="H33" s="19"/>
      <c r="J33" s="52"/>
      <c r="K33" s="115" t="s">
        <v>112</v>
      </c>
      <c r="L33" s="146"/>
      <c r="M33" s="146" t="s">
        <v>104</v>
      </c>
      <c r="N33" s="144" t="str">
        <f t="shared" si="1"/>
        <v>CNY30MOIS</v>
      </c>
      <c r="O33" s="144" t="str">
        <v>CNY30MOIS=ICAA</v>
      </c>
      <c r="P33" s="109" t="s">
        <v>135</v>
      </c>
      <c r="Q33" s="109" t="s">
        <v>135</v>
      </c>
      <c r="R33" s="109" t="s">
        <v>135</v>
      </c>
      <c r="S33" s="109" t="s">
        <v>135</v>
      </c>
      <c r="T33" s="113" t="e">
        <f>_xll.qlMidEquivalent($P33,$Q33,$R33,$S33)</f>
        <v>#NUM!</v>
      </c>
      <c r="U33" s="111"/>
      <c r="V33" s="112" t="e">
        <v>#NUM!</v>
      </c>
      <c r="W33" s="111"/>
      <c r="X33" s="162" t="e">
        <v>#NUM!</v>
      </c>
      <c r="Y33" s="108" t="e">
        <f>_xll.qlSimpleQuoteSetValue(F33,X33/100,Trigger)</f>
        <v>#NUM!</v>
      </c>
      <c r="Z33" s="98"/>
    </row>
    <row r="34" spans="1:26" ht="11.25" customHeight="1" x14ac:dyDescent="0.2">
      <c r="A34" s="52"/>
      <c r="B34" s="83"/>
      <c r="C34" s="83" t="s">
        <v>104</v>
      </c>
      <c r="D34" s="248" t="s">
        <v>111</v>
      </c>
      <c r="E34" s="99" t="str">
        <f t="shared" si="0"/>
        <v>CNYOIS33M_Quote</v>
      </c>
      <c r="F34" s="99" t="str">
        <f>_xll.qlSimpleQuote(Currency&amp;$B34&amp;$C34&amp;$D34&amp;QuoteSuffix,,RateTickValue,Permanent,Trigger,ObjectOverwrite)</f>
        <v>CNYOIS33M_Quote#0003</v>
      </c>
      <c r="G34" s="20" t="str">
        <f>_xll.ohRangeRetrieveError(F34)</f>
        <v/>
      </c>
      <c r="H34" s="19"/>
      <c r="J34" s="52"/>
      <c r="K34" s="115" t="s">
        <v>111</v>
      </c>
      <c r="L34" s="146"/>
      <c r="M34" s="146" t="s">
        <v>104</v>
      </c>
      <c r="N34" s="144" t="str">
        <f t="shared" si="1"/>
        <v>CNY33MOIS</v>
      </c>
      <c r="O34" s="144" t="str">
        <v>CNY33MOIS=ICAA</v>
      </c>
      <c r="P34" s="109" t="s">
        <v>135</v>
      </c>
      <c r="Q34" s="109" t="s">
        <v>135</v>
      </c>
      <c r="R34" s="109" t="s">
        <v>135</v>
      </c>
      <c r="S34" s="109" t="s">
        <v>135</v>
      </c>
      <c r="T34" s="113" t="e">
        <f>_xll.qlMidEquivalent($P34,$Q34,$R34,$S34)</f>
        <v>#NUM!</v>
      </c>
      <c r="U34" s="111"/>
      <c r="V34" s="112" t="e">
        <v>#NUM!</v>
      </c>
      <c r="W34" s="111"/>
      <c r="X34" s="162" t="e">
        <v>#NUM!</v>
      </c>
      <c r="Y34" s="108" t="e">
        <f>_xll.qlSimpleQuoteSetValue(F34,X34/100,Trigger)</f>
        <v>#NUM!</v>
      </c>
      <c r="Z34" s="98"/>
    </row>
    <row r="35" spans="1:26" ht="11.25" customHeight="1" x14ac:dyDescent="0.2">
      <c r="A35" s="52"/>
      <c r="B35" s="83"/>
      <c r="C35" s="83" t="s">
        <v>104</v>
      </c>
      <c r="D35" s="248" t="s">
        <v>57</v>
      </c>
      <c r="E35" s="99" t="str">
        <f t="shared" si="0"/>
        <v>CNYOIS3Y_Quote</v>
      </c>
      <c r="F35" s="99" t="str">
        <f>_xll.qlSimpleQuote(Currency&amp;$B35&amp;$C35&amp;$D35&amp;QuoteSuffix,,RateTickValue,Permanent,Trigger,ObjectOverwrite)</f>
        <v>CNYOIS3Y_Quote#0003</v>
      </c>
      <c r="G35" s="20" t="str">
        <f>_xll.ohRangeRetrieveError(F35)</f>
        <v/>
      </c>
      <c r="H35" s="19"/>
      <c r="J35" s="52"/>
      <c r="K35" s="115" t="s">
        <v>57</v>
      </c>
      <c r="L35" s="146"/>
      <c r="M35" s="146" t="s">
        <v>104</v>
      </c>
      <c r="N35" s="144" t="str">
        <f t="shared" si="1"/>
        <v>CNY3YOIS</v>
      </c>
      <c r="O35" s="144" t="str">
        <v>CNY3YOIS=ICAA</v>
      </c>
      <c r="P35" s="109" t="s">
        <v>135</v>
      </c>
      <c r="Q35" s="109" t="s">
        <v>135</v>
      </c>
      <c r="R35" s="109" t="s">
        <v>135</v>
      </c>
      <c r="S35" s="109" t="s">
        <v>135</v>
      </c>
      <c r="T35" s="113" t="e">
        <f>_xll.qlMidEquivalent($P35,$Q35,$R35,$S35)</f>
        <v>#NUM!</v>
      </c>
      <c r="U35" s="111"/>
      <c r="V35" s="112">
        <v>2.9550000000000001</v>
      </c>
      <c r="W35" s="111"/>
      <c r="X35" s="162" t="e">
        <v>#NUM!</v>
      </c>
      <c r="Y35" s="108" t="e">
        <f>_xll.qlSimpleQuoteSetValue(F35,X35/100,Trigger)</f>
        <v>#NUM!</v>
      </c>
      <c r="Z35" s="98"/>
    </row>
    <row r="36" spans="1:26" ht="11.25" customHeight="1" x14ac:dyDescent="0.2">
      <c r="A36" s="52"/>
      <c r="B36" s="83"/>
      <c r="C36" s="83" t="s">
        <v>104</v>
      </c>
      <c r="D36" s="248" t="s">
        <v>110</v>
      </c>
      <c r="E36" s="99" t="str">
        <f t="shared" si="0"/>
        <v>CNYOIS39M_Quote</v>
      </c>
      <c r="F36" s="99" t="str">
        <f>_xll.qlSimpleQuote(Currency&amp;$B36&amp;$C36&amp;$D36&amp;QuoteSuffix,,RateTickValue,Permanent,Trigger,ObjectOverwrite)</f>
        <v>CNYOIS39M_Quote#0003</v>
      </c>
      <c r="G36" s="20" t="str">
        <f>_xll.ohRangeRetrieveError(F36)</f>
        <v/>
      </c>
      <c r="H36" s="19"/>
      <c r="J36" s="52"/>
      <c r="K36" s="115" t="s">
        <v>110</v>
      </c>
      <c r="L36" s="146"/>
      <c r="M36" s="146" t="s">
        <v>104</v>
      </c>
      <c r="N36" s="144" t="str">
        <f t="shared" si="1"/>
        <v>CNY39MOIS</v>
      </c>
      <c r="O36" s="144" t="str">
        <v>CNY39MOIS=ICAA</v>
      </c>
      <c r="P36" s="109" t="s">
        <v>135</v>
      </c>
      <c r="Q36" s="109" t="s">
        <v>135</v>
      </c>
      <c r="R36" s="109" t="s">
        <v>135</v>
      </c>
      <c r="S36" s="109" t="s">
        <v>135</v>
      </c>
      <c r="T36" s="113" t="e">
        <f>_xll.qlMidEquivalent($P36,$Q36,$R36,$S36)</f>
        <v>#NUM!</v>
      </c>
      <c r="U36" s="111"/>
      <c r="V36" s="112" t="e">
        <v>#NUM!</v>
      </c>
      <c r="W36" s="111"/>
      <c r="X36" s="162" t="e">
        <v>#NUM!</v>
      </c>
      <c r="Y36" s="108" t="e">
        <f>_xll.qlSimpleQuoteSetValue(F36,X36/100,Trigger)</f>
        <v>#NUM!</v>
      </c>
      <c r="Z36" s="98"/>
    </row>
    <row r="37" spans="1:26" ht="11.25" customHeight="1" x14ac:dyDescent="0.2">
      <c r="A37" s="52"/>
      <c r="B37" s="83"/>
      <c r="C37" s="83" t="s">
        <v>104</v>
      </c>
      <c r="D37" s="248" t="s">
        <v>109</v>
      </c>
      <c r="E37" s="99" t="str">
        <f t="shared" ref="E37:E58" si="2">Currency&amp;$B37&amp;$C37&amp;$D37&amp;QuoteSuffix</f>
        <v>CNYOIS42M_Quote</v>
      </c>
      <c r="F37" s="99" t="str">
        <f>_xll.qlSimpleQuote(Currency&amp;$B37&amp;$C37&amp;$D37&amp;QuoteSuffix,,RateTickValue,Permanent,Trigger,ObjectOverwrite)</f>
        <v>CNYOIS42M_Quote#0003</v>
      </c>
      <c r="G37" s="20" t="str">
        <f>_xll.ohRangeRetrieveError(F37)</f>
        <v/>
      </c>
      <c r="H37" s="19"/>
      <c r="J37" s="52"/>
      <c r="K37" s="115" t="s">
        <v>109</v>
      </c>
      <c r="L37" s="146"/>
      <c r="M37" s="146" t="s">
        <v>104</v>
      </c>
      <c r="N37" s="144" t="str">
        <f t="shared" ref="N37:N58" si="3">Currency&amp;$K37&amp;$L37&amp;$M37</f>
        <v>CNY42MOIS</v>
      </c>
      <c r="O37" s="144" t="str">
        <v>CNY42MOIS=ICAA</v>
      </c>
      <c r="P37" s="109" t="s">
        <v>135</v>
      </c>
      <c r="Q37" s="109" t="s">
        <v>135</v>
      </c>
      <c r="R37" s="109" t="s">
        <v>135</v>
      </c>
      <c r="S37" s="109" t="s">
        <v>135</v>
      </c>
      <c r="T37" s="113" t="e">
        <f>_xll.qlMidEquivalent($P37,$Q37,$R37,$S37)</f>
        <v>#NUM!</v>
      </c>
      <c r="U37" s="111"/>
      <c r="V37" s="112" t="e">
        <v>#NUM!</v>
      </c>
      <c r="W37" s="111"/>
      <c r="X37" s="162" t="e">
        <v>#NUM!</v>
      </c>
      <c r="Y37" s="108" t="e">
        <f>_xll.qlSimpleQuoteSetValue(F37,X37/100,Trigger)</f>
        <v>#NUM!</v>
      </c>
      <c r="Z37" s="98"/>
    </row>
    <row r="38" spans="1:26" ht="11.25" customHeight="1" x14ac:dyDescent="0.2">
      <c r="A38" s="52"/>
      <c r="B38" s="83"/>
      <c r="C38" s="83" t="s">
        <v>104</v>
      </c>
      <c r="D38" s="248" t="s">
        <v>108</v>
      </c>
      <c r="E38" s="99" t="str">
        <f t="shared" si="2"/>
        <v>CNYOIS45M_Quote</v>
      </c>
      <c r="F38" s="99" t="str">
        <f>_xll.qlSimpleQuote(Currency&amp;$B38&amp;$C38&amp;$D38&amp;QuoteSuffix,,RateTickValue,Permanent,Trigger,ObjectOverwrite)</f>
        <v>CNYOIS45M_Quote#0003</v>
      </c>
      <c r="G38" s="20" t="str">
        <f>_xll.ohRangeRetrieveError(F38)</f>
        <v/>
      </c>
      <c r="H38" s="19"/>
      <c r="J38" s="52"/>
      <c r="K38" s="115" t="s">
        <v>108</v>
      </c>
      <c r="L38" s="146"/>
      <c r="M38" s="146" t="s">
        <v>104</v>
      </c>
      <c r="N38" s="144" t="str">
        <f t="shared" si="3"/>
        <v>CNY45MOIS</v>
      </c>
      <c r="O38" s="144" t="str">
        <v>CNY45MOIS=ICAA</v>
      </c>
      <c r="P38" s="109" t="s">
        <v>135</v>
      </c>
      <c r="Q38" s="109" t="s">
        <v>135</v>
      </c>
      <c r="R38" s="109" t="s">
        <v>135</v>
      </c>
      <c r="S38" s="109" t="s">
        <v>135</v>
      </c>
      <c r="T38" s="113" t="e">
        <f>_xll.qlMidEquivalent($P38,$Q38,$R38,$S38)</f>
        <v>#NUM!</v>
      </c>
      <c r="U38" s="111"/>
      <c r="V38" s="112" t="e">
        <v>#NUM!</v>
      </c>
      <c r="W38" s="111"/>
      <c r="X38" s="162" t="e">
        <v>#NUM!</v>
      </c>
      <c r="Y38" s="108" t="e">
        <f>_xll.qlSimpleQuoteSetValue(F38,X38/100,Trigger)</f>
        <v>#NUM!</v>
      </c>
      <c r="Z38" s="98"/>
    </row>
    <row r="39" spans="1:26" ht="11.25" customHeight="1" x14ac:dyDescent="0.2">
      <c r="A39" s="52"/>
      <c r="B39" s="83"/>
      <c r="C39" s="83" t="s">
        <v>104</v>
      </c>
      <c r="D39" s="248" t="s">
        <v>56</v>
      </c>
      <c r="E39" s="99" t="str">
        <f t="shared" si="2"/>
        <v>CNYOIS4Y_Quote</v>
      </c>
      <c r="F39" s="99" t="str">
        <f>_xll.qlSimpleQuote(Currency&amp;$B39&amp;$C39&amp;$D39&amp;QuoteSuffix,,RateTickValue,Permanent,Trigger,ObjectOverwrite)</f>
        <v>CNYOIS4Y_Quote#0003</v>
      </c>
      <c r="G39" s="20" t="str">
        <f>_xll.ohRangeRetrieveError(F39)</f>
        <v/>
      </c>
      <c r="H39" s="19"/>
      <c r="J39" s="52"/>
      <c r="K39" s="115" t="s">
        <v>56</v>
      </c>
      <c r="L39" s="146"/>
      <c r="M39" s="146" t="s">
        <v>104</v>
      </c>
      <c r="N39" s="144" t="str">
        <f t="shared" si="3"/>
        <v>CNY4YOIS</v>
      </c>
      <c r="O39" s="144" t="str">
        <v>CNY4YOIS=ICAA</v>
      </c>
      <c r="P39" s="109" t="s">
        <v>135</v>
      </c>
      <c r="Q39" s="109" t="s">
        <v>135</v>
      </c>
      <c r="R39" s="109" t="s">
        <v>135</v>
      </c>
      <c r="S39" s="109" t="s">
        <v>135</v>
      </c>
      <c r="T39" s="113" t="e">
        <f>_xll.qlMidEquivalent($P39,$Q39,$R39,$S39)</f>
        <v>#NUM!</v>
      </c>
      <c r="U39" s="111"/>
      <c r="V39" s="112" t="e">
        <v>#NUM!</v>
      </c>
      <c r="W39" s="111"/>
      <c r="X39" s="162" t="e">
        <v>#NUM!</v>
      </c>
      <c r="Y39" s="108" t="e">
        <f>_xll.qlSimpleQuoteSetValue(F39,X39/100,Trigger)</f>
        <v>#NUM!</v>
      </c>
      <c r="Z39" s="98"/>
    </row>
    <row r="40" spans="1:26" ht="11.25" customHeight="1" x14ac:dyDescent="0.2">
      <c r="A40" s="52"/>
      <c r="B40" s="83"/>
      <c r="C40" s="83" t="s">
        <v>104</v>
      </c>
      <c r="D40" s="248" t="s">
        <v>107</v>
      </c>
      <c r="E40" s="99" t="str">
        <f t="shared" si="2"/>
        <v>CNYOIS51M_Quote</v>
      </c>
      <c r="F40" s="99" t="str">
        <f>_xll.qlSimpleQuote(Currency&amp;$B40&amp;$C40&amp;$D40&amp;QuoteSuffix,,RateTickValue,Permanent,Trigger,ObjectOverwrite)</f>
        <v>CNYOIS51M_Quote#0003</v>
      </c>
      <c r="G40" s="20" t="str">
        <f>_xll.ohRangeRetrieveError(F40)</f>
        <v/>
      </c>
      <c r="H40" s="19"/>
      <c r="J40" s="52"/>
      <c r="K40" s="115" t="s">
        <v>107</v>
      </c>
      <c r="L40" s="146"/>
      <c r="M40" s="146" t="s">
        <v>104</v>
      </c>
      <c r="N40" s="144" t="str">
        <f t="shared" si="3"/>
        <v>CNY51MOIS</v>
      </c>
      <c r="O40" s="144" t="str">
        <v>CNY51MOIS=ICAA</v>
      </c>
      <c r="P40" s="109" t="s">
        <v>135</v>
      </c>
      <c r="Q40" s="109" t="s">
        <v>135</v>
      </c>
      <c r="R40" s="109" t="s">
        <v>135</v>
      </c>
      <c r="S40" s="109" t="s">
        <v>135</v>
      </c>
      <c r="T40" s="113" t="e">
        <f>_xll.qlMidEquivalent($P40,$Q40,$R40,$S40)</f>
        <v>#NUM!</v>
      </c>
      <c r="U40" s="111"/>
      <c r="V40" s="112" t="e">
        <v>#NUM!</v>
      </c>
      <c r="W40" s="111"/>
      <c r="X40" s="162" t="e">
        <v>#NUM!</v>
      </c>
      <c r="Y40" s="108" t="e">
        <f>_xll.qlSimpleQuoteSetValue(F40,X40/100,Trigger)</f>
        <v>#NUM!</v>
      </c>
      <c r="Z40" s="98"/>
    </row>
    <row r="41" spans="1:26" ht="11.25" customHeight="1" x14ac:dyDescent="0.2">
      <c r="A41" s="52"/>
      <c r="B41" s="83"/>
      <c r="C41" s="83" t="s">
        <v>104</v>
      </c>
      <c r="D41" s="248" t="s">
        <v>106</v>
      </c>
      <c r="E41" s="99" t="str">
        <f t="shared" si="2"/>
        <v>CNYOIS54M_Quote</v>
      </c>
      <c r="F41" s="99" t="str">
        <f>_xll.qlSimpleQuote(Currency&amp;$B41&amp;$C41&amp;$D41&amp;QuoteSuffix,,RateTickValue,Permanent,Trigger,ObjectOverwrite)</f>
        <v>CNYOIS54M_Quote#0003</v>
      </c>
      <c r="G41" s="20" t="str">
        <f>_xll.ohRangeRetrieveError(F41)</f>
        <v/>
      </c>
      <c r="H41" s="19"/>
      <c r="J41" s="52"/>
      <c r="K41" s="115" t="s">
        <v>106</v>
      </c>
      <c r="L41" s="146"/>
      <c r="M41" s="146" t="s">
        <v>104</v>
      </c>
      <c r="N41" s="144" t="str">
        <f t="shared" si="3"/>
        <v>CNY54MOIS</v>
      </c>
      <c r="O41" s="144" t="str">
        <v>CNY54MOIS=ICAA</v>
      </c>
      <c r="P41" s="109" t="s">
        <v>135</v>
      </c>
      <c r="Q41" s="109" t="s">
        <v>135</v>
      </c>
      <c r="R41" s="109" t="s">
        <v>135</v>
      </c>
      <c r="S41" s="109" t="s">
        <v>135</v>
      </c>
      <c r="T41" s="113" t="e">
        <f>_xll.qlMidEquivalent($P41,$Q41,$R41,$S41)</f>
        <v>#NUM!</v>
      </c>
      <c r="U41" s="111"/>
      <c r="V41" s="112" t="e">
        <v>#NUM!</v>
      </c>
      <c r="W41" s="111"/>
      <c r="X41" s="162" t="e">
        <v>#NUM!</v>
      </c>
      <c r="Y41" s="108" t="e">
        <f>_xll.qlSimpleQuoteSetValue(F41,X41/100,Trigger)</f>
        <v>#NUM!</v>
      </c>
      <c r="Z41" s="98"/>
    </row>
    <row r="42" spans="1:26" ht="11.25" customHeight="1" x14ac:dyDescent="0.2">
      <c r="A42" s="52"/>
      <c r="B42" s="83"/>
      <c r="C42" s="83" t="s">
        <v>104</v>
      </c>
      <c r="D42" s="248" t="s">
        <v>105</v>
      </c>
      <c r="E42" s="99" t="str">
        <f t="shared" si="2"/>
        <v>CNYOIS57M_Quote</v>
      </c>
      <c r="F42" s="99" t="str">
        <f>_xll.qlSimpleQuote(Currency&amp;$B42&amp;$C42&amp;$D42&amp;QuoteSuffix,,RateTickValue,Permanent,Trigger,ObjectOverwrite)</f>
        <v>CNYOIS57M_Quote#0003</v>
      </c>
      <c r="G42" s="20" t="str">
        <f>_xll.ohRangeRetrieveError(F42)</f>
        <v/>
      </c>
      <c r="H42" s="19"/>
      <c r="J42" s="52"/>
      <c r="K42" s="115" t="s">
        <v>105</v>
      </c>
      <c r="L42" s="146"/>
      <c r="M42" s="146" t="s">
        <v>104</v>
      </c>
      <c r="N42" s="144" t="str">
        <f t="shared" si="3"/>
        <v>CNY57MOIS</v>
      </c>
      <c r="O42" s="144" t="str">
        <v>CNY57MOIS=ICAA</v>
      </c>
      <c r="P42" s="109" t="s">
        <v>135</v>
      </c>
      <c r="Q42" s="109" t="s">
        <v>135</v>
      </c>
      <c r="R42" s="109" t="s">
        <v>135</v>
      </c>
      <c r="S42" s="109" t="s">
        <v>135</v>
      </c>
      <c r="T42" s="113" t="e">
        <f>_xll.qlMidEquivalent($P42,$Q42,$R42,$S42)</f>
        <v>#NUM!</v>
      </c>
      <c r="U42" s="111"/>
      <c r="V42" s="112" t="e">
        <v>#NUM!</v>
      </c>
      <c r="W42" s="111"/>
      <c r="X42" s="162" t="e">
        <v>#NUM!</v>
      </c>
      <c r="Y42" s="108" t="e">
        <f>_xll.qlSimpleQuoteSetValue(F42,X42/100,Trigger)</f>
        <v>#NUM!</v>
      </c>
      <c r="Z42" s="98"/>
    </row>
    <row r="43" spans="1:26" ht="11.25" customHeight="1" x14ac:dyDescent="0.2">
      <c r="A43" s="52"/>
      <c r="B43" s="83"/>
      <c r="C43" s="83" t="s">
        <v>104</v>
      </c>
      <c r="D43" s="248" t="s">
        <v>55</v>
      </c>
      <c r="E43" s="99" t="str">
        <f t="shared" si="2"/>
        <v>CNYOIS5Y_Quote</v>
      </c>
      <c r="F43" s="99" t="str">
        <f>_xll.qlSimpleQuote(Currency&amp;$B43&amp;$C43&amp;$D43&amp;QuoteSuffix,,RateTickValue,Permanent,Trigger,ObjectOverwrite)</f>
        <v>CNYOIS5Y_Quote#0003</v>
      </c>
      <c r="G43" s="20" t="str">
        <f>_xll.ohRangeRetrieveError(F43)</f>
        <v/>
      </c>
      <c r="H43" s="19"/>
      <c r="J43" s="52"/>
      <c r="K43" s="115" t="s">
        <v>55</v>
      </c>
      <c r="L43" s="146"/>
      <c r="M43" s="146" t="s">
        <v>104</v>
      </c>
      <c r="N43" s="144" t="str">
        <f t="shared" si="3"/>
        <v>CNY5YOIS</v>
      </c>
      <c r="O43" s="144" t="str">
        <v>CNY5YOIS=ICAA</v>
      </c>
      <c r="P43" s="109" t="s">
        <v>135</v>
      </c>
      <c r="Q43" s="109" t="s">
        <v>135</v>
      </c>
      <c r="R43" s="109" t="s">
        <v>135</v>
      </c>
      <c r="S43" s="109" t="s">
        <v>135</v>
      </c>
      <c r="T43" s="113" t="e">
        <f>_xll.qlMidEquivalent($P43,$Q43,$R43,$S43)</f>
        <v>#NUM!</v>
      </c>
      <c r="U43" s="111"/>
      <c r="V43" s="112" t="e">
        <v>#NUM!</v>
      </c>
      <c r="W43" s="111"/>
      <c r="X43" s="162" t="e">
        <v>#NUM!</v>
      </c>
      <c r="Y43" s="108" t="e">
        <f>_xll.qlSimpleQuoteSetValue(F43,X43/100,Trigger)</f>
        <v>#NUM!</v>
      </c>
      <c r="Z43" s="98"/>
    </row>
    <row r="44" spans="1:26" ht="11.25" customHeight="1" x14ac:dyDescent="0.2">
      <c r="A44" s="52"/>
      <c r="B44" s="83"/>
      <c r="C44" s="83" t="s">
        <v>104</v>
      </c>
      <c r="D44" s="248" t="s">
        <v>54</v>
      </c>
      <c r="E44" s="99" t="str">
        <f t="shared" si="2"/>
        <v>CNYOIS6Y_Quote</v>
      </c>
      <c r="F44" s="99" t="str">
        <f>_xll.qlSimpleQuote(Currency&amp;$B44&amp;$C44&amp;$D44&amp;QuoteSuffix,,RateTickValue,Permanent,Trigger,ObjectOverwrite)</f>
        <v>CNYOIS6Y_Quote#0003</v>
      </c>
      <c r="G44" s="20" t="str">
        <f>_xll.ohRangeRetrieveError(F44)</f>
        <v/>
      </c>
      <c r="H44" s="19"/>
      <c r="J44" s="52"/>
      <c r="K44" s="115" t="s">
        <v>54</v>
      </c>
      <c r="L44" s="146"/>
      <c r="M44" s="146" t="s">
        <v>104</v>
      </c>
      <c r="N44" s="144" t="str">
        <f t="shared" si="3"/>
        <v>CNY6YOIS</v>
      </c>
      <c r="O44" s="144" t="str">
        <v>CNY6YOIS=ICAA</v>
      </c>
      <c r="P44" s="109" t="s">
        <v>135</v>
      </c>
      <c r="Q44" s="109" t="s">
        <v>135</v>
      </c>
      <c r="R44" s="109" t="s">
        <v>135</v>
      </c>
      <c r="S44" s="109" t="s">
        <v>135</v>
      </c>
      <c r="T44" s="113" t="e">
        <f>_xll.qlMidEquivalent($P44,$Q44,$R44,$S44)</f>
        <v>#NUM!</v>
      </c>
      <c r="U44" s="111"/>
      <c r="V44" s="112" t="e">
        <v>#NUM!</v>
      </c>
      <c r="W44" s="111"/>
      <c r="X44" s="162" t="e">
        <v>#NUM!</v>
      </c>
      <c r="Y44" s="108" t="e">
        <f>_xll.qlSimpleQuoteSetValue(F44,X44/100,Trigger)</f>
        <v>#NUM!</v>
      </c>
      <c r="Z44" s="98"/>
    </row>
    <row r="45" spans="1:26" ht="11.25" customHeight="1" x14ac:dyDescent="0.2">
      <c r="A45" s="52"/>
      <c r="B45" s="83"/>
      <c r="C45" s="83" t="s">
        <v>104</v>
      </c>
      <c r="D45" s="248" t="s">
        <v>53</v>
      </c>
      <c r="E45" s="99" t="str">
        <f t="shared" si="2"/>
        <v>CNYOIS7Y_Quote</v>
      </c>
      <c r="F45" s="99" t="str">
        <f>_xll.qlSimpleQuote(Currency&amp;$B45&amp;$C45&amp;$D45&amp;QuoteSuffix,,RateTickValue,Permanent,Trigger,ObjectOverwrite)</f>
        <v>CNYOIS7Y_Quote#0003</v>
      </c>
      <c r="G45" s="20" t="str">
        <f>_xll.ohRangeRetrieveError(F45)</f>
        <v/>
      </c>
      <c r="H45" s="19"/>
      <c r="J45" s="52"/>
      <c r="K45" s="115" t="s">
        <v>53</v>
      </c>
      <c r="L45" s="146"/>
      <c r="M45" s="146" t="s">
        <v>104</v>
      </c>
      <c r="N45" s="144" t="str">
        <f t="shared" si="3"/>
        <v>CNY7YOIS</v>
      </c>
      <c r="O45" s="144" t="str">
        <v>CNY7YOIS=ICAA</v>
      </c>
      <c r="P45" s="109" t="s">
        <v>135</v>
      </c>
      <c r="Q45" s="109" t="s">
        <v>135</v>
      </c>
      <c r="R45" s="109" t="s">
        <v>135</v>
      </c>
      <c r="S45" s="109" t="s">
        <v>135</v>
      </c>
      <c r="T45" s="113" t="e">
        <f>_xll.qlMidEquivalent($P45,$Q45,$R45,$S45)</f>
        <v>#NUM!</v>
      </c>
      <c r="U45" s="111"/>
      <c r="V45" s="112" t="e">
        <v>#NUM!</v>
      </c>
      <c r="W45" s="111"/>
      <c r="X45" s="162" t="e">
        <v>#NUM!</v>
      </c>
      <c r="Y45" s="108" t="e">
        <f>_xll.qlSimpleQuoteSetValue(F45,X45/100,Trigger)</f>
        <v>#NUM!</v>
      </c>
      <c r="Z45" s="98"/>
    </row>
    <row r="46" spans="1:26" ht="11.25" customHeight="1" x14ac:dyDescent="0.2">
      <c r="A46" s="52"/>
      <c r="B46" s="83"/>
      <c r="C46" s="83" t="s">
        <v>104</v>
      </c>
      <c r="D46" s="248" t="s">
        <v>52</v>
      </c>
      <c r="E46" s="99" t="str">
        <f t="shared" si="2"/>
        <v>CNYOIS8Y_Quote</v>
      </c>
      <c r="F46" s="99" t="str">
        <f>_xll.qlSimpleQuote(Currency&amp;$B46&amp;$C46&amp;$D46&amp;QuoteSuffix,,RateTickValue,Permanent,Trigger,ObjectOverwrite)</f>
        <v>CNYOIS8Y_Quote#0003</v>
      </c>
      <c r="G46" s="20" t="str">
        <f>_xll.ohRangeRetrieveError(F46)</f>
        <v/>
      </c>
      <c r="H46" s="19"/>
      <c r="J46" s="52"/>
      <c r="K46" s="115" t="s">
        <v>52</v>
      </c>
      <c r="L46" s="146"/>
      <c r="M46" s="146" t="s">
        <v>104</v>
      </c>
      <c r="N46" s="144" t="str">
        <f t="shared" si="3"/>
        <v>CNY8YOIS</v>
      </c>
      <c r="O46" s="144" t="str">
        <v>CNY8YOIS=ICAA</v>
      </c>
      <c r="P46" s="109" t="s">
        <v>135</v>
      </c>
      <c r="Q46" s="109" t="s">
        <v>135</v>
      </c>
      <c r="R46" s="109" t="s">
        <v>135</v>
      </c>
      <c r="S46" s="109" t="s">
        <v>135</v>
      </c>
      <c r="T46" s="113" t="e">
        <f>_xll.qlMidEquivalent($P46,$Q46,$R46,$S46)</f>
        <v>#NUM!</v>
      </c>
      <c r="U46" s="111"/>
      <c r="V46" s="112" t="e">
        <v>#NUM!</v>
      </c>
      <c r="W46" s="111"/>
      <c r="X46" s="162" t="e">
        <v>#NUM!</v>
      </c>
      <c r="Y46" s="108" t="e">
        <f>_xll.qlSimpleQuoteSetValue(F46,X46/100,Trigger)</f>
        <v>#NUM!</v>
      </c>
      <c r="Z46" s="98"/>
    </row>
    <row r="47" spans="1:26" ht="11.25" customHeight="1" x14ac:dyDescent="0.2">
      <c r="A47" s="52"/>
      <c r="B47" s="83"/>
      <c r="C47" s="83" t="s">
        <v>104</v>
      </c>
      <c r="D47" s="248" t="s">
        <v>51</v>
      </c>
      <c r="E47" s="99" t="str">
        <f t="shared" si="2"/>
        <v>CNYOIS9Y_Quote</v>
      </c>
      <c r="F47" s="99" t="str">
        <f>_xll.qlSimpleQuote(Currency&amp;$B47&amp;$C47&amp;$D47&amp;QuoteSuffix,,RateTickValue,Permanent,Trigger,ObjectOverwrite)</f>
        <v>CNYOIS9Y_Quote#0003</v>
      </c>
      <c r="G47" s="20" t="str">
        <f>_xll.ohRangeRetrieveError(F47)</f>
        <v/>
      </c>
      <c r="H47" s="19"/>
      <c r="J47" s="52"/>
      <c r="K47" s="115" t="s">
        <v>51</v>
      </c>
      <c r="L47" s="146"/>
      <c r="M47" s="146" t="s">
        <v>104</v>
      </c>
      <c r="N47" s="144" t="str">
        <f t="shared" si="3"/>
        <v>CNY9YOIS</v>
      </c>
      <c r="O47" s="144" t="str">
        <v>CNY9YOIS=ICAA</v>
      </c>
      <c r="P47" s="109" t="s">
        <v>135</v>
      </c>
      <c r="Q47" s="109" t="s">
        <v>135</v>
      </c>
      <c r="R47" s="109" t="s">
        <v>135</v>
      </c>
      <c r="S47" s="109" t="s">
        <v>135</v>
      </c>
      <c r="T47" s="113" t="e">
        <f>_xll.qlMidEquivalent($P47,$Q47,$R47,$S47)</f>
        <v>#NUM!</v>
      </c>
      <c r="U47" s="111"/>
      <c r="V47" s="112" t="e">
        <v>#NUM!</v>
      </c>
      <c r="W47" s="111"/>
      <c r="X47" s="162" t="e">
        <v>#NUM!</v>
      </c>
      <c r="Y47" s="108" t="e">
        <f>_xll.qlSimpleQuoteSetValue(F47,X47/100,Trigger)</f>
        <v>#NUM!</v>
      </c>
      <c r="Z47" s="98"/>
    </row>
    <row r="48" spans="1:26" ht="11.25" customHeight="1" x14ac:dyDescent="0.2">
      <c r="A48" s="52"/>
      <c r="B48" s="83"/>
      <c r="C48" s="83" t="s">
        <v>104</v>
      </c>
      <c r="D48" s="248" t="s">
        <v>50</v>
      </c>
      <c r="E48" s="99" t="str">
        <f t="shared" si="2"/>
        <v>CNYOIS10Y_Quote</v>
      </c>
      <c r="F48" s="99" t="str">
        <f>_xll.qlSimpleQuote(Currency&amp;$B48&amp;$C48&amp;$D48&amp;QuoteSuffix,,RateTickValue,Permanent,Trigger,ObjectOverwrite)</f>
        <v>CNYOIS10Y_Quote#0003</v>
      </c>
      <c r="G48" s="20" t="str">
        <f>_xll.ohRangeRetrieveError(F48)</f>
        <v/>
      </c>
      <c r="H48" s="19"/>
      <c r="J48" s="52"/>
      <c r="K48" s="115" t="s">
        <v>50</v>
      </c>
      <c r="L48" s="146"/>
      <c r="M48" s="146" t="s">
        <v>104</v>
      </c>
      <c r="N48" s="144" t="str">
        <f t="shared" si="3"/>
        <v>CNY10YOIS</v>
      </c>
      <c r="O48" s="144" t="str">
        <v>CNY10YOIS=ICAA</v>
      </c>
      <c r="P48" s="109" t="s">
        <v>135</v>
      </c>
      <c r="Q48" s="109" t="s">
        <v>135</v>
      </c>
      <c r="R48" s="109" t="s">
        <v>135</v>
      </c>
      <c r="S48" s="109" t="s">
        <v>135</v>
      </c>
      <c r="T48" s="113" t="e">
        <f>_xll.qlMidEquivalent($P48,$Q48,$R48,$S48)</f>
        <v>#NUM!</v>
      </c>
      <c r="U48" s="111"/>
      <c r="V48" s="112" t="e">
        <v>#NUM!</v>
      </c>
      <c r="W48" s="111"/>
      <c r="X48" s="162" t="e">
        <v>#NUM!</v>
      </c>
      <c r="Y48" s="108" t="e">
        <f>_xll.qlSimpleQuoteSetValue(F48,X48/100,Trigger)</f>
        <v>#NUM!</v>
      </c>
      <c r="Z48" s="98"/>
    </row>
    <row r="49" spans="1:26" ht="11.25" customHeight="1" x14ac:dyDescent="0.2">
      <c r="A49" s="52"/>
      <c r="B49" s="83"/>
      <c r="C49" s="83" t="s">
        <v>104</v>
      </c>
      <c r="D49" s="248" t="s">
        <v>48</v>
      </c>
      <c r="E49" s="99" t="str">
        <f t="shared" si="2"/>
        <v>CNYOIS12Y_Quote</v>
      </c>
      <c r="F49" s="99" t="str">
        <f>_xll.qlSimpleQuote(Currency&amp;$B49&amp;$C49&amp;$D49&amp;QuoteSuffix,,RateTickValue,Permanent,Trigger,ObjectOverwrite)</f>
        <v>CNYOIS12Y_Quote#0003</v>
      </c>
      <c r="G49" s="20" t="str">
        <f>_xll.ohRangeRetrieveError(F49)</f>
        <v/>
      </c>
      <c r="H49" s="19"/>
      <c r="J49" s="52"/>
      <c r="K49" s="115" t="s">
        <v>48</v>
      </c>
      <c r="L49" s="146"/>
      <c r="M49" s="146" t="s">
        <v>104</v>
      </c>
      <c r="N49" s="144" t="str">
        <f t="shared" si="3"/>
        <v>CNY12YOIS</v>
      </c>
      <c r="O49" s="144" t="str">
        <v>CNY12YOIS=ICAA</v>
      </c>
      <c r="P49" s="109" t="s">
        <v>135</v>
      </c>
      <c r="Q49" s="109" t="s">
        <v>135</v>
      </c>
      <c r="R49" s="109" t="s">
        <v>135</v>
      </c>
      <c r="S49" s="109" t="s">
        <v>135</v>
      </c>
      <c r="T49" s="113" t="e">
        <f>_xll.qlMidEquivalent($P49,$Q49,$R49,$S49)</f>
        <v>#NUM!</v>
      </c>
      <c r="U49" s="111"/>
      <c r="V49" s="112" t="e">
        <v>#NUM!</v>
      </c>
      <c r="W49" s="111"/>
      <c r="X49" s="162" t="e">
        <v>#NUM!</v>
      </c>
      <c r="Y49" s="108" t="e">
        <f>_xll.qlSimpleQuoteSetValue(F49,X49/100,Trigger)</f>
        <v>#NUM!</v>
      </c>
      <c r="Z49" s="98"/>
    </row>
    <row r="50" spans="1:26" ht="11.25" customHeight="1" x14ac:dyDescent="0.2">
      <c r="A50" s="52"/>
      <c r="B50" s="83"/>
      <c r="C50" s="83" t="s">
        <v>104</v>
      </c>
      <c r="D50" s="248" t="s">
        <v>45</v>
      </c>
      <c r="E50" s="99" t="str">
        <f t="shared" si="2"/>
        <v>CNYOIS15Y_Quote</v>
      </c>
      <c r="F50" s="99" t="str">
        <f>_xll.qlSimpleQuote(Currency&amp;$B50&amp;$C50&amp;$D50&amp;QuoteSuffix,,RateTickValue,Permanent,Trigger,ObjectOverwrite)</f>
        <v>CNYOIS15Y_Quote#0003</v>
      </c>
      <c r="G50" s="20" t="str">
        <f>_xll.ohRangeRetrieveError(F50)</f>
        <v/>
      </c>
      <c r="H50" s="19"/>
      <c r="J50" s="52"/>
      <c r="K50" s="115" t="s">
        <v>45</v>
      </c>
      <c r="L50" s="146"/>
      <c r="M50" s="146" t="s">
        <v>104</v>
      </c>
      <c r="N50" s="144" t="str">
        <f t="shared" si="3"/>
        <v>CNY15YOIS</v>
      </c>
      <c r="O50" s="144" t="str">
        <v>CNY15YOIS=ICAA</v>
      </c>
      <c r="P50" s="109" t="s">
        <v>135</v>
      </c>
      <c r="Q50" s="109" t="s">
        <v>135</v>
      </c>
      <c r="R50" s="109" t="s">
        <v>135</v>
      </c>
      <c r="S50" s="109" t="s">
        <v>135</v>
      </c>
      <c r="T50" s="113" t="e">
        <f>_xll.qlMidEquivalent($P50,$Q50,$R50,$S50)</f>
        <v>#NUM!</v>
      </c>
      <c r="U50" s="111"/>
      <c r="V50" s="112" t="e">
        <v>#NUM!</v>
      </c>
      <c r="W50" s="111"/>
      <c r="X50" s="162" t="e">
        <v>#NUM!</v>
      </c>
      <c r="Y50" s="108" t="e">
        <f>_xll.qlSimpleQuoteSetValue(F50,X50/100,Trigger)</f>
        <v>#NUM!</v>
      </c>
      <c r="Z50" s="98"/>
    </row>
    <row r="51" spans="1:26" ht="11.25" customHeight="1" x14ac:dyDescent="0.2">
      <c r="A51" s="52"/>
      <c r="B51" s="83"/>
      <c r="C51" s="83" t="s">
        <v>104</v>
      </c>
      <c r="D51" s="248" t="s">
        <v>40</v>
      </c>
      <c r="E51" s="99" t="str">
        <f t="shared" si="2"/>
        <v>CNYOIS20Y_Quote</v>
      </c>
      <c r="F51" s="99" t="str">
        <f>_xll.qlSimpleQuote(Currency&amp;$B51&amp;$C51&amp;$D51&amp;QuoteSuffix,,RateTickValue,Permanent,Trigger,ObjectOverwrite)</f>
        <v>CNYOIS20Y_Quote#0003</v>
      </c>
      <c r="G51" s="20" t="str">
        <f>_xll.ohRangeRetrieveError(F51)</f>
        <v/>
      </c>
      <c r="H51" s="19"/>
      <c r="J51" s="52"/>
      <c r="K51" s="115" t="s">
        <v>40</v>
      </c>
      <c r="L51" s="146"/>
      <c r="M51" s="146" t="s">
        <v>104</v>
      </c>
      <c r="N51" s="144" t="str">
        <f t="shared" si="3"/>
        <v>CNY20YOIS</v>
      </c>
      <c r="O51" s="144" t="str">
        <v>CNY20YOIS=ICAA</v>
      </c>
      <c r="P51" s="109" t="s">
        <v>135</v>
      </c>
      <c r="Q51" s="109" t="s">
        <v>135</v>
      </c>
      <c r="R51" s="109" t="s">
        <v>135</v>
      </c>
      <c r="S51" s="109" t="s">
        <v>135</v>
      </c>
      <c r="T51" s="113" t="e">
        <f>_xll.qlMidEquivalent($P51,$Q51,$R51,$S51)</f>
        <v>#NUM!</v>
      </c>
      <c r="U51" s="111"/>
      <c r="V51" s="112" t="e">
        <v>#NUM!</v>
      </c>
      <c r="W51" s="111"/>
      <c r="X51" s="162" t="e">
        <v>#NUM!</v>
      </c>
      <c r="Y51" s="108" t="e">
        <f>_xll.qlSimpleQuoteSetValue(F51,X51/100,Trigger)</f>
        <v>#NUM!</v>
      </c>
      <c r="Z51" s="98"/>
    </row>
    <row r="52" spans="1:26" ht="11.25" customHeight="1" x14ac:dyDescent="0.2">
      <c r="A52" s="52"/>
      <c r="B52" s="83"/>
      <c r="C52" s="83" t="s">
        <v>104</v>
      </c>
      <c r="D52" s="248" t="s">
        <v>35</v>
      </c>
      <c r="E52" s="99" t="str">
        <f t="shared" si="2"/>
        <v>CNYOIS25Y_Quote</v>
      </c>
      <c r="F52" s="99" t="str">
        <f>_xll.qlSimpleQuote(Currency&amp;$B52&amp;$C52&amp;$D52&amp;QuoteSuffix,,RateTickValue,Permanent,Trigger,ObjectOverwrite)</f>
        <v>CNYOIS25Y_Quote#0003</v>
      </c>
      <c r="G52" s="20" t="str">
        <f>_xll.ohRangeRetrieveError(F52)</f>
        <v/>
      </c>
      <c r="H52" s="19"/>
      <c r="J52" s="52"/>
      <c r="K52" s="115" t="s">
        <v>35</v>
      </c>
      <c r="L52" s="146"/>
      <c r="M52" s="146" t="s">
        <v>104</v>
      </c>
      <c r="N52" s="144" t="str">
        <f t="shared" si="3"/>
        <v>CNY25YOIS</v>
      </c>
      <c r="O52" s="144" t="str">
        <v>CNY25YOIS=ICAA</v>
      </c>
      <c r="P52" s="109" t="s">
        <v>135</v>
      </c>
      <c r="Q52" s="109" t="s">
        <v>135</v>
      </c>
      <c r="R52" s="109" t="s">
        <v>135</v>
      </c>
      <c r="S52" s="109" t="s">
        <v>135</v>
      </c>
      <c r="T52" s="113" t="e">
        <f>_xll.qlMidEquivalent($P52,$Q52,$R52,$S52)</f>
        <v>#NUM!</v>
      </c>
      <c r="U52" s="111"/>
      <c r="V52" s="112" t="e">
        <v>#NUM!</v>
      </c>
      <c r="W52" s="111"/>
      <c r="X52" s="162" t="e">
        <v>#NUM!</v>
      </c>
      <c r="Y52" s="108" t="e">
        <f>_xll.qlSimpleQuoteSetValue(F52,X52/100,Trigger)</f>
        <v>#NUM!</v>
      </c>
      <c r="Z52" s="98"/>
    </row>
    <row r="53" spans="1:26" ht="11.25" customHeight="1" x14ac:dyDescent="0.2">
      <c r="A53" s="52"/>
      <c r="B53" s="83"/>
      <c r="C53" s="83" t="s">
        <v>104</v>
      </c>
      <c r="D53" s="248" t="s">
        <v>33</v>
      </c>
      <c r="E53" s="99" t="str">
        <f t="shared" si="2"/>
        <v>CNYOIS27Y_Quote</v>
      </c>
      <c r="F53" s="99" t="str">
        <f>_xll.qlSimpleQuote(Currency&amp;$B53&amp;$C53&amp;$D53&amp;QuoteSuffix,,RateTickValue,Permanent,Trigger,ObjectOverwrite)</f>
        <v>CNYOIS27Y_Quote#0003</v>
      </c>
      <c r="G53" s="20" t="str">
        <f>_xll.ohRangeRetrieveError(F53)</f>
        <v/>
      </c>
      <c r="H53" s="19"/>
      <c r="J53" s="52"/>
      <c r="K53" s="115" t="s">
        <v>33</v>
      </c>
      <c r="L53" s="146"/>
      <c r="M53" s="146" t="s">
        <v>104</v>
      </c>
      <c r="N53" s="144" t="str">
        <f t="shared" si="3"/>
        <v>CNY27YOIS</v>
      </c>
      <c r="O53" s="144" t="str">
        <v>CNY27YOIS=ICAA</v>
      </c>
      <c r="P53" s="109" t="s">
        <v>135</v>
      </c>
      <c r="Q53" s="109" t="s">
        <v>135</v>
      </c>
      <c r="R53" s="109" t="s">
        <v>135</v>
      </c>
      <c r="S53" s="109" t="s">
        <v>135</v>
      </c>
      <c r="T53" s="113" t="e">
        <f>_xll.qlMidEquivalent($P53,$Q53,$R53,$S53)</f>
        <v>#NUM!</v>
      </c>
      <c r="U53" s="111"/>
      <c r="V53" s="112" t="e">
        <v>#NUM!</v>
      </c>
      <c r="W53" s="111"/>
      <c r="X53" s="162" t="e">
        <v>#NUM!</v>
      </c>
      <c r="Y53" s="108" t="e">
        <f>_xll.qlSimpleQuoteSetValue(F53,X53/100,Trigger)</f>
        <v>#NUM!</v>
      </c>
      <c r="Z53" s="98"/>
    </row>
    <row r="54" spans="1:26" ht="11.25" customHeight="1" x14ac:dyDescent="0.2">
      <c r="A54" s="52"/>
      <c r="B54" s="83"/>
      <c r="C54" s="83" t="s">
        <v>104</v>
      </c>
      <c r="D54" s="248" t="s">
        <v>30</v>
      </c>
      <c r="E54" s="99" t="str">
        <f t="shared" si="2"/>
        <v>CNYOIS30Y_Quote</v>
      </c>
      <c r="F54" s="99" t="str">
        <f>_xll.qlSimpleQuote(Currency&amp;$B54&amp;$C54&amp;$D54&amp;QuoteSuffix,,RateTickValue,Permanent,Trigger,ObjectOverwrite)</f>
        <v>CNYOIS30Y_Quote#0003</v>
      </c>
      <c r="G54" s="20" t="str">
        <f>_xll.ohRangeRetrieveError(F54)</f>
        <v/>
      </c>
      <c r="H54" s="19"/>
      <c r="J54" s="52"/>
      <c r="K54" s="115" t="s">
        <v>30</v>
      </c>
      <c r="L54" s="146"/>
      <c r="M54" s="146" t="s">
        <v>104</v>
      </c>
      <c r="N54" s="144" t="str">
        <f t="shared" si="3"/>
        <v>CNY30YOIS</v>
      </c>
      <c r="O54" s="144" t="str">
        <v>CNY30YOIS=ICAA</v>
      </c>
      <c r="P54" s="109" t="s">
        <v>135</v>
      </c>
      <c r="Q54" s="109" t="s">
        <v>135</v>
      </c>
      <c r="R54" s="109" t="s">
        <v>135</v>
      </c>
      <c r="S54" s="109" t="s">
        <v>135</v>
      </c>
      <c r="T54" s="113" t="e">
        <f>_xll.qlMidEquivalent($P54,$Q54,$R54,$S54)</f>
        <v>#NUM!</v>
      </c>
      <c r="U54" s="111"/>
      <c r="V54" s="112" t="e">
        <v>#NUM!</v>
      </c>
      <c r="W54" s="111"/>
      <c r="X54" s="162" t="e">
        <v>#NUM!</v>
      </c>
      <c r="Y54" s="108" t="e">
        <f>_xll.qlSimpleQuoteSetValue(F54,X54/100,Trigger)</f>
        <v>#NUM!</v>
      </c>
      <c r="Z54" s="98"/>
    </row>
    <row r="55" spans="1:26" ht="11.25" customHeight="1" x14ac:dyDescent="0.2">
      <c r="A55" s="52"/>
      <c r="B55" s="83"/>
      <c r="C55" s="83" t="s">
        <v>104</v>
      </c>
      <c r="D55" s="248" t="s">
        <v>29</v>
      </c>
      <c r="E55" s="99" t="str">
        <f t="shared" si="2"/>
        <v>CNYOIS35Y_Quote</v>
      </c>
      <c r="F55" s="99" t="str">
        <f>_xll.qlSimpleQuote(Currency&amp;$B55&amp;$C55&amp;$D55&amp;QuoteSuffix,,RateTickValue,Permanent,Trigger,ObjectOverwrite)</f>
        <v>CNYOIS35Y_Quote#0003</v>
      </c>
      <c r="G55" s="20" t="str">
        <f>_xll.ohRangeRetrieveError(F55)</f>
        <v/>
      </c>
      <c r="H55" s="19"/>
      <c r="J55" s="52"/>
      <c r="K55" s="115" t="s">
        <v>29</v>
      </c>
      <c r="L55" s="146"/>
      <c r="M55" s="146" t="s">
        <v>104</v>
      </c>
      <c r="N55" s="144" t="str">
        <f t="shared" si="3"/>
        <v>CNY35YOIS</v>
      </c>
      <c r="O55" s="144" t="str">
        <v>CNY35YOIS=ICAA</v>
      </c>
      <c r="P55" s="109" t="s">
        <v>135</v>
      </c>
      <c r="Q55" s="109" t="s">
        <v>135</v>
      </c>
      <c r="R55" s="109" t="s">
        <v>135</v>
      </c>
      <c r="S55" s="109" t="s">
        <v>135</v>
      </c>
      <c r="T55" s="113" t="e">
        <f>_xll.qlMidEquivalent($P55,$Q55,$R55,$S55)</f>
        <v>#NUM!</v>
      </c>
      <c r="U55" s="111"/>
      <c r="V55" s="112" t="e">
        <v>#NUM!</v>
      </c>
      <c r="W55" s="111"/>
      <c r="X55" s="162" t="e">
        <v>#NUM!</v>
      </c>
      <c r="Y55" s="108" t="e">
        <f>_xll.qlSimpleQuoteSetValue(F55,X55/100,Trigger)</f>
        <v>#NUM!</v>
      </c>
      <c r="Z55" s="98"/>
    </row>
    <row r="56" spans="1:26" ht="11.25" customHeight="1" x14ac:dyDescent="0.2">
      <c r="A56" s="52"/>
      <c r="B56" s="83"/>
      <c r="C56" s="83" t="s">
        <v>104</v>
      </c>
      <c r="D56" s="248" t="s">
        <v>28</v>
      </c>
      <c r="E56" s="99" t="str">
        <f t="shared" si="2"/>
        <v>CNYOIS40Y_Quote</v>
      </c>
      <c r="F56" s="99" t="str">
        <f>_xll.qlSimpleQuote(Currency&amp;$B56&amp;$C56&amp;$D56&amp;QuoteSuffix,,RateTickValue,Permanent,Trigger,ObjectOverwrite)</f>
        <v>CNYOIS40Y_Quote#0003</v>
      </c>
      <c r="G56" s="20" t="str">
        <f>_xll.ohRangeRetrieveError(F56)</f>
        <v/>
      </c>
      <c r="H56" s="19"/>
      <c r="J56" s="52"/>
      <c r="K56" s="115" t="s">
        <v>28</v>
      </c>
      <c r="L56" s="146"/>
      <c r="M56" s="146" t="s">
        <v>104</v>
      </c>
      <c r="N56" s="144" t="str">
        <f t="shared" si="3"/>
        <v>CNY40YOIS</v>
      </c>
      <c r="O56" s="144" t="str">
        <v>CNY40YOIS=ICAA</v>
      </c>
      <c r="P56" s="109" t="s">
        <v>135</v>
      </c>
      <c r="Q56" s="109" t="s">
        <v>135</v>
      </c>
      <c r="R56" s="109" t="s">
        <v>135</v>
      </c>
      <c r="S56" s="109" t="s">
        <v>135</v>
      </c>
      <c r="T56" s="113" t="e">
        <f>_xll.qlMidEquivalent($P56,$Q56,$R56,$S56)</f>
        <v>#NUM!</v>
      </c>
      <c r="U56" s="111"/>
      <c r="V56" s="112" t="e">
        <v>#NUM!</v>
      </c>
      <c r="W56" s="111"/>
      <c r="X56" s="162" t="e">
        <v>#NUM!</v>
      </c>
      <c r="Y56" s="108" t="e">
        <f>_xll.qlSimpleQuoteSetValue(F56,X56/100,Trigger)</f>
        <v>#NUM!</v>
      </c>
      <c r="Z56" s="98"/>
    </row>
    <row r="57" spans="1:26" ht="11.25" customHeight="1" x14ac:dyDescent="0.2">
      <c r="A57" s="52"/>
      <c r="B57" s="83"/>
      <c r="C57" s="83" t="s">
        <v>104</v>
      </c>
      <c r="D57" s="248" t="s">
        <v>27</v>
      </c>
      <c r="E57" s="99" t="str">
        <f t="shared" si="2"/>
        <v>CNYOIS45Y_Quote</v>
      </c>
      <c r="F57" s="99" t="str">
        <f>_xll.qlSimpleQuote(Currency&amp;$B57&amp;$C57&amp;$D57&amp;QuoteSuffix,,RateTickValue,Permanent,Trigger,ObjectOverwrite)</f>
        <v>CNYOIS45Y_Quote#0003</v>
      </c>
      <c r="G57" s="20" t="str">
        <f>_xll.ohRangeRetrieveError(F57)</f>
        <v/>
      </c>
      <c r="H57" s="19"/>
      <c r="J57" s="52"/>
      <c r="K57" s="115" t="s">
        <v>27</v>
      </c>
      <c r="L57" s="146"/>
      <c r="M57" s="146" t="s">
        <v>104</v>
      </c>
      <c r="N57" s="144" t="str">
        <f t="shared" si="3"/>
        <v>CNY45YOIS</v>
      </c>
      <c r="O57" s="144" t="str">
        <v>CNY45YOIS=ICAA</v>
      </c>
      <c r="P57" s="109" t="s">
        <v>135</v>
      </c>
      <c r="Q57" s="109" t="s">
        <v>135</v>
      </c>
      <c r="R57" s="109" t="s">
        <v>135</v>
      </c>
      <c r="S57" s="109" t="s">
        <v>135</v>
      </c>
      <c r="T57" s="113" t="e">
        <f>_xll.qlMidEquivalent($P57,$Q57,$R57,$S57)</f>
        <v>#NUM!</v>
      </c>
      <c r="U57" s="111"/>
      <c r="V57" s="112" t="e">
        <v>#NUM!</v>
      </c>
      <c r="W57" s="111"/>
      <c r="X57" s="162" t="e">
        <v>#NUM!</v>
      </c>
      <c r="Y57" s="108" t="e">
        <f>_xll.qlSimpleQuoteSetValue(F57,X57/100,Trigger)</f>
        <v>#NUM!</v>
      </c>
      <c r="Z57" s="98"/>
    </row>
    <row r="58" spans="1:26" ht="11.25" customHeight="1" x14ac:dyDescent="0.2">
      <c r="A58" s="52"/>
      <c r="B58" s="83"/>
      <c r="C58" s="83" t="s">
        <v>104</v>
      </c>
      <c r="D58" s="248" t="s">
        <v>26</v>
      </c>
      <c r="E58" s="99" t="str">
        <f t="shared" si="2"/>
        <v>CNYOIS50Y_Quote</v>
      </c>
      <c r="F58" s="99" t="str">
        <f>_xll.qlSimpleQuote(Currency&amp;$B58&amp;$C58&amp;$D58&amp;QuoteSuffix,,RateTickValue,Permanent,Trigger,ObjectOverwrite)</f>
        <v>CNYOIS50Y_Quote#0003</v>
      </c>
      <c r="G58" s="20" t="str">
        <f>_xll.ohRangeRetrieveError(F58)</f>
        <v/>
      </c>
      <c r="H58" s="19"/>
      <c r="J58" s="52"/>
      <c r="K58" s="121" t="s">
        <v>26</v>
      </c>
      <c r="L58" s="146"/>
      <c r="M58" s="142" t="s">
        <v>104</v>
      </c>
      <c r="N58" s="140" t="str">
        <f t="shared" si="3"/>
        <v>CNY50YOIS</v>
      </c>
      <c r="O58" s="140" t="str">
        <v>CNY50YOIS=ICAA</v>
      </c>
      <c r="P58" s="117" t="s">
        <v>135</v>
      </c>
      <c r="Q58" s="117" t="s">
        <v>135</v>
      </c>
      <c r="R58" s="117" t="s">
        <v>135</v>
      </c>
      <c r="S58" s="117" t="s">
        <v>135</v>
      </c>
      <c r="T58" s="119" t="e">
        <f>_xll.qlMidEquivalent($P58,$Q58,$R58,$S58)</f>
        <v>#NUM!</v>
      </c>
      <c r="U58" s="111"/>
      <c r="V58" s="112" t="e">
        <v>#NUM!</v>
      </c>
      <c r="W58" s="111"/>
      <c r="X58" s="155" t="e">
        <v>#NUM!</v>
      </c>
      <c r="Y58" s="116" t="e">
        <f>_xll.qlSimpleQuoteSetValue(F58,X58/100,Trigger)</f>
        <v>#NUM!</v>
      </c>
      <c r="Z58" s="98"/>
    </row>
    <row r="59" spans="1:26" ht="11.25" customHeight="1" thickBot="1" x14ac:dyDescent="0.25">
      <c r="A59" s="94"/>
      <c r="B59" s="274"/>
      <c r="C59" s="274"/>
      <c r="D59" s="275"/>
      <c r="E59" s="276"/>
      <c r="F59" s="276"/>
      <c r="G59" s="277"/>
      <c r="H59" s="16"/>
      <c r="J59" s="91"/>
      <c r="K59" s="186"/>
      <c r="L59" s="186"/>
      <c r="M59" s="186"/>
      <c r="N59" s="186"/>
      <c r="O59" s="186"/>
      <c r="P59" s="186"/>
      <c r="Q59" s="186"/>
      <c r="R59" s="186"/>
      <c r="S59" s="186"/>
      <c r="T59" s="186"/>
      <c r="U59" s="186"/>
      <c r="V59" s="186"/>
      <c r="W59" s="186"/>
      <c r="X59" s="186"/>
      <c r="Y59" s="186"/>
      <c r="Z59" s="185"/>
    </row>
    <row r="60" spans="1:26" x14ac:dyDescent="0.2">
      <c r="F60" s="12"/>
    </row>
    <row r="61" spans="1:26" x14ac:dyDescent="0.2">
      <c r="F61" s="12"/>
    </row>
    <row r="62" spans="1:26" x14ac:dyDescent="0.2">
      <c r="F62" s="12"/>
    </row>
    <row r="63" spans="1:26" x14ac:dyDescent="0.2">
      <c r="F63" s="12"/>
    </row>
    <row r="64" spans="1:26" x14ac:dyDescent="0.2">
      <c r="F64" s="12"/>
    </row>
    <row r="65" spans="6:6" x14ac:dyDescent="0.2">
      <c r="F65" s="12"/>
    </row>
    <row r="66" spans="6:6" x14ac:dyDescent="0.2">
      <c r="F66" s="12"/>
    </row>
    <row r="67" spans="6:6" x14ac:dyDescent="0.2">
      <c r="F67" s="12"/>
    </row>
    <row r="68" spans="6:6" x14ac:dyDescent="0.2">
      <c r="F68" s="12"/>
    </row>
    <row r="69" spans="6:6" x14ac:dyDescent="0.2">
      <c r="F69" s="12"/>
    </row>
    <row r="70" spans="6:6" x14ac:dyDescent="0.2">
      <c r="F70" s="12"/>
    </row>
    <row r="71" spans="6:6" x14ac:dyDescent="0.2">
      <c r="F71" s="12"/>
    </row>
    <row r="72" spans="6:6" x14ac:dyDescent="0.2">
      <c r="F72" s="12"/>
    </row>
    <row r="73" spans="6:6" x14ac:dyDescent="0.2">
      <c r="F73" s="12"/>
    </row>
    <row r="74" spans="6:6" x14ac:dyDescent="0.2">
      <c r="F74" s="12"/>
    </row>
    <row r="75" spans="6:6" x14ac:dyDescent="0.2">
      <c r="F75" s="12"/>
    </row>
    <row r="76" spans="6:6" x14ac:dyDescent="0.2">
      <c r="F76" s="12"/>
    </row>
    <row r="77" spans="6:6" x14ac:dyDescent="0.2">
      <c r="F77" s="12"/>
    </row>
    <row r="78" spans="6:6" x14ac:dyDescent="0.2">
      <c r="F78" s="12"/>
    </row>
    <row r="79" spans="6:6" x14ac:dyDescent="0.2">
      <c r="F79" s="12"/>
    </row>
    <row r="80" spans="6:6" x14ac:dyDescent="0.2">
      <c r="F80" s="12"/>
    </row>
    <row r="81" spans="6:6" x14ac:dyDescent="0.2">
      <c r="F81" s="12"/>
    </row>
    <row r="82" spans="6:6" x14ac:dyDescent="0.2">
      <c r="F82" s="12"/>
    </row>
    <row r="83" spans="6:6" x14ac:dyDescent="0.2">
      <c r="F83" s="12"/>
    </row>
    <row r="84" spans="6:6" x14ac:dyDescent="0.2">
      <c r="F84" s="12"/>
    </row>
    <row r="85" spans="6:6" x14ac:dyDescent="0.2">
      <c r="F85" s="12"/>
    </row>
    <row r="86" spans="6:6" x14ac:dyDescent="0.2">
      <c r="F86" s="12"/>
    </row>
    <row r="87" spans="6:6" x14ac:dyDescent="0.2">
      <c r="F87" s="12"/>
    </row>
    <row r="88" spans="6:6" x14ac:dyDescent="0.2">
      <c r="F88" s="12"/>
    </row>
    <row r="89" spans="6:6" x14ac:dyDescent="0.2">
      <c r="F89" s="12"/>
    </row>
    <row r="90" spans="6:6" x14ac:dyDescent="0.2">
      <c r="F90" s="12"/>
    </row>
    <row r="91" spans="6:6" x14ac:dyDescent="0.2">
      <c r="F91" s="12"/>
    </row>
    <row r="92" spans="6:6" x14ac:dyDescent="0.2">
      <c r="F92" s="12"/>
    </row>
    <row r="93" spans="6:6" x14ac:dyDescent="0.2">
      <c r="F93" s="12"/>
    </row>
    <row r="94" spans="6:6" x14ac:dyDescent="0.2">
      <c r="F94" s="12"/>
    </row>
    <row r="95" spans="6:6" x14ac:dyDescent="0.2">
      <c r="F95" s="12"/>
    </row>
    <row r="96" spans="6:6" x14ac:dyDescent="0.2">
      <c r="F96" s="12"/>
    </row>
  </sheetData>
  <conditionalFormatting sqref="Y5:Y58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A20"/>
  <sheetViews>
    <sheetView workbookViewId="0"/>
  </sheetViews>
  <sheetFormatPr defaultRowHeight="12.75" x14ac:dyDescent="0.2"/>
  <cols>
    <col min="1" max="1" width="2.28515625" style="11" customWidth="1"/>
    <col min="2" max="2" width="2.7109375" style="11" bestFit="1" customWidth="1"/>
    <col min="3" max="3" width="4.42578125" style="11" bestFit="1" customWidth="1"/>
    <col min="4" max="4" width="14.85546875" style="49" bestFit="1" customWidth="1"/>
    <col min="5" max="5" width="18.85546875" style="11" bestFit="1" customWidth="1"/>
    <col min="6" max="6" width="39.5703125" style="48" customWidth="1"/>
    <col min="7" max="9" width="2.7109375" style="11" customWidth="1"/>
    <col min="10" max="10" width="2.7109375" style="11" bestFit="1" customWidth="1"/>
    <col min="11" max="11" width="2" style="11" bestFit="1" customWidth="1"/>
    <col min="12" max="12" width="2.7109375" style="11" bestFit="1" customWidth="1"/>
    <col min="13" max="13" width="9.42578125" style="11" bestFit="1" customWidth="1"/>
    <col min="14" max="14" width="10.28515625" style="11" bestFit="1" customWidth="1"/>
    <col min="15" max="16" width="8.7109375" style="11" customWidth="1"/>
    <col min="17" max="17" width="8.85546875" style="11" customWidth="1"/>
    <col min="18" max="18" width="10" style="11" customWidth="1"/>
    <col min="19" max="19" width="8.85546875" style="11" customWidth="1"/>
    <col min="20" max="20" width="2.7109375" style="11" customWidth="1"/>
    <col min="21" max="21" width="5.7109375" style="11" bestFit="1" customWidth="1"/>
    <col min="22" max="22" width="2.7109375" style="11" customWidth="1"/>
    <col min="23" max="23" width="7.7109375" style="11" bestFit="1" customWidth="1"/>
    <col min="24" max="24" width="7.140625" style="11" bestFit="1" customWidth="1"/>
    <col min="25" max="25" width="2.7109375" style="11" customWidth="1"/>
    <col min="26" max="16384" width="9.140625" style="11"/>
  </cols>
  <sheetData>
    <row r="1" spans="1:27" x14ac:dyDescent="0.2">
      <c r="A1" s="81"/>
      <c r="B1" s="295"/>
      <c r="C1" s="295"/>
      <c r="D1" s="296"/>
      <c r="E1" s="297"/>
      <c r="F1" s="296"/>
      <c r="G1" s="19"/>
      <c r="I1" s="298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89"/>
      <c r="Z1" s="12"/>
      <c r="AA1" s="12"/>
    </row>
    <row r="2" spans="1:27" ht="16.5" customHeight="1" x14ac:dyDescent="0.2">
      <c r="A2" s="52"/>
      <c r="B2" s="295"/>
      <c r="C2" s="295"/>
      <c r="D2" s="296"/>
      <c r="E2" s="297"/>
      <c r="F2" s="296"/>
      <c r="G2" s="19"/>
      <c r="I2" s="298"/>
      <c r="J2" s="12"/>
      <c r="K2" s="55"/>
      <c r="L2" s="55"/>
      <c r="M2" s="55"/>
      <c r="N2" s="62" t="s">
        <v>138</v>
      </c>
      <c r="O2" s="55"/>
      <c r="P2" s="55"/>
      <c r="Q2" s="55"/>
      <c r="R2" s="55"/>
      <c r="S2" s="111"/>
      <c r="T2" s="111"/>
      <c r="U2" s="111"/>
      <c r="V2" s="111"/>
      <c r="W2" s="111"/>
      <c r="X2" s="55"/>
      <c r="Y2" s="19"/>
      <c r="Z2" s="12"/>
      <c r="AA2" s="12"/>
    </row>
    <row r="3" spans="1:27" ht="12" customHeight="1" thickBot="1" x14ac:dyDescent="0.25">
      <c r="A3" s="52"/>
      <c r="B3" s="295"/>
      <c r="C3" s="295"/>
      <c r="D3" s="296"/>
      <c r="E3" s="297"/>
      <c r="F3" s="296"/>
      <c r="G3" s="19"/>
      <c r="I3" s="298"/>
      <c r="J3" s="55"/>
      <c r="K3" s="55"/>
      <c r="L3" s="111"/>
      <c r="M3" s="55"/>
      <c r="N3" s="55"/>
      <c r="O3" s="55"/>
      <c r="P3" s="55"/>
      <c r="Q3" s="55"/>
      <c r="R3" s="55"/>
      <c r="S3" s="55"/>
      <c r="T3" s="111"/>
      <c r="U3" s="111"/>
      <c r="V3" s="111"/>
      <c r="W3" s="55"/>
      <c r="X3" s="132">
        <f>_xll.ohTrigger(X5:X19)</f>
        <v>5</v>
      </c>
      <c r="Y3" s="98"/>
      <c r="Z3" s="12"/>
      <c r="AA3" s="12"/>
    </row>
    <row r="4" spans="1:27" ht="24.75" customHeight="1" x14ac:dyDescent="0.2">
      <c r="A4" s="52"/>
      <c r="B4" s="299"/>
      <c r="C4" s="300"/>
      <c r="D4" s="293" t="str">
        <f>Currency&amp;"_010_"&amp;"FRA.xml"</f>
        <v>CNY_010_FRA.xml</v>
      </c>
      <c r="E4" s="294" t="str">
        <f>IF(Serialize,_xll.ohObjectSave(E3:E19,SerializationPath&amp;D4,FileOverwrite,Serialize),"---")</f>
        <v>---</v>
      </c>
      <c r="F4" s="283"/>
      <c r="G4" s="19"/>
      <c r="I4" s="298"/>
      <c r="J4" s="314"/>
      <c r="K4" s="87"/>
      <c r="L4" s="63"/>
      <c r="M4" s="34"/>
      <c r="N4" s="309" t="str">
        <f>_xll.RData(N5:N19,O4:R4,"RTFEED:IDN",ReutersRtMode,,O5)</f>
        <v>Paused at 12:54:29</v>
      </c>
      <c r="O4" s="130" t="s">
        <v>128</v>
      </c>
      <c r="P4" s="130" t="s">
        <v>127</v>
      </c>
      <c r="Q4" s="130" t="s">
        <v>140</v>
      </c>
      <c r="R4" s="130" t="s">
        <v>148</v>
      </c>
      <c r="S4" s="310" t="s">
        <v>147</v>
      </c>
      <c r="T4" s="111"/>
      <c r="U4" s="130" t="s">
        <v>145</v>
      </c>
      <c r="V4" s="111"/>
      <c r="W4" s="233" t="s">
        <v>144</v>
      </c>
      <c r="X4" s="35" t="s">
        <v>143</v>
      </c>
      <c r="Y4" s="98"/>
      <c r="Z4" s="12"/>
      <c r="AA4" s="150"/>
    </row>
    <row r="5" spans="1:27" x14ac:dyDescent="0.2">
      <c r="A5" s="52"/>
      <c r="B5" s="301">
        <v>1</v>
      </c>
      <c r="C5" s="305" t="s">
        <v>99</v>
      </c>
      <c r="D5" s="51" t="str">
        <f t="shared" ref="D5:D19" si="0">Currency&amp;$B5&amp;$C5&amp;QuoteSuffix</f>
        <v>CNY1x4F_Quote</v>
      </c>
      <c r="E5" s="51" t="str">
        <f>_xll.qlSimpleQuote(D5,,RateTickValue,Permanent,Trigger,ObjectOverwrite)</f>
        <v>CNY1x4F_Quote#0003</v>
      </c>
      <c r="F5" s="281" t="str">
        <f>_xll.ohRangeRetrieveError(E5)</f>
        <v/>
      </c>
      <c r="G5" s="19"/>
      <c r="I5" s="298"/>
      <c r="J5" s="115">
        <f t="shared" ref="J5:J19" si="1">B5</f>
        <v>1</v>
      </c>
      <c r="K5" s="114" t="s">
        <v>146</v>
      </c>
      <c r="L5" s="149">
        <f t="shared" ref="L5:L10" si="2">J5+3</f>
        <v>4</v>
      </c>
      <c r="M5" s="322" t="str">
        <f t="shared" ref="M5:M19" si="3">Currency&amp;$J5&amp;$K5&amp;$L5&amp;"F"</f>
        <v>CNY1X4F</v>
      </c>
      <c r="N5" s="115" t="str">
        <f t="array" ref="N5:N19">Instruments&amp;"="&amp;VLOOKUP(ContributorFRA,ContributorTable,2,FALSE)</f>
        <v>CNY1X4F=</v>
      </c>
      <c r="O5" s="145">
        <v>4.45</v>
      </c>
      <c r="P5" s="145">
        <v>4.6500000000000004</v>
      </c>
      <c r="Q5" s="114">
        <v>0</v>
      </c>
      <c r="R5" s="145">
        <v>4.45</v>
      </c>
      <c r="S5" s="315">
        <f>_xll.qlMidSafe($O5,$P5)</f>
        <v>4.5500000000000007</v>
      </c>
      <c r="T5" s="111"/>
      <c r="U5" s="147">
        <v>2.68</v>
      </c>
      <c r="V5" s="111"/>
      <c r="W5" s="169">
        <f t="array" ref="W5:W19">QuoteLive</f>
        <v>4.5500000000000007</v>
      </c>
      <c r="X5" s="122" t="e">
        <f>_xll.qlSimpleQuoteSetValue(E5,W5/100,Trigger)</f>
        <v>#N/A</v>
      </c>
      <c r="Y5" s="98"/>
      <c r="Z5" s="12"/>
      <c r="AA5" s="137"/>
    </row>
    <row r="6" spans="1:27" x14ac:dyDescent="0.2">
      <c r="A6" s="52"/>
      <c r="B6" s="301">
        <v>2</v>
      </c>
      <c r="C6" s="305" t="s">
        <v>98</v>
      </c>
      <c r="D6" s="40" t="str">
        <f t="shared" si="0"/>
        <v>CNY2x5F_Quote</v>
      </c>
      <c r="E6" s="40" t="str">
        <f>_xll.qlSimpleQuote(D6,,RateTickValue,Permanent,Trigger,ObjectOverwrite)</f>
        <v>CNY2x5F_Quote#0003</v>
      </c>
      <c r="F6" s="280" t="str">
        <f>_xll.ohRangeRetrieveError(E6)</f>
        <v/>
      </c>
      <c r="G6" s="19"/>
      <c r="I6" s="298"/>
      <c r="J6" s="115">
        <f t="shared" si="1"/>
        <v>2</v>
      </c>
      <c r="K6" s="114" t="s">
        <v>146</v>
      </c>
      <c r="L6" s="146">
        <f t="shared" si="2"/>
        <v>5</v>
      </c>
      <c r="M6" s="323" t="str">
        <f t="shared" si="3"/>
        <v>CNY2X5F</v>
      </c>
      <c r="N6" s="115" t="str">
        <v>CNY2X5F=</v>
      </c>
      <c r="O6" s="145">
        <v>4.45</v>
      </c>
      <c r="P6" s="145">
        <v>4.6500000000000004</v>
      </c>
      <c r="Q6" s="114">
        <v>0</v>
      </c>
      <c r="R6" s="145">
        <v>4.45</v>
      </c>
      <c r="S6" s="315">
        <f>_xll.qlMidSafe($O6,$P6)</f>
        <v>4.5500000000000007</v>
      </c>
      <c r="T6" s="111"/>
      <c r="U6" s="143">
        <v>2.67</v>
      </c>
      <c r="V6" s="111"/>
      <c r="W6" s="162">
        <v>4.5500000000000007</v>
      </c>
      <c r="X6" s="108" t="e">
        <f>_xll.qlSimpleQuoteSetValue(E6,W6/100,Trigger)</f>
        <v>#N/A</v>
      </c>
      <c r="Y6" s="98"/>
      <c r="Z6" s="12"/>
      <c r="AA6" s="137"/>
    </row>
    <row r="7" spans="1:27" x14ac:dyDescent="0.2">
      <c r="A7" s="52"/>
      <c r="B7" s="301">
        <v>3</v>
      </c>
      <c r="C7" s="305" t="s">
        <v>97</v>
      </c>
      <c r="D7" s="40" t="str">
        <f t="shared" si="0"/>
        <v>CNY3x6F_Quote</v>
      </c>
      <c r="E7" s="40" t="str">
        <f>_xll.qlSimpleQuote(D7,,RateTickValue,Permanent,Trigger,ObjectOverwrite)</f>
        <v>CNY3x6F_Quote#0003</v>
      </c>
      <c r="F7" s="280" t="str">
        <f>_xll.ohRangeRetrieveError(E7)</f>
        <v/>
      </c>
      <c r="G7" s="19"/>
      <c r="I7" s="298"/>
      <c r="J7" s="115">
        <f t="shared" si="1"/>
        <v>3</v>
      </c>
      <c r="K7" s="114" t="s">
        <v>146</v>
      </c>
      <c r="L7" s="146">
        <f t="shared" si="2"/>
        <v>6</v>
      </c>
      <c r="M7" s="323" t="str">
        <f t="shared" si="3"/>
        <v>CNY3X6F</v>
      </c>
      <c r="N7" s="115" t="str">
        <v>CNY3X6F=</v>
      </c>
      <c r="O7" s="145">
        <v>4.5</v>
      </c>
      <c r="P7" s="145">
        <v>4.8</v>
      </c>
      <c r="Q7" s="114">
        <v>0</v>
      </c>
      <c r="R7" s="145">
        <v>4.5</v>
      </c>
      <c r="S7" s="315">
        <f>_xll.qlMidSafe($O7,$P7)</f>
        <v>4.6500000000000004</v>
      </c>
      <c r="T7" s="111"/>
      <c r="U7" s="143">
        <v>2.6550000000000002</v>
      </c>
      <c r="V7" s="111"/>
      <c r="W7" s="162">
        <v>4.6500000000000004</v>
      </c>
      <c r="X7" s="108" t="e">
        <f>_xll.qlSimpleQuoteSetValue(E7,W7/100,Trigger)</f>
        <v>#N/A</v>
      </c>
      <c r="Y7" s="98"/>
      <c r="Z7" s="12"/>
      <c r="AA7" s="137"/>
    </row>
    <row r="8" spans="1:27" x14ac:dyDescent="0.2">
      <c r="A8" s="52"/>
      <c r="B8" s="301">
        <v>4</v>
      </c>
      <c r="C8" s="305" t="s">
        <v>96</v>
      </c>
      <c r="D8" s="40" t="str">
        <f t="shared" si="0"/>
        <v>CNY4x7F_Quote</v>
      </c>
      <c r="E8" s="40" t="str">
        <f>_xll.qlSimpleQuote(D8,,RateTickValue,Permanent,Trigger,ObjectOverwrite)</f>
        <v>CNY4x7F_Quote#0003</v>
      </c>
      <c r="F8" s="280" t="str">
        <f>_xll.ohRangeRetrieveError(E8)</f>
        <v/>
      </c>
      <c r="G8" s="19"/>
      <c r="I8" s="298"/>
      <c r="J8" s="115">
        <f t="shared" si="1"/>
        <v>4</v>
      </c>
      <c r="K8" s="114" t="s">
        <v>146</v>
      </c>
      <c r="L8" s="146">
        <f t="shared" si="2"/>
        <v>7</v>
      </c>
      <c r="M8" s="323" t="str">
        <f t="shared" si="3"/>
        <v>CNY4X7F</v>
      </c>
      <c r="N8" s="115" t="str">
        <v>CNY4X7F=</v>
      </c>
      <c r="O8" s="145">
        <v>4.49</v>
      </c>
      <c r="P8" s="145">
        <v>4.6100000000000003</v>
      </c>
      <c r="Q8" s="114">
        <v>0</v>
      </c>
      <c r="R8" s="145">
        <v>4.49</v>
      </c>
      <c r="S8" s="315">
        <f>_xll.qlMidSafe($O8,$P8)</f>
        <v>4.5500000000000007</v>
      </c>
      <c r="T8" s="111"/>
      <c r="U8" s="143">
        <v>2.6550000000000002</v>
      </c>
      <c r="V8" s="111"/>
      <c r="W8" s="162">
        <v>4.5500000000000007</v>
      </c>
      <c r="X8" s="108" t="e">
        <f>_xll.qlSimpleQuoteSetValue(E8,W8/100,Trigger)</f>
        <v>#N/A</v>
      </c>
      <c r="Y8" s="98"/>
      <c r="Z8" s="12"/>
      <c r="AA8" s="137"/>
    </row>
    <row r="9" spans="1:27" x14ac:dyDescent="0.2">
      <c r="A9" s="52"/>
      <c r="B9" s="301">
        <v>5</v>
      </c>
      <c r="C9" s="305" t="s">
        <v>95</v>
      </c>
      <c r="D9" s="40" t="str">
        <f t="shared" si="0"/>
        <v>CNY5x8F_Quote</v>
      </c>
      <c r="E9" s="40" t="str">
        <f>_xll.qlSimpleQuote(D9,,RateTickValue,Permanent,Trigger,ObjectOverwrite)</f>
        <v>CNY5x8F_Quote#0003</v>
      </c>
      <c r="F9" s="280" t="str">
        <f>_xll.ohRangeRetrieveError(E9)</f>
        <v/>
      </c>
      <c r="G9" s="19"/>
      <c r="I9" s="298"/>
      <c r="J9" s="115">
        <f t="shared" si="1"/>
        <v>5</v>
      </c>
      <c r="K9" s="114" t="s">
        <v>146</v>
      </c>
      <c r="L9" s="146">
        <f t="shared" si="2"/>
        <v>8</v>
      </c>
      <c r="M9" s="323" t="str">
        <f t="shared" si="3"/>
        <v>CNY5X8F</v>
      </c>
      <c r="N9" s="115" t="str">
        <v>CNY5X8F=</v>
      </c>
      <c r="O9" s="145">
        <v>4.43</v>
      </c>
      <c r="P9" s="145">
        <v>4.55</v>
      </c>
      <c r="Q9" s="114">
        <v>0</v>
      </c>
      <c r="R9" s="145">
        <v>4.43</v>
      </c>
      <c r="S9" s="315">
        <f>_xll.qlMidSafe($O9,$P9)</f>
        <v>4.49</v>
      </c>
      <c r="T9" s="111"/>
      <c r="U9" s="143">
        <v>2.6550000000000002</v>
      </c>
      <c r="V9" s="111"/>
      <c r="W9" s="162">
        <v>4.49</v>
      </c>
      <c r="X9" s="108" t="e">
        <f>_xll.qlSimpleQuoteSetValue(E9,W9/100,Trigger)</f>
        <v>#N/A</v>
      </c>
      <c r="Y9" s="98"/>
      <c r="Z9" s="12"/>
      <c r="AA9" s="137"/>
    </row>
    <row r="10" spans="1:27" ht="13.5" thickBot="1" x14ac:dyDescent="0.25">
      <c r="A10" s="52"/>
      <c r="B10" s="302">
        <v>6</v>
      </c>
      <c r="C10" s="306" t="s">
        <v>94</v>
      </c>
      <c r="D10" s="53" t="str">
        <f t="shared" si="0"/>
        <v>CNY6x9F_Quote</v>
      </c>
      <c r="E10" s="53" t="str">
        <f>_xll.qlSimpleQuote(D10,,RateTickValue,Permanent,Trigger,ObjectOverwrite)</f>
        <v>CNY6x9F_Quote#0003</v>
      </c>
      <c r="F10" s="282" t="str">
        <f>_xll.ohRangeRetrieveError(E10)</f>
        <v/>
      </c>
      <c r="G10" s="19"/>
      <c r="I10" s="298"/>
      <c r="J10" s="115">
        <f t="shared" si="1"/>
        <v>6</v>
      </c>
      <c r="K10" s="114" t="s">
        <v>146</v>
      </c>
      <c r="L10" s="146">
        <f t="shared" si="2"/>
        <v>9</v>
      </c>
      <c r="M10" s="323" t="str">
        <f t="shared" si="3"/>
        <v>CNY6X9F</v>
      </c>
      <c r="N10" s="115" t="str">
        <v>CNY6X9F=</v>
      </c>
      <c r="O10" s="145">
        <v>4.53</v>
      </c>
      <c r="P10" s="145">
        <v>4.7300000000000004</v>
      </c>
      <c r="Q10" s="114">
        <v>0</v>
      </c>
      <c r="R10" s="145">
        <v>4.53</v>
      </c>
      <c r="S10" s="315">
        <f>_xll.qlMidSafe($O10,$P10)</f>
        <v>4.6300000000000008</v>
      </c>
      <c r="T10" s="111"/>
      <c r="U10" s="143">
        <v>2.665</v>
      </c>
      <c r="V10" s="111"/>
      <c r="W10" s="162">
        <v>4.6300000000000008</v>
      </c>
      <c r="X10" s="108" t="e">
        <f>_xll.qlSimpleQuoteSetValue(E10,W10/100,Trigger)</f>
        <v>#N/A</v>
      </c>
      <c r="Y10" s="98"/>
      <c r="Z10" s="12"/>
      <c r="AA10" s="137"/>
    </row>
    <row r="11" spans="1:27" x14ac:dyDescent="0.2">
      <c r="A11" s="52"/>
      <c r="B11" s="303">
        <v>1</v>
      </c>
      <c r="C11" s="307" t="str">
        <f t="shared" ref="C11:C19" si="4">"x"&amp;B11+6&amp;"F"</f>
        <v>x7F</v>
      </c>
      <c r="D11" s="279" t="str">
        <f t="shared" si="0"/>
        <v>CNY1x7F_Quote</v>
      </c>
      <c r="E11" s="279" t="str">
        <f>_xll.qlSimpleQuote(D11,,RateTickValue,Permanent,Trigger,ObjectOverwrite)</f>
        <v>CNY1x7F_Quote#0003</v>
      </c>
      <c r="F11" s="283" t="str">
        <f>_xll.ohRangeRetrieveError(E11)</f>
        <v/>
      </c>
      <c r="G11" s="19"/>
      <c r="I11" s="298"/>
      <c r="J11" s="319">
        <f t="shared" si="1"/>
        <v>1</v>
      </c>
      <c r="K11" s="317" t="s">
        <v>146</v>
      </c>
      <c r="L11" s="318">
        <f t="shared" ref="L11:L19" si="5">J11+6</f>
        <v>7</v>
      </c>
      <c r="M11" s="324" t="str">
        <f t="shared" si="3"/>
        <v>CNY1X7F</v>
      </c>
      <c r="N11" s="319" t="str">
        <v>CNY1X7F=</v>
      </c>
      <c r="O11" s="320" t="s">
        <v>135</v>
      </c>
      <c r="P11" s="320" t="s">
        <v>135</v>
      </c>
      <c r="Q11" s="317" t="s">
        <v>135</v>
      </c>
      <c r="R11" s="320" t="s">
        <v>135</v>
      </c>
      <c r="S11" s="321" t="e">
        <f>_xll.qlMidSafe($O11,$P11)</f>
        <v>#NUM!</v>
      </c>
      <c r="T11" s="111"/>
      <c r="U11" s="311">
        <v>2.69</v>
      </c>
      <c r="V11" s="111"/>
      <c r="W11" s="312" t="e">
        <v>#NUM!</v>
      </c>
      <c r="X11" s="313" t="e">
        <f>_xll.qlSimpleQuoteSetValue(E11,W11/100,Trigger)</f>
        <v>#NUM!</v>
      </c>
      <c r="Y11" s="98"/>
      <c r="Z11" s="12"/>
      <c r="AA11" s="137"/>
    </row>
    <row r="12" spans="1:27" x14ac:dyDescent="0.2">
      <c r="A12" s="52"/>
      <c r="B12" s="301">
        <v>2</v>
      </c>
      <c r="C12" s="305" t="str">
        <f t="shared" si="4"/>
        <v>x8F</v>
      </c>
      <c r="D12" s="40" t="str">
        <f t="shared" si="0"/>
        <v>CNY2x8F_Quote</v>
      </c>
      <c r="E12" s="40" t="str">
        <f>_xll.qlSimpleQuote(D12,,RateTickValue,Permanent,Trigger,ObjectOverwrite)</f>
        <v>CNY2x8F_Quote#0003</v>
      </c>
      <c r="F12" s="280" t="str">
        <f>_xll.ohRangeRetrieveError(E12)</f>
        <v/>
      </c>
      <c r="G12" s="19"/>
      <c r="I12" s="298"/>
      <c r="J12" s="115">
        <f t="shared" si="1"/>
        <v>2</v>
      </c>
      <c r="K12" s="114" t="s">
        <v>146</v>
      </c>
      <c r="L12" s="146">
        <f t="shared" si="5"/>
        <v>8</v>
      </c>
      <c r="M12" s="323" t="str">
        <f t="shared" si="3"/>
        <v>CNY2X8F</v>
      </c>
      <c r="N12" s="115" t="str">
        <v>CNY2X8F=</v>
      </c>
      <c r="O12" s="145" t="s">
        <v>135</v>
      </c>
      <c r="P12" s="145" t="s">
        <v>135</v>
      </c>
      <c r="Q12" s="114" t="s">
        <v>135</v>
      </c>
      <c r="R12" s="145" t="s">
        <v>135</v>
      </c>
      <c r="S12" s="315" t="e">
        <f>_xll.qlMidSafe($O12,$P12)</f>
        <v>#NUM!</v>
      </c>
      <c r="T12" s="111"/>
      <c r="U12" s="143">
        <v>2.68</v>
      </c>
      <c r="V12" s="111"/>
      <c r="W12" s="162" t="e">
        <v>#NUM!</v>
      </c>
      <c r="X12" s="108" t="e">
        <f>_xll.qlSimpleQuoteSetValue(E12,W12/100,Trigger)</f>
        <v>#NUM!</v>
      </c>
      <c r="Y12" s="98"/>
      <c r="Z12" s="12"/>
      <c r="AA12" s="137"/>
    </row>
    <row r="13" spans="1:27" x14ac:dyDescent="0.2">
      <c r="A13" s="52"/>
      <c r="B13" s="301">
        <v>3</v>
      </c>
      <c r="C13" s="305" t="str">
        <f t="shared" si="4"/>
        <v>x9F</v>
      </c>
      <c r="D13" s="40" t="str">
        <f t="shared" si="0"/>
        <v>CNY3x9F_Quote</v>
      </c>
      <c r="E13" s="40" t="str">
        <f>_xll.qlSimpleQuote(D13,,RateTickValue,Permanent,Trigger,ObjectOverwrite)</f>
        <v>CNY3x9F_Quote#0003</v>
      </c>
      <c r="F13" s="280" t="str">
        <f>_xll.ohRangeRetrieveError(E13)</f>
        <v/>
      </c>
      <c r="G13" s="19"/>
      <c r="I13" s="298"/>
      <c r="J13" s="115">
        <f t="shared" si="1"/>
        <v>3</v>
      </c>
      <c r="K13" s="114" t="s">
        <v>146</v>
      </c>
      <c r="L13" s="146">
        <f t="shared" si="5"/>
        <v>9</v>
      </c>
      <c r="M13" s="323" t="str">
        <f t="shared" si="3"/>
        <v>CNY3X9F</v>
      </c>
      <c r="N13" s="115" t="str">
        <v>CNY3X9F=</v>
      </c>
      <c r="O13" s="145" t="s">
        <v>135</v>
      </c>
      <c r="P13" s="145" t="s">
        <v>135</v>
      </c>
      <c r="Q13" s="114" t="s">
        <v>135</v>
      </c>
      <c r="R13" s="145" t="s">
        <v>135</v>
      </c>
      <c r="S13" s="315" t="e">
        <f>_xll.qlMidSafe($O13,$P13)</f>
        <v>#NUM!</v>
      </c>
      <c r="T13" s="111"/>
      <c r="U13" s="143">
        <v>2.69</v>
      </c>
      <c r="V13" s="111"/>
      <c r="W13" s="162" t="e">
        <v>#NUM!</v>
      </c>
      <c r="X13" s="108" t="e">
        <f>_xll.qlSimpleQuoteSetValue(E13,W13/100,Trigger)</f>
        <v>#NUM!</v>
      </c>
      <c r="Y13" s="98"/>
      <c r="Z13" s="12"/>
      <c r="AA13" s="137"/>
    </row>
    <row r="14" spans="1:27" x14ac:dyDescent="0.2">
      <c r="A14" s="52"/>
      <c r="B14" s="301">
        <v>4</v>
      </c>
      <c r="C14" s="305" t="str">
        <f t="shared" si="4"/>
        <v>x10F</v>
      </c>
      <c r="D14" s="40" t="str">
        <f t="shared" si="0"/>
        <v>CNY4x10F_Quote</v>
      </c>
      <c r="E14" s="40" t="str">
        <f>_xll.qlSimpleQuote(D14,,RateTickValue,Permanent,Trigger,ObjectOverwrite)</f>
        <v>CNY4x10F_Quote#0003</v>
      </c>
      <c r="F14" s="280" t="str">
        <f>_xll.ohRangeRetrieveError(E14)</f>
        <v/>
      </c>
      <c r="G14" s="19"/>
      <c r="I14" s="298"/>
      <c r="J14" s="115">
        <f t="shared" si="1"/>
        <v>4</v>
      </c>
      <c r="K14" s="114" t="s">
        <v>146</v>
      </c>
      <c r="L14" s="146">
        <f t="shared" si="5"/>
        <v>10</v>
      </c>
      <c r="M14" s="323" t="str">
        <f t="shared" si="3"/>
        <v>CNY4X10F</v>
      </c>
      <c r="N14" s="115" t="str">
        <v>CNY4X10F=</v>
      </c>
      <c r="O14" s="145" t="s">
        <v>135</v>
      </c>
      <c r="P14" s="145" t="s">
        <v>135</v>
      </c>
      <c r="Q14" s="114" t="s">
        <v>135</v>
      </c>
      <c r="R14" s="145" t="s">
        <v>135</v>
      </c>
      <c r="S14" s="315" t="e">
        <f>_xll.qlMidSafe($O14,$P14)</f>
        <v>#NUM!</v>
      </c>
      <c r="T14" s="111"/>
      <c r="U14" s="143">
        <v>2.7</v>
      </c>
      <c r="V14" s="111"/>
      <c r="W14" s="162" t="e">
        <v>#NUM!</v>
      </c>
      <c r="X14" s="108" t="e">
        <f>_xll.qlSimpleQuoteSetValue(E14,W14/100,Trigger)</f>
        <v>#NUM!</v>
      </c>
      <c r="Y14" s="98"/>
      <c r="Z14" s="12"/>
      <c r="AA14" s="137"/>
    </row>
    <row r="15" spans="1:27" x14ac:dyDescent="0.2">
      <c r="A15" s="52"/>
      <c r="B15" s="301">
        <v>5</v>
      </c>
      <c r="C15" s="305" t="str">
        <f t="shared" si="4"/>
        <v>x11F</v>
      </c>
      <c r="D15" s="40" t="str">
        <f t="shared" si="0"/>
        <v>CNY5x11F_Quote</v>
      </c>
      <c r="E15" s="40" t="str">
        <f>_xll.qlSimpleQuote(D15,,RateTickValue,Permanent,Trigger,ObjectOverwrite)</f>
        <v>CNY5x11F_Quote#0003</v>
      </c>
      <c r="F15" s="280" t="str">
        <f>_xll.ohRangeRetrieveError(E15)</f>
        <v/>
      </c>
      <c r="G15" s="19"/>
      <c r="I15" s="298"/>
      <c r="J15" s="115">
        <f t="shared" si="1"/>
        <v>5</v>
      </c>
      <c r="K15" s="114" t="s">
        <v>146</v>
      </c>
      <c r="L15" s="146">
        <f t="shared" si="5"/>
        <v>11</v>
      </c>
      <c r="M15" s="323" t="str">
        <f t="shared" si="3"/>
        <v>CNY5X11F</v>
      </c>
      <c r="N15" s="115" t="str">
        <v>CNY5X11F=</v>
      </c>
      <c r="O15" s="145" t="s">
        <v>135</v>
      </c>
      <c r="P15" s="145" t="s">
        <v>135</v>
      </c>
      <c r="Q15" s="114" t="s">
        <v>135</v>
      </c>
      <c r="R15" s="145" t="s">
        <v>135</v>
      </c>
      <c r="S15" s="315" t="e">
        <f>_xll.qlMidSafe($O15,$P15)</f>
        <v>#NUM!</v>
      </c>
      <c r="T15" s="111"/>
      <c r="U15" s="143">
        <v>2.71</v>
      </c>
      <c r="V15" s="111"/>
      <c r="W15" s="162" t="e">
        <v>#NUM!</v>
      </c>
      <c r="X15" s="108" t="e">
        <f>_xll.qlSimpleQuoteSetValue(E15,W15/100,Trigger)</f>
        <v>#NUM!</v>
      </c>
      <c r="Y15" s="98"/>
      <c r="Z15" s="12"/>
      <c r="AA15" s="137"/>
    </row>
    <row r="16" spans="1:27" x14ac:dyDescent="0.2">
      <c r="A16" s="52"/>
      <c r="B16" s="301">
        <v>6</v>
      </c>
      <c r="C16" s="305" t="str">
        <f t="shared" si="4"/>
        <v>x12F</v>
      </c>
      <c r="D16" s="40" t="str">
        <f t="shared" si="0"/>
        <v>CNY6x12F_Quote</v>
      </c>
      <c r="E16" s="40" t="str">
        <f>_xll.qlSimpleQuote(D16,,RateTickValue,Permanent,Trigger,ObjectOverwrite)</f>
        <v>CNY6x12F_Quote#0003</v>
      </c>
      <c r="F16" s="280" t="str">
        <f>_xll.ohRangeRetrieveError(E16)</f>
        <v/>
      </c>
      <c r="G16" s="19"/>
      <c r="I16" s="298"/>
      <c r="J16" s="115">
        <f t="shared" si="1"/>
        <v>6</v>
      </c>
      <c r="K16" s="114" t="s">
        <v>146</v>
      </c>
      <c r="L16" s="146">
        <f t="shared" si="5"/>
        <v>12</v>
      </c>
      <c r="M16" s="323" t="str">
        <f t="shared" si="3"/>
        <v>CNY6X12F</v>
      </c>
      <c r="N16" s="115" t="str">
        <v>CNY6X12F=</v>
      </c>
      <c r="O16" s="145" t="s">
        <v>135</v>
      </c>
      <c r="P16" s="145" t="s">
        <v>135</v>
      </c>
      <c r="Q16" s="114" t="s">
        <v>135</v>
      </c>
      <c r="R16" s="145" t="s">
        <v>135</v>
      </c>
      <c r="S16" s="315" t="e">
        <f>_xll.qlMidSafe($O16,$P16)</f>
        <v>#NUM!</v>
      </c>
      <c r="T16" s="111"/>
      <c r="U16" s="143">
        <v>2.72</v>
      </c>
      <c r="V16" s="111"/>
      <c r="W16" s="162" t="e">
        <v>#NUM!</v>
      </c>
      <c r="X16" s="108" t="e">
        <f>_xll.qlSimpleQuoteSetValue(E16,W16/100,Trigger)</f>
        <v>#NUM!</v>
      </c>
      <c r="Y16" s="98"/>
      <c r="Z16" s="12"/>
      <c r="AA16" s="137"/>
    </row>
    <row r="17" spans="1:27" x14ac:dyDescent="0.2">
      <c r="A17" s="52"/>
      <c r="B17" s="301">
        <v>9</v>
      </c>
      <c r="C17" s="305" t="str">
        <f t="shared" si="4"/>
        <v>x15F</v>
      </c>
      <c r="D17" s="40" t="str">
        <f t="shared" si="0"/>
        <v>CNY9x15F_Quote</v>
      </c>
      <c r="E17" s="40" t="str">
        <f>_xll.qlSimpleQuote(D17,,RateTickValue,Permanent,Trigger,ObjectOverwrite)</f>
        <v>CNY9x15F_Quote#0003</v>
      </c>
      <c r="F17" s="280" t="str">
        <f>_xll.ohRangeRetrieveError(E17)</f>
        <v/>
      </c>
      <c r="G17" s="19"/>
      <c r="I17" s="298"/>
      <c r="J17" s="115">
        <f t="shared" si="1"/>
        <v>9</v>
      </c>
      <c r="K17" s="114" t="s">
        <v>146</v>
      </c>
      <c r="L17" s="146">
        <f t="shared" si="5"/>
        <v>15</v>
      </c>
      <c r="M17" s="323" t="str">
        <f t="shared" si="3"/>
        <v>CNY9X15F</v>
      </c>
      <c r="N17" s="115" t="str">
        <v>CNY9X15F=</v>
      </c>
      <c r="O17" s="145" t="s">
        <v>135</v>
      </c>
      <c r="P17" s="145" t="s">
        <v>135</v>
      </c>
      <c r="Q17" s="114" t="s">
        <v>135</v>
      </c>
      <c r="R17" s="145" t="s">
        <v>135</v>
      </c>
      <c r="S17" s="315" t="e">
        <f>_xll.qlMidSafe($O17,$P17)</f>
        <v>#NUM!</v>
      </c>
      <c r="T17" s="111"/>
      <c r="U17" s="143" t="e">
        <v>#NUM!</v>
      </c>
      <c r="V17" s="111"/>
      <c r="W17" s="162" t="e">
        <v>#NUM!</v>
      </c>
      <c r="X17" s="108" t="e">
        <f>_xll.qlSimpleQuoteSetValue(E17,W17/100,Trigger)</f>
        <v>#NUM!</v>
      </c>
      <c r="Y17" s="98"/>
      <c r="Z17" s="12"/>
      <c r="AA17" s="137"/>
    </row>
    <row r="18" spans="1:27" x14ac:dyDescent="0.2">
      <c r="A18" s="52"/>
      <c r="B18" s="301">
        <v>12</v>
      </c>
      <c r="C18" s="305" t="str">
        <f t="shared" si="4"/>
        <v>x18F</v>
      </c>
      <c r="D18" s="40" t="str">
        <f t="shared" si="0"/>
        <v>CNY12x18F_Quote</v>
      </c>
      <c r="E18" s="40" t="str">
        <f>_xll.qlSimpleQuote(D18,,RateTickValue,Permanent,Trigger,ObjectOverwrite)</f>
        <v>CNY12x18F_Quote#0003</v>
      </c>
      <c r="F18" s="280" t="str">
        <f>_xll.ohRangeRetrieveError(E18)</f>
        <v/>
      </c>
      <c r="G18" s="19"/>
      <c r="I18" s="298"/>
      <c r="J18" s="115">
        <f t="shared" si="1"/>
        <v>12</v>
      </c>
      <c r="K18" s="114" t="s">
        <v>146</v>
      </c>
      <c r="L18" s="146">
        <f t="shared" si="5"/>
        <v>18</v>
      </c>
      <c r="M18" s="323" t="str">
        <f t="shared" si="3"/>
        <v>CNY12X18F</v>
      </c>
      <c r="N18" s="115" t="str">
        <v>CNY12X18F=</v>
      </c>
      <c r="O18" s="145" t="s">
        <v>135</v>
      </c>
      <c r="P18" s="145" t="s">
        <v>135</v>
      </c>
      <c r="Q18" s="114" t="s">
        <v>135</v>
      </c>
      <c r="R18" s="145" t="s">
        <v>135</v>
      </c>
      <c r="S18" s="315" t="e">
        <f>_xll.qlMidSafe($O18,$P18)</f>
        <v>#NUM!</v>
      </c>
      <c r="T18" s="111"/>
      <c r="U18" s="143" t="e">
        <v>#NUM!</v>
      </c>
      <c r="V18" s="111"/>
      <c r="W18" s="162" t="e">
        <v>#NUM!</v>
      </c>
      <c r="X18" s="108" t="e">
        <f>_xll.qlSimpleQuoteSetValue(E18,W18/100,Trigger)</f>
        <v>#NUM!</v>
      </c>
      <c r="Y18" s="98"/>
      <c r="Z18" s="12"/>
      <c r="AA18" s="137"/>
    </row>
    <row r="19" spans="1:27" ht="13.5" thickBot="1" x14ac:dyDescent="0.25">
      <c r="A19" s="52"/>
      <c r="B19" s="304">
        <v>18</v>
      </c>
      <c r="C19" s="308" t="str">
        <f t="shared" si="4"/>
        <v>x24F</v>
      </c>
      <c r="D19" s="53" t="str">
        <f t="shared" si="0"/>
        <v>CNY18x24F_Quote</v>
      </c>
      <c r="E19" s="53" t="str">
        <f>_xll.qlSimpleQuote(D19,,RateTickValue,Permanent,Trigger,ObjectOverwrite)</f>
        <v>CNY18x24F_Quote#0003</v>
      </c>
      <c r="F19" s="282" t="str">
        <f>_xll.ohRangeRetrieveError(E19)</f>
        <v/>
      </c>
      <c r="G19" s="19"/>
      <c r="I19" s="298"/>
      <c r="J19" s="121">
        <f t="shared" si="1"/>
        <v>18</v>
      </c>
      <c r="K19" s="120" t="s">
        <v>146</v>
      </c>
      <c r="L19" s="142">
        <f t="shared" si="5"/>
        <v>24</v>
      </c>
      <c r="M19" s="325" t="str">
        <f t="shared" si="3"/>
        <v>CNY18X24F</v>
      </c>
      <c r="N19" s="121" t="str">
        <v>CNY18X24F=</v>
      </c>
      <c r="O19" s="141" t="s">
        <v>135</v>
      </c>
      <c r="P19" s="141" t="s">
        <v>135</v>
      </c>
      <c r="Q19" s="120" t="s">
        <v>135</v>
      </c>
      <c r="R19" s="141" t="s">
        <v>135</v>
      </c>
      <c r="S19" s="316" t="e">
        <f>_xll.qlMidSafe($O19,$P19)</f>
        <v>#NUM!</v>
      </c>
      <c r="T19" s="111"/>
      <c r="U19" s="139" t="e">
        <v>#NUM!</v>
      </c>
      <c r="V19" s="111"/>
      <c r="W19" s="155" t="e">
        <v>#NUM!</v>
      </c>
      <c r="X19" s="116" t="e">
        <f>_xll.qlSimpleQuoteSetValue(E19,W19/100,Trigger)</f>
        <v>#NUM!</v>
      </c>
      <c r="Y19" s="98"/>
      <c r="Z19" s="12"/>
      <c r="AA19" s="137"/>
    </row>
    <row r="20" spans="1:27" ht="13.5" thickBot="1" x14ac:dyDescent="0.25">
      <c r="A20" s="287"/>
      <c r="B20" s="288"/>
      <c r="C20" s="288"/>
      <c r="D20" s="289"/>
      <c r="E20" s="288"/>
      <c r="F20" s="290"/>
      <c r="G20" s="291"/>
      <c r="I20" s="292"/>
      <c r="J20" s="287"/>
      <c r="K20" s="287"/>
      <c r="L20" s="287"/>
      <c r="M20" s="287"/>
      <c r="N20" s="287"/>
      <c r="O20" s="287"/>
      <c r="P20" s="287"/>
      <c r="Q20" s="287"/>
      <c r="R20" s="287"/>
      <c r="S20" s="287"/>
      <c r="T20" s="287"/>
      <c r="U20" s="287"/>
      <c r="V20" s="287"/>
      <c r="W20" s="287"/>
      <c r="X20" s="287"/>
      <c r="Y20" s="291"/>
    </row>
  </sheetData>
  <conditionalFormatting sqref="X5:X19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N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M21"/>
  <sheetViews>
    <sheetView workbookViewId="0"/>
  </sheetViews>
  <sheetFormatPr defaultRowHeight="11.25" x14ac:dyDescent="0.2"/>
  <cols>
    <col min="1" max="1" width="2.7109375" style="38" customWidth="1"/>
    <col min="2" max="2" width="2.7109375" style="38" bestFit="1" customWidth="1"/>
    <col min="3" max="3" width="5.7109375" style="38" bestFit="1" customWidth="1"/>
    <col min="4" max="4" width="6.140625" style="38" bestFit="1" customWidth="1"/>
    <col min="5" max="5" width="17" style="38" bestFit="1" customWidth="1"/>
    <col min="6" max="6" width="20.42578125" style="38" bestFit="1" customWidth="1"/>
    <col min="7" max="7" width="33.85546875" style="38" customWidth="1"/>
    <col min="8" max="10" width="2.7109375" style="38" customWidth="1"/>
    <col min="11" max="11" width="2.7109375" style="38" bestFit="1" customWidth="1"/>
    <col min="12" max="12" width="5.7109375" style="38" bestFit="1" customWidth="1"/>
    <col min="13" max="13" width="6.140625" style="38" bestFit="1" customWidth="1"/>
    <col min="14" max="14" width="13.7109375" style="38" bestFit="1" customWidth="1"/>
    <col min="15" max="15" width="7.28515625" style="38" bestFit="1" customWidth="1"/>
    <col min="16" max="16" width="17.28515625" style="38" bestFit="1" customWidth="1"/>
    <col min="17" max="19" width="9.140625" style="38"/>
    <col min="20" max="20" width="11" style="38" customWidth="1"/>
    <col min="21" max="21" width="7.7109375" style="38" bestFit="1" customWidth="1"/>
    <col min="22" max="22" width="2.7109375" style="38" customWidth="1"/>
    <col min="23" max="23" width="5.28515625" style="38" bestFit="1" customWidth="1"/>
    <col min="24" max="24" width="2.7109375" style="38" customWidth="1"/>
    <col min="25" max="25" width="7.7109375" style="38" bestFit="1" customWidth="1"/>
    <col min="26" max="26" width="7" style="38" bestFit="1" customWidth="1"/>
    <col min="27" max="28" width="2.7109375" style="38" customWidth="1"/>
    <col min="29" max="29" width="9.140625" style="38"/>
    <col min="30" max="30" width="2.7109375" style="38" customWidth="1"/>
    <col min="31" max="33" width="9.140625" style="38"/>
    <col min="34" max="34" width="15.85546875" style="38" bestFit="1" customWidth="1"/>
    <col min="35" max="35" width="25" style="38" bestFit="1" customWidth="1"/>
    <col min="36" max="36" width="26.42578125" style="38" bestFit="1" customWidth="1"/>
    <col min="37" max="37" width="9.140625" style="38"/>
    <col min="38" max="38" width="2.7109375" style="38" customWidth="1"/>
    <col min="39" max="16384" width="9.140625" style="38"/>
  </cols>
  <sheetData>
    <row r="1" spans="1:39" x14ac:dyDescent="0.2">
      <c r="A1" s="74"/>
      <c r="B1" s="73"/>
      <c r="C1" s="73"/>
      <c r="D1" s="73"/>
      <c r="E1" s="73"/>
      <c r="F1" s="73"/>
      <c r="G1" s="73"/>
      <c r="H1" s="72"/>
      <c r="J1" s="136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178"/>
      <c r="W1" s="178"/>
      <c r="X1" s="90"/>
      <c r="Y1" s="90"/>
      <c r="Z1" s="90"/>
      <c r="AA1" s="177"/>
      <c r="AB1" s="12"/>
      <c r="AD1" s="71"/>
      <c r="AE1" s="55"/>
      <c r="AF1" s="55"/>
      <c r="AG1" s="55"/>
      <c r="AJ1" s="55"/>
      <c r="AK1" s="55"/>
      <c r="AL1" s="176"/>
    </row>
    <row r="2" spans="1:39" x14ac:dyDescent="0.2">
      <c r="A2" s="71"/>
      <c r="B2" s="134"/>
      <c r="C2" s="134"/>
      <c r="D2" s="134"/>
      <c r="E2" s="134"/>
      <c r="F2" s="134"/>
      <c r="G2" s="134"/>
      <c r="H2" s="327"/>
      <c r="J2" s="135"/>
      <c r="K2" s="55"/>
      <c r="L2" s="134"/>
      <c r="M2" s="134"/>
      <c r="N2" s="55"/>
      <c r="O2" s="55"/>
      <c r="P2" s="55"/>
      <c r="Q2" s="55"/>
      <c r="R2" s="55"/>
      <c r="S2" s="55"/>
      <c r="T2" s="55"/>
      <c r="U2" s="55"/>
      <c r="V2" s="111"/>
      <c r="W2" s="111"/>
      <c r="X2" s="55"/>
      <c r="Y2" s="111"/>
      <c r="Z2" s="55"/>
      <c r="AA2" s="176"/>
      <c r="AB2" s="12"/>
      <c r="AD2" s="71"/>
      <c r="AE2" s="55"/>
      <c r="AF2" s="55"/>
      <c r="AG2" s="55"/>
      <c r="AH2" s="105" t="s">
        <v>126</v>
      </c>
      <c r="AI2" s="104" t="str">
        <f>PROPER(Currency)&amp;"HW_Volatility_Quote"</f>
        <v>CnyHW_Volatility_Quote</v>
      </c>
      <c r="AJ2" s="55"/>
      <c r="AK2" s="55"/>
      <c r="AL2" s="176"/>
    </row>
    <row r="3" spans="1:39" x14ac:dyDescent="0.2">
      <c r="A3" s="71"/>
      <c r="B3" s="134"/>
      <c r="C3" s="134"/>
      <c r="D3" s="134"/>
      <c r="E3" s="134"/>
      <c r="F3" s="134"/>
      <c r="G3" s="134"/>
      <c r="H3" s="327"/>
      <c r="J3" s="13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111"/>
      <c r="W3" s="111"/>
      <c r="X3" s="55"/>
      <c r="Y3" s="55"/>
      <c r="Z3" s="55"/>
      <c r="AA3" s="176"/>
      <c r="AB3" s="12"/>
      <c r="AD3" s="71"/>
      <c r="AE3" s="55"/>
      <c r="AF3" s="55"/>
      <c r="AG3" s="55"/>
      <c r="AH3" s="105" t="s">
        <v>125</v>
      </c>
      <c r="AI3" s="104" t="str">
        <f>PROPER(Currency)&amp;"HW_MeanReversion_Quote"</f>
        <v>CnyHW_MeanReversion_Quote</v>
      </c>
      <c r="AJ3" s="55"/>
      <c r="AK3" s="55"/>
      <c r="AL3" s="176"/>
    </row>
    <row r="4" spans="1:39" x14ac:dyDescent="0.2">
      <c r="A4" s="71"/>
      <c r="B4" s="134"/>
      <c r="C4" s="134"/>
      <c r="D4" s="22" t="s">
        <v>103</v>
      </c>
      <c r="E4" s="22" t="s">
        <v>19</v>
      </c>
      <c r="F4" s="134"/>
      <c r="G4" s="134"/>
      <c r="H4" s="327"/>
      <c r="J4" s="13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111"/>
      <c r="W4" s="111"/>
      <c r="X4" s="55"/>
      <c r="Y4" s="55"/>
      <c r="Z4" s="132">
        <f>_xll.ohTrigger(Z6:Z17)</f>
        <v>4</v>
      </c>
      <c r="AA4" s="176"/>
      <c r="AB4" s="12"/>
      <c r="AD4" s="71"/>
      <c r="AE4" s="55"/>
      <c r="AF4" s="55"/>
      <c r="AG4" s="55"/>
      <c r="AH4" s="105" t="s">
        <v>59</v>
      </c>
      <c r="AI4" s="104" t="str">
        <f>PROPER(Currency)&amp;FamilyName&amp;$AJ$4</f>
        <v>CnyShibor1M</v>
      </c>
      <c r="AJ4" s="55" t="s">
        <v>19</v>
      </c>
      <c r="AK4" s="55"/>
      <c r="AL4" s="176"/>
    </row>
    <row r="5" spans="1:39" ht="33.75" x14ac:dyDescent="0.2">
      <c r="A5" s="71"/>
      <c r="B5" s="34" t="s">
        <v>102</v>
      </c>
      <c r="C5" s="35" t="s">
        <v>101</v>
      </c>
      <c r="D5" s="35" t="s">
        <v>100</v>
      </c>
      <c r="E5" s="33" t="str">
        <f>Currency&amp;"_010_"&amp;$D$4&amp;$E$4&amp;".xml"</f>
        <v>CNY_010_FUT1M.xml</v>
      </c>
      <c r="F5" s="32" t="str">
        <f>IF(Serialize,_xll.ohObjectSave(F6:F17,SerializationPath&amp;E5,FileOverwrite,Serialize),"---")</f>
        <v>---</v>
      </c>
      <c r="G5" s="42" t="str">
        <f>_xll.ohRangeRetrieveError(F5)</f>
        <v/>
      </c>
      <c r="H5" s="59"/>
      <c r="J5" s="135"/>
      <c r="K5" s="175" t="s">
        <v>102</v>
      </c>
      <c r="L5" s="151" t="s">
        <v>101</v>
      </c>
      <c r="M5" s="151" t="s">
        <v>100</v>
      </c>
      <c r="N5" s="151" t="s">
        <v>150</v>
      </c>
      <c r="O5" s="106" t="str">
        <f>_xll.RData(O6:O17,P5:T5,"RTFEED:IDN",ReutersRtMode,,P6)</f>
        <v>No instrument defined.</v>
      </c>
      <c r="P5" s="151" t="s">
        <v>149</v>
      </c>
      <c r="Q5" s="151" t="s">
        <v>128</v>
      </c>
      <c r="R5" s="151" t="s">
        <v>127</v>
      </c>
      <c r="S5" s="151" t="s">
        <v>140</v>
      </c>
      <c r="T5" s="151" t="s">
        <v>148</v>
      </c>
      <c r="U5" s="128" t="s">
        <v>147</v>
      </c>
      <c r="V5" s="111"/>
      <c r="W5" s="130" t="s">
        <v>145</v>
      </c>
      <c r="X5" s="111"/>
      <c r="Y5" s="239" t="s">
        <v>144</v>
      </c>
      <c r="Z5" s="131" t="s">
        <v>143</v>
      </c>
      <c r="AA5" s="19"/>
      <c r="AB5" s="12"/>
      <c r="AD5" s="71"/>
      <c r="AE5" s="34" t="s">
        <v>102</v>
      </c>
      <c r="AF5" s="88" t="s">
        <v>101</v>
      </c>
      <c r="AG5" s="88" t="s">
        <v>100</v>
      </c>
      <c r="AH5" s="88" t="s">
        <v>124</v>
      </c>
      <c r="AI5" s="33" t="str">
        <f>Currency&amp;"_020_Futures"&amp;AJ4&amp;"ConvAdj.xml"</f>
        <v>CNY_020_Futures1MConvAdj.xml</v>
      </c>
      <c r="AJ5" s="43" t="str">
        <f>IF(Serialize,_xll.ohObjectSave(AJ6:AJ17,SerializationPath&amp;AI5,FileOverwrite,Serialize),"---")</f>
        <v>---</v>
      </c>
      <c r="AK5" s="24" t="str">
        <f>_xll.ohRangeRetrieveError(AJ5)</f>
        <v/>
      </c>
      <c r="AL5" s="176"/>
    </row>
    <row r="6" spans="1:39" ht="11.25" customHeight="1" x14ac:dyDescent="0.2">
      <c r="A6" s="65"/>
      <c r="B6" s="70">
        <v>1</v>
      </c>
      <c r="C6" s="69" t="b">
        <v>0</v>
      </c>
      <c r="D6" s="68" t="str">
        <f t="array" ref="D6:D17">_xll.qlIMMNextCodes(_xll.qlSettingsEvaluationDate(Trigger)-1,$C6:$C17)</f>
        <v>N4</v>
      </c>
      <c r="E6" s="61" t="str">
        <f t="shared" ref="E6:E17" si="0">Currency&amp;$D$4&amp;$E$4&amp;$D6&amp;QuoteSuffix</f>
        <v>CNYFUT1MN4_Quote</v>
      </c>
      <c r="F6" s="67" t="str">
        <f>_xll.qlSimpleQuote(E6,,PriceTickValue,Permanent,Trigger,ObjectOverwrite)</f>
        <v>CNYFUT1MN4_Quote#0003</v>
      </c>
      <c r="G6" s="66" t="str">
        <f>_xll.ohRangeRetrieveError(F6)</f>
        <v/>
      </c>
      <c r="H6" s="59"/>
      <c r="J6" s="161"/>
      <c r="K6" s="174">
        <v>1</v>
      </c>
      <c r="L6" s="173" t="b">
        <v>0</v>
      </c>
      <c r="M6" s="123" t="str">
        <f t="array" ref="M6:M17">_xll.qlIMMcode(FuturesDates)</f>
        <v>N4</v>
      </c>
      <c r="N6" s="172">
        <f t="array" ref="N6:N17">_xll.qlIMMNextDates(_xll.qlSettingsEvaluationDate(Trigger)-1,$L6:$L17)</f>
        <v>41836</v>
      </c>
      <c r="O6" s="123"/>
      <c r="P6" s="171"/>
      <c r="Q6" s="123"/>
      <c r="R6" s="123"/>
      <c r="S6" s="123"/>
      <c r="T6" s="123"/>
      <c r="U6" s="125" t="e">
        <f>_xll.qlMidSafe($Q6,$R6)</f>
        <v>#NUM!</v>
      </c>
      <c r="V6" s="111"/>
      <c r="W6" s="170" t="e">
        <v>#NUM!</v>
      </c>
      <c r="X6" s="111"/>
      <c r="Y6" s="169" t="e">
        <f t="array" ref="Y6:Y17">QuoteLive</f>
        <v>#NUM!</v>
      </c>
      <c r="Z6" s="125" t="e">
        <f>_xll.qlSimpleQuoteSetValue(F6,Y6,Trigger)</f>
        <v>#NUM!</v>
      </c>
      <c r="AA6" s="19"/>
      <c r="AB6" s="12"/>
      <c r="AD6" s="65"/>
      <c r="AE6" s="70">
        <v>1</v>
      </c>
      <c r="AF6" s="68" t="b">
        <v>0</v>
      </c>
      <c r="AG6" s="68" t="str">
        <f t="array" ref="AG6:AG17">_xll.qlIMMNextCodes(_xll.qlSettingsEvaluationDate(Trigger)-1,$AF6:$AF125)</f>
        <v>N4</v>
      </c>
      <c r="AH6" s="101" t="str">
        <f t="shared" ref="AH6:AH17" si="1">Currency&amp;"FUT"&amp;$AJ$4&amp;$AG6&amp;QuoteSuffix</f>
        <v>CNYFUT1MN4_Quote</v>
      </c>
      <c r="AI6" s="102" t="str">
        <f t="shared" ref="AI6:AI17" si="2">Currency&amp;"FUT"&amp;$AJ$4&amp;$AG6&amp;"ConvAdj"&amp;QuoteSuffix</f>
        <v>CNYFUT1MN4ConvAdj_Quote</v>
      </c>
      <c r="AJ6" s="101" t="str">
        <f>_xll.qlFuturesConvAdjustmentQuote($AI6,IborIndex,$AG6,$AH6,Volatility,MeanReversion,Permanent,Trigger,ObjectOverwrite)</f>
        <v>CNYFUT1MN4ConvAdj_Quote#0003</v>
      </c>
      <c r="AK6" s="24" t="str">
        <f>_xll.ohRangeRetrieveError(AJ6)</f>
        <v/>
      </c>
      <c r="AL6" s="176"/>
    </row>
    <row r="7" spans="1:39" ht="11.25" customHeight="1" x14ac:dyDescent="0.2">
      <c r="A7" s="65"/>
      <c r="B7" s="64">
        <v>2</v>
      </c>
      <c r="C7" s="63" t="b">
        <v>0</v>
      </c>
      <c r="D7" s="62" t="str">
        <v>Q4</v>
      </c>
      <c r="E7" s="61" t="str">
        <f t="shared" si="0"/>
        <v>CNYFUT1MQ4_Quote</v>
      </c>
      <c r="F7" s="60" t="str">
        <f>_xll.qlSimpleQuote(E7,,PriceTickValue,Permanent,Trigger,ObjectOverwrite)</f>
        <v>CNYFUT1MQ4_Quote#0003</v>
      </c>
      <c r="G7" s="39" t="str">
        <f>_xll.ohRangeRetrieveError(F7)</f>
        <v/>
      </c>
      <c r="H7" s="59"/>
      <c r="J7" s="161"/>
      <c r="K7" s="167">
        <v>2</v>
      </c>
      <c r="L7" s="166" t="b">
        <v>0</v>
      </c>
      <c r="M7" s="109" t="str">
        <v>Q4</v>
      </c>
      <c r="N7" s="165">
        <v>41871</v>
      </c>
      <c r="O7" s="109"/>
      <c r="P7" s="164"/>
      <c r="Q7" s="109"/>
      <c r="R7" s="109"/>
      <c r="S7" s="109"/>
      <c r="T7" s="109"/>
      <c r="U7" s="113" t="e">
        <f>_xll.qlMidSafe($Q7,$R7)</f>
        <v>#NUM!</v>
      </c>
      <c r="V7" s="111"/>
      <c r="W7" s="168" t="e">
        <v>#NUM!</v>
      </c>
      <c r="X7" s="111"/>
      <c r="Y7" s="162" t="e">
        <v>#NUM!</v>
      </c>
      <c r="Z7" s="113" t="e">
        <f>_xll.qlSimpleQuoteSetValue(F7,Y7,Trigger)</f>
        <v>#NUM!</v>
      </c>
      <c r="AA7" s="19"/>
      <c r="AB7" s="12"/>
      <c r="AD7" s="65"/>
      <c r="AE7" s="64">
        <v>2</v>
      </c>
      <c r="AF7" s="62" t="b">
        <v>0</v>
      </c>
      <c r="AG7" s="62" t="str">
        <v>Q4</v>
      </c>
      <c r="AH7" s="101" t="str">
        <f t="shared" si="1"/>
        <v>CNYFUT1MQ4_Quote</v>
      </c>
      <c r="AI7" s="102" t="str">
        <f t="shared" si="2"/>
        <v>CNYFUT1MQ4ConvAdj_Quote</v>
      </c>
      <c r="AJ7" s="101" t="str">
        <f>_xll.qlFuturesConvAdjustmentQuote($AI7,IborIndex,$AG7,$AH7,Volatility,MeanReversion,Permanent,Trigger,ObjectOverwrite)</f>
        <v>CNYFUT1MQ4ConvAdj_Quote#0003</v>
      </c>
      <c r="AK7" s="24" t="str">
        <f>_xll.ohRangeRetrieveError(AJ7)</f>
        <v/>
      </c>
      <c r="AL7" s="176"/>
    </row>
    <row r="8" spans="1:39" ht="11.25" customHeight="1" x14ac:dyDescent="0.2">
      <c r="A8" s="65"/>
      <c r="B8" s="64">
        <v>3</v>
      </c>
      <c r="C8" s="63" t="b">
        <v>0</v>
      </c>
      <c r="D8" s="62" t="str">
        <v>U4</v>
      </c>
      <c r="E8" s="61" t="str">
        <f t="shared" si="0"/>
        <v>CNYFUT1MU4_Quote</v>
      </c>
      <c r="F8" s="60" t="str">
        <f>_xll.qlSimpleQuote(E8,,PriceTickValue,Permanent,Trigger,ObjectOverwrite)</f>
        <v>CNYFUT1MU4_Quote#0003</v>
      </c>
      <c r="G8" s="39" t="str">
        <f>_xll.ohRangeRetrieveError(F8)</f>
        <v/>
      </c>
      <c r="H8" s="59"/>
      <c r="J8" s="161"/>
      <c r="K8" s="167">
        <v>3</v>
      </c>
      <c r="L8" s="166" t="b">
        <v>0</v>
      </c>
      <c r="M8" s="109" t="str">
        <v>U4</v>
      </c>
      <c r="N8" s="165">
        <v>41899</v>
      </c>
      <c r="O8" s="109"/>
      <c r="P8" s="164"/>
      <c r="Q8" s="109"/>
      <c r="R8" s="109"/>
      <c r="S8" s="109"/>
      <c r="T8" s="109"/>
      <c r="U8" s="113" t="e">
        <f>_xll.qlMidSafe($Q8,$R8)</f>
        <v>#NUM!</v>
      </c>
      <c r="V8" s="111"/>
      <c r="W8" s="168" t="e">
        <v>#NUM!</v>
      </c>
      <c r="X8" s="111"/>
      <c r="Y8" s="162" t="e">
        <v>#NUM!</v>
      </c>
      <c r="Z8" s="113" t="e">
        <f>_xll.qlSimpleQuoteSetValue(F8,Y8,Trigger)</f>
        <v>#NUM!</v>
      </c>
      <c r="AA8" s="19"/>
      <c r="AB8" s="12"/>
      <c r="AD8" s="65"/>
      <c r="AE8" s="64">
        <v>3</v>
      </c>
      <c r="AF8" s="62" t="b">
        <v>0</v>
      </c>
      <c r="AG8" s="62" t="str">
        <v>U4</v>
      </c>
      <c r="AH8" s="101" t="str">
        <f t="shared" si="1"/>
        <v>CNYFUT1MU4_Quote</v>
      </c>
      <c r="AI8" s="102" t="str">
        <f t="shared" si="2"/>
        <v>CNYFUT1MU4ConvAdj_Quote</v>
      </c>
      <c r="AJ8" s="101" t="str">
        <f>_xll.qlFuturesConvAdjustmentQuote($AI8,IborIndex,$AG8,$AH8,Volatility,MeanReversion,Permanent,Trigger,ObjectOverwrite)</f>
        <v>CNYFUT1MU4ConvAdj_Quote#0003</v>
      </c>
      <c r="AK8" s="24" t="str">
        <f>_xll.ohRangeRetrieveError(AJ8)</f>
        <v/>
      </c>
      <c r="AL8" s="176"/>
    </row>
    <row r="9" spans="1:39" ht="11.25" customHeight="1" x14ac:dyDescent="0.2">
      <c r="A9" s="65"/>
      <c r="B9" s="64">
        <v>4</v>
      </c>
      <c r="C9" s="63" t="b">
        <v>0</v>
      </c>
      <c r="D9" s="62" t="str">
        <v>V4</v>
      </c>
      <c r="E9" s="61" t="str">
        <f t="shared" si="0"/>
        <v>CNYFUT1MV4_Quote</v>
      </c>
      <c r="F9" s="60" t="str">
        <f>_xll.qlSimpleQuote(E9,,PriceTickValue,Permanent,Trigger,ObjectOverwrite)</f>
        <v>CNYFUT1MV4_Quote#0003</v>
      </c>
      <c r="G9" s="39" t="str">
        <f>_xll.ohRangeRetrieveError(F9)</f>
        <v/>
      </c>
      <c r="H9" s="59"/>
      <c r="J9" s="161"/>
      <c r="K9" s="167">
        <v>4</v>
      </c>
      <c r="L9" s="166" t="b">
        <v>0</v>
      </c>
      <c r="M9" s="109" t="str">
        <v>V4</v>
      </c>
      <c r="N9" s="165">
        <v>41927</v>
      </c>
      <c r="O9" s="109"/>
      <c r="P9" s="164"/>
      <c r="Q9" s="109"/>
      <c r="R9" s="109"/>
      <c r="S9" s="109"/>
      <c r="T9" s="109"/>
      <c r="U9" s="113" t="e">
        <f>_xll.qlMidSafe($Q9,$R9)</f>
        <v>#NUM!</v>
      </c>
      <c r="V9" s="111"/>
      <c r="W9" s="168" t="e">
        <v>#NUM!</v>
      </c>
      <c r="X9" s="111"/>
      <c r="Y9" s="162" t="e">
        <v>#NUM!</v>
      </c>
      <c r="Z9" s="113" t="e">
        <f>_xll.qlSimpleQuoteSetValue(F9,Y9,Trigger)</f>
        <v>#NUM!</v>
      </c>
      <c r="AA9" s="19"/>
      <c r="AB9" s="12"/>
      <c r="AD9" s="65"/>
      <c r="AE9" s="64">
        <v>4</v>
      </c>
      <c r="AF9" s="62" t="b">
        <v>0</v>
      </c>
      <c r="AG9" s="62" t="str">
        <v>V4</v>
      </c>
      <c r="AH9" s="101" t="str">
        <f t="shared" si="1"/>
        <v>CNYFUT1MV4_Quote</v>
      </c>
      <c r="AI9" s="102" t="str">
        <f t="shared" si="2"/>
        <v>CNYFUT1MV4ConvAdj_Quote</v>
      </c>
      <c r="AJ9" s="101" t="str">
        <f>_xll.qlFuturesConvAdjustmentQuote($AI9,IborIndex,$AG9,$AH9,Volatility,MeanReversion,Permanent,Trigger,ObjectOverwrite)</f>
        <v>CNYFUT1MV4ConvAdj_Quote#0003</v>
      </c>
      <c r="AK9" s="24" t="str">
        <f>_xll.ohRangeRetrieveError(AJ9)</f>
        <v/>
      </c>
      <c r="AL9" s="176"/>
      <c r="AM9" s="235"/>
    </row>
    <row r="10" spans="1:39" ht="11.25" customHeight="1" x14ac:dyDescent="0.2">
      <c r="A10" s="65"/>
      <c r="B10" s="64">
        <v>5</v>
      </c>
      <c r="C10" s="63" t="b">
        <v>0</v>
      </c>
      <c r="D10" s="62" t="str">
        <v>X4</v>
      </c>
      <c r="E10" s="61" t="str">
        <f t="shared" si="0"/>
        <v>CNYFUT1MX4_Quote</v>
      </c>
      <c r="F10" s="60" t="str">
        <f>_xll.qlSimpleQuote(E10,,PriceTickValue,Permanent,Trigger,ObjectOverwrite)</f>
        <v>CNYFUT1MX4_Quote#0003</v>
      </c>
      <c r="G10" s="39" t="str">
        <f>_xll.ohRangeRetrieveError(F10)</f>
        <v/>
      </c>
      <c r="H10" s="59"/>
      <c r="J10" s="161"/>
      <c r="K10" s="167">
        <v>5</v>
      </c>
      <c r="L10" s="166" t="b">
        <v>0</v>
      </c>
      <c r="M10" s="109" t="str">
        <v>X4</v>
      </c>
      <c r="N10" s="165">
        <v>41962</v>
      </c>
      <c r="O10" s="109"/>
      <c r="P10" s="164"/>
      <c r="Q10" s="109"/>
      <c r="R10" s="109"/>
      <c r="S10" s="109"/>
      <c r="T10" s="109"/>
      <c r="U10" s="113" t="e">
        <f>_xll.qlMidSafe($Q10,$R10)</f>
        <v>#NUM!</v>
      </c>
      <c r="V10" s="111"/>
      <c r="W10" s="163" t="e">
        <v>#NUM!</v>
      </c>
      <c r="X10" s="111"/>
      <c r="Y10" s="162" t="e">
        <v>#NUM!</v>
      </c>
      <c r="Z10" s="113" t="e">
        <f>_xll.qlSimpleQuoteSetValue(F10,Y10,Trigger)</f>
        <v>#NUM!</v>
      </c>
      <c r="AA10" s="19"/>
      <c r="AB10" s="12"/>
      <c r="AD10" s="65"/>
      <c r="AE10" s="64">
        <v>5</v>
      </c>
      <c r="AF10" s="62" t="b">
        <v>0</v>
      </c>
      <c r="AG10" s="62" t="str">
        <v>X4</v>
      </c>
      <c r="AH10" s="101" t="str">
        <f t="shared" si="1"/>
        <v>CNYFUT1MX4_Quote</v>
      </c>
      <c r="AI10" s="102" t="str">
        <f t="shared" si="2"/>
        <v>CNYFUT1MX4ConvAdj_Quote</v>
      </c>
      <c r="AJ10" s="101" t="str">
        <f>_xll.qlFuturesConvAdjustmentQuote($AI10,IborIndex,$AG10,$AH10,Volatility,MeanReversion,Permanent,Trigger,ObjectOverwrite)</f>
        <v>CNYFUT1MX4ConvAdj_Quote#0003</v>
      </c>
      <c r="AK10" s="24" t="str">
        <f>_xll.ohRangeRetrieveError(AJ10)</f>
        <v/>
      </c>
      <c r="AL10" s="176"/>
    </row>
    <row r="11" spans="1:39" ht="11.25" customHeight="1" x14ac:dyDescent="0.2">
      <c r="A11" s="65"/>
      <c r="B11" s="64">
        <v>6</v>
      </c>
      <c r="C11" s="63" t="b">
        <v>0</v>
      </c>
      <c r="D11" s="62" t="str">
        <v>Z4</v>
      </c>
      <c r="E11" s="61" t="str">
        <f t="shared" si="0"/>
        <v>CNYFUT1MZ4_Quote</v>
      </c>
      <c r="F11" s="60" t="str">
        <f>_xll.qlSimpleQuote(E11,,PriceTickValue,Permanent,Trigger,ObjectOverwrite)</f>
        <v>CNYFUT1MZ4_Quote#0003</v>
      </c>
      <c r="G11" s="39" t="str">
        <f>_xll.ohRangeRetrieveError(F11)</f>
        <v/>
      </c>
      <c r="H11" s="59"/>
      <c r="J11" s="161"/>
      <c r="K11" s="167">
        <v>6</v>
      </c>
      <c r="L11" s="166" t="b">
        <v>0</v>
      </c>
      <c r="M11" s="109" t="str">
        <v>Z4</v>
      </c>
      <c r="N11" s="165">
        <v>41990</v>
      </c>
      <c r="O11" s="109"/>
      <c r="P11" s="164"/>
      <c r="Q11" s="109"/>
      <c r="R11" s="109"/>
      <c r="S11" s="109"/>
      <c r="T11" s="109"/>
      <c r="U11" s="113" t="e">
        <f>_xll.qlMidSafe($Q11,$R11)</f>
        <v>#NUM!</v>
      </c>
      <c r="V11" s="111"/>
      <c r="W11" s="163" t="e">
        <v>#NUM!</v>
      </c>
      <c r="X11" s="111"/>
      <c r="Y11" s="162" t="e">
        <v>#NUM!</v>
      </c>
      <c r="Z11" s="113" t="e">
        <f>_xll.qlSimpleQuoteSetValue(F11,Y11,Trigger)</f>
        <v>#NUM!</v>
      </c>
      <c r="AA11" s="19"/>
      <c r="AB11" s="12"/>
      <c r="AD11" s="65"/>
      <c r="AE11" s="64">
        <v>6</v>
      </c>
      <c r="AF11" s="62" t="b">
        <v>0</v>
      </c>
      <c r="AG11" s="62" t="str">
        <v>Z4</v>
      </c>
      <c r="AH11" s="101" t="str">
        <f t="shared" si="1"/>
        <v>CNYFUT1MZ4_Quote</v>
      </c>
      <c r="AI11" s="102" t="str">
        <f t="shared" si="2"/>
        <v>CNYFUT1MZ4ConvAdj_Quote</v>
      </c>
      <c r="AJ11" s="101" t="str">
        <f>_xll.qlFuturesConvAdjustmentQuote($AI11,IborIndex,$AG11,$AH11,Volatility,MeanReversion,Permanent,Trigger,ObjectOverwrite)</f>
        <v>CNYFUT1MZ4ConvAdj_Quote#0003</v>
      </c>
      <c r="AK11" s="24" t="str">
        <f>_xll.ohRangeRetrieveError(AJ11)</f>
        <v/>
      </c>
      <c r="AL11" s="176"/>
    </row>
    <row r="12" spans="1:39" ht="11.25" customHeight="1" x14ac:dyDescent="0.2">
      <c r="A12" s="65"/>
      <c r="B12" s="64">
        <v>7</v>
      </c>
      <c r="C12" s="63" t="b">
        <v>0</v>
      </c>
      <c r="D12" s="62" t="str">
        <v>F5</v>
      </c>
      <c r="E12" s="61" t="str">
        <f t="shared" si="0"/>
        <v>CNYFUT1MF5_Quote</v>
      </c>
      <c r="F12" s="60" t="str">
        <f>_xll.qlSimpleQuote(E12,,PriceTickValue,Permanent,Trigger,ObjectOverwrite)</f>
        <v>CNYFUT1MF5_Quote#0003</v>
      </c>
      <c r="G12" s="39" t="str">
        <f>_xll.ohRangeRetrieveError(F12)</f>
        <v/>
      </c>
      <c r="H12" s="59"/>
      <c r="J12" s="161"/>
      <c r="K12" s="167">
        <v>7</v>
      </c>
      <c r="L12" s="166" t="b">
        <v>0</v>
      </c>
      <c r="M12" s="109" t="str">
        <v>F5</v>
      </c>
      <c r="N12" s="165">
        <v>42025</v>
      </c>
      <c r="O12" s="109"/>
      <c r="P12" s="164"/>
      <c r="Q12" s="109"/>
      <c r="R12" s="109"/>
      <c r="S12" s="109"/>
      <c r="T12" s="109"/>
      <c r="U12" s="113" t="e">
        <f>_xll.qlMidSafe($Q12,$R12)</f>
        <v>#NUM!</v>
      </c>
      <c r="V12" s="111"/>
      <c r="W12" s="163" t="e">
        <v>#NUM!</v>
      </c>
      <c r="X12" s="111"/>
      <c r="Y12" s="162" t="e">
        <v>#NUM!</v>
      </c>
      <c r="Z12" s="113" t="e">
        <f>_xll.qlSimpleQuoteSetValue(F12,Y12,Trigger)</f>
        <v>#NUM!</v>
      </c>
      <c r="AA12" s="19"/>
      <c r="AB12" s="12"/>
      <c r="AD12" s="65"/>
      <c r="AE12" s="64">
        <v>7</v>
      </c>
      <c r="AF12" s="62" t="b">
        <v>0</v>
      </c>
      <c r="AG12" s="62" t="str">
        <v>F5</v>
      </c>
      <c r="AH12" s="101" t="str">
        <f t="shared" si="1"/>
        <v>CNYFUT1MF5_Quote</v>
      </c>
      <c r="AI12" s="102" t="str">
        <f t="shared" si="2"/>
        <v>CNYFUT1MF5ConvAdj_Quote</v>
      </c>
      <c r="AJ12" s="101" t="str">
        <f>_xll.qlFuturesConvAdjustmentQuote($AI12,IborIndex,$AG12,$AH12,Volatility,MeanReversion,Permanent,Trigger,ObjectOverwrite)</f>
        <v>CNYFUT1MF5ConvAdj_Quote#0003</v>
      </c>
      <c r="AK12" s="24" t="str">
        <f>_xll.ohRangeRetrieveError(AJ12)</f>
        <v/>
      </c>
      <c r="AL12" s="176"/>
    </row>
    <row r="13" spans="1:39" ht="11.25" customHeight="1" x14ac:dyDescent="0.2">
      <c r="A13" s="65"/>
      <c r="B13" s="64">
        <v>8</v>
      </c>
      <c r="C13" s="63" t="b">
        <v>0</v>
      </c>
      <c r="D13" s="62" t="str">
        <v>G5</v>
      </c>
      <c r="E13" s="61" t="str">
        <f t="shared" si="0"/>
        <v>CNYFUT1MG5_Quote</v>
      </c>
      <c r="F13" s="60" t="str">
        <f>_xll.qlSimpleQuote(E13,,PriceTickValue,Permanent,Trigger,ObjectOverwrite)</f>
        <v>CNYFUT1MG5_Quote#0003</v>
      </c>
      <c r="G13" s="39" t="str">
        <f>_xll.ohRangeRetrieveError(F13)</f>
        <v/>
      </c>
      <c r="H13" s="59"/>
      <c r="J13" s="161"/>
      <c r="K13" s="167">
        <v>8</v>
      </c>
      <c r="L13" s="166" t="b">
        <v>0</v>
      </c>
      <c r="M13" s="109" t="str">
        <v>G5</v>
      </c>
      <c r="N13" s="165">
        <v>42053</v>
      </c>
      <c r="O13" s="109"/>
      <c r="P13" s="164"/>
      <c r="Q13" s="109"/>
      <c r="R13" s="109"/>
      <c r="S13" s="109"/>
      <c r="T13" s="109"/>
      <c r="U13" s="113" t="e">
        <f>_xll.qlMidSafe($Q13,$R13)</f>
        <v>#NUM!</v>
      </c>
      <c r="V13" s="111"/>
      <c r="W13" s="163" t="e">
        <v>#NUM!</v>
      </c>
      <c r="X13" s="111"/>
      <c r="Y13" s="162" t="e">
        <v>#NUM!</v>
      </c>
      <c r="Z13" s="113" t="e">
        <f>_xll.qlSimpleQuoteSetValue(F13,Y13,Trigger)</f>
        <v>#NUM!</v>
      </c>
      <c r="AA13" s="19"/>
      <c r="AB13" s="12"/>
      <c r="AD13" s="65"/>
      <c r="AE13" s="64">
        <v>8</v>
      </c>
      <c r="AF13" s="62" t="b">
        <v>0</v>
      </c>
      <c r="AG13" s="62" t="str">
        <v>G5</v>
      </c>
      <c r="AH13" s="101" t="str">
        <f t="shared" si="1"/>
        <v>CNYFUT1MG5_Quote</v>
      </c>
      <c r="AI13" s="102" t="str">
        <f t="shared" si="2"/>
        <v>CNYFUT1MG5ConvAdj_Quote</v>
      </c>
      <c r="AJ13" s="101" t="str">
        <f>_xll.qlFuturesConvAdjustmentQuote($AI13,IborIndex,$AG13,$AH13,Volatility,MeanReversion,Permanent,Trigger,ObjectOverwrite)</f>
        <v>CNYFUT1MG5ConvAdj_Quote#0003</v>
      </c>
      <c r="AK13" s="24" t="str">
        <f>_xll.ohRangeRetrieveError(AJ13)</f>
        <v/>
      </c>
      <c r="AL13" s="176"/>
    </row>
    <row r="14" spans="1:39" ht="11.25" customHeight="1" x14ac:dyDescent="0.2">
      <c r="A14" s="65"/>
      <c r="B14" s="64">
        <v>9</v>
      </c>
      <c r="C14" s="63" t="b">
        <v>0</v>
      </c>
      <c r="D14" s="62" t="str">
        <v>H5</v>
      </c>
      <c r="E14" s="61" t="str">
        <f t="shared" si="0"/>
        <v>CNYFUT1MH5_Quote</v>
      </c>
      <c r="F14" s="60" t="str">
        <f>_xll.qlSimpleQuote(E14,,PriceTickValue,Permanent,Trigger,ObjectOverwrite)</f>
        <v>CNYFUT1MH5_Quote#0003</v>
      </c>
      <c r="G14" s="39" t="str">
        <f>_xll.ohRangeRetrieveError(F14)</f>
        <v/>
      </c>
      <c r="H14" s="59"/>
      <c r="J14" s="161"/>
      <c r="K14" s="167">
        <v>9</v>
      </c>
      <c r="L14" s="166" t="b">
        <v>0</v>
      </c>
      <c r="M14" s="109" t="str">
        <v>H5</v>
      </c>
      <c r="N14" s="165">
        <v>42081</v>
      </c>
      <c r="O14" s="109"/>
      <c r="P14" s="164"/>
      <c r="Q14" s="109"/>
      <c r="R14" s="109"/>
      <c r="S14" s="109"/>
      <c r="T14" s="109"/>
      <c r="U14" s="113" t="e">
        <f>_xll.qlMidSafe($Q14,$R14)</f>
        <v>#NUM!</v>
      </c>
      <c r="V14" s="111"/>
      <c r="W14" s="163" t="e">
        <v>#NUM!</v>
      </c>
      <c r="X14" s="111"/>
      <c r="Y14" s="162" t="e">
        <v>#NUM!</v>
      </c>
      <c r="Z14" s="113" t="e">
        <f>_xll.qlSimpleQuoteSetValue(F14,Y14,Trigger)</f>
        <v>#NUM!</v>
      </c>
      <c r="AA14" s="19"/>
      <c r="AB14" s="12"/>
      <c r="AD14" s="65"/>
      <c r="AE14" s="64">
        <v>9</v>
      </c>
      <c r="AF14" s="62" t="b">
        <v>0</v>
      </c>
      <c r="AG14" s="62" t="str">
        <v>H5</v>
      </c>
      <c r="AH14" s="101" t="str">
        <f t="shared" si="1"/>
        <v>CNYFUT1MH5_Quote</v>
      </c>
      <c r="AI14" s="102" t="str">
        <f t="shared" si="2"/>
        <v>CNYFUT1MH5ConvAdj_Quote</v>
      </c>
      <c r="AJ14" s="101" t="str">
        <f>_xll.qlFuturesConvAdjustmentQuote($AI14,IborIndex,$AG14,$AH14,Volatility,MeanReversion,Permanent,Trigger,ObjectOverwrite)</f>
        <v>CNYFUT1MH5ConvAdj_Quote#0003</v>
      </c>
      <c r="AK14" s="24" t="str">
        <f>_xll.ohRangeRetrieveError(AJ14)</f>
        <v/>
      </c>
      <c r="AL14" s="176"/>
    </row>
    <row r="15" spans="1:39" ht="11.25" customHeight="1" x14ac:dyDescent="0.2">
      <c r="A15" s="65"/>
      <c r="B15" s="64">
        <v>10</v>
      </c>
      <c r="C15" s="63" t="b">
        <v>0</v>
      </c>
      <c r="D15" s="62" t="str">
        <v>J5</v>
      </c>
      <c r="E15" s="61" t="str">
        <f t="shared" si="0"/>
        <v>CNYFUT1MJ5_Quote</v>
      </c>
      <c r="F15" s="60" t="str">
        <f>_xll.qlSimpleQuote(E15,,PriceTickValue,Permanent,Trigger,ObjectOverwrite)</f>
        <v>CNYFUT1MJ5_Quote#0003</v>
      </c>
      <c r="G15" s="39" t="str">
        <f>_xll.ohRangeRetrieveError(F15)</f>
        <v/>
      </c>
      <c r="H15" s="59"/>
      <c r="J15" s="161"/>
      <c r="K15" s="167">
        <v>10</v>
      </c>
      <c r="L15" s="166" t="b">
        <v>0</v>
      </c>
      <c r="M15" s="109" t="str">
        <v>J5</v>
      </c>
      <c r="N15" s="165">
        <v>42109</v>
      </c>
      <c r="O15" s="109"/>
      <c r="P15" s="164"/>
      <c r="Q15" s="109"/>
      <c r="R15" s="109"/>
      <c r="S15" s="109"/>
      <c r="T15" s="109"/>
      <c r="U15" s="113" t="e">
        <f>_xll.qlMidSafe($Q15,$R15)</f>
        <v>#NUM!</v>
      </c>
      <c r="V15" s="111"/>
      <c r="W15" s="163" t="e">
        <v>#NUM!</v>
      </c>
      <c r="X15" s="111"/>
      <c r="Y15" s="162" t="e">
        <v>#NUM!</v>
      </c>
      <c r="Z15" s="113" t="e">
        <f>_xll.qlSimpleQuoteSetValue(F15,Y15,Trigger)</f>
        <v>#NUM!</v>
      </c>
      <c r="AA15" s="19"/>
      <c r="AB15" s="12"/>
      <c r="AD15" s="65"/>
      <c r="AE15" s="64">
        <v>10</v>
      </c>
      <c r="AF15" s="62" t="b">
        <v>0</v>
      </c>
      <c r="AG15" s="62" t="str">
        <v>J5</v>
      </c>
      <c r="AH15" s="101" t="str">
        <f t="shared" si="1"/>
        <v>CNYFUT1MJ5_Quote</v>
      </c>
      <c r="AI15" s="102" t="str">
        <f t="shared" si="2"/>
        <v>CNYFUT1MJ5ConvAdj_Quote</v>
      </c>
      <c r="AJ15" s="101" t="str">
        <f>_xll.qlFuturesConvAdjustmentQuote($AI15,IborIndex,$AG15,$AH15,Volatility,MeanReversion,Permanent,Trigger,ObjectOverwrite)</f>
        <v>CNYFUT1MJ5ConvAdj_Quote#0003</v>
      </c>
      <c r="AK15" s="24" t="str">
        <f>_xll.ohRangeRetrieveError(AJ15)</f>
        <v/>
      </c>
      <c r="AL15" s="176"/>
    </row>
    <row r="16" spans="1:39" ht="11.25" customHeight="1" x14ac:dyDescent="0.2">
      <c r="A16" s="65"/>
      <c r="B16" s="64">
        <v>11</v>
      </c>
      <c r="C16" s="63" t="b">
        <v>0</v>
      </c>
      <c r="D16" s="62" t="str">
        <v>K5</v>
      </c>
      <c r="E16" s="61" t="str">
        <f t="shared" si="0"/>
        <v>CNYFUT1MK5_Quote</v>
      </c>
      <c r="F16" s="60" t="str">
        <f>_xll.qlSimpleQuote(E16,,PriceTickValue,Permanent,Trigger,ObjectOverwrite)</f>
        <v>CNYFUT1MK5_Quote#0003</v>
      </c>
      <c r="G16" s="39" t="str">
        <f>_xll.ohRangeRetrieveError(F16)</f>
        <v/>
      </c>
      <c r="H16" s="59"/>
      <c r="J16" s="161"/>
      <c r="K16" s="167">
        <v>11</v>
      </c>
      <c r="L16" s="166" t="b">
        <v>0</v>
      </c>
      <c r="M16" s="109" t="str">
        <v>K5</v>
      </c>
      <c r="N16" s="165">
        <v>42144</v>
      </c>
      <c r="O16" s="109"/>
      <c r="P16" s="164"/>
      <c r="Q16" s="109"/>
      <c r="R16" s="109"/>
      <c r="S16" s="109"/>
      <c r="T16" s="109"/>
      <c r="U16" s="113" t="e">
        <f>_xll.qlMidSafe($Q16,$R16)</f>
        <v>#NUM!</v>
      </c>
      <c r="V16" s="111"/>
      <c r="W16" s="163" t="e">
        <v>#NUM!</v>
      </c>
      <c r="X16" s="111"/>
      <c r="Y16" s="162" t="e">
        <v>#NUM!</v>
      </c>
      <c r="Z16" s="113" t="e">
        <f>_xll.qlSimpleQuoteSetValue(F16,Y16,Trigger)</f>
        <v>#NUM!</v>
      </c>
      <c r="AA16" s="19"/>
      <c r="AB16" s="12"/>
      <c r="AD16" s="65"/>
      <c r="AE16" s="64">
        <v>11</v>
      </c>
      <c r="AF16" s="62" t="b">
        <v>0</v>
      </c>
      <c r="AG16" s="62" t="str">
        <v>K5</v>
      </c>
      <c r="AH16" s="101" t="str">
        <f t="shared" si="1"/>
        <v>CNYFUT1MK5_Quote</v>
      </c>
      <c r="AI16" s="102" t="str">
        <f t="shared" si="2"/>
        <v>CNYFUT1MK5ConvAdj_Quote</v>
      </c>
      <c r="AJ16" s="101" t="str">
        <f>_xll.qlFuturesConvAdjustmentQuote($AI16,IborIndex,$AG16,$AH16,Volatility,MeanReversion,Permanent,Trigger,ObjectOverwrite)</f>
        <v>CNYFUT1MK5ConvAdj_Quote#0003</v>
      </c>
      <c r="AK16" s="24" t="str">
        <f>_xll.ohRangeRetrieveError(AJ16)</f>
        <v/>
      </c>
      <c r="AL16" s="176"/>
    </row>
    <row r="17" spans="1:38" ht="11.25" customHeight="1" x14ac:dyDescent="0.2">
      <c r="A17" s="65"/>
      <c r="B17" s="64">
        <v>12</v>
      </c>
      <c r="C17" s="63" t="b">
        <v>0</v>
      </c>
      <c r="D17" s="62" t="str">
        <v>M5</v>
      </c>
      <c r="E17" s="61" t="str">
        <f t="shared" si="0"/>
        <v>CNYFUT1MM5_Quote</v>
      </c>
      <c r="F17" s="60" t="str">
        <f>_xll.qlSimpleQuote(E17,,PriceTickValue,Permanent,Trigger,ObjectOverwrite)</f>
        <v>CNYFUT1MM5_Quote#0003</v>
      </c>
      <c r="G17" s="39" t="str">
        <f>_xll.ohRangeRetrieveError(F17)</f>
        <v/>
      </c>
      <c r="H17" s="59"/>
      <c r="J17" s="161"/>
      <c r="K17" s="160">
        <v>12</v>
      </c>
      <c r="L17" s="159" t="b">
        <v>0</v>
      </c>
      <c r="M17" s="117" t="str">
        <v>M5</v>
      </c>
      <c r="N17" s="158">
        <v>42172</v>
      </c>
      <c r="O17" s="117"/>
      <c r="P17" s="157"/>
      <c r="Q17" s="117"/>
      <c r="R17" s="117"/>
      <c r="S17" s="117"/>
      <c r="T17" s="117"/>
      <c r="U17" s="119" t="e">
        <f>_xll.qlMidSafe($Q17,$R17)</f>
        <v>#NUM!</v>
      </c>
      <c r="V17" s="111"/>
      <c r="W17" s="156" t="e">
        <v>#NUM!</v>
      </c>
      <c r="X17" s="111"/>
      <c r="Y17" s="155" t="e">
        <v>#NUM!</v>
      </c>
      <c r="Z17" s="119" t="e">
        <f>_xll.qlSimpleQuoteSetValue(F17,Y17,Trigger)</f>
        <v>#NUM!</v>
      </c>
      <c r="AA17" s="19"/>
      <c r="AB17" s="12"/>
      <c r="AD17" s="65"/>
      <c r="AE17" s="64">
        <v>12</v>
      </c>
      <c r="AF17" s="62" t="b">
        <v>0</v>
      </c>
      <c r="AG17" s="62" t="str">
        <v>M5</v>
      </c>
      <c r="AH17" s="101" t="str">
        <f t="shared" si="1"/>
        <v>CNYFUT1MM5_Quote</v>
      </c>
      <c r="AI17" s="102" t="str">
        <f t="shared" si="2"/>
        <v>CNYFUT1MM5ConvAdj_Quote</v>
      </c>
      <c r="AJ17" s="101" t="str">
        <f>_xll.qlFuturesConvAdjustmentQuote($AI17,IborIndex,$AG17,$AH17,Volatility,MeanReversion,Permanent,Trigger,ObjectOverwrite)</f>
        <v>CNYFUT1MM5ConvAdj_Quote#0003</v>
      </c>
      <c r="AK17" s="24" t="str">
        <f>_xll.ohRangeRetrieveError(AJ17)</f>
        <v/>
      </c>
      <c r="AL17" s="176"/>
    </row>
    <row r="18" spans="1:38" ht="11.25" customHeight="1" thickBot="1" x14ac:dyDescent="0.25">
      <c r="A18" s="58"/>
      <c r="B18" s="57"/>
      <c r="C18" s="57"/>
      <c r="D18" s="57"/>
      <c r="E18" s="57"/>
      <c r="F18" s="57"/>
      <c r="G18" s="57"/>
      <c r="H18" s="56"/>
      <c r="J18" s="154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6"/>
      <c r="AB18" s="12"/>
      <c r="AD18" s="154"/>
      <c r="AE18" s="17"/>
      <c r="AF18" s="17"/>
      <c r="AG18" s="17"/>
      <c r="AH18" s="17"/>
      <c r="AI18" s="17"/>
      <c r="AJ18" s="17"/>
      <c r="AK18" s="17"/>
      <c r="AL18" s="16"/>
    </row>
    <row r="21" spans="1:38" x14ac:dyDescent="0.2">
      <c r="K21" s="235"/>
    </row>
  </sheetData>
  <conditionalFormatting sqref="Z6:Z17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J48"/>
  <sheetViews>
    <sheetView zoomScaleNormal="100" workbookViewId="0"/>
  </sheetViews>
  <sheetFormatPr defaultRowHeight="11.25" x14ac:dyDescent="0.2"/>
  <cols>
    <col min="1" max="1" width="2.7109375" style="38" customWidth="1"/>
    <col min="2" max="2" width="2.7109375" style="38" bestFit="1" customWidth="1"/>
    <col min="3" max="3" width="5.7109375" style="38" bestFit="1" customWidth="1"/>
    <col min="4" max="4" width="6.140625" style="38" bestFit="1" customWidth="1"/>
    <col min="5" max="5" width="17" style="38" bestFit="1" customWidth="1"/>
    <col min="6" max="6" width="20.42578125" style="38" bestFit="1" customWidth="1"/>
    <col min="7" max="7" width="23.85546875" style="38" customWidth="1"/>
    <col min="8" max="10" width="2.7109375" style="38" customWidth="1"/>
    <col min="11" max="11" width="2.7109375" style="38" bestFit="1" customWidth="1"/>
    <col min="12" max="12" width="5.7109375" style="38" bestFit="1" customWidth="1"/>
    <col min="13" max="13" width="6.140625" style="38" bestFit="1" customWidth="1"/>
    <col min="14" max="14" width="13.7109375" style="38" bestFit="1" customWidth="1"/>
    <col min="15" max="15" width="7.28515625" style="38" bestFit="1" customWidth="1"/>
    <col min="16" max="19" width="9.140625" style="38"/>
    <col min="20" max="20" width="10.140625" style="38" customWidth="1"/>
    <col min="21" max="21" width="9.140625" style="38"/>
    <col min="22" max="22" width="2.7109375" style="38" customWidth="1"/>
    <col min="23" max="23" width="9.42578125" style="38" customWidth="1"/>
    <col min="24" max="24" width="2.7109375" style="38" customWidth="1"/>
    <col min="25" max="25" width="7.7109375" style="38" bestFit="1" customWidth="1"/>
    <col min="26" max="26" width="7" style="38" bestFit="1" customWidth="1"/>
    <col min="27" max="29" width="2.7109375" style="38" customWidth="1"/>
    <col min="30" max="30" width="2.7109375" style="38" bestFit="1" customWidth="1"/>
    <col min="31" max="31" width="8.42578125" style="38" bestFit="1" customWidth="1"/>
    <col min="32" max="32" width="5.42578125" style="38" bestFit="1" customWidth="1"/>
    <col min="33" max="33" width="25" style="38" bestFit="1" customWidth="1"/>
    <col min="34" max="34" width="28" style="38" bestFit="1" customWidth="1"/>
    <col min="35" max="35" width="19.7109375" style="38" customWidth="1"/>
    <col min="36" max="36" width="2.7109375" style="38" customWidth="1"/>
    <col min="37" max="16384" width="9.140625" style="38"/>
  </cols>
  <sheetData>
    <row r="1" spans="1:36" x14ac:dyDescent="0.2">
      <c r="A1" s="90"/>
      <c r="B1" s="178"/>
      <c r="C1" s="178"/>
      <c r="D1" s="90"/>
      <c r="E1" s="90"/>
      <c r="F1" s="90"/>
      <c r="G1" s="55"/>
      <c r="H1" s="19"/>
      <c r="J1" s="136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178"/>
      <c r="W1" s="178"/>
      <c r="X1" s="90"/>
      <c r="Y1" s="90"/>
      <c r="Z1" s="90"/>
      <c r="AA1" s="177"/>
      <c r="AB1" s="12"/>
      <c r="AC1" s="135"/>
      <c r="AD1" s="55"/>
      <c r="AE1" s="55"/>
      <c r="AF1" s="55"/>
      <c r="AG1" s="55"/>
      <c r="AH1" s="55"/>
      <c r="AI1" s="55"/>
      <c r="AJ1" s="19"/>
    </row>
    <row r="2" spans="1:36" ht="15" x14ac:dyDescent="0.25">
      <c r="A2" s="55"/>
      <c r="B2" s="111"/>
      <c r="C2" s="111"/>
      <c r="D2" s="55"/>
      <c r="E2" s="111"/>
      <c r="F2" s="55"/>
      <c r="G2" s="55"/>
      <c r="H2" s="19"/>
      <c r="J2" s="135"/>
      <c r="K2" s="55"/>
      <c r="L2"/>
      <c r="M2" s="134"/>
      <c r="N2" s="55"/>
      <c r="O2" s="55"/>
      <c r="P2" s="55"/>
      <c r="Q2" s="55"/>
      <c r="R2" s="55"/>
      <c r="S2"/>
      <c r="T2" s="55"/>
      <c r="U2" s="55"/>
      <c r="V2" s="111"/>
      <c r="W2" s="111"/>
      <c r="X2" s="55"/>
      <c r="Y2" s="111"/>
      <c r="Z2" s="55"/>
      <c r="AA2" s="176"/>
      <c r="AB2" s="12"/>
      <c r="AC2" s="135"/>
      <c r="AD2" s="55"/>
      <c r="AE2" s="55"/>
      <c r="AF2" s="55"/>
      <c r="AG2" s="105" t="s">
        <v>126</v>
      </c>
      <c r="AH2" s="104" t="str">
        <f>FuturesHWConvAdj!C5</f>
        <v>CNYHW_Volatility_Quote#0003</v>
      </c>
      <c r="AI2" s="55"/>
      <c r="AJ2" s="19"/>
    </row>
    <row r="3" spans="1:36" x14ac:dyDescent="0.2">
      <c r="A3" s="55"/>
      <c r="B3" s="111"/>
      <c r="C3" s="111"/>
      <c r="D3" s="55"/>
      <c r="E3" s="55"/>
      <c r="F3" s="55"/>
      <c r="G3" s="55"/>
      <c r="H3" s="19"/>
      <c r="J3" s="13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111"/>
      <c r="W3" s="111"/>
      <c r="X3" s="55"/>
      <c r="Y3" s="55"/>
      <c r="Z3" s="55"/>
      <c r="AA3" s="176"/>
      <c r="AB3" s="12"/>
      <c r="AC3" s="135"/>
      <c r="AD3" s="55"/>
      <c r="AE3" s="55"/>
      <c r="AF3" s="55"/>
      <c r="AG3" s="105" t="s">
        <v>125</v>
      </c>
      <c r="AH3" s="104" t="str">
        <f>FuturesHWConvAdj!C6</f>
        <v>CNYHW_MeanReversion_Quote#0003</v>
      </c>
      <c r="AI3" s="55"/>
      <c r="AJ3" s="19"/>
    </row>
    <row r="4" spans="1:36" x14ac:dyDescent="0.2">
      <c r="A4" s="71"/>
      <c r="B4" s="134"/>
      <c r="C4" s="55" t="s">
        <v>103</v>
      </c>
      <c r="D4" s="55" t="s">
        <v>17</v>
      </c>
      <c r="F4" s="55"/>
      <c r="G4" s="55"/>
      <c r="H4" s="327"/>
      <c r="J4" s="13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111"/>
      <c r="W4" s="111"/>
      <c r="X4" s="55"/>
      <c r="Y4" s="55"/>
      <c r="Z4" s="132">
        <f>_xll.ohTrigger(Z6:Z47)</f>
        <v>4</v>
      </c>
      <c r="AA4" s="176"/>
      <c r="AB4" s="12"/>
      <c r="AC4" s="135"/>
      <c r="AD4" s="55"/>
      <c r="AE4" s="55"/>
      <c r="AF4" s="55"/>
      <c r="AG4" s="105" t="s">
        <v>59</v>
      </c>
      <c r="AH4" s="104" t="e">
        <f>#REF!</f>
        <v>#REF!</v>
      </c>
      <c r="AI4" s="103" t="s">
        <v>17</v>
      </c>
      <c r="AJ4" s="19"/>
    </row>
    <row r="5" spans="1:36" ht="22.5" x14ac:dyDescent="0.2">
      <c r="A5" s="71"/>
      <c r="B5" s="34" t="s">
        <v>102</v>
      </c>
      <c r="C5" s="35" t="s">
        <v>101</v>
      </c>
      <c r="D5" s="35" t="s">
        <v>100</v>
      </c>
      <c r="E5" s="33" t="str">
        <f>Currency&amp;"_010_"&amp;$C$4&amp;$D$4&amp;".xml"</f>
        <v>CNY_010_FUT3M.xml</v>
      </c>
      <c r="F5" s="32" t="str">
        <f>IF(Serialize,_xll.ohObjectSave(F6:F47,SerializationPath&amp;E5,FileOverwrite,Serialize),"---")</f>
        <v>---</v>
      </c>
      <c r="G5" s="42" t="str">
        <f>_xll.ohRangeRetrieveError(F5)</f>
        <v/>
      </c>
      <c r="H5" s="59"/>
      <c r="J5" s="135"/>
      <c r="K5" s="184" t="s">
        <v>102</v>
      </c>
      <c r="L5" s="180" t="s">
        <v>101</v>
      </c>
      <c r="M5" s="180" t="s">
        <v>100</v>
      </c>
      <c r="N5" s="180" t="s">
        <v>150</v>
      </c>
      <c r="O5" s="183" t="str">
        <f>_xll.RData(O6:O47,P5:T5,"RTFEED:IDN",ReutersRtMode,,P6)</f>
        <v>No instrument defined.</v>
      </c>
      <c r="P5" s="180" t="s">
        <v>149</v>
      </c>
      <c r="Q5" s="180" t="s">
        <v>128</v>
      </c>
      <c r="R5" s="180" t="s">
        <v>127</v>
      </c>
      <c r="S5" s="180" t="s">
        <v>140</v>
      </c>
      <c r="T5" s="180" t="s">
        <v>148</v>
      </c>
      <c r="U5" s="182" t="s">
        <v>147</v>
      </c>
      <c r="V5" s="111"/>
      <c r="W5" s="181" t="s">
        <v>145</v>
      </c>
      <c r="X5" s="111"/>
      <c r="Y5" s="184" t="s">
        <v>144</v>
      </c>
      <c r="Z5" s="179" t="s">
        <v>143</v>
      </c>
      <c r="AA5" s="19"/>
      <c r="AB5" s="12"/>
      <c r="AC5" s="71"/>
      <c r="AD5" s="34" t="s">
        <v>102</v>
      </c>
      <c r="AE5" s="88" t="s">
        <v>101</v>
      </c>
      <c r="AF5" s="88" t="s">
        <v>100</v>
      </c>
      <c r="AG5" s="33" t="str">
        <f>Currency&amp;"_020_Futures"&amp;AI4&amp;"ConvAdj.xml"</f>
        <v>CNY_020_Futures3MConvAdj.xml</v>
      </c>
      <c r="AH5" s="43" t="str">
        <f>IF(Serialize,_xll.ohObjectSave(AH6:AH47,SerializationPath&amp;AG5,FileOverwrite,Serialize),"---")</f>
        <v>---</v>
      </c>
      <c r="AI5" s="24" t="str">
        <f>_xll.ohRangeRetrieveError(AH5)</f>
        <v/>
      </c>
      <c r="AJ5" s="19"/>
    </row>
    <row r="6" spans="1:36" x14ac:dyDescent="0.2">
      <c r="A6" s="65"/>
      <c r="B6" s="70">
        <v>1</v>
      </c>
      <c r="C6" s="69" t="b">
        <v>0</v>
      </c>
      <c r="D6" s="68" t="str">
        <f t="array" ref="D6:D47">_xll.qlIMMNextCodes(_xll.qlSettingsEvaluationDate(Trigger)-1,$C6:$C47)</f>
        <v>N4</v>
      </c>
      <c r="E6" s="61" t="str">
        <f t="shared" ref="E6:E47" si="0">Currency&amp;$C$4&amp;$D$4&amp;$D6&amp;QuoteSuffix</f>
        <v>CNYFUT3MN4_Quote</v>
      </c>
      <c r="F6" s="67" t="str">
        <f>_xll.qlSimpleQuote(E6,,PriceTickValue,Permanent,Trigger,ObjectOverwrite)</f>
        <v>CNYFUT3MN4_Quote#0003</v>
      </c>
      <c r="G6" s="66" t="str">
        <f>_xll.ohRangeRetrieveError(F6)</f>
        <v/>
      </c>
      <c r="H6" s="59"/>
      <c r="J6" s="161"/>
      <c r="K6" s="174">
        <v>1</v>
      </c>
      <c r="L6" s="173" t="b">
        <v>0</v>
      </c>
      <c r="M6" s="123" t="str">
        <f t="array" ref="M6:M47">_xll.qlIMMcode(FuturesDates)</f>
        <v>N4</v>
      </c>
      <c r="N6" s="172">
        <f t="array" ref="N6:N47">_xll.qlIMMNextDates(_xll.qlSettingsEvaluationDate(Trigger)-1,$L6:$L47)</f>
        <v>41836</v>
      </c>
      <c r="O6" s="123"/>
      <c r="P6" s="171"/>
      <c r="Q6" s="123"/>
      <c r="R6" s="123"/>
      <c r="S6" s="123"/>
      <c r="T6" s="123"/>
      <c r="U6" s="125" t="e">
        <f>_xll.qlMidSafe($Q6,$R6)</f>
        <v>#NUM!</v>
      </c>
      <c r="V6" s="111"/>
      <c r="W6" s="170" t="e">
        <v>#NUM!</v>
      </c>
      <c r="X6" s="111"/>
      <c r="Y6" s="169" t="e">
        <f t="array" ref="Y6:Y47">QuoteLive</f>
        <v>#NUM!</v>
      </c>
      <c r="Z6" s="125" t="e">
        <f>_xll.qlSimpleQuoteSetValue(F6,Y6,Trigger)</f>
        <v>#NUM!</v>
      </c>
      <c r="AA6" s="19"/>
      <c r="AB6" s="12"/>
      <c r="AC6" s="65"/>
      <c r="AD6" s="70">
        <v>1</v>
      </c>
      <c r="AE6" s="68" t="b">
        <v>0</v>
      </c>
      <c r="AF6" s="68" t="str">
        <f t="array" ref="AF6:AF47">_xll.qlIMMNextCodes(_xll.qlSettingsEvaluationDate(Trigger)-1,$AE6:$AE47)</f>
        <v>N4</v>
      </c>
      <c r="AG6" s="102" t="str">
        <f t="shared" ref="AG6:AG47" si="1">Currency&amp;"FUT"&amp;$AI$4&amp;$AF6&amp;"ConvAdj"&amp;QuoteSuffix</f>
        <v>CNYFUT3MN4ConvAdj_Quote</v>
      </c>
      <c r="AH6" s="101" t="e">
        <f>_xll.qlFuturesConvAdjustmentQuote(AG6,IborIndex,AF6,F6,Volatility,MeanReversion,Permanent,AND(ISERROR(Z6),ISERROR(FuturesHWConvAdj!Q5:Q6)),ObjectOverwrite)</f>
        <v>#VALUE!</v>
      </c>
      <c r="AI6" s="24" t="str">
        <f ca="1">_xll.ohRangeRetrieveError(AH6)</f>
        <v/>
      </c>
      <c r="AJ6" s="19"/>
    </row>
    <row r="7" spans="1:36" x14ac:dyDescent="0.2">
      <c r="A7" s="65"/>
      <c r="B7" s="64">
        <v>2</v>
      </c>
      <c r="C7" s="63" t="b">
        <v>0</v>
      </c>
      <c r="D7" s="62" t="str">
        <v>Q4</v>
      </c>
      <c r="E7" s="61" t="str">
        <f t="shared" si="0"/>
        <v>CNYFUT3MQ4_Quote</v>
      </c>
      <c r="F7" s="60" t="str">
        <f>_xll.qlSimpleQuote(E7,,PriceTickValue,Permanent,Trigger,ObjectOverwrite)</f>
        <v>CNYFUT3MQ4_Quote#0003</v>
      </c>
      <c r="G7" s="39" t="str">
        <f>_xll.ohRangeRetrieveError(F7)</f>
        <v/>
      </c>
      <c r="H7" s="59"/>
      <c r="J7" s="161"/>
      <c r="K7" s="167">
        <v>2</v>
      </c>
      <c r="L7" s="166" t="b">
        <v>0</v>
      </c>
      <c r="M7" s="109" t="str">
        <v>Q4</v>
      </c>
      <c r="N7" s="165">
        <v>41871</v>
      </c>
      <c r="O7" s="109"/>
      <c r="P7" s="164"/>
      <c r="Q7" s="109"/>
      <c r="R7" s="109"/>
      <c r="S7" s="109"/>
      <c r="T7" s="109"/>
      <c r="U7" s="113" t="e">
        <f>_xll.qlMidSafe($Q7,$R7)</f>
        <v>#NUM!</v>
      </c>
      <c r="V7" s="111"/>
      <c r="W7" s="168" t="e">
        <v>#NUM!</v>
      </c>
      <c r="X7" s="111"/>
      <c r="Y7" s="162" t="e">
        <v>#NUM!</v>
      </c>
      <c r="Z7" s="113" t="e">
        <f>_xll.qlSimpleQuoteSetValue(F7,Y7,Trigger)</f>
        <v>#NUM!</v>
      </c>
      <c r="AA7" s="19"/>
      <c r="AB7" s="12"/>
      <c r="AC7" s="65"/>
      <c r="AD7" s="64">
        <v>2</v>
      </c>
      <c r="AE7" s="62" t="b">
        <v>0</v>
      </c>
      <c r="AF7" s="62" t="str">
        <v>Q4</v>
      </c>
      <c r="AG7" s="102" t="str">
        <f t="shared" si="1"/>
        <v>CNYFUT3MQ4ConvAdj_Quote</v>
      </c>
      <c r="AH7" s="101" t="e">
        <f>_xll.qlFuturesConvAdjustmentQuote(AG7,IborIndex,AF7,F7,Volatility,MeanReversion,Permanent,AND(ISERROR(Z7),ISERROR(FuturesHWConvAdj!Q6:Q7)),ObjectOverwrite)</f>
        <v>#VALUE!</v>
      </c>
      <c r="AI7" s="24" t="str">
        <f ca="1">_xll.ohRangeRetrieveError(AH7)</f>
        <v/>
      </c>
      <c r="AJ7" s="19"/>
    </row>
    <row r="8" spans="1:36" x14ac:dyDescent="0.2">
      <c r="A8" s="65"/>
      <c r="B8" s="64">
        <v>3</v>
      </c>
      <c r="C8" s="63" t="b">
        <v>0</v>
      </c>
      <c r="D8" s="62" t="str">
        <v>U4</v>
      </c>
      <c r="E8" s="61" t="str">
        <f t="shared" si="0"/>
        <v>CNYFUT3MU4_Quote</v>
      </c>
      <c r="F8" s="60" t="str">
        <f>_xll.qlSimpleQuote(E8,,PriceTickValue,Permanent,Trigger,ObjectOverwrite)</f>
        <v>CNYFUT3MU4_Quote#0003</v>
      </c>
      <c r="G8" s="39" t="str">
        <f>_xll.ohRangeRetrieveError(F8)</f>
        <v/>
      </c>
      <c r="H8" s="59"/>
      <c r="J8" s="161"/>
      <c r="K8" s="167">
        <v>3</v>
      </c>
      <c r="L8" s="166" t="b">
        <v>0</v>
      </c>
      <c r="M8" s="109" t="str">
        <v>U4</v>
      </c>
      <c r="N8" s="165">
        <v>41899</v>
      </c>
      <c r="O8" s="109"/>
      <c r="P8" s="164"/>
      <c r="Q8" s="109"/>
      <c r="R8" s="109"/>
      <c r="S8" s="109"/>
      <c r="T8" s="109"/>
      <c r="U8" s="113" t="e">
        <f>_xll.qlMidSafe($Q8,$R8)</f>
        <v>#NUM!</v>
      </c>
      <c r="V8" s="111"/>
      <c r="W8" s="168" t="e">
        <v>#NUM!</v>
      </c>
      <c r="X8" s="111"/>
      <c r="Y8" s="162" t="e">
        <v>#NUM!</v>
      </c>
      <c r="Z8" s="113" t="e">
        <f>_xll.qlSimpleQuoteSetValue(F8,Y8,Trigger)</f>
        <v>#NUM!</v>
      </c>
      <c r="AA8" s="19"/>
      <c r="AB8" s="12"/>
      <c r="AC8" s="65"/>
      <c r="AD8" s="64">
        <v>3</v>
      </c>
      <c r="AE8" s="62" t="b">
        <v>0</v>
      </c>
      <c r="AF8" s="62" t="str">
        <v>U4</v>
      </c>
      <c r="AG8" s="102" t="str">
        <f t="shared" si="1"/>
        <v>CNYFUT3MU4ConvAdj_Quote</v>
      </c>
      <c r="AH8" s="101" t="e">
        <f>_xll.qlFuturesConvAdjustmentQuote(AG8,IborIndex,AF8,F8,Volatility,MeanReversion,Permanent,AND(ISERROR(Z8),ISERROR(FuturesHWConvAdj!Q7:Q8)),ObjectOverwrite)</f>
        <v>#VALUE!</v>
      </c>
      <c r="AI8" s="24" t="str">
        <f ca="1">_xll.ohRangeRetrieveError(AH8)</f>
        <v/>
      </c>
      <c r="AJ8" s="19"/>
    </row>
    <row r="9" spans="1:36" x14ac:dyDescent="0.2">
      <c r="A9" s="65"/>
      <c r="B9" s="64">
        <v>4</v>
      </c>
      <c r="C9" s="63" t="b">
        <v>0</v>
      </c>
      <c r="D9" s="62" t="str">
        <v>V4</v>
      </c>
      <c r="E9" s="61" t="str">
        <f t="shared" si="0"/>
        <v>CNYFUT3MV4_Quote</v>
      </c>
      <c r="F9" s="60" t="str">
        <f>_xll.qlSimpleQuote(E9,,PriceTickValue,Permanent,Trigger,ObjectOverwrite)</f>
        <v>CNYFUT3MV4_Quote#0003</v>
      </c>
      <c r="G9" s="39" t="str">
        <f>_xll.ohRangeRetrieveError(F9)</f>
        <v/>
      </c>
      <c r="H9" s="59"/>
      <c r="J9" s="161"/>
      <c r="K9" s="167">
        <v>4</v>
      </c>
      <c r="L9" s="166" t="b">
        <v>0</v>
      </c>
      <c r="M9" s="109" t="str">
        <v>V4</v>
      </c>
      <c r="N9" s="165">
        <v>41927</v>
      </c>
      <c r="O9" s="109"/>
      <c r="P9" s="164"/>
      <c r="Q9" s="109"/>
      <c r="R9" s="109"/>
      <c r="S9" s="109"/>
      <c r="T9" s="109"/>
      <c r="U9" s="113" t="e">
        <f>_xll.qlMidSafe($Q9,$R9)</f>
        <v>#NUM!</v>
      </c>
      <c r="V9" s="111"/>
      <c r="W9" s="168" t="e">
        <v>#NUM!</v>
      </c>
      <c r="X9" s="111"/>
      <c r="Y9" s="162" t="e">
        <v>#NUM!</v>
      </c>
      <c r="Z9" s="113" t="e">
        <f>_xll.qlSimpleQuoteSetValue(F9,Y9,Trigger)</f>
        <v>#NUM!</v>
      </c>
      <c r="AA9" s="19"/>
      <c r="AB9" s="12"/>
      <c r="AC9" s="65"/>
      <c r="AD9" s="64">
        <v>4</v>
      </c>
      <c r="AE9" s="62" t="b">
        <v>0</v>
      </c>
      <c r="AF9" s="62" t="str">
        <v>V4</v>
      </c>
      <c r="AG9" s="102" t="str">
        <f t="shared" si="1"/>
        <v>CNYFUT3MV4ConvAdj_Quote</v>
      </c>
      <c r="AH9" s="101" t="e">
        <f>_xll.qlFuturesConvAdjustmentQuote(AG9,IborIndex,AF9,F9,Volatility,MeanReversion,Permanent,AND(ISERROR(Z9),ISERROR(FuturesHWConvAdj!Q8:Q9)),ObjectOverwrite)</f>
        <v>#VALUE!</v>
      </c>
      <c r="AI9" s="24" t="str">
        <f ca="1">_xll.ohRangeRetrieveError(AH9)</f>
        <v/>
      </c>
      <c r="AJ9" s="19"/>
    </row>
    <row r="10" spans="1:36" x14ac:dyDescent="0.2">
      <c r="A10" s="65"/>
      <c r="B10" s="64">
        <v>5</v>
      </c>
      <c r="C10" s="63" t="b">
        <v>0</v>
      </c>
      <c r="D10" s="62" t="str">
        <v>X4</v>
      </c>
      <c r="E10" s="61" t="str">
        <f t="shared" si="0"/>
        <v>CNYFUT3MX4_Quote</v>
      </c>
      <c r="F10" s="60" t="str">
        <f>_xll.qlSimpleQuote(E10,,PriceTickValue,Permanent,Trigger,ObjectOverwrite)</f>
        <v>CNYFUT3MX4_Quote#0003</v>
      </c>
      <c r="G10" s="39" t="str">
        <f>_xll.ohRangeRetrieveError(F10)</f>
        <v/>
      </c>
      <c r="H10" s="59"/>
      <c r="I10" s="235"/>
      <c r="J10" s="161"/>
      <c r="K10" s="167">
        <v>5</v>
      </c>
      <c r="L10" s="166" t="b">
        <v>0</v>
      </c>
      <c r="M10" s="109" t="str">
        <v>X4</v>
      </c>
      <c r="N10" s="165">
        <v>41962</v>
      </c>
      <c r="O10" s="109"/>
      <c r="P10" s="164"/>
      <c r="Q10" s="109"/>
      <c r="R10" s="109"/>
      <c r="S10" s="109"/>
      <c r="T10" s="109"/>
      <c r="U10" s="113" t="e">
        <f>_xll.qlMidSafe($Q10,$R10)</f>
        <v>#NUM!</v>
      </c>
      <c r="V10" s="111"/>
      <c r="W10" s="163" t="e">
        <v>#NUM!</v>
      </c>
      <c r="X10" s="111"/>
      <c r="Y10" s="162" t="e">
        <v>#NUM!</v>
      </c>
      <c r="Z10" s="113" t="e">
        <f>_xll.qlSimpleQuoteSetValue(F10,Y10,Trigger)</f>
        <v>#NUM!</v>
      </c>
      <c r="AA10" s="19"/>
      <c r="AB10" s="12"/>
      <c r="AC10" s="65"/>
      <c r="AD10" s="64">
        <v>5</v>
      </c>
      <c r="AE10" s="62" t="b">
        <v>0</v>
      </c>
      <c r="AF10" s="62" t="str">
        <v>X4</v>
      </c>
      <c r="AG10" s="102" t="str">
        <f t="shared" si="1"/>
        <v>CNYFUT3MX4ConvAdj_Quote</v>
      </c>
      <c r="AH10" s="101" t="e">
        <f>_xll.qlFuturesConvAdjustmentQuote(AG10,IborIndex,AF10,F10,Volatility,MeanReversion,Permanent,AND(ISERROR(Z10),ISERROR(FuturesHWConvAdj!Q9:Q10)),ObjectOverwrite)</f>
        <v>#VALUE!</v>
      </c>
      <c r="AI10" s="24" t="str">
        <f ca="1">_xll.ohRangeRetrieveError(AH10)</f>
        <v/>
      </c>
      <c r="AJ10" s="19"/>
    </row>
    <row r="11" spans="1:36" x14ac:dyDescent="0.2">
      <c r="A11" s="65"/>
      <c r="B11" s="64">
        <v>6</v>
      </c>
      <c r="C11" s="63" t="b">
        <v>0</v>
      </c>
      <c r="D11" s="62" t="str">
        <v>Z4</v>
      </c>
      <c r="E11" s="61" t="str">
        <f t="shared" si="0"/>
        <v>CNYFUT3MZ4_Quote</v>
      </c>
      <c r="F11" s="60" t="str">
        <f>_xll.qlSimpleQuote(E11,,PriceTickValue,Permanent,Trigger,ObjectOverwrite)</f>
        <v>CNYFUT3MZ4_Quote#0003</v>
      </c>
      <c r="G11" s="39" t="str">
        <f>_xll.ohRangeRetrieveError(F11)</f>
        <v/>
      </c>
      <c r="H11" s="59"/>
      <c r="J11" s="161"/>
      <c r="K11" s="167">
        <v>6</v>
      </c>
      <c r="L11" s="166" t="b">
        <v>0</v>
      </c>
      <c r="M11" s="109" t="str">
        <v>Z4</v>
      </c>
      <c r="N11" s="165">
        <v>41990</v>
      </c>
      <c r="O11" s="109"/>
      <c r="P11" s="164"/>
      <c r="Q11" s="109"/>
      <c r="R11" s="109"/>
      <c r="S11" s="109"/>
      <c r="T11" s="109"/>
      <c r="U11" s="113" t="e">
        <f>_xll.qlMidSafe($Q11,$R11)</f>
        <v>#NUM!</v>
      </c>
      <c r="V11" s="111"/>
      <c r="W11" s="163" t="e">
        <v>#NUM!</v>
      </c>
      <c r="X11" s="111"/>
      <c r="Y11" s="162" t="e">
        <v>#NUM!</v>
      </c>
      <c r="Z11" s="113" t="e">
        <f>_xll.qlSimpleQuoteSetValue(F11,Y11,Trigger)</f>
        <v>#NUM!</v>
      </c>
      <c r="AA11" s="19"/>
      <c r="AB11" s="12"/>
      <c r="AC11" s="65"/>
      <c r="AD11" s="64">
        <v>6</v>
      </c>
      <c r="AE11" s="62" t="b">
        <v>0</v>
      </c>
      <c r="AF11" s="62" t="str">
        <v>Z4</v>
      </c>
      <c r="AG11" s="102" t="str">
        <f t="shared" si="1"/>
        <v>CNYFUT3MZ4ConvAdj_Quote</v>
      </c>
      <c r="AH11" s="101" t="e">
        <f>_xll.qlFuturesConvAdjustmentQuote(AG11,IborIndex,AF11,F11,Volatility,MeanReversion,Permanent,AND(ISERROR(Z11),ISERROR(FuturesHWConvAdj!Q10:Q11)),ObjectOverwrite)</f>
        <v>#VALUE!</v>
      </c>
      <c r="AI11" s="24" t="str">
        <f ca="1">_xll.ohRangeRetrieveError(AH11)</f>
        <v/>
      </c>
      <c r="AJ11" s="19"/>
    </row>
    <row r="12" spans="1:36" x14ac:dyDescent="0.2">
      <c r="A12" s="65"/>
      <c r="B12" s="64">
        <v>7</v>
      </c>
      <c r="C12" s="63" t="b">
        <v>0</v>
      </c>
      <c r="D12" s="62" t="str">
        <v>F5</v>
      </c>
      <c r="E12" s="61" t="str">
        <f t="shared" si="0"/>
        <v>CNYFUT3MF5_Quote</v>
      </c>
      <c r="F12" s="60" t="str">
        <f>_xll.qlSimpleQuote(E12,,PriceTickValue,Permanent,Trigger,ObjectOverwrite)</f>
        <v>CNYFUT3MF5_Quote#0003</v>
      </c>
      <c r="G12" s="39" t="str">
        <f>_xll.ohRangeRetrieveError(F12)</f>
        <v/>
      </c>
      <c r="H12" s="59"/>
      <c r="J12" s="161"/>
      <c r="K12" s="167">
        <v>7</v>
      </c>
      <c r="L12" s="166" t="b">
        <v>0</v>
      </c>
      <c r="M12" s="109" t="str">
        <v>F5</v>
      </c>
      <c r="N12" s="165">
        <v>42025</v>
      </c>
      <c r="O12" s="109"/>
      <c r="P12" s="164"/>
      <c r="Q12" s="109"/>
      <c r="R12" s="109"/>
      <c r="S12" s="109"/>
      <c r="T12" s="109"/>
      <c r="U12" s="113" t="e">
        <f>_xll.qlMidSafe($Q12,$R12)</f>
        <v>#NUM!</v>
      </c>
      <c r="V12" s="111"/>
      <c r="W12" s="163" t="e">
        <v>#NUM!</v>
      </c>
      <c r="X12" s="111"/>
      <c r="Y12" s="162" t="e">
        <v>#NUM!</v>
      </c>
      <c r="Z12" s="113" t="e">
        <f>_xll.qlSimpleQuoteSetValue(F12,Y12,Trigger)</f>
        <v>#NUM!</v>
      </c>
      <c r="AA12" s="19"/>
      <c r="AB12" s="12"/>
      <c r="AC12" s="65"/>
      <c r="AD12" s="64">
        <v>7</v>
      </c>
      <c r="AE12" s="62" t="b">
        <v>0</v>
      </c>
      <c r="AF12" s="62" t="str">
        <v>F5</v>
      </c>
      <c r="AG12" s="102" t="str">
        <f t="shared" si="1"/>
        <v>CNYFUT3MF5ConvAdj_Quote</v>
      </c>
      <c r="AH12" s="101" t="e">
        <f>_xll.qlFuturesConvAdjustmentQuote(AG12,IborIndex,AF12,F12,Volatility,MeanReversion,Permanent,AND(ISERROR(Z12),ISERROR(FuturesHWConvAdj!Q11:Q12)),ObjectOverwrite)</f>
        <v>#VALUE!</v>
      </c>
      <c r="AI12" s="24" t="str">
        <f ca="1">_xll.ohRangeRetrieveError(AH12)</f>
        <v/>
      </c>
      <c r="AJ12" s="19"/>
    </row>
    <row r="13" spans="1:36" x14ac:dyDescent="0.2">
      <c r="A13" s="65"/>
      <c r="B13" s="64">
        <v>8</v>
      </c>
      <c r="C13" s="63" t="b">
        <v>0</v>
      </c>
      <c r="D13" s="62" t="str">
        <v>G5</v>
      </c>
      <c r="E13" s="61" t="str">
        <f t="shared" si="0"/>
        <v>CNYFUT3MG5_Quote</v>
      </c>
      <c r="F13" s="60" t="str">
        <f>_xll.qlSimpleQuote(E13,,PriceTickValue,Permanent,Trigger,ObjectOverwrite)</f>
        <v>CNYFUT3MG5_Quote#0003</v>
      </c>
      <c r="G13" s="39" t="str">
        <f>_xll.ohRangeRetrieveError(F13)</f>
        <v/>
      </c>
      <c r="H13" s="59"/>
      <c r="J13" s="161"/>
      <c r="K13" s="167">
        <v>8</v>
      </c>
      <c r="L13" s="166" t="b">
        <v>0</v>
      </c>
      <c r="M13" s="109" t="str">
        <v>G5</v>
      </c>
      <c r="N13" s="165">
        <v>42053</v>
      </c>
      <c r="O13" s="109"/>
      <c r="P13" s="164"/>
      <c r="Q13" s="109"/>
      <c r="R13" s="109"/>
      <c r="S13" s="109"/>
      <c r="T13" s="109"/>
      <c r="U13" s="113" t="e">
        <f>_xll.qlMidSafe($Q13,$R13)</f>
        <v>#NUM!</v>
      </c>
      <c r="V13" s="111"/>
      <c r="W13" s="163" t="e">
        <v>#NUM!</v>
      </c>
      <c r="X13" s="111"/>
      <c r="Y13" s="162" t="e">
        <v>#NUM!</v>
      </c>
      <c r="Z13" s="113" t="e">
        <f>_xll.qlSimpleQuoteSetValue(F13,Y13,Trigger)</f>
        <v>#NUM!</v>
      </c>
      <c r="AA13" s="19"/>
      <c r="AB13" s="12"/>
      <c r="AC13" s="65"/>
      <c r="AD13" s="64">
        <v>8</v>
      </c>
      <c r="AE13" s="62" t="b">
        <v>0</v>
      </c>
      <c r="AF13" s="62" t="str">
        <v>G5</v>
      </c>
      <c r="AG13" s="102" t="str">
        <f t="shared" si="1"/>
        <v>CNYFUT3MG5ConvAdj_Quote</v>
      </c>
      <c r="AH13" s="101" t="e">
        <f>_xll.qlFuturesConvAdjustmentQuote(AG13,IborIndex,AF13,F13,Volatility,MeanReversion,Permanent,AND(ISERROR(Z13),ISERROR(FuturesHWConvAdj!Q12:Q13)),ObjectOverwrite)</f>
        <v>#VALUE!</v>
      </c>
      <c r="AI13" s="24" t="str">
        <f ca="1">_xll.ohRangeRetrieveError(AH13)</f>
        <v/>
      </c>
      <c r="AJ13" s="19"/>
    </row>
    <row r="14" spans="1:36" x14ac:dyDescent="0.2">
      <c r="A14" s="65"/>
      <c r="B14" s="64">
        <v>9</v>
      </c>
      <c r="C14" s="63" t="b">
        <v>0</v>
      </c>
      <c r="D14" s="62" t="str">
        <v>H5</v>
      </c>
      <c r="E14" s="61" t="str">
        <f t="shared" si="0"/>
        <v>CNYFUT3MH5_Quote</v>
      </c>
      <c r="F14" s="60" t="str">
        <f>_xll.qlSimpleQuote(E14,,PriceTickValue,Permanent,Trigger,ObjectOverwrite)</f>
        <v>CNYFUT3MH5_Quote#0003</v>
      </c>
      <c r="G14" s="39" t="str">
        <f>_xll.ohRangeRetrieveError(F14)</f>
        <v/>
      </c>
      <c r="H14" s="59"/>
      <c r="J14" s="161"/>
      <c r="K14" s="167">
        <v>9</v>
      </c>
      <c r="L14" s="166" t="b">
        <v>0</v>
      </c>
      <c r="M14" s="109" t="str">
        <v>H5</v>
      </c>
      <c r="N14" s="165">
        <v>42081</v>
      </c>
      <c r="O14" s="109"/>
      <c r="P14" s="164"/>
      <c r="Q14" s="109"/>
      <c r="R14" s="109"/>
      <c r="S14" s="109"/>
      <c r="T14" s="109"/>
      <c r="U14" s="113" t="e">
        <f>_xll.qlMidSafe($Q14,$R14)</f>
        <v>#NUM!</v>
      </c>
      <c r="V14" s="111"/>
      <c r="W14" s="163" t="e">
        <v>#NUM!</v>
      </c>
      <c r="X14" s="111"/>
      <c r="Y14" s="162" t="e">
        <v>#NUM!</v>
      </c>
      <c r="Z14" s="113" t="e">
        <f>_xll.qlSimpleQuoteSetValue(F14,Y14,Trigger)</f>
        <v>#NUM!</v>
      </c>
      <c r="AA14" s="19"/>
      <c r="AB14" s="12"/>
      <c r="AC14" s="65"/>
      <c r="AD14" s="64">
        <v>9</v>
      </c>
      <c r="AE14" s="62" t="b">
        <v>0</v>
      </c>
      <c r="AF14" s="62" t="str">
        <v>H5</v>
      </c>
      <c r="AG14" s="102" t="str">
        <f t="shared" si="1"/>
        <v>CNYFUT3MH5ConvAdj_Quote</v>
      </c>
      <c r="AH14" s="101" t="e">
        <f>_xll.qlFuturesConvAdjustmentQuote(AG14,IborIndex,AF14,F14,Volatility,MeanReversion,Permanent,AND(ISERROR(Z14),ISERROR(FuturesHWConvAdj!Q13:Q14)),ObjectOverwrite)</f>
        <v>#VALUE!</v>
      </c>
      <c r="AI14" s="24" t="str">
        <f ca="1">_xll.ohRangeRetrieveError(AH14)</f>
        <v/>
      </c>
      <c r="AJ14" s="19"/>
    </row>
    <row r="15" spans="1:36" x14ac:dyDescent="0.2">
      <c r="A15" s="65"/>
      <c r="B15" s="64">
        <v>10</v>
      </c>
      <c r="C15" s="63" t="b">
        <v>0</v>
      </c>
      <c r="D15" s="62" t="str">
        <v>J5</v>
      </c>
      <c r="E15" s="61" t="str">
        <f t="shared" si="0"/>
        <v>CNYFUT3MJ5_Quote</v>
      </c>
      <c r="F15" s="60" t="str">
        <f>_xll.qlSimpleQuote(E15,,PriceTickValue,Permanent,Trigger,ObjectOverwrite)</f>
        <v>CNYFUT3MJ5_Quote#0003</v>
      </c>
      <c r="G15" s="39" t="str">
        <f>_xll.ohRangeRetrieveError(F15)</f>
        <v/>
      </c>
      <c r="H15" s="59"/>
      <c r="J15" s="161"/>
      <c r="K15" s="167">
        <v>10</v>
      </c>
      <c r="L15" s="166" t="b">
        <v>0</v>
      </c>
      <c r="M15" s="109" t="str">
        <v>J5</v>
      </c>
      <c r="N15" s="165">
        <v>42109</v>
      </c>
      <c r="O15" s="109"/>
      <c r="P15" s="164"/>
      <c r="Q15" s="109"/>
      <c r="R15" s="109"/>
      <c r="S15" s="109"/>
      <c r="T15" s="109"/>
      <c r="U15" s="113" t="e">
        <f>_xll.qlMidSafe($Q15,$R15)</f>
        <v>#NUM!</v>
      </c>
      <c r="V15" s="111"/>
      <c r="W15" s="163" t="e">
        <v>#NUM!</v>
      </c>
      <c r="X15" s="111"/>
      <c r="Y15" s="162" t="e">
        <v>#NUM!</v>
      </c>
      <c r="Z15" s="113" t="e">
        <f>_xll.qlSimpleQuoteSetValue(F15,Y15,Trigger)</f>
        <v>#NUM!</v>
      </c>
      <c r="AA15" s="19"/>
      <c r="AB15" s="12"/>
      <c r="AC15" s="65"/>
      <c r="AD15" s="64">
        <v>10</v>
      </c>
      <c r="AE15" s="62" t="b">
        <v>0</v>
      </c>
      <c r="AF15" s="62" t="str">
        <v>J5</v>
      </c>
      <c r="AG15" s="102" t="str">
        <f t="shared" si="1"/>
        <v>CNYFUT3MJ5ConvAdj_Quote</v>
      </c>
      <c r="AH15" s="101" t="e">
        <f>_xll.qlFuturesConvAdjustmentQuote(AG15,IborIndex,AF15,F15,Volatility,MeanReversion,Permanent,AND(ISERROR(Z15),ISERROR(FuturesHWConvAdj!Q14:Q15)),ObjectOverwrite)</f>
        <v>#VALUE!</v>
      </c>
      <c r="AI15" s="24" t="str">
        <f ca="1">_xll.ohRangeRetrieveError(AH15)</f>
        <v/>
      </c>
      <c r="AJ15" s="19"/>
    </row>
    <row r="16" spans="1:36" x14ac:dyDescent="0.2">
      <c r="A16" s="65"/>
      <c r="B16" s="64">
        <v>11</v>
      </c>
      <c r="C16" s="63" t="b">
        <v>0</v>
      </c>
      <c r="D16" s="62" t="str">
        <v>K5</v>
      </c>
      <c r="E16" s="61" t="str">
        <f t="shared" si="0"/>
        <v>CNYFUT3MK5_Quote</v>
      </c>
      <c r="F16" s="60" t="str">
        <f>_xll.qlSimpleQuote(E16,,PriceTickValue,Permanent,Trigger,ObjectOverwrite)</f>
        <v>CNYFUT3MK5_Quote#0003</v>
      </c>
      <c r="G16" s="39" t="str">
        <f>_xll.ohRangeRetrieveError(F16)</f>
        <v/>
      </c>
      <c r="H16" s="59"/>
      <c r="J16" s="161"/>
      <c r="K16" s="167">
        <v>11</v>
      </c>
      <c r="L16" s="166" t="b">
        <v>0</v>
      </c>
      <c r="M16" s="109" t="str">
        <v>K5</v>
      </c>
      <c r="N16" s="165">
        <v>42144</v>
      </c>
      <c r="O16" s="109"/>
      <c r="P16" s="164"/>
      <c r="Q16" s="109"/>
      <c r="R16" s="109"/>
      <c r="S16" s="109"/>
      <c r="T16" s="109"/>
      <c r="U16" s="113" t="e">
        <f>_xll.qlMidSafe($Q16,$R16)</f>
        <v>#NUM!</v>
      </c>
      <c r="V16" s="111"/>
      <c r="W16" s="163" t="e">
        <v>#NUM!</v>
      </c>
      <c r="X16" s="111"/>
      <c r="Y16" s="162" t="e">
        <v>#NUM!</v>
      </c>
      <c r="Z16" s="113" t="e">
        <f>_xll.qlSimpleQuoteSetValue(F16,Y16,Trigger)</f>
        <v>#NUM!</v>
      </c>
      <c r="AA16" s="19"/>
      <c r="AB16" s="12"/>
      <c r="AC16" s="65"/>
      <c r="AD16" s="64">
        <v>11</v>
      </c>
      <c r="AE16" s="62" t="b">
        <v>0</v>
      </c>
      <c r="AF16" s="62" t="str">
        <v>K5</v>
      </c>
      <c r="AG16" s="102" t="str">
        <f t="shared" si="1"/>
        <v>CNYFUT3MK5ConvAdj_Quote</v>
      </c>
      <c r="AH16" s="101" t="e">
        <f>_xll.qlFuturesConvAdjustmentQuote(AG16,IborIndex,AF16,F16,Volatility,MeanReversion,Permanent,AND(ISERROR(Z16),ISERROR(FuturesHWConvAdj!Q15:Q16)),ObjectOverwrite)</f>
        <v>#VALUE!</v>
      </c>
      <c r="AI16" s="24" t="str">
        <f ca="1">_xll.ohRangeRetrieveError(AH16)</f>
        <v/>
      </c>
      <c r="AJ16" s="19"/>
    </row>
    <row r="17" spans="1:36" x14ac:dyDescent="0.2">
      <c r="A17" s="65"/>
      <c r="B17" s="64">
        <v>12</v>
      </c>
      <c r="C17" s="63" t="b">
        <v>0</v>
      </c>
      <c r="D17" s="62" t="str">
        <v>M5</v>
      </c>
      <c r="E17" s="61" t="str">
        <f t="shared" si="0"/>
        <v>CNYFUT3MM5_Quote</v>
      </c>
      <c r="F17" s="60" t="str">
        <f>_xll.qlSimpleQuote(E17,,PriceTickValue,Permanent,Trigger,ObjectOverwrite)</f>
        <v>CNYFUT3MM5_Quote#0003</v>
      </c>
      <c r="G17" s="39" t="str">
        <f>_xll.ohRangeRetrieveError(F17)</f>
        <v/>
      </c>
      <c r="H17" s="59"/>
      <c r="J17" s="161"/>
      <c r="K17" s="167">
        <v>12</v>
      </c>
      <c r="L17" s="166" t="b">
        <v>0</v>
      </c>
      <c r="M17" s="109" t="str">
        <v>M5</v>
      </c>
      <c r="N17" s="165">
        <v>42172</v>
      </c>
      <c r="O17" s="109"/>
      <c r="P17" s="164"/>
      <c r="Q17" s="109"/>
      <c r="R17" s="109"/>
      <c r="S17" s="109"/>
      <c r="T17" s="109"/>
      <c r="U17" s="113" t="e">
        <f>_xll.qlMidSafe($Q17,$R17)</f>
        <v>#NUM!</v>
      </c>
      <c r="V17" s="111"/>
      <c r="W17" s="163" t="e">
        <v>#NUM!</v>
      </c>
      <c r="X17" s="111"/>
      <c r="Y17" s="162" t="e">
        <v>#NUM!</v>
      </c>
      <c r="Z17" s="113" t="e">
        <f>_xll.qlSimpleQuoteSetValue(F17,Y17,Trigger)</f>
        <v>#NUM!</v>
      </c>
      <c r="AA17" s="19"/>
      <c r="AB17" s="12"/>
      <c r="AC17" s="65"/>
      <c r="AD17" s="64">
        <v>12</v>
      </c>
      <c r="AE17" s="62" t="b">
        <v>0</v>
      </c>
      <c r="AF17" s="62" t="str">
        <v>M5</v>
      </c>
      <c r="AG17" s="102" t="str">
        <f t="shared" si="1"/>
        <v>CNYFUT3MM5ConvAdj_Quote</v>
      </c>
      <c r="AH17" s="101" t="e">
        <f>_xll.qlFuturesConvAdjustmentQuote(AG17,IborIndex,AF17,F17,Volatility,MeanReversion,Permanent,AND(ISERROR(Z17),ISERROR(FuturesHWConvAdj!Q16:Q17)),ObjectOverwrite)</f>
        <v>#VALUE!</v>
      </c>
      <c r="AI17" s="24" t="str">
        <f ca="1">_xll.ohRangeRetrieveError(AH17)</f>
        <v/>
      </c>
      <c r="AJ17" s="19"/>
    </row>
    <row r="18" spans="1:36" x14ac:dyDescent="0.2">
      <c r="A18" s="65"/>
      <c r="B18" s="64">
        <v>13</v>
      </c>
      <c r="C18" s="63" t="b">
        <v>1</v>
      </c>
      <c r="D18" s="62" t="str">
        <v>U5</v>
      </c>
      <c r="E18" s="61" t="str">
        <f t="shared" si="0"/>
        <v>CNYFUT3MU5_Quote</v>
      </c>
      <c r="F18" s="60" t="str">
        <f>_xll.qlSimpleQuote(E18,,PriceTickValue,Permanent,Trigger,ObjectOverwrite)</f>
        <v>CNYFUT3MU5_Quote#0003</v>
      </c>
      <c r="G18" s="39" t="str">
        <f>_xll.ohRangeRetrieveError(F18)</f>
        <v/>
      </c>
      <c r="H18" s="59"/>
      <c r="J18" s="161"/>
      <c r="K18" s="167">
        <v>13</v>
      </c>
      <c r="L18" s="166" t="b">
        <v>1</v>
      </c>
      <c r="M18" s="109" t="str">
        <v>U5</v>
      </c>
      <c r="N18" s="165">
        <v>42263</v>
      </c>
      <c r="O18" s="109"/>
      <c r="P18" s="164"/>
      <c r="Q18" s="109"/>
      <c r="R18" s="109"/>
      <c r="S18" s="109"/>
      <c r="T18" s="109"/>
      <c r="U18" s="113" t="e">
        <f>_xll.qlMidSafe($Q18,$R18)</f>
        <v>#NUM!</v>
      </c>
      <c r="V18" s="111"/>
      <c r="W18" s="163" t="e">
        <v>#NUM!</v>
      </c>
      <c r="X18" s="111"/>
      <c r="Y18" s="162" t="e">
        <v>#NUM!</v>
      </c>
      <c r="Z18" s="113" t="e">
        <f>_xll.qlSimpleQuoteSetValue(F18,Y18,Trigger)</f>
        <v>#NUM!</v>
      </c>
      <c r="AA18" s="19"/>
      <c r="AB18" s="12"/>
      <c r="AC18" s="65"/>
      <c r="AD18" s="64">
        <v>13</v>
      </c>
      <c r="AE18" s="62" t="b">
        <v>1</v>
      </c>
      <c r="AF18" s="62" t="str">
        <v>U5</v>
      </c>
      <c r="AG18" s="102" t="str">
        <f t="shared" si="1"/>
        <v>CNYFUT3MU5ConvAdj_Quote</v>
      </c>
      <c r="AH18" s="101" t="e">
        <f>_xll.qlFuturesConvAdjustmentQuote(AG18,IborIndex,AF18,F18,Volatility,MeanReversion,Permanent,AND(ISERROR(Z18),ISERROR(FuturesHWConvAdj!Q17:Q18)),ObjectOverwrite)</f>
        <v>#VALUE!</v>
      </c>
      <c r="AI18" s="24" t="str">
        <f ca="1">_xll.ohRangeRetrieveError(AH18)</f>
        <v/>
      </c>
      <c r="AJ18" s="19"/>
    </row>
    <row r="19" spans="1:36" x14ac:dyDescent="0.2">
      <c r="A19" s="65"/>
      <c r="B19" s="64">
        <v>14</v>
      </c>
      <c r="C19" s="63" t="b">
        <v>1</v>
      </c>
      <c r="D19" s="62" t="str">
        <v>Z5</v>
      </c>
      <c r="E19" s="61" t="str">
        <f t="shared" si="0"/>
        <v>CNYFUT3MZ5_Quote</v>
      </c>
      <c r="F19" s="60" t="str">
        <f>_xll.qlSimpleQuote(E19,,PriceTickValue,Permanent,Trigger,ObjectOverwrite)</f>
        <v>CNYFUT3MZ5_Quote#0003</v>
      </c>
      <c r="G19" s="39" t="str">
        <f>_xll.ohRangeRetrieveError(F19)</f>
        <v/>
      </c>
      <c r="H19" s="59"/>
      <c r="J19" s="161"/>
      <c r="K19" s="167">
        <v>14</v>
      </c>
      <c r="L19" s="166" t="b">
        <v>1</v>
      </c>
      <c r="M19" s="109" t="str">
        <v>Z5</v>
      </c>
      <c r="N19" s="165">
        <v>42354</v>
      </c>
      <c r="O19" s="109"/>
      <c r="P19" s="164"/>
      <c r="Q19" s="109"/>
      <c r="R19" s="109"/>
      <c r="S19" s="109"/>
      <c r="T19" s="109"/>
      <c r="U19" s="113" t="e">
        <f>_xll.qlMidSafe($Q19,$R19)</f>
        <v>#NUM!</v>
      </c>
      <c r="V19" s="111"/>
      <c r="W19" s="163" t="e">
        <v>#NUM!</v>
      </c>
      <c r="X19" s="111"/>
      <c r="Y19" s="162" t="e">
        <v>#NUM!</v>
      </c>
      <c r="Z19" s="113" t="e">
        <f>_xll.qlSimpleQuoteSetValue(F19,Y19,Trigger)</f>
        <v>#NUM!</v>
      </c>
      <c r="AA19" s="19"/>
      <c r="AB19" s="12"/>
      <c r="AC19" s="65"/>
      <c r="AD19" s="64">
        <v>14</v>
      </c>
      <c r="AE19" s="62" t="b">
        <v>1</v>
      </c>
      <c r="AF19" s="62" t="str">
        <v>Z5</v>
      </c>
      <c r="AG19" s="102" t="str">
        <f t="shared" si="1"/>
        <v>CNYFUT3MZ5ConvAdj_Quote</v>
      </c>
      <c r="AH19" s="101" t="e">
        <f>_xll.qlFuturesConvAdjustmentQuote(AG19,IborIndex,AF19,F19,Volatility,MeanReversion,Permanent,AND(ISERROR(Z19),ISERROR(FuturesHWConvAdj!Q18:Q19)),ObjectOverwrite)</f>
        <v>#VALUE!</v>
      </c>
      <c r="AI19" s="24" t="str">
        <f ca="1">_xll.ohRangeRetrieveError(AH19)</f>
        <v/>
      </c>
      <c r="AJ19" s="19"/>
    </row>
    <row r="20" spans="1:36" x14ac:dyDescent="0.2">
      <c r="A20" s="65"/>
      <c r="B20" s="64">
        <v>15</v>
      </c>
      <c r="C20" s="63" t="b">
        <v>1</v>
      </c>
      <c r="D20" s="62" t="str">
        <v>H6</v>
      </c>
      <c r="E20" s="61" t="str">
        <f t="shared" si="0"/>
        <v>CNYFUT3MH6_Quote</v>
      </c>
      <c r="F20" s="60" t="str">
        <f>_xll.qlSimpleQuote(E20,,PriceTickValue,Permanent,Trigger,ObjectOverwrite)</f>
        <v>CNYFUT3MH6_Quote#0003</v>
      </c>
      <c r="G20" s="39" t="str">
        <f>_xll.ohRangeRetrieveError(F20)</f>
        <v/>
      </c>
      <c r="H20" s="59"/>
      <c r="J20" s="161"/>
      <c r="K20" s="167">
        <v>15</v>
      </c>
      <c r="L20" s="166" t="b">
        <v>1</v>
      </c>
      <c r="M20" s="109" t="str">
        <v>H6</v>
      </c>
      <c r="N20" s="165">
        <v>42445</v>
      </c>
      <c r="O20" s="109"/>
      <c r="P20" s="164"/>
      <c r="Q20" s="109"/>
      <c r="R20" s="109"/>
      <c r="S20" s="109"/>
      <c r="T20" s="109"/>
      <c r="U20" s="113" t="e">
        <f>_xll.qlMidSafe($Q20,$R20)</f>
        <v>#NUM!</v>
      </c>
      <c r="V20" s="111"/>
      <c r="W20" s="163" t="e">
        <v>#NUM!</v>
      </c>
      <c r="X20" s="111"/>
      <c r="Y20" s="162" t="e">
        <v>#NUM!</v>
      </c>
      <c r="Z20" s="113" t="e">
        <f>_xll.qlSimpleQuoteSetValue(F20,Y20,Trigger)</f>
        <v>#NUM!</v>
      </c>
      <c r="AA20" s="19"/>
      <c r="AB20" s="12"/>
      <c r="AC20" s="65"/>
      <c r="AD20" s="64">
        <v>15</v>
      </c>
      <c r="AE20" s="62" t="b">
        <v>1</v>
      </c>
      <c r="AF20" s="62" t="str">
        <v>H6</v>
      </c>
      <c r="AG20" s="102" t="str">
        <f t="shared" si="1"/>
        <v>CNYFUT3MH6ConvAdj_Quote</v>
      </c>
      <c r="AH20" s="101" t="e">
        <f>_xll.qlFuturesConvAdjustmentQuote(AG20,IborIndex,AF20,F20,Volatility,MeanReversion,Permanent,AND(ISERROR(Z20),ISERROR(FuturesHWConvAdj!Q19:Q20)),ObjectOverwrite)</f>
        <v>#VALUE!</v>
      </c>
      <c r="AI20" s="24" t="str">
        <f ca="1">_xll.ohRangeRetrieveError(AH20)</f>
        <v/>
      </c>
      <c r="AJ20" s="19"/>
    </row>
    <row r="21" spans="1:36" x14ac:dyDescent="0.2">
      <c r="A21" s="65"/>
      <c r="B21" s="64">
        <v>16</v>
      </c>
      <c r="C21" s="63" t="b">
        <v>1</v>
      </c>
      <c r="D21" s="62" t="str">
        <v>M6</v>
      </c>
      <c r="E21" s="61" t="str">
        <f t="shared" si="0"/>
        <v>CNYFUT3MM6_Quote</v>
      </c>
      <c r="F21" s="60" t="str">
        <f>_xll.qlSimpleQuote(E21,,PriceTickValue,Permanent,Trigger,ObjectOverwrite)</f>
        <v>CNYFUT3MM6_Quote#0003</v>
      </c>
      <c r="G21" s="39" t="str">
        <f>_xll.ohRangeRetrieveError(F21)</f>
        <v/>
      </c>
      <c r="H21" s="59"/>
      <c r="J21" s="161"/>
      <c r="K21" s="167">
        <v>16</v>
      </c>
      <c r="L21" s="166" t="b">
        <v>1</v>
      </c>
      <c r="M21" s="109" t="str">
        <v>M6</v>
      </c>
      <c r="N21" s="165">
        <v>42536</v>
      </c>
      <c r="O21" s="109"/>
      <c r="P21" s="164"/>
      <c r="Q21" s="109"/>
      <c r="R21" s="109"/>
      <c r="S21" s="109"/>
      <c r="T21" s="109"/>
      <c r="U21" s="113" t="e">
        <f>_xll.qlMidSafe($Q21,$R21)</f>
        <v>#NUM!</v>
      </c>
      <c r="V21" s="111"/>
      <c r="W21" s="163" t="e">
        <v>#NUM!</v>
      </c>
      <c r="X21" s="111"/>
      <c r="Y21" s="162" t="e">
        <v>#NUM!</v>
      </c>
      <c r="Z21" s="113" t="e">
        <f>_xll.qlSimpleQuoteSetValue(F21,Y21,Trigger)</f>
        <v>#NUM!</v>
      </c>
      <c r="AA21" s="19"/>
      <c r="AB21" s="12"/>
      <c r="AC21" s="65"/>
      <c r="AD21" s="64">
        <v>16</v>
      </c>
      <c r="AE21" s="62" t="b">
        <v>1</v>
      </c>
      <c r="AF21" s="62" t="str">
        <v>M6</v>
      </c>
      <c r="AG21" s="102" t="str">
        <f t="shared" si="1"/>
        <v>CNYFUT3MM6ConvAdj_Quote</v>
      </c>
      <c r="AH21" s="101" t="e">
        <f>_xll.qlFuturesConvAdjustmentQuote(AG21,IborIndex,AF21,F21,Volatility,MeanReversion,Permanent,AND(ISERROR(Z21),ISERROR(FuturesHWConvAdj!Q20:Q21)),ObjectOverwrite)</f>
        <v>#VALUE!</v>
      </c>
      <c r="AI21" s="24" t="str">
        <f ca="1">_xll.ohRangeRetrieveError(AH21)</f>
        <v/>
      </c>
      <c r="AJ21" s="19"/>
    </row>
    <row r="22" spans="1:36" x14ac:dyDescent="0.2">
      <c r="A22" s="65"/>
      <c r="B22" s="64">
        <v>17</v>
      </c>
      <c r="C22" s="63" t="b">
        <v>1</v>
      </c>
      <c r="D22" s="62" t="str">
        <v>U6</v>
      </c>
      <c r="E22" s="61" t="str">
        <f t="shared" si="0"/>
        <v>CNYFUT3MU6_Quote</v>
      </c>
      <c r="F22" s="60" t="str">
        <f>_xll.qlSimpleQuote(E22,,PriceTickValue,Permanent,Trigger,ObjectOverwrite)</f>
        <v>CNYFUT3MU6_Quote#0003</v>
      </c>
      <c r="G22" s="39" t="str">
        <f>_xll.ohRangeRetrieveError(F22)</f>
        <v/>
      </c>
      <c r="H22" s="59"/>
      <c r="J22" s="161"/>
      <c r="K22" s="167">
        <v>17</v>
      </c>
      <c r="L22" s="166" t="b">
        <v>1</v>
      </c>
      <c r="M22" s="109" t="str">
        <v>U6</v>
      </c>
      <c r="N22" s="165">
        <v>42634</v>
      </c>
      <c r="O22" s="109"/>
      <c r="P22" s="164"/>
      <c r="Q22" s="109"/>
      <c r="R22" s="109"/>
      <c r="S22" s="109"/>
      <c r="T22" s="109"/>
      <c r="U22" s="113" t="e">
        <f>_xll.qlMidSafe($Q22,$R22)</f>
        <v>#NUM!</v>
      </c>
      <c r="V22" s="111"/>
      <c r="W22" s="163" t="e">
        <v>#NUM!</v>
      </c>
      <c r="X22" s="111"/>
      <c r="Y22" s="162" t="e">
        <v>#NUM!</v>
      </c>
      <c r="Z22" s="113" t="e">
        <f>_xll.qlSimpleQuoteSetValue(F22,Y22,Trigger)</f>
        <v>#NUM!</v>
      </c>
      <c r="AA22" s="19"/>
      <c r="AB22" s="12"/>
      <c r="AC22" s="65"/>
      <c r="AD22" s="64">
        <v>17</v>
      </c>
      <c r="AE22" s="62" t="b">
        <v>1</v>
      </c>
      <c r="AF22" s="62" t="str">
        <v>U6</v>
      </c>
      <c r="AG22" s="102" t="str">
        <f t="shared" si="1"/>
        <v>CNYFUT3MU6ConvAdj_Quote</v>
      </c>
      <c r="AH22" s="101" t="e">
        <f>_xll.qlFuturesConvAdjustmentQuote(AG22,IborIndex,AF22,F22,Volatility,MeanReversion,Permanent,AND(ISERROR(Z22),ISERROR(FuturesHWConvAdj!Q21:Q22)),ObjectOverwrite)</f>
        <v>#VALUE!</v>
      </c>
      <c r="AI22" s="24" t="str">
        <f ca="1">_xll.ohRangeRetrieveError(AH22)</f>
        <v/>
      </c>
      <c r="AJ22" s="19"/>
    </row>
    <row r="23" spans="1:36" x14ac:dyDescent="0.2">
      <c r="A23" s="65"/>
      <c r="B23" s="64">
        <v>18</v>
      </c>
      <c r="C23" s="63" t="b">
        <v>1</v>
      </c>
      <c r="D23" s="62" t="str">
        <v>Z6</v>
      </c>
      <c r="E23" s="61" t="str">
        <f t="shared" si="0"/>
        <v>CNYFUT3MZ6_Quote</v>
      </c>
      <c r="F23" s="60" t="str">
        <f>_xll.qlSimpleQuote(E23,,PriceTickValue,Permanent,Trigger,ObjectOverwrite)</f>
        <v>CNYFUT3MZ6_Quote#0003</v>
      </c>
      <c r="G23" s="39" t="str">
        <f>_xll.ohRangeRetrieveError(F23)</f>
        <v/>
      </c>
      <c r="H23" s="59"/>
      <c r="J23" s="161"/>
      <c r="K23" s="167">
        <v>18</v>
      </c>
      <c r="L23" s="166" t="b">
        <v>1</v>
      </c>
      <c r="M23" s="109" t="str">
        <v>Z6</v>
      </c>
      <c r="N23" s="165">
        <v>42725</v>
      </c>
      <c r="O23" s="109"/>
      <c r="P23" s="164"/>
      <c r="Q23" s="109"/>
      <c r="R23" s="109"/>
      <c r="S23" s="109"/>
      <c r="T23" s="109"/>
      <c r="U23" s="113" t="e">
        <f>_xll.qlMidSafe($Q23,$R23)</f>
        <v>#NUM!</v>
      </c>
      <c r="V23" s="111"/>
      <c r="W23" s="163" t="e">
        <v>#NUM!</v>
      </c>
      <c r="X23" s="111"/>
      <c r="Y23" s="162" t="e">
        <v>#NUM!</v>
      </c>
      <c r="Z23" s="113" t="e">
        <f>_xll.qlSimpleQuoteSetValue(F23,Y23,Trigger)</f>
        <v>#NUM!</v>
      </c>
      <c r="AA23" s="19"/>
      <c r="AB23" s="12"/>
      <c r="AC23" s="65"/>
      <c r="AD23" s="64">
        <v>18</v>
      </c>
      <c r="AE23" s="62" t="b">
        <v>1</v>
      </c>
      <c r="AF23" s="62" t="str">
        <v>Z6</v>
      </c>
      <c r="AG23" s="102" t="str">
        <f t="shared" si="1"/>
        <v>CNYFUT3MZ6ConvAdj_Quote</v>
      </c>
      <c r="AH23" s="101" t="e">
        <f>_xll.qlFuturesConvAdjustmentQuote(AG23,IborIndex,AF23,F23,Volatility,MeanReversion,Permanent,AND(ISERROR(Z23),ISERROR(FuturesHWConvAdj!Q22:Q23)),ObjectOverwrite)</f>
        <v>#VALUE!</v>
      </c>
      <c r="AI23" s="24" t="str">
        <f ca="1">_xll.ohRangeRetrieveError(AH23)</f>
        <v/>
      </c>
      <c r="AJ23" s="19"/>
    </row>
    <row r="24" spans="1:36" x14ac:dyDescent="0.2">
      <c r="A24" s="65"/>
      <c r="B24" s="64">
        <v>19</v>
      </c>
      <c r="C24" s="63" t="b">
        <v>1</v>
      </c>
      <c r="D24" s="62" t="str">
        <v>H7</v>
      </c>
      <c r="E24" s="61" t="str">
        <f t="shared" si="0"/>
        <v>CNYFUT3MH7_Quote</v>
      </c>
      <c r="F24" s="60" t="str">
        <f>_xll.qlSimpleQuote(E24,,PriceTickValue,Permanent,Trigger,ObjectOverwrite)</f>
        <v>CNYFUT3MH7_Quote#0003</v>
      </c>
      <c r="G24" s="39" t="str">
        <f>_xll.ohRangeRetrieveError(F24)</f>
        <v/>
      </c>
      <c r="H24" s="59"/>
      <c r="J24" s="161"/>
      <c r="K24" s="167">
        <v>19</v>
      </c>
      <c r="L24" s="166" t="b">
        <v>1</v>
      </c>
      <c r="M24" s="109" t="str">
        <v>H7</v>
      </c>
      <c r="N24" s="165">
        <v>42809</v>
      </c>
      <c r="O24" s="109"/>
      <c r="P24" s="164"/>
      <c r="Q24" s="109"/>
      <c r="R24" s="109"/>
      <c r="S24" s="109"/>
      <c r="T24" s="109"/>
      <c r="U24" s="113" t="e">
        <f>_xll.qlMidSafe($Q24,$R24)</f>
        <v>#NUM!</v>
      </c>
      <c r="V24" s="111"/>
      <c r="W24" s="163" t="e">
        <v>#NUM!</v>
      </c>
      <c r="X24" s="111"/>
      <c r="Y24" s="162" t="e">
        <v>#NUM!</v>
      </c>
      <c r="Z24" s="113" t="e">
        <f>_xll.qlSimpleQuoteSetValue(F24,Y24,Trigger)</f>
        <v>#NUM!</v>
      </c>
      <c r="AA24" s="19"/>
      <c r="AB24" s="12"/>
      <c r="AC24" s="65"/>
      <c r="AD24" s="64">
        <v>19</v>
      </c>
      <c r="AE24" s="62" t="b">
        <v>1</v>
      </c>
      <c r="AF24" s="62" t="str">
        <v>H7</v>
      </c>
      <c r="AG24" s="102" t="str">
        <f t="shared" si="1"/>
        <v>CNYFUT3MH7ConvAdj_Quote</v>
      </c>
      <c r="AH24" s="101" t="e">
        <f>_xll.qlFuturesConvAdjustmentQuote(AG24,IborIndex,AF24,F24,Volatility,MeanReversion,Permanent,AND(ISERROR(Z24),ISERROR(FuturesHWConvAdj!Q23:Q24)),ObjectOverwrite)</f>
        <v>#VALUE!</v>
      </c>
      <c r="AI24" s="24" t="str">
        <f ca="1">_xll.ohRangeRetrieveError(AH24)</f>
        <v/>
      </c>
      <c r="AJ24" s="19"/>
    </row>
    <row r="25" spans="1:36" x14ac:dyDescent="0.2">
      <c r="A25" s="65"/>
      <c r="B25" s="64">
        <v>20</v>
      </c>
      <c r="C25" s="63" t="b">
        <v>1</v>
      </c>
      <c r="D25" s="62" t="str">
        <v>M7</v>
      </c>
      <c r="E25" s="61" t="str">
        <f t="shared" si="0"/>
        <v>CNYFUT3MM7_Quote</v>
      </c>
      <c r="F25" s="60" t="str">
        <f>_xll.qlSimpleQuote(E25,,PriceTickValue,Permanent,Trigger,ObjectOverwrite)</f>
        <v>CNYFUT3MM7_Quote#0003</v>
      </c>
      <c r="G25" s="39" t="str">
        <f>_xll.ohRangeRetrieveError(F25)</f>
        <v/>
      </c>
      <c r="H25" s="59"/>
      <c r="J25" s="161"/>
      <c r="K25" s="167">
        <v>20</v>
      </c>
      <c r="L25" s="166" t="b">
        <v>1</v>
      </c>
      <c r="M25" s="109" t="str">
        <v>M7</v>
      </c>
      <c r="N25" s="165">
        <v>42907</v>
      </c>
      <c r="O25" s="109"/>
      <c r="P25" s="164"/>
      <c r="Q25" s="109"/>
      <c r="R25" s="109"/>
      <c r="S25" s="109"/>
      <c r="T25" s="109"/>
      <c r="U25" s="113" t="e">
        <f>_xll.qlMidSafe($Q25,$R25)</f>
        <v>#NUM!</v>
      </c>
      <c r="V25" s="111"/>
      <c r="W25" s="163" t="e">
        <v>#NUM!</v>
      </c>
      <c r="X25" s="111"/>
      <c r="Y25" s="162" t="e">
        <v>#NUM!</v>
      </c>
      <c r="Z25" s="113" t="e">
        <f>_xll.qlSimpleQuoteSetValue(F25,Y25,Trigger)</f>
        <v>#NUM!</v>
      </c>
      <c r="AA25" s="19"/>
      <c r="AB25" s="12"/>
      <c r="AC25" s="65"/>
      <c r="AD25" s="64">
        <v>20</v>
      </c>
      <c r="AE25" s="62" t="b">
        <v>1</v>
      </c>
      <c r="AF25" s="62" t="str">
        <v>M7</v>
      </c>
      <c r="AG25" s="102" t="str">
        <f t="shared" si="1"/>
        <v>CNYFUT3MM7ConvAdj_Quote</v>
      </c>
      <c r="AH25" s="101" t="e">
        <f>_xll.qlFuturesConvAdjustmentQuote(AG25,IborIndex,AF25,F25,Volatility,MeanReversion,Permanent,AND(ISERROR(Z25),ISERROR(FuturesHWConvAdj!Q24:Q25)),ObjectOverwrite)</f>
        <v>#VALUE!</v>
      </c>
      <c r="AI25" s="24" t="str">
        <f ca="1">_xll.ohRangeRetrieveError(AH25)</f>
        <v/>
      </c>
      <c r="AJ25" s="19"/>
    </row>
    <row r="26" spans="1:36" x14ac:dyDescent="0.2">
      <c r="A26" s="65"/>
      <c r="B26" s="64">
        <v>21</v>
      </c>
      <c r="C26" s="63" t="b">
        <v>1</v>
      </c>
      <c r="D26" s="62" t="str">
        <v>U7</v>
      </c>
      <c r="E26" s="61" t="str">
        <f t="shared" si="0"/>
        <v>CNYFUT3MU7_Quote</v>
      </c>
      <c r="F26" s="60" t="str">
        <f>_xll.qlSimpleQuote(E26,,PriceTickValue,Permanent,Trigger,ObjectOverwrite)</f>
        <v>CNYFUT3MU7_Quote#0003</v>
      </c>
      <c r="G26" s="39" t="str">
        <f>_xll.ohRangeRetrieveError(F26)</f>
        <v/>
      </c>
      <c r="H26" s="59"/>
      <c r="J26" s="161"/>
      <c r="K26" s="167">
        <v>21</v>
      </c>
      <c r="L26" s="166" t="b">
        <v>1</v>
      </c>
      <c r="M26" s="109" t="str">
        <v>U7</v>
      </c>
      <c r="N26" s="165">
        <v>42998</v>
      </c>
      <c r="O26" s="109"/>
      <c r="P26" s="164"/>
      <c r="Q26" s="109"/>
      <c r="R26" s="109"/>
      <c r="S26" s="109"/>
      <c r="T26" s="109"/>
      <c r="U26" s="113" t="e">
        <f>_xll.qlMidSafe($Q26,$R26)</f>
        <v>#NUM!</v>
      </c>
      <c r="V26" s="111"/>
      <c r="W26" s="163" t="e">
        <v>#NUM!</v>
      </c>
      <c r="X26" s="111"/>
      <c r="Y26" s="162" t="e">
        <v>#NUM!</v>
      </c>
      <c r="Z26" s="113" t="e">
        <f>_xll.qlSimpleQuoteSetValue(F26,Y26,Trigger)</f>
        <v>#NUM!</v>
      </c>
      <c r="AA26" s="19"/>
      <c r="AB26" s="12"/>
      <c r="AC26" s="65"/>
      <c r="AD26" s="64">
        <v>21</v>
      </c>
      <c r="AE26" s="62" t="b">
        <v>1</v>
      </c>
      <c r="AF26" s="62" t="str">
        <v>U7</v>
      </c>
      <c r="AG26" s="102" t="str">
        <f t="shared" si="1"/>
        <v>CNYFUT3MU7ConvAdj_Quote</v>
      </c>
      <c r="AH26" s="101" t="e">
        <f>_xll.qlFuturesConvAdjustmentQuote(AG26,IborIndex,AF26,F26,Volatility,MeanReversion,Permanent,AND(ISERROR(Z26),ISERROR(FuturesHWConvAdj!Q25:Q26)),ObjectOverwrite)</f>
        <v>#VALUE!</v>
      </c>
      <c r="AI26" s="24" t="str">
        <f ca="1">_xll.ohRangeRetrieveError(AH26)</f>
        <v/>
      </c>
      <c r="AJ26" s="19"/>
    </row>
    <row r="27" spans="1:36" x14ac:dyDescent="0.2">
      <c r="A27" s="65"/>
      <c r="B27" s="64">
        <v>22</v>
      </c>
      <c r="C27" s="63" t="b">
        <v>1</v>
      </c>
      <c r="D27" s="62" t="str">
        <v>Z7</v>
      </c>
      <c r="E27" s="61" t="str">
        <f t="shared" si="0"/>
        <v>CNYFUT3MZ7_Quote</v>
      </c>
      <c r="F27" s="60" t="str">
        <f>_xll.qlSimpleQuote(E27,,PriceTickValue,Permanent,Trigger,ObjectOverwrite)</f>
        <v>CNYFUT3MZ7_Quote#0003</v>
      </c>
      <c r="G27" s="39" t="str">
        <f>_xll.ohRangeRetrieveError(F27)</f>
        <v/>
      </c>
      <c r="H27" s="59"/>
      <c r="J27" s="161"/>
      <c r="K27" s="167">
        <v>22</v>
      </c>
      <c r="L27" s="166" t="b">
        <v>1</v>
      </c>
      <c r="M27" s="109" t="str">
        <v>Z7</v>
      </c>
      <c r="N27" s="165">
        <v>43089</v>
      </c>
      <c r="O27" s="109"/>
      <c r="P27" s="164"/>
      <c r="Q27" s="109"/>
      <c r="R27" s="109"/>
      <c r="S27" s="109"/>
      <c r="T27" s="109"/>
      <c r="U27" s="113" t="e">
        <f>_xll.qlMidSafe($Q27,$R27)</f>
        <v>#NUM!</v>
      </c>
      <c r="V27" s="111"/>
      <c r="W27" s="163" t="e">
        <v>#NUM!</v>
      </c>
      <c r="X27" s="111"/>
      <c r="Y27" s="162" t="e">
        <v>#NUM!</v>
      </c>
      <c r="Z27" s="113" t="e">
        <f>_xll.qlSimpleQuoteSetValue(F27,Y27,Trigger)</f>
        <v>#NUM!</v>
      </c>
      <c r="AA27" s="19"/>
      <c r="AB27" s="12"/>
      <c r="AC27" s="65"/>
      <c r="AD27" s="64">
        <v>22</v>
      </c>
      <c r="AE27" s="62" t="b">
        <v>1</v>
      </c>
      <c r="AF27" s="62" t="str">
        <v>Z7</v>
      </c>
      <c r="AG27" s="102" t="str">
        <f t="shared" si="1"/>
        <v>CNYFUT3MZ7ConvAdj_Quote</v>
      </c>
      <c r="AH27" s="101" t="e">
        <f>_xll.qlFuturesConvAdjustmentQuote(AG27,IborIndex,AF27,F27,Volatility,MeanReversion,Permanent,AND(ISERROR(Z27),ISERROR(FuturesHWConvAdj!Q26:Q27)),ObjectOverwrite)</f>
        <v>#VALUE!</v>
      </c>
      <c r="AI27" s="24" t="str">
        <f ca="1">_xll.ohRangeRetrieveError(AH27)</f>
        <v/>
      </c>
      <c r="AJ27" s="19"/>
    </row>
    <row r="28" spans="1:36" x14ac:dyDescent="0.2">
      <c r="A28" s="65"/>
      <c r="B28" s="64">
        <v>23</v>
      </c>
      <c r="C28" s="63" t="b">
        <v>1</v>
      </c>
      <c r="D28" s="62" t="str">
        <v>H8</v>
      </c>
      <c r="E28" s="61" t="str">
        <f t="shared" si="0"/>
        <v>CNYFUT3MH8_Quote</v>
      </c>
      <c r="F28" s="60" t="str">
        <f>_xll.qlSimpleQuote(E28,,PriceTickValue,Permanent,Trigger,ObjectOverwrite)</f>
        <v>CNYFUT3MH8_Quote#0003</v>
      </c>
      <c r="G28" s="39" t="str">
        <f>_xll.ohRangeRetrieveError(F28)</f>
        <v/>
      </c>
      <c r="H28" s="59"/>
      <c r="J28" s="161"/>
      <c r="K28" s="167">
        <v>23</v>
      </c>
      <c r="L28" s="166" t="b">
        <v>1</v>
      </c>
      <c r="M28" s="109" t="str">
        <v>H8</v>
      </c>
      <c r="N28" s="165">
        <v>43180</v>
      </c>
      <c r="O28" s="109"/>
      <c r="P28" s="164"/>
      <c r="Q28" s="109"/>
      <c r="R28" s="109"/>
      <c r="S28" s="109"/>
      <c r="T28" s="109"/>
      <c r="U28" s="113" t="e">
        <f>_xll.qlMidSafe($Q28,$R28)</f>
        <v>#NUM!</v>
      </c>
      <c r="V28" s="111"/>
      <c r="W28" s="163" t="e">
        <v>#NUM!</v>
      </c>
      <c r="X28" s="111"/>
      <c r="Y28" s="162" t="e">
        <v>#NUM!</v>
      </c>
      <c r="Z28" s="113" t="e">
        <f>_xll.qlSimpleQuoteSetValue(F28,Y28,Trigger)</f>
        <v>#NUM!</v>
      </c>
      <c r="AA28" s="19"/>
      <c r="AB28" s="12"/>
      <c r="AC28" s="65"/>
      <c r="AD28" s="64">
        <v>23</v>
      </c>
      <c r="AE28" s="62" t="b">
        <v>1</v>
      </c>
      <c r="AF28" s="62" t="str">
        <v>H8</v>
      </c>
      <c r="AG28" s="102" t="str">
        <f t="shared" si="1"/>
        <v>CNYFUT3MH8ConvAdj_Quote</v>
      </c>
      <c r="AH28" s="101" t="e">
        <f>_xll.qlFuturesConvAdjustmentQuote(AG28,IborIndex,AF28,F28,Volatility,MeanReversion,Permanent,AND(ISERROR(Z28),ISERROR(FuturesHWConvAdj!Q27:Q28)),ObjectOverwrite)</f>
        <v>#VALUE!</v>
      </c>
      <c r="AI28" s="24" t="str">
        <f ca="1">_xll.ohRangeRetrieveError(AH28)</f>
        <v/>
      </c>
      <c r="AJ28" s="19"/>
    </row>
    <row r="29" spans="1:36" x14ac:dyDescent="0.2">
      <c r="A29" s="65"/>
      <c r="B29" s="64">
        <v>24</v>
      </c>
      <c r="C29" s="63" t="b">
        <v>1</v>
      </c>
      <c r="D29" s="62" t="str">
        <v>M8</v>
      </c>
      <c r="E29" s="61" t="str">
        <f t="shared" si="0"/>
        <v>CNYFUT3MM8_Quote</v>
      </c>
      <c r="F29" s="60" t="str">
        <f>_xll.qlSimpleQuote(E29,,PriceTickValue,Permanent,Trigger,ObjectOverwrite)</f>
        <v>CNYFUT3MM8_Quote#0003</v>
      </c>
      <c r="G29" s="39" t="str">
        <f>_xll.ohRangeRetrieveError(F29)</f>
        <v/>
      </c>
      <c r="H29" s="59"/>
      <c r="J29" s="161"/>
      <c r="K29" s="167">
        <v>24</v>
      </c>
      <c r="L29" s="166" t="b">
        <v>1</v>
      </c>
      <c r="M29" s="109" t="str">
        <v>M8</v>
      </c>
      <c r="N29" s="165">
        <v>43271</v>
      </c>
      <c r="O29" s="109"/>
      <c r="P29" s="164"/>
      <c r="Q29" s="109"/>
      <c r="R29" s="109"/>
      <c r="S29" s="109"/>
      <c r="T29" s="109"/>
      <c r="U29" s="113" t="e">
        <f>_xll.qlMidSafe($Q29,$R29)</f>
        <v>#NUM!</v>
      </c>
      <c r="V29" s="111"/>
      <c r="W29" s="163" t="e">
        <v>#NUM!</v>
      </c>
      <c r="X29" s="111"/>
      <c r="Y29" s="162" t="e">
        <v>#NUM!</v>
      </c>
      <c r="Z29" s="113" t="e">
        <f>_xll.qlSimpleQuoteSetValue(F29,Y29,Trigger)</f>
        <v>#NUM!</v>
      </c>
      <c r="AA29" s="19"/>
      <c r="AB29" s="12"/>
      <c r="AC29" s="65"/>
      <c r="AD29" s="64">
        <v>24</v>
      </c>
      <c r="AE29" s="62" t="b">
        <v>1</v>
      </c>
      <c r="AF29" s="62" t="str">
        <v>M8</v>
      </c>
      <c r="AG29" s="102" t="str">
        <f t="shared" si="1"/>
        <v>CNYFUT3MM8ConvAdj_Quote</v>
      </c>
      <c r="AH29" s="101" t="e">
        <f>_xll.qlFuturesConvAdjustmentQuote(AG29,IborIndex,AF29,F29,Volatility,MeanReversion,Permanent,AND(ISERROR(Z29),ISERROR(FuturesHWConvAdj!Q28:Q29)),ObjectOverwrite)</f>
        <v>#VALUE!</v>
      </c>
      <c r="AI29" s="24" t="str">
        <f ca="1">_xll.ohRangeRetrieveError(AH29)</f>
        <v/>
      </c>
      <c r="AJ29" s="19"/>
    </row>
    <row r="30" spans="1:36" x14ac:dyDescent="0.2">
      <c r="A30" s="65"/>
      <c r="B30" s="64">
        <v>25</v>
      </c>
      <c r="C30" s="63" t="b">
        <v>1</v>
      </c>
      <c r="D30" s="62" t="str">
        <v>U8</v>
      </c>
      <c r="E30" s="61" t="str">
        <f t="shared" si="0"/>
        <v>CNYFUT3MU8_Quote</v>
      </c>
      <c r="F30" s="60" t="str">
        <f>_xll.qlSimpleQuote(E30,,PriceTickValue,Permanent,Trigger,ObjectOverwrite)</f>
        <v>CNYFUT3MU8_Quote#0003</v>
      </c>
      <c r="G30" s="39" t="str">
        <f>_xll.ohRangeRetrieveError(F30)</f>
        <v/>
      </c>
      <c r="H30" s="59"/>
      <c r="J30" s="161"/>
      <c r="K30" s="167">
        <v>25</v>
      </c>
      <c r="L30" s="166" t="b">
        <v>1</v>
      </c>
      <c r="M30" s="109" t="str">
        <v>U8</v>
      </c>
      <c r="N30" s="165">
        <v>43362</v>
      </c>
      <c r="O30" s="109"/>
      <c r="P30" s="164"/>
      <c r="Q30" s="109"/>
      <c r="R30" s="109"/>
      <c r="S30" s="109"/>
      <c r="T30" s="109"/>
      <c r="U30" s="113" t="e">
        <f>_xll.qlMidSafe($Q30,$R30)</f>
        <v>#NUM!</v>
      </c>
      <c r="V30" s="111"/>
      <c r="W30" s="163" t="e">
        <v>#NUM!</v>
      </c>
      <c r="X30" s="111"/>
      <c r="Y30" s="162" t="e">
        <v>#NUM!</v>
      </c>
      <c r="Z30" s="113" t="e">
        <f>_xll.qlSimpleQuoteSetValue(F30,Y30,Trigger)</f>
        <v>#NUM!</v>
      </c>
      <c r="AA30" s="19"/>
      <c r="AB30" s="12"/>
      <c r="AC30" s="65"/>
      <c r="AD30" s="64">
        <v>25</v>
      </c>
      <c r="AE30" s="62" t="b">
        <v>1</v>
      </c>
      <c r="AF30" s="62" t="str">
        <v>U8</v>
      </c>
      <c r="AG30" s="102" t="str">
        <f t="shared" si="1"/>
        <v>CNYFUT3MU8ConvAdj_Quote</v>
      </c>
      <c r="AH30" s="101" t="e">
        <f>_xll.qlFuturesConvAdjustmentQuote(AG30,IborIndex,AF30,F30,Volatility,MeanReversion,Permanent,AND(ISERROR(Z30),ISERROR(FuturesHWConvAdj!Q29:Q30)),ObjectOverwrite)</f>
        <v>#VALUE!</v>
      </c>
      <c r="AI30" s="24" t="str">
        <f ca="1">_xll.ohRangeRetrieveError(AH30)</f>
        <v/>
      </c>
      <c r="AJ30" s="19"/>
    </row>
    <row r="31" spans="1:36" x14ac:dyDescent="0.2">
      <c r="A31" s="65"/>
      <c r="B31" s="64">
        <v>26</v>
      </c>
      <c r="C31" s="63" t="b">
        <v>1</v>
      </c>
      <c r="D31" s="62" t="str">
        <v>Z8</v>
      </c>
      <c r="E31" s="61" t="str">
        <f t="shared" si="0"/>
        <v>CNYFUT3MZ8_Quote</v>
      </c>
      <c r="F31" s="60" t="str">
        <f>_xll.qlSimpleQuote(E31,,PriceTickValue,Permanent,Trigger,ObjectOverwrite)</f>
        <v>CNYFUT3MZ8_Quote#0003</v>
      </c>
      <c r="G31" s="39" t="str">
        <f>_xll.ohRangeRetrieveError(F31)</f>
        <v/>
      </c>
      <c r="H31" s="59"/>
      <c r="J31" s="161"/>
      <c r="K31" s="167">
        <v>26</v>
      </c>
      <c r="L31" s="166" t="b">
        <v>1</v>
      </c>
      <c r="M31" s="109" t="str">
        <v>Z8</v>
      </c>
      <c r="N31" s="165">
        <v>43453</v>
      </c>
      <c r="O31" s="109"/>
      <c r="P31" s="164"/>
      <c r="Q31" s="109"/>
      <c r="R31" s="109"/>
      <c r="S31" s="109"/>
      <c r="T31" s="109"/>
      <c r="U31" s="113" t="e">
        <f>_xll.qlMidSafe($Q31,$R31)</f>
        <v>#NUM!</v>
      </c>
      <c r="V31" s="111"/>
      <c r="W31" s="163" t="e">
        <v>#NUM!</v>
      </c>
      <c r="X31" s="111"/>
      <c r="Y31" s="162" t="e">
        <v>#NUM!</v>
      </c>
      <c r="Z31" s="113" t="e">
        <f>_xll.qlSimpleQuoteSetValue(F31,Y31,Trigger)</f>
        <v>#NUM!</v>
      </c>
      <c r="AA31" s="19"/>
      <c r="AB31" s="12"/>
      <c r="AC31" s="65"/>
      <c r="AD31" s="64">
        <v>26</v>
      </c>
      <c r="AE31" s="62" t="b">
        <v>1</v>
      </c>
      <c r="AF31" s="62" t="str">
        <v>Z8</v>
      </c>
      <c r="AG31" s="102" t="str">
        <f t="shared" si="1"/>
        <v>CNYFUT3MZ8ConvAdj_Quote</v>
      </c>
      <c r="AH31" s="101" t="e">
        <f>_xll.qlFuturesConvAdjustmentQuote(AG31,IborIndex,AF31,F31,Volatility,MeanReversion,Permanent,AND(ISERROR(Z31),ISERROR(FuturesHWConvAdj!Q30:Q31)),ObjectOverwrite)</f>
        <v>#VALUE!</v>
      </c>
      <c r="AI31" s="24" t="str">
        <f ca="1">_xll.ohRangeRetrieveError(AH31)</f>
        <v/>
      </c>
      <c r="AJ31" s="19"/>
    </row>
    <row r="32" spans="1:36" x14ac:dyDescent="0.2">
      <c r="A32" s="65"/>
      <c r="B32" s="64">
        <v>27</v>
      </c>
      <c r="C32" s="63" t="b">
        <v>1</v>
      </c>
      <c r="D32" s="62" t="str">
        <v>H9</v>
      </c>
      <c r="E32" s="61" t="str">
        <f t="shared" si="0"/>
        <v>CNYFUT3MH9_Quote</v>
      </c>
      <c r="F32" s="60" t="str">
        <f>_xll.qlSimpleQuote(E32,,PriceTickValue,Permanent,Trigger,ObjectOverwrite)</f>
        <v>CNYFUT3MH9_Quote#0003</v>
      </c>
      <c r="G32" s="39" t="str">
        <f>_xll.ohRangeRetrieveError(F32)</f>
        <v/>
      </c>
      <c r="H32" s="59"/>
      <c r="J32" s="161"/>
      <c r="K32" s="167">
        <v>27</v>
      </c>
      <c r="L32" s="166" t="b">
        <v>1</v>
      </c>
      <c r="M32" s="109" t="str">
        <v>H9</v>
      </c>
      <c r="N32" s="165">
        <v>43544</v>
      </c>
      <c r="O32" s="109"/>
      <c r="P32" s="164"/>
      <c r="Q32" s="109"/>
      <c r="R32" s="109"/>
      <c r="S32" s="109"/>
      <c r="T32" s="109"/>
      <c r="U32" s="113" t="e">
        <f>_xll.qlMidSafe($Q32,$R32)</f>
        <v>#NUM!</v>
      </c>
      <c r="V32" s="111"/>
      <c r="W32" s="163" t="e">
        <v>#NUM!</v>
      </c>
      <c r="X32" s="111"/>
      <c r="Y32" s="162" t="e">
        <v>#NUM!</v>
      </c>
      <c r="Z32" s="113" t="e">
        <f>_xll.qlSimpleQuoteSetValue(F32,Y32,Trigger)</f>
        <v>#NUM!</v>
      </c>
      <c r="AA32" s="19"/>
      <c r="AB32" s="12"/>
      <c r="AC32" s="65"/>
      <c r="AD32" s="64">
        <v>27</v>
      </c>
      <c r="AE32" s="62" t="b">
        <v>1</v>
      </c>
      <c r="AF32" s="62" t="str">
        <v>H9</v>
      </c>
      <c r="AG32" s="102" t="str">
        <f t="shared" si="1"/>
        <v>CNYFUT3MH9ConvAdj_Quote</v>
      </c>
      <c r="AH32" s="101" t="e">
        <f>_xll.qlFuturesConvAdjustmentQuote(AG32,IborIndex,AF32,F32,Volatility,MeanReversion,Permanent,AND(ISERROR(Z32),ISERROR(FuturesHWConvAdj!Q31:Q32)),ObjectOverwrite)</f>
        <v>#VALUE!</v>
      </c>
      <c r="AI32" s="24" t="str">
        <f ca="1">_xll.ohRangeRetrieveError(AH32)</f>
        <v/>
      </c>
      <c r="AJ32" s="19"/>
    </row>
    <row r="33" spans="1:36" x14ac:dyDescent="0.2">
      <c r="A33" s="65"/>
      <c r="B33" s="64">
        <v>28</v>
      </c>
      <c r="C33" s="63" t="b">
        <v>1</v>
      </c>
      <c r="D33" s="62" t="str">
        <v>M9</v>
      </c>
      <c r="E33" s="61" t="str">
        <f t="shared" si="0"/>
        <v>CNYFUT3MM9_Quote</v>
      </c>
      <c r="F33" s="60" t="str">
        <f>_xll.qlSimpleQuote(E33,,PriceTickValue,Permanent,Trigger,ObjectOverwrite)</f>
        <v>CNYFUT3MM9_Quote#0003</v>
      </c>
      <c r="G33" s="39" t="str">
        <f>_xll.ohRangeRetrieveError(F33)</f>
        <v/>
      </c>
      <c r="H33" s="59"/>
      <c r="J33" s="161"/>
      <c r="K33" s="167">
        <v>28</v>
      </c>
      <c r="L33" s="166" t="b">
        <v>1</v>
      </c>
      <c r="M33" s="109" t="str">
        <v>M9</v>
      </c>
      <c r="N33" s="165">
        <v>43635</v>
      </c>
      <c r="O33" s="109"/>
      <c r="P33" s="164"/>
      <c r="Q33" s="109"/>
      <c r="R33" s="109"/>
      <c r="S33" s="109"/>
      <c r="T33" s="109"/>
      <c r="U33" s="113" t="e">
        <f>_xll.qlMidSafe($Q33,$R33)</f>
        <v>#NUM!</v>
      </c>
      <c r="V33" s="111"/>
      <c r="W33" s="163" t="e">
        <v>#NUM!</v>
      </c>
      <c r="X33" s="111"/>
      <c r="Y33" s="162" t="e">
        <v>#NUM!</v>
      </c>
      <c r="Z33" s="113" t="e">
        <f>_xll.qlSimpleQuoteSetValue(F33,Y33,Trigger)</f>
        <v>#NUM!</v>
      </c>
      <c r="AA33" s="19"/>
      <c r="AB33" s="12"/>
      <c r="AC33" s="65"/>
      <c r="AD33" s="64">
        <v>28</v>
      </c>
      <c r="AE33" s="62" t="b">
        <v>1</v>
      </c>
      <c r="AF33" s="62" t="str">
        <v>M9</v>
      </c>
      <c r="AG33" s="102" t="str">
        <f t="shared" si="1"/>
        <v>CNYFUT3MM9ConvAdj_Quote</v>
      </c>
      <c r="AH33" s="101" t="e">
        <f>_xll.qlFuturesConvAdjustmentQuote(AG33,IborIndex,AF33,F33,Volatility,MeanReversion,Permanent,AND(ISERROR(Z33),ISERROR(FuturesHWConvAdj!Q32:Q33)),ObjectOverwrite)</f>
        <v>#VALUE!</v>
      </c>
      <c r="AI33" s="24" t="str">
        <f ca="1">_xll.ohRangeRetrieveError(AH33)</f>
        <v/>
      </c>
      <c r="AJ33" s="19"/>
    </row>
    <row r="34" spans="1:36" x14ac:dyDescent="0.2">
      <c r="A34" s="65"/>
      <c r="B34" s="64">
        <v>29</v>
      </c>
      <c r="C34" s="63" t="b">
        <v>1</v>
      </c>
      <c r="D34" s="62" t="str">
        <v>U9</v>
      </c>
      <c r="E34" s="61" t="str">
        <f t="shared" si="0"/>
        <v>CNYFUT3MU9_Quote</v>
      </c>
      <c r="F34" s="60" t="str">
        <f>_xll.qlSimpleQuote(E34,,PriceTickValue,Permanent,Trigger,ObjectOverwrite)</f>
        <v>CNYFUT3MU9_Quote#0003</v>
      </c>
      <c r="G34" s="39" t="str">
        <f>_xll.ohRangeRetrieveError(F34)</f>
        <v/>
      </c>
      <c r="H34" s="59"/>
      <c r="J34" s="161"/>
      <c r="K34" s="167">
        <v>29</v>
      </c>
      <c r="L34" s="166" t="b">
        <v>1</v>
      </c>
      <c r="M34" s="109" t="str">
        <v>U9</v>
      </c>
      <c r="N34" s="165">
        <v>43726</v>
      </c>
      <c r="O34" s="109"/>
      <c r="P34" s="164"/>
      <c r="Q34" s="109"/>
      <c r="R34" s="109"/>
      <c r="S34" s="109"/>
      <c r="T34" s="109"/>
      <c r="U34" s="113" t="e">
        <f>_xll.qlMidSafe($Q34,$R34)</f>
        <v>#NUM!</v>
      </c>
      <c r="V34" s="111"/>
      <c r="W34" s="163" t="e">
        <v>#NUM!</v>
      </c>
      <c r="X34" s="111"/>
      <c r="Y34" s="162" t="e">
        <v>#NUM!</v>
      </c>
      <c r="Z34" s="113" t="e">
        <f>_xll.qlSimpleQuoteSetValue(F34,Y34,Trigger)</f>
        <v>#NUM!</v>
      </c>
      <c r="AA34" s="19"/>
      <c r="AB34" s="12"/>
      <c r="AC34" s="65"/>
      <c r="AD34" s="64">
        <v>29</v>
      </c>
      <c r="AE34" s="62" t="b">
        <v>1</v>
      </c>
      <c r="AF34" s="62" t="str">
        <v>U9</v>
      </c>
      <c r="AG34" s="102" t="str">
        <f t="shared" si="1"/>
        <v>CNYFUT3MU9ConvAdj_Quote</v>
      </c>
      <c r="AH34" s="101" t="e">
        <f>_xll.qlFuturesConvAdjustmentQuote(AG34,IborIndex,AF34,F34,Volatility,MeanReversion,Permanent,AND(ISERROR(Z34),ISERROR(FuturesHWConvAdj!Q33:Q34)),ObjectOverwrite)</f>
        <v>#VALUE!</v>
      </c>
      <c r="AI34" s="24" t="str">
        <f ca="1">_xll.ohRangeRetrieveError(AH34)</f>
        <v/>
      </c>
      <c r="AJ34" s="19"/>
    </row>
    <row r="35" spans="1:36" x14ac:dyDescent="0.2">
      <c r="A35" s="65"/>
      <c r="B35" s="64">
        <v>30</v>
      </c>
      <c r="C35" s="63" t="b">
        <v>1</v>
      </c>
      <c r="D35" s="62" t="str">
        <v>Z9</v>
      </c>
      <c r="E35" s="61" t="str">
        <f t="shared" si="0"/>
        <v>CNYFUT3MZ9_Quote</v>
      </c>
      <c r="F35" s="60" t="str">
        <f>_xll.qlSimpleQuote(E35,,PriceTickValue,Permanent,Trigger,ObjectOverwrite)</f>
        <v>CNYFUT3MZ9_Quote#0003</v>
      </c>
      <c r="G35" s="39" t="str">
        <f>_xll.ohRangeRetrieveError(F35)</f>
        <v/>
      </c>
      <c r="H35" s="59"/>
      <c r="J35" s="161"/>
      <c r="K35" s="167">
        <v>30</v>
      </c>
      <c r="L35" s="166" t="b">
        <v>1</v>
      </c>
      <c r="M35" s="109" t="str">
        <v>Z9</v>
      </c>
      <c r="N35" s="165">
        <v>43817</v>
      </c>
      <c r="O35" s="109"/>
      <c r="P35" s="164"/>
      <c r="Q35" s="109"/>
      <c r="R35" s="109"/>
      <c r="S35" s="109"/>
      <c r="T35" s="109"/>
      <c r="U35" s="113" t="e">
        <f>_xll.qlMidSafe($Q35,$R35)</f>
        <v>#NUM!</v>
      </c>
      <c r="V35" s="111"/>
      <c r="W35" s="163" t="e">
        <v>#NUM!</v>
      </c>
      <c r="X35" s="111"/>
      <c r="Y35" s="162" t="e">
        <v>#NUM!</v>
      </c>
      <c r="Z35" s="113" t="e">
        <f>_xll.qlSimpleQuoteSetValue(F35,Y35,Trigger)</f>
        <v>#NUM!</v>
      </c>
      <c r="AA35" s="19"/>
      <c r="AB35" s="12"/>
      <c r="AC35" s="65"/>
      <c r="AD35" s="64">
        <v>30</v>
      </c>
      <c r="AE35" s="62" t="b">
        <v>1</v>
      </c>
      <c r="AF35" s="62" t="str">
        <v>Z9</v>
      </c>
      <c r="AG35" s="102" t="str">
        <f t="shared" si="1"/>
        <v>CNYFUT3MZ9ConvAdj_Quote</v>
      </c>
      <c r="AH35" s="101" t="e">
        <f>_xll.qlFuturesConvAdjustmentQuote(AG35,IborIndex,AF35,F35,Volatility,MeanReversion,Permanent,AND(ISERROR(Z35),ISERROR(FuturesHWConvAdj!Q34:Q35)),ObjectOverwrite)</f>
        <v>#VALUE!</v>
      </c>
      <c r="AI35" s="24" t="str">
        <f ca="1">_xll.ohRangeRetrieveError(AH35)</f>
        <v/>
      </c>
      <c r="AJ35" s="19"/>
    </row>
    <row r="36" spans="1:36" x14ac:dyDescent="0.2">
      <c r="A36" s="65"/>
      <c r="B36" s="64">
        <v>31</v>
      </c>
      <c r="C36" s="63" t="b">
        <v>1</v>
      </c>
      <c r="D36" s="62" t="str">
        <v>H0</v>
      </c>
      <c r="E36" s="61" t="str">
        <f t="shared" si="0"/>
        <v>CNYFUT3MH0_Quote</v>
      </c>
      <c r="F36" s="60" t="str">
        <f>_xll.qlSimpleQuote(E36,,PriceTickValue,Permanent,Trigger,ObjectOverwrite)</f>
        <v>CNYFUT3MH0_Quote#0003</v>
      </c>
      <c r="G36" s="39" t="str">
        <f>_xll.ohRangeRetrieveError(F36)</f>
        <v/>
      </c>
      <c r="H36" s="59"/>
      <c r="J36" s="161"/>
      <c r="K36" s="167">
        <v>31</v>
      </c>
      <c r="L36" s="166" t="b">
        <v>1</v>
      </c>
      <c r="M36" s="109" t="str">
        <v>H0</v>
      </c>
      <c r="N36" s="165">
        <v>43908</v>
      </c>
      <c r="O36" s="109"/>
      <c r="P36" s="164"/>
      <c r="Q36" s="109"/>
      <c r="R36" s="109"/>
      <c r="S36" s="109"/>
      <c r="T36" s="109"/>
      <c r="U36" s="113" t="e">
        <f>_xll.qlMidSafe($Q36,$R36)</f>
        <v>#NUM!</v>
      </c>
      <c r="V36" s="111"/>
      <c r="W36" s="163" t="e">
        <v>#NUM!</v>
      </c>
      <c r="X36" s="111"/>
      <c r="Y36" s="162" t="e">
        <v>#NUM!</v>
      </c>
      <c r="Z36" s="113" t="e">
        <f>_xll.qlSimpleQuoteSetValue(F36,Y36,Trigger)</f>
        <v>#NUM!</v>
      </c>
      <c r="AA36" s="19"/>
      <c r="AB36" s="12"/>
      <c r="AC36" s="65"/>
      <c r="AD36" s="64">
        <v>31</v>
      </c>
      <c r="AE36" s="62" t="b">
        <v>1</v>
      </c>
      <c r="AF36" s="62" t="str">
        <v>H0</v>
      </c>
      <c r="AG36" s="102" t="str">
        <f t="shared" si="1"/>
        <v>CNYFUT3MH0ConvAdj_Quote</v>
      </c>
      <c r="AH36" s="101" t="e">
        <f>_xll.qlFuturesConvAdjustmentQuote(AG36,IborIndex,AF36,F36,Volatility,MeanReversion,Permanent,AND(ISERROR(Z36),ISERROR(FuturesHWConvAdj!Q35:Q36)),ObjectOverwrite)</f>
        <v>#VALUE!</v>
      </c>
      <c r="AI36" s="24" t="str">
        <f ca="1">_xll.ohRangeRetrieveError(AH36)</f>
        <v/>
      </c>
      <c r="AJ36" s="19"/>
    </row>
    <row r="37" spans="1:36" x14ac:dyDescent="0.2">
      <c r="A37" s="65"/>
      <c r="B37" s="64">
        <v>32</v>
      </c>
      <c r="C37" s="63" t="b">
        <v>1</v>
      </c>
      <c r="D37" s="62" t="str">
        <v>M0</v>
      </c>
      <c r="E37" s="61" t="str">
        <f t="shared" si="0"/>
        <v>CNYFUT3MM0_Quote</v>
      </c>
      <c r="F37" s="60" t="str">
        <f>_xll.qlSimpleQuote(E37,,PriceTickValue,Permanent,Trigger,ObjectOverwrite)</f>
        <v>CNYFUT3MM0_Quote#0003</v>
      </c>
      <c r="G37" s="39" t="str">
        <f>_xll.ohRangeRetrieveError(F37)</f>
        <v/>
      </c>
      <c r="H37" s="59"/>
      <c r="J37" s="161"/>
      <c r="K37" s="167">
        <v>32</v>
      </c>
      <c r="L37" s="166" t="b">
        <v>1</v>
      </c>
      <c r="M37" s="109" t="str">
        <v>M0</v>
      </c>
      <c r="N37" s="165">
        <v>43999</v>
      </c>
      <c r="O37" s="109"/>
      <c r="P37" s="164"/>
      <c r="Q37" s="109"/>
      <c r="R37" s="109"/>
      <c r="S37" s="109"/>
      <c r="T37" s="109"/>
      <c r="U37" s="113" t="e">
        <f>_xll.qlMidSafe($Q37,$R37)</f>
        <v>#NUM!</v>
      </c>
      <c r="V37" s="111"/>
      <c r="W37" s="163" t="e">
        <v>#NUM!</v>
      </c>
      <c r="X37" s="111"/>
      <c r="Y37" s="162" t="e">
        <v>#NUM!</v>
      </c>
      <c r="Z37" s="113" t="e">
        <f>_xll.qlSimpleQuoteSetValue(F37,Y37,Trigger)</f>
        <v>#NUM!</v>
      </c>
      <c r="AA37" s="19"/>
      <c r="AB37" s="12"/>
      <c r="AC37" s="65"/>
      <c r="AD37" s="64">
        <v>32</v>
      </c>
      <c r="AE37" s="62" t="b">
        <v>1</v>
      </c>
      <c r="AF37" s="62" t="str">
        <v>M0</v>
      </c>
      <c r="AG37" s="102" t="str">
        <f t="shared" si="1"/>
        <v>CNYFUT3MM0ConvAdj_Quote</v>
      </c>
      <c r="AH37" s="101" t="e">
        <f>_xll.qlFuturesConvAdjustmentQuote(AG37,IborIndex,AF37,F37,Volatility,MeanReversion,Permanent,AND(ISERROR(Z37),ISERROR(FuturesHWConvAdj!Q36:Q37)),ObjectOverwrite)</f>
        <v>#VALUE!</v>
      </c>
      <c r="AI37" s="24" t="str">
        <f ca="1">_xll.ohRangeRetrieveError(AH37)</f>
        <v/>
      </c>
      <c r="AJ37" s="19"/>
    </row>
    <row r="38" spans="1:36" x14ac:dyDescent="0.2">
      <c r="A38" s="65"/>
      <c r="B38" s="64">
        <v>33</v>
      </c>
      <c r="C38" s="63" t="b">
        <v>1</v>
      </c>
      <c r="D38" s="62" t="str">
        <v>U0</v>
      </c>
      <c r="E38" s="61" t="str">
        <f t="shared" si="0"/>
        <v>CNYFUT3MU0_Quote</v>
      </c>
      <c r="F38" s="60" t="str">
        <f>_xll.qlSimpleQuote(E38,,PriceTickValue,Permanent,Trigger,ObjectOverwrite)</f>
        <v>CNYFUT3MU0_Quote#0003</v>
      </c>
      <c r="G38" s="39" t="str">
        <f>_xll.ohRangeRetrieveError(F38)</f>
        <v/>
      </c>
      <c r="H38" s="59"/>
      <c r="J38" s="161"/>
      <c r="K38" s="167">
        <v>33</v>
      </c>
      <c r="L38" s="166" t="b">
        <v>1</v>
      </c>
      <c r="M38" s="109" t="str">
        <v>U0</v>
      </c>
      <c r="N38" s="165">
        <v>44090</v>
      </c>
      <c r="O38" s="109"/>
      <c r="P38" s="164"/>
      <c r="Q38" s="109"/>
      <c r="R38" s="109"/>
      <c r="S38" s="109"/>
      <c r="T38" s="109"/>
      <c r="U38" s="113" t="e">
        <f>_xll.qlMidSafe($Q38,$R38)</f>
        <v>#NUM!</v>
      </c>
      <c r="V38" s="111"/>
      <c r="W38" s="163" t="e">
        <v>#NUM!</v>
      </c>
      <c r="X38" s="111"/>
      <c r="Y38" s="162" t="e">
        <v>#NUM!</v>
      </c>
      <c r="Z38" s="113" t="e">
        <f>_xll.qlSimpleQuoteSetValue(F38,Y38,Trigger)</f>
        <v>#NUM!</v>
      </c>
      <c r="AA38" s="19"/>
      <c r="AB38" s="12"/>
      <c r="AC38" s="65"/>
      <c r="AD38" s="64">
        <v>33</v>
      </c>
      <c r="AE38" s="62" t="b">
        <v>1</v>
      </c>
      <c r="AF38" s="62" t="str">
        <v>U0</v>
      </c>
      <c r="AG38" s="102" t="str">
        <f t="shared" si="1"/>
        <v>CNYFUT3MU0ConvAdj_Quote</v>
      </c>
      <c r="AH38" s="101" t="e">
        <f>_xll.qlFuturesConvAdjustmentQuote(AG38,IborIndex,AF38,F38,Volatility,MeanReversion,Permanent,AND(ISERROR(Z38),ISERROR(FuturesHWConvAdj!Q37:Q38)),ObjectOverwrite)</f>
        <v>#VALUE!</v>
      </c>
      <c r="AI38" s="24" t="str">
        <f ca="1">_xll.ohRangeRetrieveError(AH38)</f>
        <v/>
      </c>
      <c r="AJ38" s="19"/>
    </row>
    <row r="39" spans="1:36" x14ac:dyDescent="0.2">
      <c r="A39" s="65"/>
      <c r="B39" s="64">
        <v>34</v>
      </c>
      <c r="C39" s="63" t="b">
        <v>1</v>
      </c>
      <c r="D39" s="62" t="str">
        <v>Z0</v>
      </c>
      <c r="E39" s="61" t="str">
        <f t="shared" si="0"/>
        <v>CNYFUT3MZ0_Quote</v>
      </c>
      <c r="F39" s="60" t="str">
        <f>_xll.qlSimpleQuote(E39,,PriceTickValue,Permanent,Trigger,ObjectOverwrite)</f>
        <v>CNYFUT3MZ0_Quote#0003</v>
      </c>
      <c r="G39" s="39" t="str">
        <f>_xll.ohRangeRetrieveError(F39)</f>
        <v/>
      </c>
      <c r="H39" s="59"/>
      <c r="J39" s="161"/>
      <c r="K39" s="167">
        <v>34</v>
      </c>
      <c r="L39" s="166" t="b">
        <v>1</v>
      </c>
      <c r="M39" s="109" t="str">
        <v>Z0</v>
      </c>
      <c r="N39" s="165">
        <v>44181</v>
      </c>
      <c r="O39" s="109"/>
      <c r="P39" s="164"/>
      <c r="Q39" s="109"/>
      <c r="R39" s="109"/>
      <c r="S39" s="109"/>
      <c r="T39" s="109"/>
      <c r="U39" s="113" t="e">
        <f>_xll.qlMidSafe($Q39,$R39)</f>
        <v>#NUM!</v>
      </c>
      <c r="V39" s="111"/>
      <c r="W39" s="163" t="e">
        <v>#NUM!</v>
      </c>
      <c r="X39" s="111"/>
      <c r="Y39" s="162" t="e">
        <v>#NUM!</v>
      </c>
      <c r="Z39" s="113" t="e">
        <f>_xll.qlSimpleQuoteSetValue(F39,Y39,Trigger)</f>
        <v>#NUM!</v>
      </c>
      <c r="AA39" s="19"/>
      <c r="AB39" s="12"/>
      <c r="AC39" s="65"/>
      <c r="AD39" s="64">
        <v>34</v>
      </c>
      <c r="AE39" s="62" t="b">
        <v>1</v>
      </c>
      <c r="AF39" s="62" t="str">
        <v>Z0</v>
      </c>
      <c r="AG39" s="102" t="str">
        <f t="shared" si="1"/>
        <v>CNYFUT3MZ0ConvAdj_Quote</v>
      </c>
      <c r="AH39" s="101" t="e">
        <f>_xll.qlFuturesConvAdjustmentQuote(AG39,IborIndex,AF39,F39,Volatility,MeanReversion,Permanent,AND(ISERROR(Z39),ISERROR(FuturesHWConvAdj!Q38:Q39)),ObjectOverwrite)</f>
        <v>#VALUE!</v>
      </c>
      <c r="AI39" s="24" t="str">
        <f ca="1">_xll.ohRangeRetrieveError(AH39)</f>
        <v/>
      </c>
      <c r="AJ39" s="19"/>
    </row>
    <row r="40" spans="1:36" x14ac:dyDescent="0.2">
      <c r="A40" s="65"/>
      <c r="B40" s="64">
        <v>35</v>
      </c>
      <c r="C40" s="63" t="b">
        <v>1</v>
      </c>
      <c r="D40" s="62" t="str">
        <v>H1</v>
      </c>
      <c r="E40" s="61" t="str">
        <f t="shared" si="0"/>
        <v>CNYFUT3MH1_Quote</v>
      </c>
      <c r="F40" s="60" t="str">
        <f>_xll.qlSimpleQuote(E40,,PriceTickValue,Permanent,Trigger,ObjectOverwrite)</f>
        <v>CNYFUT3MH1_Quote#0003</v>
      </c>
      <c r="G40" s="39" t="str">
        <f>_xll.ohRangeRetrieveError(F40)</f>
        <v/>
      </c>
      <c r="H40" s="59"/>
      <c r="J40" s="161"/>
      <c r="K40" s="167">
        <v>35</v>
      </c>
      <c r="L40" s="166" t="b">
        <v>1</v>
      </c>
      <c r="M40" s="109" t="str">
        <v>H1</v>
      </c>
      <c r="N40" s="165">
        <v>44272</v>
      </c>
      <c r="O40" s="109"/>
      <c r="P40" s="164"/>
      <c r="Q40" s="109"/>
      <c r="R40" s="109"/>
      <c r="S40" s="109"/>
      <c r="T40" s="109"/>
      <c r="U40" s="113" t="e">
        <f>_xll.qlMidSafe($Q40,$R40)</f>
        <v>#NUM!</v>
      </c>
      <c r="V40" s="111"/>
      <c r="W40" s="163" t="e">
        <v>#NUM!</v>
      </c>
      <c r="X40" s="111"/>
      <c r="Y40" s="162" t="e">
        <v>#NUM!</v>
      </c>
      <c r="Z40" s="113" t="e">
        <f>_xll.qlSimpleQuoteSetValue(F40,Y40,Trigger)</f>
        <v>#NUM!</v>
      </c>
      <c r="AA40" s="19"/>
      <c r="AB40" s="12"/>
      <c r="AC40" s="65"/>
      <c r="AD40" s="64">
        <v>35</v>
      </c>
      <c r="AE40" s="62" t="b">
        <v>1</v>
      </c>
      <c r="AF40" s="62" t="str">
        <v>H1</v>
      </c>
      <c r="AG40" s="102" t="str">
        <f t="shared" si="1"/>
        <v>CNYFUT3MH1ConvAdj_Quote</v>
      </c>
      <c r="AH40" s="101" t="e">
        <f>_xll.qlFuturesConvAdjustmentQuote(AG40,IborIndex,AF40,F40,Volatility,MeanReversion,Permanent,AND(ISERROR(Z40),ISERROR(FuturesHWConvAdj!Q39:Q40)),ObjectOverwrite)</f>
        <v>#VALUE!</v>
      </c>
      <c r="AI40" s="24" t="str">
        <f ca="1">_xll.ohRangeRetrieveError(AH40)</f>
        <v/>
      </c>
      <c r="AJ40" s="19"/>
    </row>
    <row r="41" spans="1:36" x14ac:dyDescent="0.2">
      <c r="A41" s="65"/>
      <c r="B41" s="64">
        <v>36</v>
      </c>
      <c r="C41" s="63" t="b">
        <v>1</v>
      </c>
      <c r="D41" s="62" t="str">
        <v>M1</v>
      </c>
      <c r="E41" s="61" t="str">
        <f t="shared" si="0"/>
        <v>CNYFUT3MM1_Quote</v>
      </c>
      <c r="F41" s="60" t="str">
        <f>_xll.qlSimpleQuote(E41,,PriceTickValue,Permanent,Trigger,ObjectOverwrite)</f>
        <v>CNYFUT3MM1_Quote#0003</v>
      </c>
      <c r="G41" s="39" t="str">
        <f>_xll.ohRangeRetrieveError(F41)</f>
        <v/>
      </c>
      <c r="H41" s="59"/>
      <c r="J41" s="161"/>
      <c r="K41" s="167">
        <v>36</v>
      </c>
      <c r="L41" s="166" t="b">
        <v>1</v>
      </c>
      <c r="M41" s="109" t="str">
        <v>M1</v>
      </c>
      <c r="N41" s="165">
        <v>44363</v>
      </c>
      <c r="O41" s="109"/>
      <c r="P41" s="164"/>
      <c r="Q41" s="109"/>
      <c r="R41" s="109"/>
      <c r="S41" s="109"/>
      <c r="T41" s="109"/>
      <c r="U41" s="113" t="e">
        <f>_xll.qlMidSafe($Q41,$R41)</f>
        <v>#NUM!</v>
      </c>
      <c r="V41" s="111"/>
      <c r="W41" s="163" t="e">
        <v>#NUM!</v>
      </c>
      <c r="X41" s="111"/>
      <c r="Y41" s="162" t="e">
        <v>#NUM!</v>
      </c>
      <c r="Z41" s="113" t="e">
        <f>_xll.qlSimpleQuoteSetValue(F41,Y41,Trigger)</f>
        <v>#NUM!</v>
      </c>
      <c r="AA41" s="19"/>
      <c r="AB41" s="12"/>
      <c r="AC41" s="65"/>
      <c r="AD41" s="64">
        <v>36</v>
      </c>
      <c r="AE41" s="62" t="b">
        <v>1</v>
      </c>
      <c r="AF41" s="62" t="str">
        <v>M1</v>
      </c>
      <c r="AG41" s="102" t="str">
        <f t="shared" si="1"/>
        <v>CNYFUT3MM1ConvAdj_Quote</v>
      </c>
      <c r="AH41" s="101" t="e">
        <f>_xll.qlFuturesConvAdjustmentQuote(AG41,IborIndex,AF41,F41,Volatility,MeanReversion,Permanent,AND(ISERROR(Z41),ISERROR(FuturesHWConvAdj!Q40:Q41)),ObjectOverwrite)</f>
        <v>#VALUE!</v>
      </c>
      <c r="AI41" s="24" t="str">
        <f ca="1">_xll.ohRangeRetrieveError(AH41)</f>
        <v/>
      </c>
      <c r="AJ41" s="19"/>
    </row>
    <row r="42" spans="1:36" x14ac:dyDescent="0.2">
      <c r="A42" s="65"/>
      <c r="B42" s="64">
        <v>37</v>
      </c>
      <c r="C42" s="63" t="b">
        <v>1</v>
      </c>
      <c r="D42" s="62" t="str">
        <v>U1</v>
      </c>
      <c r="E42" s="61" t="str">
        <f t="shared" si="0"/>
        <v>CNYFUT3MU1_Quote</v>
      </c>
      <c r="F42" s="60" t="str">
        <f>_xll.qlSimpleQuote(E42,,PriceTickValue,Permanent,Trigger,ObjectOverwrite)</f>
        <v>CNYFUT3MU1_Quote#0003</v>
      </c>
      <c r="G42" s="39" t="str">
        <f>_xll.ohRangeRetrieveError(F42)</f>
        <v/>
      </c>
      <c r="H42" s="59"/>
      <c r="J42" s="161"/>
      <c r="K42" s="167">
        <v>37</v>
      </c>
      <c r="L42" s="166" t="b">
        <v>1</v>
      </c>
      <c r="M42" s="109" t="str">
        <v>U1</v>
      </c>
      <c r="N42" s="165">
        <v>44454</v>
      </c>
      <c r="O42" s="109"/>
      <c r="P42" s="164"/>
      <c r="Q42" s="109"/>
      <c r="R42" s="109"/>
      <c r="S42" s="109"/>
      <c r="T42" s="109"/>
      <c r="U42" s="113" t="e">
        <f>_xll.qlMidSafe($Q42,$R42)</f>
        <v>#NUM!</v>
      </c>
      <c r="V42" s="111"/>
      <c r="W42" s="163" t="e">
        <v>#NUM!</v>
      </c>
      <c r="X42" s="111"/>
      <c r="Y42" s="162" t="e">
        <v>#NUM!</v>
      </c>
      <c r="Z42" s="113" t="e">
        <f>_xll.qlSimpleQuoteSetValue(F42,Y42,Trigger)</f>
        <v>#NUM!</v>
      </c>
      <c r="AA42" s="19"/>
      <c r="AB42" s="12"/>
      <c r="AC42" s="65"/>
      <c r="AD42" s="64">
        <v>37</v>
      </c>
      <c r="AE42" s="62" t="b">
        <v>1</v>
      </c>
      <c r="AF42" s="62" t="str">
        <v>U1</v>
      </c>
      <c r="AG42" s="102" t="str">
        <f t="shared" si="1"/>
        <v>CNYFUT3MU1ConvAdj_Quote</v>
      </c>
      <c r="AH42" s="101" t="e">
        <f>_xll.qlFuturesConvAdjustmentQuote(AG42,IborIndex,AF42,F42,Volatility,MeanReversion,Permanent,AND(ISERROR(Z42),ISERROR(FuturesHWConvAdj!Q41:Q42)),ObjectOverwrite)</f>
        <v>#VALUE!</v>
      </c>
      <c r="AI42" s="24" t="str">
        <f ca="1">_xll.ohRangeRetrieveError(AH42)</f>
        <v/>
      </c>
      <c r="AJ42" s="19"/>
    </row>
    <row r="43" spans="1:36" x14ac:dyDescent="0.2">
      <c r="A43" s="65"/>
      <c r="B43" s="64">
        <v>38</v>
      </c>
      <c r="C43" s="63" t="b">
        <v>1</v>
      </c>
      <c r="D43" s="62" t="str">
        <v>Z1</v>
      </c>
      <c r="E43" s="61" t="str">
        <f t="shared" si="0"/>
        <v>CNYFUT3MZ1_Quote</v>
      </c>
      <c r="F43" s="60" t="str">
        <f>_xll.qlSimpleQuote(E43,,PriceTickValue,Permanent,Trigger,ObjectOverwrite)</f>
        <v>CNYFUT3MZ1_Quote#0003</v>
      </c>
      <c r="G43" s="39" t="str">
        <f>_xll.ohRangeRetrieveError(F43)</f>
        <v/>
      </c>
      <c r="H43" s="59"/>
      <c r="J43" s="161"/>
      <c r="K43" s="167">
        <v>38</v>
      </c>
      <c r="L43" s="166" t="b">
        <v>1</v>
      </c>
      <c r="M43" s="109" t="str">
        <v>Z1</v>
      </c>
      <c r="N43" s="165">
        <v>44545</v>
      </c>
      <c r="O43" s="109"/>
      <c r="P43" s="164"/>
      <c r="Q43" s="109"/>
      <c r="R43" s="109"/>
      <c r="S43" s="109"/>
      <c r="T43" s="109"/>
      <c r="U43" s="113" t="e">
        <f>_xll.qlMidSafe($Q43,$R43)</f>
        <v>#NUM!</v>
      </c>
      <c r="V43" s="111"/>
      <c r="W43" s="163" t="e">
        <v>#NUM!</v>
      </c>
      <c r="X43" s="111"/>
      <c r="Y43" s="162" t="e">
        <v>#NUM!</v>
      </c>
      <c r="Z43" s="113" t="e">
        <f>_xll.qlSimpleQuoteSetValue(F43,Y43,Trigger)</f>
        <v>#NUM!</v>
      </c>
      <c r="AA43" s="19"/>
      <c r="AB43" s="12"/>
      <c r="AC43" s="65"/>
      <c r="AD43" s="64">
        <v>38</v>
      </c>
      <c r="AE43" s="62" t="b">
        <v>1</v>
      </c>
      <c r="AF43" s="62" t="str">
        <v>Z1</v>
      </c>
      <c r="AG43" s="102" t="str">
        <f t="shared" si="1"/>
        <v>CNYFUT3MZ1ConvAdj_Quote</v>
      </c>
      <c r="AH43" s="101" t="e">
        <f>_xll.qlFuturesConvAdjustmentQuote(AG43,IborIndex,AF43,F43,Volatility,MeanReversion,Permanent,AND(ISERROR(Z43),ISERROR(FuturesHWConvAdj!Q42:Q43)),ObjectOverwrite)</f>
        <v>#VALUE!</v>
      </c>
      <c r="AI43" s="24" t="str">
        <f ca="1">_xll.ohRangeRetrieveError(AH43)</f>
        <v/>
      </c>
      <c r="AJ43" s="19"/>
    </row>
    <row r="44" spans="1:36" x14ac:dyDescent="0.2">
      <c r="A44" s="65"/>
      <c r="B44" s="64">
        <v>39</v>
      </c>
      <c r="C44" s="63" t="b">
        <v>1</v>
      </c>
      <c r="D44" s="62" t="str">
        <v>H2</v>
      </c>
      <c r="E44" s="61" t="str">
        <f t="shared" si="0"/>
        <v>CNYFUT3MH2_Quote</v>
      </c>
      <c r="F44" s="60" t="str">
        <f>_xll.qlSimpleQuote(E44,,PriceTickValue,Permanent,Trigger,ObjectOverwrite)</f>
        <v>CNYFUT3MH2_Quote#0003</v>
      </c>
      <c r="G44" s="39" t="str">
        <f>_xll.ohRangeRetrieveError(F44)</f>
        <v/>
      </c>
      <c r="H44" s="59"/>
      <c r="J44" s="161"/>
      <c r="K44" s="167">
        <v>39</v>
      </c>
      <c r="L44" s="166" t="b">
        <v>1</v>
      </c>
      <c r="M44" s="109" t="str">
        <v>H2</v>
      </c>
      <c r="N44" s="165">
        <v>44636</v>
      </c>
      <c r="O44" s="109"/>
      <c r="P44" s="164"/>
      <c r="Q44" s="109"/>
      <c r="R44" s="109"/>
      <c r="S44" s="109"/>
      <c r="T44" s="109"/>
      <c r="U44" s="113" t="e">
        <f>_xll.qlMidSafe($Q44,$R44)</f>
        <v>#NUM!</v>
      </c>
      <c r="V44" s="111"/>
      <c r="W44" s="163" t="e">
        <v>#NUM!</v>
      </c>
      <c r="X44" s="111"/>
      <c r="Y44" s="162" t="e">
        <v>#NUM!</v>
      </c>
      <c r="Z44" s="113" t="e">
        <f>_xll.qlSimpleQuoteSetValue(F44,Y44,Trigger)</f>
        <v>#NUM!</v>
      </c>
      <c r="AA44" s="19"/>
      <c r="AB44" s="12"/>
      <c r="AC44" s="65"/>
      <c r="AD44" s="64">
        <v>39</v>
      </c>
      <c r="AE44" s="62" t="b">
        <v>1</v>
      </c>
      <c r="AF44" s="62" t="str">
        <v>H2</v>
      </c>
      <c r="AG44" s="102" t="str">
        <f t="shared" si="1"/>
        <v>CNYFUT3MH2ConvAdj_Quote</v>
      </c>
      <c r="AH44" s="101" t="e">
        <f>_xll.qlFuturesConvAdjustmentQuote(AG44,IborIndex,AF44,F44,Volatility,MeanReversion,Permanent,AND(ISERROR(Z44),ISERROR(FuturesHWConvAdj!Q43:Q44)),ObjectOverwrite)</f>
        <v>#VALUE!</v>
      </c>
      <c r="AI44" s="24" t="str">
        <f ca="1">_xll.ohRangeRetrieveError(AH44)</f>
        <v/>
      </c>
      <c r="AJ44" s="19"/>
    </row>
    <row r="45" spans="1:36" x14ac:dyDescent="0.2">
      <c r="A45" s="65"/>
      <c r="B45" s="64">
        <v>40</v>
      </c>
      <c r="C45" s="63" t="b">
        <v>1</v>
      </c>
      <c r="D45" s="62" t="str">
        <v>M2</v>
      </c>
      <c r="E45" s="61" t="str">
        <f t="shared" si="0"/>
        <v>CNYFUT3MM2_Quote</v>
      </c>
      <c r="F45" s="60" t="str">
        <f>_xll.qlSimpleQuote(E45,,PriceTickValue,Permanent,Trigger,ObjectOverwrite)</f>
        <v>CNYFUT3MM2_Quote#0003</v>
      </c>
      <c r="G45" s="39" t="str">
        <f>_xll.ohRangeRetrieveError(F45)</f>
        <v/>
      </c>
      <c r="H45" s="59"/>
      <c r="J45" s="161"/>
      <c r="K45" s="167">
        <v>40</v>
      </c>
      <c r="L45" s="166" t="b">
        <v>1</v>
      </c>
      <c r="M45" s="109" t="str">
        <v>M2</v>
      </c>
      <c r="N45" s="165">
        <v>44727</v>
      </c>
      <c r="O45" s="109"/>
      <c r="P45" s="164"/>
      <c r="Q45" s="109"/>
      <c r="R45" s="109"/>
      <c r="S45" s="109"/>
      <c r="T45" s="109"/>
      <c r="U45" s="113" t="e">
        <f>_xll.qlMidSafe($Q45,$R45)</f>
        <v>#NUM!</v>
      </c>
      <c r="V45" s="111"/>
      <c r="W45" s="163" t="e">
        <v>#NUM!</v>
      </c>
      <c r="X45" s="111"/>
      <c r="Y45" s="162" t="e">
        <v>#NUM!</v>
      </c>
      <c r="Z45" s="113" t="e">
        <f>_xll.qlSimpleQuoteSetValue(F45,Y45,Trigger)</f>
        <v>#NUM!</v>
      </c>
      <c r="AA45" s="19"/>
      <c r="AB45" s="12"/>
      <c r="AC45" s="65"/>
      <c r="AD45" s="64">
        <v>40</v>
      </c>
      <c r="AE45" s="62" t="b">
        <v>1</v>
      </c>
      <c r="AF45" s="62" t="str">
        <v>M2</v>
      </c>
      <c r="AG45" s="102" t="str">
        <f t="shared" si="1"/>
        <v>CNYFUT3MM2ConvAdj_Quote</v>
      </c>
      <c r="AH45" s="101" t="e">
        <f>_xll.qlFuturesConvAdjustmentQuote(AG45,IborIndex,AF45,F45,Volatility,MeanReversion,Permanent,AND(ISERROR(Z45),ISERROR(FuturesHWConvAdj!Q44:Q45)),ObjectOverwrite)</f>
        <v>#VALUE!</v>
      </c>
      <c r="AI45" s="24" t="str">
        <f ca="1">_xll.ohRangeRetrieveError(AH45)</f>
        <v/>
      </c>
      <c r="AJ45" s="19"/>
    </row>
    <row r="46" spans="1:36" x14ac:dyDescent="0.2">
      <c r="A46" s="65"/>
      <c r="B46" s="64">
        <v>41</v>
      </c>
      <c r="C46" s="63" t="b">
        <v>1</v>
      </c>
      <c r="D46" s="62" t="str">
        <v>U2</v>
      </c>
      <c r="E46" s="61" t="str">
        <f t="shared" si="0"/>
        <v>CNYFUT3MU2_Quote</v>
      </c>
      <c r="F46" s="60" t="str">
        <f>_xll.qlSimpleQuote(E46,,PriceTickValue,Permanent,Trigger,ObjectOverwrite)</f>
        <v>CNYFUT3MU2_Quote#0003</v>
      </c>
      <c r="G46" s="39" t="str">
        <f>_xll.ohRangeRetrieveError(F46)</f>
        <v/>
      </c>
      <c r="H46" s="59"/>
      <c r="J46" s="161"/>
      <c r="K46" s="167">
        <v>41</v>
      </c>
      <c r="L46" s="166" t="b">
        <v>1</v>
      </c>
      <c r="M46" s="109" t="str">
        <v>U2</v>
      </c>
      <c r="N46" s="165">
        <v>44825</v>
      </c>
      <c r="O46" s="109"/>
      <c r="P46" s="164"/>
      <c r="Q46" s="109"/>
      <c r="R46" s="109"/>
      <c r="S46" s="109"/>
      <c r="T46" s="109"/>
      <c r="U46" s="113" t="e">
        <f>_xll.qlMidSafe($Q46,$R46)</f>
        <v>#NUM!</v>
      </c>
      <c r="V46" s="111"/>
      <c r="W46" s="163" t="e">
        <v>#NUM!</v>
      </c>
      <c r="X46" s="111"/>
      <c r="Y46" s="162" t="e">
        <v>#NUM!</v>
      </c>
      <c r="Z46" s="113" t="e">
        <f>_xll.qlSimpleQuoteSetValue(F46,Y46,Trigger)</f>
        <v>#NUM!</v>
      </c>
      <c r="AA46" s="19"/>
      <c r="AB46" s="12"/>
      <c r="AC46" s="65"/>
      <c r="AD46" s="64">
        <v>41</v>
      </c>
      <c r="AE46" s="62" t="b">
        <v>1</v>
      </c>
      <c r="AF46" s="62" t="str">
        <v>U2</v>
      </c>
      <c r="AG46" s="102" t="str">
        <f t="shared" si="1"/>
        <v>CNYFUT3MU2ConvAdj_Quote</v>
      </c>
      <c r="AH46" s="101" t="e">
        <f>_xll.qlFuturesConvAdjustmentQuote(AG46,IborIndex,AF46,F46,Volatility,MeanReversion,Permanent,AND(ISERROR(Z46),ISERROR(FuturesHWConvAdj!Q45:Q46)),ObjectOverwrite)</f>
        <v>#VALUE!</v>
      </c>
      <c r="AI46" s="24" t="str">
        <f ca="1">_xll.ohRangeRetrieveError(AH46)</f>
        <v/>
      </c>
      <c r="AJ46" s="19"/>
    </row>
    <row r="47" spans="1:36" x14ac:dyDescent="0.2">
      <c r="A47" s="65"/>
      <c r="B47" s="64">
        <v>42</v>
      </c>
      <c r="C47" s="63" t="b">
        <v>1</v>
      </c>
      <c r="D47" s="62" t="str">
        <v>Z2</v>
      </c>
      <c r="E47" s="61" t="str">
        <f t="shared" si="0"/>
        <v>CNYFUT3MZ2_Quote</v>
      </c>
      <c r="F47" s="60" t="str">
        <f>_xll.qlSimpleQuote(E47,,PriceTickValue,Permanent,Trigger,ObjectOverwrite)</f>
        <v>CNYFUT3MZ2_Quote#0003</v>
      </c>
      <c r="G47" s="39" t="str">
        <f>_xll.ohRangeRetrieveError(F47)</f>
        <v/>
      </c>
      <c r="H47" s="59"/>
      <c r="J47" s="161"/>
      <c r="K47" s="160">
        <v>42</v>
      </c>
      <c r="L47" s="159" t="b">
        <v>1</v>
      </c>
      <c r="M47" s="117" t="str">
        <v>Z2</v>
      </c>
      <c r="N47" s="158">
        <v>44916</v>
      </c>
      <c r="O47" s="117"/>
      <c r="P47" s="157"/>
      <c r="Q47" s="117"/>
      <c r="R47" s="117"/>
      <c r="S47" s="117"/>
      <c r="T47" s="117"/>
      <c r="U47" s="119" t="e">
        <f>_xll.qlMidSafe($Q47,$R47)</f>
        <v>#NUM!</v>
      </c>
      <c r="V47" s="111"/>
      <c r="W47" s="156" t="e">
        <v>#NUM!</v>
      </c>
      <c r="X47" s="111"/>
      <c r="Y47" s="155" t="e">
        <v>#NUM!</v>
      </c>
      <c r="Z47" s="119" t="e">
        <f>_xll.qlSimpleQuoteSetValue(F47,Y47,Trigger)</f>
        <v>#NUM!</v>
      </c>
      <c r="AA47" s="19"/>
      <c r="AB47" s="12"/>
      <c r="AC47" s="65"/>
      <c r="AD47" s="64">
        <v>42</v>
      </c>
      <c r="AE47" s="62" t="b">
        <v>1</v>
      </c>
      <c r="AF47" s="62" t="str">
        <v>Z2</v>
      </c>
      <c r="AG47" s="102" t="str">
        <f t="shared" si="1"/>
        <v>CNYFUT3MZ2ConvAdj_Quote</v>
      </c>
      <c r="AH47" s="101" t="e">
        <f>_xll.qlFuturesConvAdjustmentQuote(AG47,IborIndex,AF47,F47,Volatility,MeanReversion,Permanent,AND(ISERROR(Z47),ISERROR(FuturesHWConvAdj!Q46:Q47)),ObjectOverwrite)</f>
        <v>#VALUE!</v>
      </c>
      <c r="AI47" s="24" t="str">
        <f ca="1">_xll.ohRangeRetrieveError(AH47)</f>
        <v/>
      </c>
      <c r="AJ47" s="19"/>
    </row>
    <row r="48" spans="1:36" ht="12" thickBot="1" x14ac:dyDescent="0.25">
      <c r="A48" s="58"/>
      <c r="B48" s="57"/>
      <c r="C48" s="57"/>
      <c r="D48" s="57"/>
      <c r="E48" s="57"/>
      <c r="F48" s="57"/>
      <c r="G48" s="57"/>
      <c r="H48" s="56"/>
      <c r="J48" s="154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6"/>
      <c r="AB48" s="12"/>
      <c r="AC48" s="58"/>
      <c r="AD48" s="57"/>
      <c r="AE48" s="57"/>
      <c r="AF48" s="57"/>
      <c r="AG48" s="57"/>
      <c r="AH48" s="57"/>
      <c r="AI48" s="57"/>
      <c r="AJ48" s="16"/>
    </row>
  </sheetData>
  <conditionalFormatting sqref="Z6:Z47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9"/>
  <sheetViews>
    <sheetView workbookViewId="0">
      <selection activeCell="H2" sqref="H2"/>
    </sheetView>
  </sheetViews>
  <sheetFormatPr defaultRowHeight="11.25" x14ac:dyDescent="0.2"/>
  <cols>
    <col min="1" max="1" width="2.7109375" style="38" customWidth="1"/>
    <col min="2" max="2" width="25.5703125" style="38" bestFit="1" customWidth="1"/>
    <col min="3" max="3" width="27.7109375" style="38" bestFit="1" customWidth="1"/>
    <col min="4" max="4" width="23.28515625" style="38" customWidth="1"/>
    <col min="5" max="7" width="2.7109375" style="38" customWidth="1"/>
    <col min="8" max="8" width="14.140625" style="38" bestFit="1" customWidth="1"/>
    <col min="9" max="9" width="9.140625" style="38"/>
    <col min="10" max="10" width="2.7109375" style="38" customWidth="1"/>
    <col min="11" max="11" width="11.7109375" style="38" bestFit="1" customWidth="1"/>
    <col min="12" max="12" width="9.140625" style="38"/>
    <col min="13" max="13" width="2.7109375" style="38" customWidth="1"/>
    <col min="14" max="14" width="9.140625" style="38"/>
    <col min="15" max="15" width="2.7109375" style="38" customWidth="1"/>
    <col min="16" max="17" width="9.140625" style="38"/>
    <col min="18" max="19" width="2.7109375" style="38" customWidth="1"/>
    <col min="20" max="16384" width="9.140625" style="38"/>
  </cols>
  <sheetData>
    <row r="1" spans="1:22" x14ac:dyDescent="0.2">
      <c r="G1" s="136"/>
      <c r="H1" s="90"/>
      <c r="I1" s="90"/>
      <c r="J1" s="90"/>
      <c r="K1" s="90"/>
      <c r="L1" s="90"/>
      <c r="M1" s="90"/>
      <c r="N1" s="90"/>
      <c r="O1" s="90"/>
      <c r="P1" s="90"/>
      <c r="Q1" s="90"/>
      <c r="R1" s="89"/>
      <c r="S1" s="12"/>
      <c r="T1" s="12"/>
      <c r="U1" s="12"/>
      <c r="V1" s="12"/>
    </row>
    <row r="2" spans="1:22" x14ac:dyDescent="0.2">
      <c r="G2" s="135"/>
      <c r="H2" s="62" t="s">
        <v>136</v>
      </c>
      <c r="I2" s="55"/>
      <c r="J2" s="55"/>
      <c r="K2" s="55"/>
      <c r="L2" s="55"/>
      <c r="M2" s="55"/>
      <c r="N2" s="55"/>
      <c r="O2" s="55"/>
      <c r="P2" s="55"/>
      <c r="Q2" s="55"/>
      <c r="R2" s="19"/>
      <c r="S2" s="12"/>
      <c r="T2" s="12"/>
      <c r="U2" s="12"/>
      <c r="V2" s="12"/>
    </row>
    <row r="3" spans="1:22" x14ac:dyDescent="0.2">
      <c r="A3" s="47"/>
      <c r="B3" s="46"/>
      <c r="C3" s="46"/>
      <c r="D3" s="46"/>
      <c r="E3" s="45"/>
      <c r="G3" s="135"/>
      <c r="H3" s="55"/>
      <c r="I3" s="55"/>
      <c r="J3" s="55"/>
      <c r="K3" s="55"/>
      <c r="L3" s="55"/>
      <c r="M3" s="55"/>
      <c r="N3" s="55"/>
      <c r="O3" s="55"/>
      <c r="P3" s="55"/>
      <c r="Q3" s="132">
        <f>_xll.ohTrigger(Q5:Q9)</f>
        <v>21</v>
      </c>
      <c r="R3" s="19"/>
      <c r="S3" s="12"/>
      <c r="T3" s="12"/>
      <c r="U3" s="12" t="s">
        <v>56</v>
      </c>
      <c r="V3" s="12"/>
    </row>
    <row r="4" spans="1:22" ht="13.5" thickBot="1" x14ac:dyDescent="0.25">
      <c r="A4" s="80"/>
      <c r="B4" s="15" t="str">
        <f>Currency&amp;"_010_"&amp;"FuturesHWConvAdj.xml"</f>
        <v>CNY_010_FuturesHWConvAdj.xml</v>
      </c>
      <c r="C4" s="6" t="str">
        <f>IF(Serialize,_xll.ohObjectSave(C5:C6,SerializationPath&amp;B4,FileOverwrite,Serialize),"---")</f>
        <v>---</v>
      </c>
      <c r="D4" s="39" t="str">
        <f>_xll.ohRangeRetrieveError(C4)</f>
        <v/>
      </c>
      <c r="E4" s="78"/>
      <c r="G4" s="135"/>
      <c r="H4" s="175" t="str">
        <f>_xll.RData(H5,I4,"RTFEED:IDN",ReutersRtMode,,I5)</f>
        <v>Paused at 12:54:29</v>
      </c>
      <c r="I4" s="202" t="s">
        <v>128</v>
      </c>
      <c r="J4" s="193"/>
      <c r="K4" s="359" t="s">
        <v>158</v>
      </c>
      <c r="L4" s="360"/>
      <c r="M4" s="193"/>
      <c r="N4" s="130" t="s">
        <v>145</v>
      </c>
      <c r="O4" s="191"/>
      <c r="P4" s="236" t="s">
        <v>144</v>
      </c>
      <c r="Q4" s="131" t="s">
        <v>143</v>
      </c>
      <c r="R4" s="19"/>
      <c r="S4" s="12"/>
      <c r="T4" s="12"/>
      <c r="U4" s="12"/>
      <c r="V4" s="12"/>
    </row>
    <row r="5" spans="1:22" x14ac:dyDescent="0.2">
      <c r="A5" s="80"/>
      <c r="B5" s="79" t="str">
        <f>Currency&amp;"HW_Volatility"&amp;QuoteSuffix</f>
        <v>CNYHW_Volatility_Quote</v>
      </c>
      <c r="C5" s="79" t="str">
        <f>_xll.qlSimpleQuote(B5,,,Permanent,Trigger,ObjectOverwrite)</f>
        <v>CNYHW_Volatility_Quote#0003</v>
      </c>
      <c r="D5" s="39" t="str">
        <f>_xll.ohRangeRetrieveError(C5)</f>
        <v/>
      </c>
      <c r="E5" s="78"/>
      <c r="G5" s="135"/>
      <c r="H5" s="201" t="str">
        <f>VLOOKUP(Currency,$T$5:$V$9,2)&amp;U3&amp;VLOOKUP(Currency,$T$5:$V$9,3)&amp;"ATM="&amp;VLOOKUP(Contributor,ContributorTable,2,FALSE)</f>
        <v>CH4Y6LATM=TRHK</v>
      </c>
      <c r="I5" s="200" t="s">
        <v>135</v>
      </c>
      <c r="J5" s="193"/>
      <c r="K5" s="199" t="s">
        <v>157</v>
      </c>
      <c r="L5" s="197" t="e">
        <f>I5/100*IF(ISNUMBER(Swap3M4Y),Swap3M4Y/100,Swap6M4Y/100)*0</f>
        <v>#VALUE!</v>
      </c>
      <c r="M5" s="193"/>
      <c r="N5" s="198">
        <v>0</v>
      </c>
      <c r="O5" s="191"/>
      <c r="P5" s="237" t="e">
        <f t="array" ref="P5:P6">QuoteLive</f>
        <v>#VALUE!</v>
      </c>
      <c r="Q5" s="197" t="e">
        <f>_xll.qlSimpleQuoteSetValue(C5,P5,Trigger)</f>
        <v>#NUM!</v>
      </c>
      <c r="R5" s="19"/>
      <c r="S5" s="12"/>
      <c r="T5" s="31" t="s">
        <v>66</v>
      </c>
      <c r="U5" s="100" t="s">
        <v>156</v>
      </c>
      <c r="V5" s="196" t="s">
        <v>62</v>
      </c>
    </row>
    <row r="6" spans="1:22" x14ac:dyDescent="0.2">
      <c r="A6" s="80"/>
      <c r="B6" s="79" t="str">
        <f>Currency&amp;"HW_MeanReversion"&amp;QuoteSuffix</f>
        <v>CNYHW_MeanReversion_Quote</v>
      </c>
      <c r="C6" s="79" t="str">
        <f>_xll.qlSimpleQuote(B6,,,Permanent,Trigger,ObjectOverwrite)</f>
        <v>CNYHW_MeanReversion_Quote#0003</v>
      </c>
      <c r="D6" s="39" t="str">
        <f>_xll.ohRangeRetrieveError(C6)</f>
        <v/>
      </c>
      <c r="E6" s="78"/>
      <c r="G6" s="135"/>
      <c r="H6" s="190"/>
      <c r="I6" s="195"/>
      <c r="J6" s="193"/>
      <c r="K6" s="194" t="s">
        <v>155</v>
      </c>
      <c r="L6" s="189">
        <v>0.03</v>
      </c>
      <c r="M6" s="193"/>
      <c r="N6" s="192">
        <v>0.03</v>
      </c>
      <c r="O6" s="191"/>
      <c r="P6" s="238">
        <v>0.03</v>
      </c>
      <c r="Q6" s="189">
        <f>_xll.qlSimpleQuoteSetValue(C6,P6,Trigger)</f>
        <v>0</v>
      </c>
      <c r="R6" s="19"/>
      <c r="S6" s="12"/>
      <c r="T6" s="30" t="s">
        <v>65</v>
      </c>
      <c r="U6" s="188" t="s">
        <v>154</v>
      </c>
      <c r="V6" s="187" t="s">
        <v>62</v>
      </c>
    </row>
    <row r="7" spans="1:22" ht="12" thickBot="1" x14ac:dyDescent="0.25">
      <c r="A7" s="77"/>
      <c r="B7" s="76"/>
      <c r="C7" s="76"/>
      <c r="D7" s="76"/>
      <c r="E7" s="75"/>
      <c r="G7" s="18"/>
      <c r="H7" s="17"/>
      <c r="I7" s="17"/>
      <c r="J7" s="17"/>
      <c r="K7" s="17"/>
      <c r="L7" s="17"/>
      <c r="M7" s="17"/>
      <c r="N7" s="17"/>
      <c r="O7" s="17"/>
      <c r="P7" s="17"/>
      <c r="Q7" s="17"/>
      <c r="R7" s="16"/>
      <c r="S7" s="12"/>
      <c r="T7" s="30" t="s">
        <v>64</v>
      </c>
      <c r="U7" s="188" t="s">
        <v>153</v>
      </c>
      <c r="V7" s="187" t="s">
        <v>61</v>
      </c>
    </row>
    <row r="8" spans="1:22" x14ac:dyDescent="0.2"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30" t="s">
        <v>63</v>
      </c>
      <c r="U8" s="188" t="s">
        <v>152</v>
      </c>
      <c r="V8" s="187" t="s">
        <v>62</v>
      </c>
    </row>
    <row r="9" spans="1:22" ht="12" thickBot="1" x14ac:dyDescent="0.25"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29" t="s">
        <v>60</v>
      </c>
      <c r="U9" s="186" t="s">
        <v>151</v>
      </c>
      <c r="V9" s="185" t="s">
        <v>61</v>
      </c>
    </row>
  </sheetData>
  <mergeCells count="1">
    <mergeCell ref="K4:L4"/>
  </mergeCells>
  <dataValidations count="1">
    <dataValidation type="list" showInputMessage="1" showErrorMessage="1" sqref="H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B21"/>
  <sheetViews>
    <sheetView workbookViewId="0">
      <selection activeCell="O2" sqref="O2"/>
    </sheetView>
  </sheetViews>
  <sheetFormatPr defaultRowHeight="12.75" x14ac:dyDescent="0.2"/>
  <cols>
    <col min="1" max="1" width="2.7109375" style="11" customWidth="1"/>
    <col min="2" max="2" width="4.85546875" style="49" bestFit="1" customWidth="1"/>
    <col min="3" max="3" width="2.7109375" style="11" bestFit="1" customWidth="1"/>
    <col min="4" max="4" width="3.85546875" style="11" bestFit="1" customWidth="1"/>
    <col min="5" max="5" width="16.140625" style="11" bestFit="1" customWidth="1"/>
    <col min="6" max="6" width="18" style="48" bestFit="1" customWidth="1"/>
    <col min="7" max="7" width="38.28515625" style="11" customWidth="1"/>
    <col min="8" max="10" width="2.7109375" style="11" customWidth="1"/>
    <col min="11" max="14" width="9.140625" style="11"/>
    <col min="15" max="15" width="12.7109375" style="11" bestFit="1" customWidth="1"/>
    <col min="16" max="18" width="9.140625" style="11"/>
    <col min="19" max="19" width="10.5703125" style="11" customWidth="1"/>
    <col min="20" max="20" width="9.140625" style="11"/>
    <col min="21" max="21" width="2.7109375" style="11" customWidth="1"/>
    <col min="22" max="22" width="9.140625" style="11"/>
    <col min="23" max="23" width="2.7109375" style="11" customWidth="1"/>
    <col min="24" max="25" width="9.140625" style="11"/>
    <col min="26" max="26" width="2.7109375" style="11" customWidth="1"/>
    <col min="27" max="16384" width="9.140625" style="11"/>
  </cols>
  <sheetData>
    <row r="1" spans="1:28" x14ac:dyDescent="0.2">
      <c r="A1" s="153"/>
      <c r="B1" s="90"/>
      <c r="C1" s="90"/>
      <c r="D1" s="331"/>
      <c r="E1" s="90"/>
      <c r="F1" s="90"/>
      <c r="G1" s="331"/>
      <c r="H1" s="89"/>
      <c r="J1" s="153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89"/>
    </row>
    <row r="2" spans="1:28" x14ac:dyDescent="0.2">
      <c r="A2" s="135"/>
      <c r="B2" s="111"/>
      <c r="C2" s="111"/>
      <c r="D2" s="55"/>
      <c r="E2" s="111"/>
      <c r="F2" s="111"/>
      <c r="G2" s="55"/>
      <c r="H2" s="98"/>
      <c r="J2" s="135"/>
      <c r="K2" s="111"/>
      <c r="L2" s="111"/>
      <c r="M2" s="111"/>
      <c r="N2" s="111"/>
      <c r="O2" s="62" t="s">
        <v>208</v>
      </c>
      <c r="P2" s="111"/>
      <c r="Q2" s="111"/>
      <c r="R2" s="111"/>
      <c r="S2" s="111"/>
      <c r="T2" s="55"/>
      <c r="U2" s="111"/>
      <c r="V2" s="111"/>
      <c r="W2" s="111"/>
      <c r="X2" s="111"/>
      <c r="Y2" s="55"/>
      <c r="Z2" s="19"/>
    </row>
    <row r="3" spans="1:28" x14ac:dyDescent="0.2">
      <c r="A3" s="52"/>
      <c r="B3" s="111"/>
      <c r="C3" s="23"/>
      <c r="D3" s="69"/>
      <c r="E3" s="69"/>
      <c r="F3" s="23"/>
      <c r="G3" s="69"/>
      <c r="H3" s="98"/>
      <c r="J3" s="52"/>
      <c r="K3" s="111"/>
      <c r="L3" s="55"/>
      <c r="M3" s="55"/>
      <c r="N3" s="55"/>
      <c r="O3" s="55"/>
      <c r="P3" s="55"/>
      <c r="Q3" s="55"/>
      <c r="R3" s="55"/>
      <c r="S3" s="55"/>
      <c r="T3" s="55"/>
      <c r="U3" s="111"/>
      <c r="V3" s="111"/>
      <c r="W3" s="111"/>
      <c r="X3" s="55"/>
      <c r="Y3" s="132">
        <f>_xll.ohTrigger(Y5:Y15)</f>
        <v>5</v>
      </c>
      <c r="Z3" s="98"/>
    </row>
    <row r="4" spans="1:28" x14ac:dyDescent="0.2">
      <c r="A4" s="52"/>
      <c r="B4" s="88"/>
      <c r="C4" s="87"/>
      <c r="D4" s="34"/>
      <c r="E4" s="33" t="str">
        <f>Currency&amp;"_010_Sw"&amp;"1M.xml"</f>
        <v>CNY_010_Sw1M.xml</v>
      </c>
      <c r="F4" s="32" t="str">
        <f>IF(Serialize,_xll.ohObjectSave(F5:F15,SerializationPath&amp;E4,FileOverwrite,Serialize),"---")</f>
        <v>---</v>
      </c>
      <c r="G4" s="24" t="str">
        <f>_xll.ohRangeRetrieveError(F4)</f>
        <v/>
      </c>
      <c r="H4" s="19"/>
      <c r="J4" s="52"/>
      <c r="K4" s="152"/>
      <c r="L4" s="87"/>
      <c r="M4" s="87"/>
      <c r="N4" s="87"/>
      <c r="O4" s="106" t="str">
        <f>_xll.RData(O5:O18,P4:S4,"RTFEED:IDN",ReutersRtMode,,P5)</f>
        <v>Paused at 12:54:29</v>
      </c>
      <c r="P4" s="151" t="s">
        <v>128</v>
      </c>
      <c r="Q4" s="151" t="s">
        <v>127</v>
      </c>
      <c r="R4" s="151" t="s">
        <v>140</v>
      </c>
      <c r="S4" s="151" t="s">
        <v>148</v>
      </c>
      <c r="T4" s="128" t="s">
        <v>147</v>
      </c>
      <c r="U4" s="111"/>
      <c r="V4" s="130" t="s">
        <v>145</v>
      </c>
      <c r="W4" s="111"/>
      <c r="X4" s="233" t="s">
        <v>144</v>
      </c>
      <c r="Y4" s="35" t="s">
        <v>143</v>
      </c>
      <c r="Z4" s="98"/>
      <c r="AB4" s="150"/>
    </row>
    <row r="5" spans="1:28" x14ac:dyDescent="0.2">
      <c r="A5" s="52"/>
      <c r="B5" s="86"/>
      <c r="C5" s="27">
        <v>2</v>
      </c>
      <c r="D5" s="26" t="s">
        <v>122</v>
      </c>
      <c r="E5" s="25" t="str">
        <f t="shared" ref="E5:E15" si="0">Currency&amp;$C5&amp;$D5&amp;$B5&amp;QuoteSuffix</f>
        <v>CNY2X1S_Quote</v>
      </c>
      <c r="F5" s="25" t="str">
        <f>_xll.qlSimpleQuote(Currency&amp;$C5&amp;$D5&amp;$B5&amp;QuoteSuffix,,RateTickValue,Permanent,Trigger,ObjectOverwrite)</f>
        <v>CNY2X1S_Quote#0003</v>
      </c>
      <c r="G5" s="14" t="str">
        <f>_xll.ohRangeRetrieveError(F5)</f>
        <v/>
      </c>
      <c r="H5" s="19"/>
      <c r="J5" s="52"/>
      <c r="K5" s="110"/>
      <c r="L5" s="146"/>
      <c r="M5" s="146" t="s">
        <v>192</v>
      </c>
      <c r="N5" s="114" t="str">
        <f t="shared" ref="N5:N18" si="1">Currency&amp;$L5&amp;$M5&amp;$K5</f>
        <v>CNYIRSS</v>
      </c>
      <c r="O5" s="114" t="str">
        <f t="array" ref="O5:O18">Instruments&amp;"="&amp;VLOOKUP(Contributor,ContributorTable,2,FALSE)</f>
        <v>CNYIRSS=TRHK</v>
      </c>
      <c r="P5" s="109" t="s">
        <v>135</v>
      </c>
      <c r="Q5" s="109" t="s">
        <v>135</v>
      </c>
      <c r="R5" s="109" t="s">
        <v>135</v>
      </c>
      <c r="S5" s="109" t="s">
        <v>135</v>
      </c>
      <c r="T5" s="113" t="e">
        <f>_xll.qlMidSafe($P5,$Q5)</f>
        <v>#NUM!</v>
      </c>
      <c r="U5" s="111"/>
      <c r="V5" s="112">
        <v>0.151</v>
      </c>
      <c r="W5" s="111"/>
      <c r="X5" s="162" t="e">
        <f t="array" ref="X5:X18">QuoteLive</f>
        <v>#NUM!</v>
      </c>
      <c r="Y5" s="108" t="e">
        <f>_xll.qlSimpleQuoteSetValue(F5,X5/100,Trigger)</f>
        <v>#NUM!</v>
      </c>
      <c r="Z5" s="98"/>
      <c r="AB5" s="137"/>
    </row>
    <row r="6" spans="1:28" x14ac:dyDescent="0.2">
      <c r="A6" s="52"/>
      <c r="B6" s="85"/>
      <c r="C6" s="84">
        <v>3</v>
      </c>
      <c r="D6" s="83" t="s">
        <v>122</v>
      </c>
      <c r="E6" s="25" t="str">
        <f t="shared" si="0"/>
        <v>CNY3X1S_Quote</v>
      </c>
      <c r="F6" s="25" t="str">
        <f>_xll.qlSimpleQuote(Currency&amp;$C6&amp;$D6&amp;$B6&amp;QuoteSuffix,,RateTickValue,Permanent,Trigger,ObjectOverwrite)</f>
        <v>CNY3X1S_Quote#0003</v>
      </c>
      <c r="G6" s="82" t="str">
        <f>_xll.ohRangeRetrieveError(F6)</f>
        <v/>
      </c>
      <c r="H6" s="19"/>
      <c r="J6" s="52"/>
      <c r="K6" s="110"/>
      <c r="L6" s="146"/>
      <c r="M6" s="146" t="s">
        <v>192</v>
      </c>
      <c r="N6" s="114" t="str">
        <f t="shared" si="1"/>
        <v>CNYIRSS</v>
      </c>
      <c r="O6" s="114" t="str">
        <v>CNYIRSS=TRHK</v>
      </c>
      <c r="P6" s="109" t="s">
        <v>135</v>
      </c>
      <c r="Q6" s="109" t="s">
        <v>135</v>
      </c>
      <c r="R6" s="109" t="s">
        <v>135</v>
      </c>
      <c r="S6" s="109" t="s">
        <v>135</v>
      </c>
      <c r="T6" s="113" t="e">
        <f>_xll.qlMidSafe($P6,$Q6)</f>
        <v>#NUM!</v>
      </c>
      <c r="U6" s="111"/>
      <c r="V6" s="112">
        <v>0.151</v>
      </c>
      <c r="W6" s="111"/>
      <c r="X6" s="162" t="e">
        <v>#NUM!</v>
      </c>
      <c r="Y6" s="108" t="e">
        <f>_xll.qlSimpleQuoteSetValue(F6,X6/100,Trigger)</f>
        <v>#NUM!</v>
      </c>
      <c r="Z6" s="98"/>
      <c r="AB6" s="137"/>
    </row>
    <row r="7" spans="1:28" x14ac:dyDescent="0.2">
      <c r="A7" s="52"/>
      <c r="B7" s="85"/>
      <c r="C7" s="84">
        <v>4</v>
      </c>
      <c r="D7" s="83" t="s">
        <v>122</v>
      </c>
      <c r="E7" s="25" t="str">
        <f t="shared" si="0"/>
        <v>CNY4X1S_Quote</v>
      </c>
      <c r="F7" s="25" t="str">
        <f>_xll.qlSimpleQuote(Currency&amp;$C7&amp;$D7&amp;$B7&amp;QuoteSuffix,,RateTickValue,Permanent,Trigger,ObjectOverwrite)</f>
        <v>CNY4X1S_Quote#0003</v>
      </c>
      <c r="G7" s="82" t="str">
        <f>_xll.ohRangeRetrieveError(F7)</f>
        <v/>
      </c>
      <c r="H7" s="19"/>
      <c r="J7" s="52"/>
      <c r="K7" s="110"/>
      <c r="L7" s="146"/>
      <c r="M7" s="146" t="s">
        <v>192</v>
      </c>
      <c r="N7" s="114" t="str">
        <f t="shared" si="1"/>
        <v>CNYIRSS</v>
      </c>
      <c r="O7" s="114" t="str">
        <v>CNYIRSS=TRHK</v>
      </c>
      <c r="P7" s="109" t="s">
        <v>135</v>
      </c>
      <c r="Q7" s="109" t="s">
        <v>135</v>
      </c>
      <c r="R7" s="109" t="s">
        <v>135</v>
      </c>
      <c r="S7" s="109" t="s">
        <v>135</v>
      </c>
      <c r="T7" s="113" t="e">
        <f>_xll.qlMidSafe($P7,$Q7)</f>
        <v>#NUM!</v>
      </c>
      <c r="U7" s="111"/>
      <c r="V7" s="112">
        <v>0.15</v>
      </c>
      <c r="W7" s="111"/>
      <c r="X7" s="162" t="e">
        <v>#NUM!</v>
      </c>
      <c r="Y7" s="108" t="e">
        <f>_xll.qlSimpleQuoteSetValue(F7,X7/100,Trigger)</f>
        <v>#NUM!</v>
      </c>
      <c r="Z7" s="98"/>
      <c r="AB7" s="137"/>
    </row>
    <row r="8" spans="1:28" x14ac:dyDescent="0.2">
      <c r="A8" s="52"/>
      <c r="B8" s="85"/>
      <c r="C8" s="84">
        <v>5</v>
      </c>
      <c r="D8" s="83" t="s">
        <v>122</v>
      </c>
      <c r="E8" s="25" t="str">
        <f t="shared" si="0"/>
        <v>CNY5X1S_Quote</v>
      </c>
      <c r="F8" s="25" t="str">
        <f>_xll.qlSimpleQuote(Currency&amp;$C8&amp;$D8&amp;$B8&amp;QuoteSuffix,,RateTickValue,Permanent,Trigger,ObjectOverwrite)</f>
        <v>CNY5X1S_Quote#0003</v>
      </c>
      <c r="G8" s="82" t="str">
        <f>_xll.ohRangeRetrieveError(F8)</f>
        <v/>
      </c>
      <c r="H8" s="19"/>
      <c r="J8" s="52"/>
      <c r="K8" s="110"/>
      <c r="L8" s="146"/>
      <c r="M8" s="146" t="s">
        <v>192</v>
      </c>
      <c r="N8" s="114" t="str">
        <f t="shared" si="1"/>
        <v>CNYIRSS</v>
      </c>
      <c r="O8" s="114" t="str">
        <v>CNYIRSS=TRHK</v>
      </c>
      <c r="P8" s="109" t="s">
        <v>135</v>
      </c>
      <c r="Q8" s="109" t="s">
        <v>135</v>
      </c>
      <c r="R8" s="109" t="s">
        <v>135</v>
      </c>
      <c r="S8" s="109" t="s">
        <v>135</v>
      </c>
      <c r="T8" s="113" t="e">
        <f>_xll.qlMidSafe($P8,$Q8)</f>
        <v>#NUM!</v>
      </c>
      <c r="U8" s="111"/>
      <c r="V8" s="112">
        <v>0.151</v>
      </c>
      <c r="W8" s="111"/>
      <c r="X8" s="162" t="e">
        <v>#NUM!</v>
      </c>
      <c r="Y8" s="108" t="e">
        <f>_xll.qlSimpleQuoteSetValue(F8,X8/100,Trigger)</f>
        <v>#NUM!</v>
      </c>
      <c r="Z8" s="98"/>
      <c r="AB8" s="137"/>
    </row>
    <row r="9" spans="1:28" x14ac:dyDescent="0.2">
      <c r="A9" s="52"/>
      <c r="B9" s="85"/>
      <c r="C9" s="84">
        <v>6</v>
      </c>
      <c r="D9" s="83" t="s">
        <v>122</v>
      </c>
      <c r="E9" s="25" t="str">
        <f t="shared" si="0"/>
        <v>CNY6X1S_Quote</v>
      </c>
      <c r="F9" s="25" t="str">
        <f>_xll.qlSimpleQuote(Currency&amp;$C9&amp;$D9&amp;$B9&amp;QuoteSuffix,,RateTickValue,Permanent,Trigger,ObjectOverwrite)</f>
        <v>CNY6X1S_Quote#0003</v>
      </c>
      <c r="G9" s="82" t="str">
        <f>_xll.ohRangeRetrieveError(F9)</f>
        <v/>
      </c>
      <c r="H9" s="19"/>
      <c r="J9" s="52"/>
      <c r="K9" s="110"/>
      <c r="L9" s="146"/>
      <c r="M9" s="146" t="s">
        <v>192</v>
      </c>
      <c r="N9" s="114" t="str">
        <f t="shared" si="1"/>
        <v>CNYIRSS</v>
      </c>
      <c r="O9" s="114" t="str">
        <v>CNYIRSS=TRHK</v>
      </c>
      <c r="P9" s="109" t="s">
        <v>135</v>
      </c>
      <c r="Q9" s="109" t="s">
        <v>135</v>
      </c>
      <c r="R9" s="109" t="s">
        <v>135</v>
      </c>
      <c r="S9" s="109" t="s">
        <v>135</v>
      </c>
      <c r="T9" s="113" t="e">
        <f>_xll.qlMidSafe($P9,$Q9)</f>
        <v>#NUM!</v>
      </c>
      <c r="U9" s="111"/>
      <c r="V9" s="112">
        <v>0.152</v>
      </c>
      <c r="W9" s="111"/>
      <c r="X9" s="162" t="e">
        <v>#NUM!</v>
      </c>
      <c r="Y9" s="108" t="e">
        <f>_xll.qlSimpleQuoteSetValue(F9,X9/100,Trigger)</f>
        <v>#NUM!</v>
      </c>
      <c r="Z9" s="98"/>
      <c r="AB9" s="137"/>
    </row>
    <row r="10" spans="1:28" x14ac:dyDescent="0.2">
      <c r="A10" s="52"/>
      <c r="B10" s="85"/>
      <c r="C10" s="84">
        <v>7</v>
      </c>
      <c r="D10" s="83" t="s">
        <v>122</v>
      </c>
      <c r="E10" s="25" t="str">
        <f t="shared" si="0"/>
        <v>CNY7X1S_Quote</v>
      </c>
      <c r="F10" s="25" t="str">
        <f>_xll.qlSimpleQuote(Currency&amp;$C10&amp;$D10&amp;$B10&amp;QuoteSuffix,,RateTickValue,Permanent,Trigger,ObjectOverwrite)</f>
        <v>CNY7X1S_Quote#0003</v>
      </c>
      <c r="G10" s="82" t="str">
        <f>_xll.ohRangeRetrieveError(F10)</f>
        <v/>
      </c>
      <c r="H10" s="19"/>
      <c r="J10" s="52"/>
      <c r="K10" s="110"/>
      <c r="L10" s="146"/>
      <c r="M10" s="146" t="s">
        <v>192</v>
      </c>
      <c r="N10" s="114" t="str">
        <f t="shared" si="1"/>
        <v>CNYIRSS</v>
      </c>
      <c r="O10" s="114" t="str">
        <v>CNYIRSS=TRHK</v>
      </c>
      <c r="P10" s="109" t="s">
        <v>135</v>
      </c>
      <c r="Q10" s="109" t="s">
        <v>135</v>
      </c>
      <c r="R10" s="109" t="s">
        <v>135</v>
      </c>
      <c r="S10" s="109" t="s">
        <v>135</v>
      </c>
      <c r="T10" s="113" t="e">
        <f>_xll.qlMidSafe($P10,$Q10)</f>
        <v>#NUM!</v>
      </c>
      <c r="U10" s="111"/>
      <c r="V10" s="112">
        <v>0.153</v>
      </c>
      <c r="W10" s="111"/>
      <c r="X10" s="162" t="e">
        <v>#NUM!</v>
      </c>
      <c r="Y10" s="108" t="e">
        <f>_xll.qlSimpleQuoteSetValue(F10,X10/100,Trigger)</f>
        <v>#NUM!</v>
      </c>
      <c r="Z10" s="98"/>
      <c r="AB10" s="137"/>
    </row>
    <row r="11" spans="1:28" x14ac:dyDescent="0.2">
      <c r="A11" s="52"/>
      <c r="B11" s="85"/>
      <c r="C11" s="84">
        <v>8</v>
      </c>
      <c r="D11" s="83" t="s">
        <v>122</v>
      </c>
      <c r="E11" s="25" t="str">
        <f t="shared" si="0"/>
        <v>CNY8X1S_Quote</v>
      </c>
      <c r="F11" s="25" t="str">
        <f>_xll.qlSimpleQuote(Currency&amp;$C11&amp;$D11&amp;$B11&amp;QuoteSuffix,,RateTickValue,Permanent,Trigger,ObjectOverwrite)</f>
        <v>CNY8X1S_Quote#0003</v>
      </c>
      <c r="G11" s="82" t="str">
        <f>_xll.ohRangeRetrieveError(F11)</f>
        <v/>
      </c>
      <c r="H11" s="19"/>
      <c r="J11" s="52"/>
      <c r="K11" s="110"/>
      <c r="L11" s="146"/>
      <c r="M11" s="146" t="s">
        <v>192</v>
      </c>
      <c r="N11" s="114" t="str">
        <f t="shared" si="1"/>
        <v>CNYIRSS</v>
      </c>
      <c r="O11" s="114" t="str">
        <v>CNYIRSS=TRHK</v>
      </c>
      <c r="P11" s="109" t="s">
        <v>135</v>
      </c>
      <c r="Q11" s="109" t="s">
        <v>135</v>
      </c>
      <c r="R11" s="109" t="s">
        <v>135</v>
      </c>
      <c r="S11" s="109" t="s">
        <v>135</v>
      </c>
      <c r="T11" s="113" t="e">
        <f>_xll.qlMidSafe($P11,$Q11)</f>
        <v>#NUM!</v>
      </c>
      <c r="U11" s="111"/>
      <c r="V11" s="112">
        <v>0.154</v>
      </c>
      <c r="W11" s="111"/>
      <c r="X11" s="162" t="e">
        <v>#NUM!</v>
      </c>
      <c r="Y11" s="108" t="e">
        <f>_xll.qlSimpleQuoteSetValue(F11,X11/100,Trigger)</f>
        <v>#NUM!</v>
      </c>
      <c r="Z11" s="98"/>
      <c r="AB11" s="137"/>
    </row>
    <row r="12" spans="1:28" x14ac:dyDescent="0.2">
      <c r="A12" s="52"/>
      <c r="B12" s="85"/>
      <c r="C12" s="84">
        <v>9</v>
      </c>
      <c r="D12" s="83" t="s">
        <v>122</v>
      </c>
      <c r="E12" s="25" t="str">
        <f t="shared" si="0"/>
        <v>CNY9X1S_Quote</v>
      </c>
      <c r="F12" s="25" t="str">
        <f>_xll.qlSimpleQuote(Currency&amp;$C12&amp;$D12&amp;$B12&amp;QuoteSuffix,,RateTickValue,Permanent,Trigger,ObjectOverwrite)</f>
        <v>CNY9X1S_Quote#0003</v>
      </c>
      <c r="G12" s="82" t="str">
        <f>_xll.ohRangeRetrieveError(F12)</f>
        <v/>
      </c>
      <c r="H12" s="19"/>
      <c r="J12" s="52"/>
      <c r="K12" s="110"/>
      <c r="L12" s="146"/>
      <c r="M12" s="146" t="s">
        <v>192</v>
      </c>
      <c r="N12" s="114" t="str">
        <f t="shared" si="1"/>
        <v>CNYIRSS</v>
      </c>
      <c r="O12" s="114" t="str">
        <v>CNYIRSS=TRHK</v>
      </c>
      <c r="P12" s="109" t="s">
        <v>135</v>
      </c>
      <c r="Q12" s="109" t="s">
        <v>135</v>
      </c>
      <c r="R12" s="109" t="s">
        <v>135</v>
      </c>
      <c r="S12" s="109" t="s">
        <v>135</v>
      </c>
      <c r="T12" s="113" t="e">
        <f>_xll.qlMidSafe($P12,$Q12)</f>
        <v>#NUM!</v>
      </c>
      <c r="U12" s="111"/>
      <c r="V12" s="112">
        <v>0.157</v>
      </c>
      <c r="W12" s="111"/>
      <c r="X12" s="162" t="e">
        <v>#NUM!</v>
      </c>
      <c r="Y12" s="108" t="e">
        <f>_xll.qlSimpleQuoteSetValue(F12,X12/100,Trigger)</f>
        <v>#NUM!</v>
      </c>
      <c r="Z12" s="98"/>
      <c r="AB12" s="137"/>
    </row>
    <row r="13" spans="1:28" x14ac:dyDescent="0.2">
      <c r="A13" s="52"/>
      <c r="B13" s="85"/>
      <c r="C13" s="84">
        <v>10</v>
      </c>
      <c r="D13" s="83" t="s">
        <v>122</v>
      </c>
      <c r="E13" s="25" t="str">
        <f t="shared" si="0"/>
        <v>CNY10X1S_Quote</v>
      </c>
      <c r="F13" s="25" t="str">
        <f>_xll.qlSimpleQuote(Currency&amp;$C13&amp;$D13&amp;$B13&amp;QuoteSuffix,,RateTickValue,Permanent,Trigger,ObjectOverwrite)</f>
        <v>CNY10X1S_Quote#0003</v>
      </c>
      <c r="G13" s="82" t="str">
        <f>_xll.ohRangeRetrieveError(F13)</f>
        <v/>
      </c>
      <c r="H13" s="19"/>
      <c r="J13" s="52"/>
      <c r="K13" s="110"/>
      <c r="L13" s="146"/>
      <c r="M13" s="146" t="s">
        <v>192</v>
      </c>
      <c r="N13" s="114" t="str">
        <f t="shared" si="1"/>
        <v>CNYIRSS</v>
      </c>
      <c r="O13" s="114" t="str">
        <v>CNYIRSS=TRHK</v>
      </c>
      <c r="P13" s="109" t="s">
        <v>135</v>
      </c>
      <c r="Q13" s="109" t="s">
        <v>135</v>
      </c>
      <c r="R13" s="109" t="s">
        <v>135</v>
      </c>
      <c r="S13" s="109" t="s">
        <v>135</v>
      </c>
      <c r="T13" s="113" t="e">
        <f>_xll.qlMidSafe($P13,$Q13)</f>
        <v>#NUM!</v>
      </c>
      <c r="U13" s="111"/>
      <c r="V13" s="112">
        <v>0.16200000000000001</v>
      </c>
      <c r="W13" s="111"/>
      <c r="X13" s="162" t="e">
        <v>#NUM!</v>
      </c>
      <c r="Y13" s="108" t="e">
        <f>_xll.qlSimpleQuoteSetValue(F13,X13/100,Trigger)</f>
        <v>#NUM!</v>
      </c>
      <c r="Z13" s="98"/>
      <c r="AB13" s="137"/>
    </row>
    <row r="14" spans="1:28" x14ac:dyDescent="0.2">
      <c r="A14" s="52"/>
      <c r="B14" s="85"/>
      <c r="C14" s="84">
        <v>11</v>
      </c>
      <c r="D14" s="83" t="s">
        <v>122</v>
      </c>
      <c r="E14" s="25" t="str">
        <f t="shared" si="0"/>
        <v>CNY11X1S_Quote</v>
      </c>
      <c r="F14" s="25" t="str">
        <f>_xll.qlSimpleQuote(Currency&amp;$C14&amp;$D14&amp;$B14&amp;QuoteSuffix,,RateTickValue,Permanent,Trigger,ObjectOverwrite)</f>
        <v>CNY11X1S_Quote#0003</v>
      </c>
      <c r="G14" s="82" t="str">
        <f>_xll.ohRangeRetrieveError(F14)</f>
        <v/>
      </c>
      <c r="H14" s="19"/>
      <c r="J14" s="52"/>
      <c r="K14" s="110"/>
      <c r="L14" s="146"/>
      <c r="M14" s="146" t="s">
        <v>192</v>
      </c>
      <c r="N14" s="114" t="str">
        <f t="shared" si="1"/>
        <v>CNYIRSS</v>
      </c>
      <c r="O14" s="114" t="str">
        <v>CNYIRSS=TRHK</v>
      </c>
      <c r="P14" s="109" t="s">
        <v>135</v>
      </c>
      <c r="Q14" s="109" t="s">
        <v>135</v>
      </c>
      <c r="R14" s="109" t="s">
        <v>135</v>
      </c>
      <c r="S14" s="109" t="s">
        <v>135</v>
      </c>
      <c r="T14" s="113" t="e">
        <f>_xll.qlMidSafe($P14,$Q14)</f>
        <v>#NUM!</v>
      </c>
      <c r="U14" s="111"/>
      <c r="V14" s="112">
        <v>0.16799999999999998</v>
      </c>
      <c r="W14" s="111"/>
      <c r="X14" s="162" t="e">
        <v>#NUM!</v>
      </c>
      <c r="Y14" s="108" t="e">
        <f>_xll.qlSimpleQuoteSetValue(F14,X14/100,Trigger)</f>
        <v>#NUM!</v>
      </c>
      <c r="Z14" s="98"/>
      <c r="AB14" s="137"/>
    </row>
    <row r="15" spans="1:28" x14ac:dyDescent="0.2">
      <c r="A15" s="52"/>
      <c r="B15" s="85"/>
      <c r="C15" s="84">
        <v>12</v>
      </c>
      <c r="D15" s="83" t="s">
        <v>122</v>
      </c>
      <c r="E15" s="25" t="str">
        <f t="shared" si="0"/>
        <v>CNY12X1S_Quote</v>
      </c>
      <c r="F15" s="25" t="str">
        <f>_xll.qlSimpleQuote(Currency&amp;$C15&amp;$D15&amp;$B15&amp;QuoteSuffix,,RateTickValue,Permanent,Trigger,ObjectOverwrite)</f>
        <v>CNY12X1S_Quote#0003</v>
      </c>
      <c r="G15" s="82" t="str">
        <f>_xll.ohRangeRetrieveError(F15)</f>
        <v/>
      </c>
      <c r="H15" s="19"/>
      <c r="J15" s="52"/>
      <c r="K15" s="110"/>
      <c r="L15" s="146"/>
      <c r="M15" s="146" t="s">
        <v>192</v>
      </c>
      <c r="N15" s="114" t="str">
        <f t="shared" si="1"/>
        <v>CNYIRSS</v>
      </c>
      <c r="O15" s="114" t="str">
        <v>CNYIRSS=TRHK</v>
      </c>
      <c r="P15" s="109" t="s">
        <v>135</v>
      </c>
      <c r="Q15" s="109" t="s">
        <v>135</v>
      </c>
      <c r="R15" s="109" t="s">
        <v>135</v>
      </c>
      <c r="S15" s="109" t="s">
        <v>135</v>
      </c>
      <c r="T15" s="113" t="e">
        <f>_xll.qlMidSafe($P15,$Q15)</f>
        <v>#NUM!</v>
      </c>
      <c r="U15" s="111"/>
      <c r="V15" s="112">
        <v>0.17699999999999999</v>
      </c>
      <c r="W15" s="111"/>
      <c r="X15" s="162" t="e">
        <v>#NUM!</v>
      </c>
      <c r="Y15" s="108" t="e">
        <f>_xll.qlSimpleQuoteSetValue(F15,X15/100,Trigger)</f>
        <v>#NUM!</v>
      </c>
      <c r="Z15" s="98"/>
      <c r="AB15" s="137"/>
    </row>
    <row r="16" spans="1:28" ht="13.5" thickBot="1" x14ac:dyDescent="0.25">
      <c r="A16" s="18"/>
      <c r="B16" s="17"/>
      <c r="C16" s="17"/>
      <c r="D16" s="17"/>
      <c r="E16" s="17"/>
      <c r="F16" s="50"/>
      <c r="G16" s="50"/>
      <c r="H16" s="16"/>
      <c r="J16" s="52"/>
      <c r="K16" s="110"/>
      <c r="L16" s="146"/>
      <c r="M16" s="146" t="s">
        <v>192</v>
      </c>
      <c r="N16" s="114" t="str">
        <f t="shared" si="1"/>
        <v>CNYIRSS</v>
      </c>
      <c r="O16" s="114" t="str">
        <v>CNYIRSS=TRHK</v>
      </c>
      <c r="P16" s="109" t="s">
        <v>135</v>
      </c>
      <c r="Q16" s="109" t="s">
        <v>135</v>
      </c>
      <c r="R16" s="109" t="s">
        <v>135</v>
      </c>
      <c r="S16" s="109" t="s">
        <v>135</v>
      </c>
      <c r="T16" s="113" t="e">
        <f>_xll.qlMidSafe($P16,$Q16)</f>
        <v>#NUM!</v>
      </c>
      <c r="U16" s="111"/>
      <c r="V16" s="112">
        <v>0.22</v>
      </c>
      <c r="W16" s="111"/>
      <c r="X16" s="162" t="e">
        <v>#NUM!</v>
      </c>
      <c r="Y16" s="108" t="e">
        <f>_xll.qlSimpleQuoteSetValue(F16,X16/100,Trigger)</f>
        <v>#NUM!</v>
      </c>
      <c r="Z16" s="98"/>
    </row>
    <row r="17" spans="10:26" x14ac:dyDescent="0.2">
      <c r="J17" s="52"/>
      <c r="K17" s="110"/>
      <c r="L17" s="146"/>
      <c r="M17" s="146" t="s">
        <v>192</v>
      </c>
      <c r="N17" s="114" t="str">
        <f t="shared" si="1"/>
        <v>CNYIRSS</v>
      </c>
      <c r="O17" s="114" t="str">
        <v>CNYIRSS=TRHK</v>
      </c>
      <c r="P17" s="109" t="s">
        <v>135</v>
      </c>
      <c r="Q17" s="109" t="s">
        <v>135</v>
      </c>
      <c r="R17" s="109" t="s">
        <v>135</v>
      </c>
      <c r="S17" s="109" t="s">
        <v>135</v>
      </c>
      <c r="T17" s="113" t="e">
        <f>_xll.qlMidSafe($P17,$Q17)</f>
        <v>#NUM!</v>
      </c>
      <c r="U17" s="111"/>
      <c r="V17" s="112">
        <v>0.27900000000000003</v>
      </c>
      <c r="W17" s="111"/>
      <c r="X17" s="162" t="e">
        <v>#NUM!</v>
      </c>
      <c r="Y17" s="108" t="e">
        <f>_xll.qlSimpleQuoteSetValue(F17,X17/100,Trigger)</f>
        <v>#NUM!</v>
      </c>
      <c r="Z17" s="98"/>
    </row>
    <row r="18" spans="10:26" x14ac:dyDescent="0.2">
      <c r="J18" s="52"/>
      <c r="K18" s="110"/>
      <c r="L18" s="146"/>
      <c r="M18" s="146" t="s">
        <v>192</v>
      </c>
      <c r="N18" s="114" t="str">
        <f t="shared" si="1"/>
        <v>CNYIRSS</v>
      </c>
      <c r="O18" s="114" t="str">
        <v>CNYIRSS=TRHK</v>
      </c>
      <c r="P18" s="109" t="s">
        <v>135</v>
      </c>
      <c r="Q18" s="109" t="s">
        <v>135</v>
      </c>
      <c r="R18" s="109" t="s">
        <v>135</v>
      </c>
      <c r="S18" s="109" t="s">
        <v>135</v>
      </c>
      <c r="T18" s="113" t="e">
        <f>_xll.qlMidSafe($P18,$Q18)</f>
        <v>#NUM!</v>
      </c>
      <c r="U18" s="111"/>
      <c r="V18" s="118">
        <v>0.439</v>
      </c>
      <c r="W18" s="111"/>
      <c r="X18" s="155" t="e">
        <v>#NUM!</v>
      </c>
      <c r="Y18" s="116" t="e">
        <f>_xll.qlSimpleQuoteSetValue(F18,X18/100,Trigger)</f>
        <v>#NUM!</v>
      </c>
      <c r="Z18" s="98"/>
    </row>
    <row r="19" spans="10:26" ht="13.5" thickBot="1" x14ac:dyDescent="0.25">
      <c r="J19" s="18"/>
      <c r="K19" s="107"/>
      <c r="L19" s="107"/>
      <c r="M19" s="107"/>
      <c r="N19" s="107"/>
      <c r="O19" s="107"/>
      <c r="P19" s="107"/>
      <c r="Q19" s="107"/>
      <c r="R19" s="107"/>
      <c r="S19" s="107"/>
      <c r="T19" s="107"/>
      <c r="U19" s="17"/>
      <c r="V19" s="107"/>
      <c r="W19" s="17"/>
      <c r="X19" s="107"/>
      <c r="Y19" s="107"/>
      <c r="Z19" s="138"/>
    </row>
    <row r="21" spans="10:26" ht="15" x14ac:dyDescent="0.25">
      <c r="K21"/>
    </row>
  </sheetData>
  <conditionalFormatting sqref="Y5:Y18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G43"/>
  <sheetViews>
    <sheetView workbookViewId="0"/>
  </sheetViews>
  <sheetFormatPr defaultRowHeight="12.75" x14ac:dyDescent="0.2"/>
  <cols>
    <col min="1" max="1" width="2.7109375" style="11" customWidth="1"/>
    <col min="2" max="2" width="6.5703125" style="49" bestFit="1" customWidth="1"/>
    <col min="3" max="3" width="3.28515625" style="11" customWidth="1"/>
    <col min="4" max="4" width="4.28515625" style="11" customWidth="1"/>
    <col min="5" max="5" width="19.42578125" style="11" bestFit="1" customWidth="1"/>
    <col min="6" max="6" width="22" style="48" bestFit="1" customWidth="1"/>
    <col min="7" max="7" width="35.7109375" style="11" customWidth="1"/>
    <col min="8" max="11" width="2.7109375" style="11" customWidth="1"/>
    <col min="12" max="12" width="3.85546875" style="234" bestFit="1" customWidth="1"/>
    <col min="13" max="13" width="3.28515625" style="234" bestFit="1" customWidth="1"/>
    <col min="14" max="14" width="4" style="234" bestFit="1" customWidth="1"/>
    <col min="15" max="15" width="12.28515625" style="11" bestFit="1" customWidth="1"/>
    <col min="16" max="16" width="16.85546875" style="11" bestFit="1" customWidth="1"/>
    <col min="17" max="19" width="9.140625" style="11"/>
    <col min="20" max="20" width="10.140625" style="11" customWidth="1"/>
    <col min="21" max="21" width="7.7109375" style="11" bestFit="1" customWidth="1"/>
    <col min="22" max="22" width="2.7109375" style="11" customWidth="1"/>
    <col min="23" max="23" width="5.7109375" style="11" bestFit="1" customWidth="1"/>
    <col min="24" max="24" width="2.7109375" style="11" customWidth="1"/>
    <col min="25" max="25" width="7.7109375" style="11" bestFit="1" customWidth="1"/>
    <col min="26" max="26" width="7" style="11" bestFit="1" customWidth="1"/>
    <col min="27" max="28" width="2.7109375" style="11" customWidth="1"/>
    <col min="29" max="16384" width="9.140625" style="11"/>
  </cols>
  <sheetData>
    <row r="1" spans="1:33" ht="11.25" customHeight="1" x14ac:dyDescent="0.2">
      <c r="A1" s="97"/>
      <c r="B1" s="90"/>
      <c r="C1" s="90"/>
      <c r="D1" s="90"/>
      <c r="E1" s="55"/>
      <c r="F1" s="55"/>
      <c r="G1" s="55"/>
      <c r="H1" s="89"/>
      <c r="K1" s="153"/>
      <c r="L1" s="178"/>
      <c r="M1" s="178"/>
      <c r="N1" s="178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89"/>
      <c r="AB1" s="12"/>
      <c r="AC1" s="12"/>
      <c r="AD1" s="12"/>
      <c r="AE1" s="12"/>
      <c r="AF1" s="12"/>
      <c r="AG1" s="12"/>
    </row>
    <row r="2" spans="1:33" ht="15" customHeight="1" x14ac:dyDescent="0.25">
      <c r="A2" s="81"/>
      <c r="B2" s="55"/>
      <c r="C2" s="55"/>
      <c r="D2" s="55"/>
      <c r="E2" s="55"/>
      <c r="F2" s="55"/>
      <c r="G2" s="55"/>
      <c r="H2" s="19"/>
      <c r="K2" s="135"/>
      <c r="L2" s="111"/>
      <c r="M2" s="111"/>
      <c r="N2" s="111"/>
      <c r="O2" s="111"/>
      <c r="P2" s="62" t="s">
        <v>208</v>
      </c>
      <c r="Q2" s="111"/>
      <c r="R2" s="111"/>
      <c r="S2" s="111"/>
      <c r="T2"/>
      <c r="U2" s="55"/>
      <c r="V2" s="111"/>
      <c r="W2"/>
      <c r="X2" s="111"/>
      <c r="Y2" s="111"/>
      <c r="Z2" s="55"/>
      <c r="AA2" s="19"/>
      <c r="AB2" s="12"/>
      <c r="AC2" s="12"/>
      <c r="AD2" s="12"/>
      <c r="AE2" s="12"/>
      <c r="AF2" s="12"/>
      <c r="AG2" s="12"/>
    </row>
    <row r="3" spans="1:33" ht="11.25" customHeight="1" x14ac:dyDescent="0.2">
      <c r="A3" s="81"/>
      <c r="B3" s="55"/>
      <c r="C3" s="23"/>
      <c r="D3" s="23"/>
      <c r="E3" s="23"/>
      <c r="F3" s="23"/>
      <c r="G3" s="23"/>
      <c r="H3" s="19"/>
      <c r="K3" s="52"/>
      <c r="L3" s="111"/>
      <c r="M3" s="111"/>
      <c r="N3" s="111"/>
      <c r="O3" s="55"/>
      <c r="P3" s="55"/>
      <c r="Q3" s="55"/>
      <c r="R3" s="55"/>
      <c r="S3" s="55"/>
      <c r="T3" s="55"/>
      <c r="U3" s="55"/>
      <c r="V3" s="111"/>
      <c r="W3" s="111"/>
      <c r="X3" s="111"/>
      <c r="Y3" s="55"/>
      <c r="Z3" s="132">
        <f>_xll.ohTrigger(Z5:Z42)</f>
        <v>5</v>
      </c>
      <c r="AA3" s="98"/>
      <c r="AB3" s="12"/>
      <c r="AC3" s="12"/>
      <c r="AD3" s="12"/>
      <c r="AE3" s="12"/>
      <c r="AF3" s="12"/>
      <c r="AG3" s="12"/>
    </row>
    <row r="4" spans="1:33" ht="12.75" customHeight="1" x14ac:dyDescent="0.2">
      <c r="A4" s="52"/>
      <c r="B4" s="34" t="s">
        <v>70</v>
      </c>
      <c r="C4" s="34"/>
      <c r="D4" s="34"/>
      <c r="E4" s="33" t="str">
        <f>Currency&amp;"_010_Sw"&amp;$C$5&amp;$D$5&amp;".xml"</f>
        <v>CNY_010_SwQM3AB.xml</v>
      </c>
      <c r="F4" s="32" t="str">
        <f>IF(Serialize,_xll.ohObjectSave(F5:F42,SerializationPath&amp;E4,FileOverwrite,Serialize),"---")</f>
        <v>---</v>
      </c>
      <c r="G4" s="24" t="str">
        <f>_xll.ohRangeRetrieveError(F4)</f>
        <v/>
      </c>
      <c r="H4" s="19"/>
      <c r="K4" s="52"/>
      <c r="L4" s="152"/>
      <c r="M4" s="87"/>
      <c r="N4" s="87"/>
      <c r="O4" s="87"/>
      <c r="P4" s="332" t="str">
        <f>_xll.RData(P5:P42,Q4:T4,"RTFEED:IDN",ReutersRtMode,,Q5)</f>
        <v>Paused at 12:54:29</v>
      </c>
      <c r="Q4" s="151" t="s">
        <v>128</v>
      </c>
      <c r="R4" s="151" t="s">
        <v>127</v>
      </c>
      <c r="S4" s="151" t="s">
        <v>140</v>
      </c>
      <c r="T4" s="151" t="s">
        <v>148</v>
      </c>
      <c r="U4" s="128" t="s">
        <v>147</v>
      </c>
      <c r="V4" s="111"/>
      <c r="W4" s="130" t="s">
        <v>145</v>
      </c>
      <c r="X4" s="111"/>
      <c r="Y4" s="233" t="s">
        <v>144</v>
      </c>
      <c r="Z4" s="35" t="s">
        <v>143</v>
      </c>
      <c r="AA4" s="98"/>
      <c r="AB4" s="12"/>
      <c r="AC4" s="12"/>
      <c r="AD4" s="12"/>
      <c r="AE4" s="12"/>
      <c r="AF4" s="12"/>
      <c r="AG4" s="150"/>
    </row>
    <row r="5" spans="1:33" ht="11.25" customHeight="1" x14ac:dyDescent="0.2">
      <c r="A5" s="52"/>
      <c r="B5" s="86" t="s">
        <v>14</v>
      </c>
      <c r="C5" s="27" t="s">
        <v>188</v>
      </c>
      <c r="D5" s="27" t="s">
        <v>189</v>
      </c>
      <c r="E5" s="25" t="str">
        <f t="shared" ref="E5:E42" si="0">Currency&amp;$C5&amp;$D5&amp;$B5&amp;QuoteSuffix</f>
        <v>CNYQM3AB6M_Quote</v>
      </c>
      <c r="F5" s="25" t="str">
        <f>_xll.qlSimpleQuote(Currency&amp;$C5&amp;$D5&amp;$B5&amp;QuoteSuffix,,RateTickValue,Permanent,Trigger,ObjectOverwrite)</f>
        <v>CNYQM3AB6M_Quote#0003</v>
      </c>
      <c r="G5" s="14" t="str">
        <f>_xll.ohRangeRetrieveError(F5)</f>
        <v/>
      </c>
      <c r="H5" s="19"/>
      <c r="K5" s="52"/>
      <c r="L5" s="115" t="s">
        <v>14</v>
      </c>
      <c r="M5" s="146" t="s">
        <v>188</v>
      </c>
      <c r="N5" s="146" t="s">
        <v>210</v>
      </c>
      <c r="O5" s="144" t="str">
        <f t="shared" ref="O5:O42" si="1">Currency&amp;$M5&amp;$N5&amp;$L5&amp;"N"</f>
        <v>CNYQM3S6MN</v>
      </c>
      <c r="P5" s="144" t="str">
        <f t="array" ref="P5:P42">Instruments&amp;"="&amp;VLOOKUP(Contributor,ContributorTable,2,FALSE)</f>
        <v>CNYQM3S6MN=TRHK</v>
      </c>
      <c r="Q5" s="109">
        <v>4.55</v>
      </c>
      <c r="R5" s="109">
        <v>4.75</v>
      </c>
      <c r="S5" s="109">
        <v>0</v>
      </c>
      <c r="T5" s="109">
        <v>0</v>
      </c>
      <c r="U5" s="113">
        <f>_xll.qlMidSafe($Q5,$R5)</f>
        <v>4.6500000000000004</v>
      </c>
      <c r="V5" s="111"/>
      <c r="W5" s="112">
        <v>4.6500000000000004</v>
      </c>
      <c r="X5" s="111"/>
      <c r="Y5" s="162">
        <f t="array" ref="Y5:Y42">QuoteLive</f>
        <v>4.6500000000000004</v>
      </c>
      <c r="Z5" s="108" t="e">
        <f>_xll.qlSimpleQuoteSetValue(F5,Y5/100,Trigger)</f>
        <v>#N/A</v>
      </c>
      <c r="AA5" s="98"/>
      <c r="AB5" s="12"/>
      <c r="AC5" s="12"/>
      <c r="AD5" s="12"/>
      <c r="AE5" s="12"/>
      <c r="AF5" s="12"/>
      <c r="AG5" s="137"/>
    </row>
    <row r="6" spans="1:33" ht="11.25" customHeight="1" x14ac:dyDescent="0.2">
      <c r="A6" s="52"/>
      <c r="B6" s="85" t="s">
        <v>8</v>
      </c>
      <c r="C6" s="27" t="s">
        <v>188</v>
      </c>
      <c r="D6" s="27" t="s">
        <v>189</v>
      </c>
      <c r="E6" s="25" t="str">
        <f t="shared" si="0"/>
        <v>CNYQM3AB1Y_Quote</v>
      </c>
      <c r="F6" s="25" t="str">
        <f>_xll.qlSimpleQuote(Currency&amp;$C6&amp;$D6&amp;$B6&amp;QuoteSuffix,,RateTickValue,Permanent,Trigger,ObjectOverwrite)</f>
        <v>CNYQM3AB1Y_Quote#0003</v>
      </c>
      <c r="G6" s="82" t="str">
        <f>_xll.ohRangeRetrieveError(F6)</f>
        <v/>
      </c>
      <c r="H6" s="19"/>
      <c r="K6" s="52"/>
      <c r="L6" s="115" t="s">
        <v>8</v>
      </c>
      <c r="M6" s="146" t="s">
        <v>188</v>
      </c>
      <c r="N6" s="146" t="s">
        <v>210</v>
      </c>
      <c r="O6" s="144" t="str">
        <f t="shared" si="1"/>
        <v>CNYQM3S1YN</v>
      </c>
      <c r="P6" s="144" t="str">
        <v>CNYQM3S1YN=TRHK</v>
      </c>
      <c r="Q6" s="109">
        <v>4.5199999999999996</v>
      </c>
      <c r="R6" s="109">
        <v>4.72</v>
      </c>
      <c r="S6" s="109">
        <v>0</v>
      </c>
      <c r="T6" s="109">
        <v>0</v>
      </c>
      <c r="U6" s="113">
        <f>_xll.qlMidSafe($Q6,$R6)</f>
        <v>4.6199999999999992</v>
      </c>
      <c r="V6" s="111"/>
      <c r="W6" s="112">
        <v>4.6199999999999992</v>
      </c>
      <c r="X6" s="111"/>
      <c r="Y6" s="162">
        <v>4.6199999999999992</v>
      </c>
      <c r="Z6" s="108" t="e">
        <f>_xll.qlSimpleQuoteSetValue(F6,Y6/100,Trigger)</f>
        <v>#N/A</v>
      </c>
      <c r="AA6" s="98"/>
      <c r="AB6" s="12"/>
      <c r="AC6" s="12"/>
      <c r="AD6" s="12"/>
      <c r="AE6" s="12"/>
      <c r="AF6" s="12"/>
      <c r="AG6" s="137"/>
    </row>
    <row r="7" spans="1:33" ht="11.25" customHeight="1" x14ac:dyDescent="0.25">
      <c r="A7" s="52"/>
      <c r="B7" s="85" t="s">
        <v>69</v>
      </c>
      <c r="C7" s="27" t="s">
        <v>188</v>
      </c>
      <c r="D7" s="27" t="s">
        <v>189</v>
      </c>
      <c r="E7" s="25" t="str">
        <f t="shared" si="0"/>
        <v>CNYQM3AB15M_Quote</v>
      </c>
      <c r="F7" s="25" t="str">
        <f>_xll.qlSimpleQuote(Currency&amp;$C7&amp;$D7&amp;$B7&amp;QuoteSuffix,,RateTickValue,Permanent,Trigger,ObjectOverwrite)</f>
        <v>CNYQM3AB15M_Quote#0003</v>
      </c>
      <c r="G7" s="82" t="str">
        <f>_xll.ohRangeRetrieveError(F7)</f>
        <v/>
      </c>
      <c r="H7" s="19"/>
      <c r="K7" s="52"/>
      <c r="L7" s="115" t="s">
        <v>69</v>
      </c>
      <c r="M7" s="146" t="s">
        <v>188</v>
      </c>
      <c r="N7" s="146" t="s">
        <v>210</v>
      </c>
      <c r="O7" s="144" t="str">
        <f t="shared" si="1"/>
        <v>CNYQM3S15MN</v>
      </c>
      <c r="P7" s="144" t="str">
        <v>CNYQM3S15MN=TRHK</v>
      </c>
      <c r="Q7" s="109" t="s">
        <v>135</v>
      </c>
      <c r="R7" s="109" t="s">
        <v>135</v>
      </c>
      <c r="S7" s="109" t="s">
        <v>135</v>
      </c>
      <c r="T7" s="109" t="s">
        <v>135</v>
      </c>
      <c r="U7" s="113" t="e">
        <f>_xll.qlMidSafe($Q7,$R7)</f>
        <v>#NUM!</v>
      </c>
      <c r="V7" s="111"/>
      <c r="W7" s="112" t="e">
        <v>#NUM!</v>
      </c>
      <c r="X7" s="111"/>
      <c r="Y7" s="162" t="e">
        <v>#NUM!</v>
      </c>
      <c r="Z7" s="108" t="e">
        <f>_xll.qlSimpleQuoteSetValue(F7,Y7/100,Trigger)</f>
        <v>#NUM!</v>
      </c>
      <c r="AA7" s="98"/>
      <c r="AB7" s="12"/>
      <c r="AC7" s="12"/>
      <c r="AD7"/>
      <c r="AE7" s="12"/>
      <c r="AF7" s="12"/>
      <c r="AG7" s="137"/>
    </row>
    <row r="8" spans="1:33" ht="11.25" customHeight="1" x14ac:dyDescent="0.25">
      <c r="A8" s="52"/>
      <c r="B8" s="85" t="s">
        <v>68</v>
      </c>
      <c r="C8" s="27" t="s">
        <v>188</v>
      </c>
      <c r="D8" s="27" t="s">
        <v>189</v>
      </c>
      <c r="E8" s="25" t="str">
        <f t="shared" si="0"/>
        <v>CNYQM3AB18M_Quote</v>
      </c>
      <c r="F8" s="25" t="str">
        <f>_xll.qlSimpleQuote(Currency&amp;$C8&amp;$D8&amp;$B8&amp;QuoteSuffix,,RateTickValue,Permanent,Trigger,ObjectOverwrite)</f>
        <v>CNYQM3AB18M_Quote#0003</v>
      </c>
      <c r="G8" s="82" t="str">
        <f>_xll.ohRangeRetrieveError(F8)</f>
        <v/>
      </c>
      <c r="H8" s="19"/>
      <c r="K8" s="52"/>
      <c r="L8" s="115" t="s">
        <v>68</v>
      </c>
      <c r="M8" s="146" t="s">
        <v>188</v>
      </c>
      <c r="N8" s="146" t="s">
        <v>210</v>
      </c>
      <c r="O8" s="144" t="str">
        <f t="shared" si="1"/>
        <v>CNYQM3S18MN</v>
      </c>
      <c r="P8" s="144" t="str">
        <v>CNYQM3S18MN=TRHK</v>
      </c>
      <c r="Q8" s="109" t="s">
        <v>135</v>
      </c>
      <c r="R8" s="109" t="s">
        <v>135</v>
      </c>
      <c r="S8" s="109" t="s">
        <v>135</v>
      </c>
      <c r="T8" s="109" t="s">
        <v>135</v>
      </c>
      <c r="U8" s="113" t="e">
        <f>_xll.qlMidSafe($Q8,$R8)</f>
        <v>#NUM!</v>
      </c>
      <c r="V8" s="111"/>
      <c r="W8" s="112" t="e">
        <v>#NUM!</v>
      </c>
      <c r="X8" s="111"/>
      <c r="Y8" s="162" t="e">
        <v>#NUM!</v>
      </c>
      <c r="Z8" s="108" t="e">
        <f>_xll.qlSimpleQuoteSetValue(F8,Y8/100,Trigger)</f>
        <v>#NUM!</v>
      </c>
      <c r="AA8" s="98"/>
      <c r="AB8" s="12"/>
      <c r="AC8" s="12"/>
      <c r="AD8" s="12"/>
      <c r="AE8"/>
      <c r="AF8" s="12"/>
      <c r="AG8" s="137"/>
    </row>
    <row r="9" spans="1:33" ht="11.25" customHeight="1" x14ac:dyDescent="0.2">
      <c r="A9" s="52"/>
      <c r="B9" s="85" t="s">
        <v>67</v>
      </c>
      <c r="C9" s="27" t="s">
        <v>188</v>
      </c>
      <c r="D9" s="27" t="s">
        <v>189</v>
      </c>
      <c r="E9" s="25" t="str">
        <f t="shared" si="0"/>
        <v>CNYQM3AB21M_Quote</v>
      </c>
      <c r="F9" s="25" t="str">
        <f>_xll.qlSimpleQuote(Currency&amp;$C9&amp;$D9&amp;$B9&amp;QuoteSuffix,,RateTickValue,Permanent,Trigger,ObjectOverwrite)</f>
        <v>CNYQM3AB21M_Quote#0003</v>
      </c>
      <c r="G9" s="82" t="str">
        <f>_xll.ohRangeRetrieveError(F9)</f>
        <v/>
      </c>
      <c r="H9" s="19"/>
      <c r="K9" s="52"/>
      <c r="L9" s="115" t="s">
        <v>67</v>
      </c>
      <c r="M9" s="146" t="s">
        <v>188</v>
      </c>
      <c r="N9" s="146" t="s">
        <v>210</v>
      </c>
      <c r="O9" s="144" t="str">
        <f t="shared" si="1"/>
        <v>CNYQM3S21MN</v>
      </c>
      <c r="P9" s="144" t="str">
        <v>CNYQM3S21MN=TRHK</v>
      </c>
      <c r="Q9" s="109" t="s">
        <v>135</v>
      </c>
      <c r="R9" s="109" t="s">
        <v>135</v>
      </c>
      <c r="S9" s="109" t="s">
        <v>135</v>
      </c>
      <c r="T9" s="109" t="s">
        <v>135</v>
      </c>
      <c r="U9" s="113" t="e">
        <f>_xll.qlMidSafe($Q9,$R9)</f>
        <v>#NUM!</v>
      </c>
      <c r="V9" s="111"/>
      <c r="W9" s="112" t="e">
        <v>#NUM!</v>
      </c>
      <c r="X9" s="111"/>
      <c r="Y9" s="162" t="e">
        <v>#NUM!</v>
      </c>
      <c r="Z9" s="108" t="e">
        <f>_xll.qlSimpleQuoteSetValue(F9,Y9/100,Trigger)</f>
        <v>#NUM!</v>
      </c>
      <c r="AA9" s="98"/>
      <c r="AB9" s="12"/>
      <c r="AC9" s="12"/>
      <c r="AD9" s="12"/>
      <c r="AE9" s="12"/>
      <c r="AF9" s="12"/>
      <c r="AG9" s="137"/>
    </row>
    <row r="10" spans="1:33" ht="11.25" customHeight="1" x14ac:dyDescent="0.25">
      <c r="A10" s="52"/>
      <c r="B10" s="85" t="s">
        <v>58</v>
      </c>
      <c r="C10" s="27" t="s">
        <v>188</v>
      </c>
      <c r="D10" s="27" t="s">
        <v>189</v>
      </c>
      <c r="E10" s="25" t="str">
        <f t="shared" si="0"/>
        <v>CNYQM3AB2Y_Quote</v>
      </c>
      <c r="F10" s="25" t="str">
        <f>_xll.qlSimpleQuote(Currency&amp;$C10&amp;$D10&amp;$B10&amp;QuoteSuffix,,RateTickValue,Permanent,Trigger,ObjectOverwrite)</f>
        <v>CNYQM3AB2Y_Quote#0003</v>
      </c>
      <c r="G10" s="82" t="str">
        <f>_xll.ohRangeRetrieveError(F10)</f>
        <v/>
      </c>
      <c r="H10" s="19"/>
      <c r="K10" s="52"/>
      <c r="L10" s="115" t="s">
        <v>58</v>
      </c>
      <c r="M10" s="146" t="s">
        <v>188</v>
      </c>
      <c r="N10" s="146" t="s">
        <v>210</v>
      </c>
      <c r="O10" s="144" t="str">
        <f t="shared" si="1"/>
        <v>CNYQM3S2YN</v>
      </c>
      <c r="P10" s="144" t="str">
        <v>CNYQM3S2YN=TRHK</v>
      </c>
      <c r="Q10" s="109">
        <v>4.47</v>
      </c>
      <c r="R10" s="109">
        <v>4.67</v>
      </c>
      <c r="S10" s="109">
        <v>0</v>
      </c>
      <c r="T10" s="109">
        <v>0</v>
      </c>
      <c r="U10" s="113">
        <f>_xll.qlMidSafe($Q10,$R10)</f>
        <v>4.57</v>
      </c>
      <c r="V10" s="111"/>
      <c r="W10" s="112">
        <v>4.57</v>
      </c>
      <c r="X10" s="111"/>
      <c r="Y10" s="162">
        <v>4.57</v>
      </c>
      <c r="Z10" s="108" t="e">
        <f>_xll.qlSimpleQuoteSetValue(F10,Y10/100,Trigger)</f>
        <v>#N/A</v>
      </c>
      <c r="AA10" s="98"/>
      <c r="AB10" s="12"/>
      <c r="AC10" s="12"/>
      <c r="AD10" s="12"/>
      <c r="AE10"/>
      <c r="AF10" s="12"/>
      <c r="AG10" s="137"/>
    </row>
    <row r="11" spans="1:33" ht="11.25" customHeight="1" x14ac:dyDescent="0.2">
      <c r="A11" s="52"/>
      <c r="B11" s="85" t="s">
        <v>57</v>
      </c>
      <c r="C11" s="27" t="s">
        <v>188</v>
      </c>
      <c r="D11" s="27" t="s">
        <v>189</v>
      </c>
      <c r="E11" s="25" t="str">
        <f t="shared" si="0"/>
        <v>CNYQM3AB3Y_Quote</v>
      </c>
      <c r="F11" s="25" t="str">
        <f>_xll.qlSimpleQuote(Currency&amp;$C11&amp;$D11&amp;$B11&amp;QuoteSuffix,,RateTickValue,Permanent,Trigger,ObjectOverwrite)</f>
        <v>CNYQM3AB3Y_Quote#0003</v>
      </c>
      <c r="G11" s="82" t="str">
        <f>_xll.ohRangeRetrieveError(F11)</f>
        <v/>
      </c>
      <c r="H11" s="19"/>
      <c r="K11" s="52"/>
      <c r="L11" s="115" t="s">
        <v>57</v>
      </c>
      <c r="M11" s="146" t="s">
        <v>188</v>
      </c>
      <c r="N11" s="146" t="s">
        <v>210</v>
      </c>
      <c r="O11" s="144" t="str">
        <f t="shared" si="1"/>
        <v>CNYQM3S3YN</v>
      </c>
      <c r="P11" s="144" t="str">
        <v>CNYQM3S3YN=TRHK</v>
      </c>
      <c r="Q11" s="109">
        <v>4.49</v>
      </c>
      <c r="R11" s="109">
        <v>4.6900000000000004</v>
      </c>
      <c r="S11" s="109">
        <v>0</v>
      </c>
      <c r="T11" s="109">
        <v>0</v>
      </c>
      <c r="U11" s="113">
        <f>_xll.qlMidSafe($Q11,$R11)</f>
        <v>4.59</v>
      </c>
      <c r="V11" s="111"/>
      <c r="W11" s="112">
        <v>4.59</v>
      </c>
      <c r="X11" s="111"/>
      <c r="Y11" s="162">
        <v>4.59</v>
      </c>
      <c r="Z11" s="108" t="e">
        <f>_xll.qlSimpleQuoteSetValue(F11,Y11/100,Trigger)</f>
        <v>#N/A</v>
      </c>
      <c r="AA11" s="98"/>
      <c r="AB11" s="12"/>
      <c r="AC11" s="12"/>
      <c r="AD11" s="12"/>
      <c r="AE11" s="12"/>
      <c r="AF11" s="12"/>
      <c r="AG11" s="137"/>
    </row>
    <row r="12" spans="1:33" ht="11.25" customHeight="1" x14ac:dyDescent="0.2">
      <c r="A12" s="52"/>
      <c r="B12" s="85" t="s">
        <v>56</v>
      </c>
      <c r="C12" s="27" t="s">
        <v>188</v>
      </c>
      <c r="D12" s="27" t="s">
        <v>189</v>
      </c>
      <c r="E12" s="25" t="str">
        <f t="shared" si="0"/>
        <v>CNYQM3AB4Y_Quote</v>
      </c>
      <c r="F12" s="25" t="str">
        <f>_xll.qlSimpleQuote(Currency&amp;$C12&amp;$D12&amp;$B12&amp;QuoteSuffix,,RateTickValue,Permanent,Trigger,ObjectOverwrite)</f>
        <v>CNYQM3AB4Y_Quote#0003</v>
      </c>
      <c r="G12" s="82" t="str">
        <f>_xll.ohRangeRetrieveError(F12)</f>
        <v/>
      </c>
      <c r="H12" s="19"/>
      <c r="K12" s="52"/>
      <c r="L12" s="115" t="s">
        <v>56</v>
      </c>
      <c r="M12" s="146" t="s">
        <v>188</v>
      </c>
      <c r="N12" s="146" t="s">
        <v>210</v>
      </c>
      <c r="O12" s="144" t="str">
        <f t="shared" si="1"/>
        <v>CNYQM3S4YN</v>
      </c>
      <c r="P12" s="144" t="str">
        <v>CNYQM3S4YN=TRHK</v>
      </c>
      <c r="Q12" s="109">
        <v>4.49</v>
      </c>
      <c r="R12" s="109">
        <v>4.6900000000000004</v>
      </c>
      <c r="S12" s="109">
        <v>0</v>
      </c>
      <c r="T12" s="109">
        <v>0</v>
      </c>
      <c r="U12" s="113">
        <f>_xll.qlMidSafe($Q12,$R12)</f>
        <v>4.59</v>
      </c>
      <c r="V12" s="111"/>
      <c r="W12" s="112">
        <v>4.59</v>
      </c>
      <c r="X12" s="111"/>
      <c r="Y12" s="162">
        <v>4.59</v>
      </c>
      <c r="Z12" s="108" t="e">
        <f>_xll.qlSimpleQuoteSetValue(F12,Y12/100,Trigger)</f>
        <v>#N/A</v>
      </c>
      <c r="AA12" s="98"/>
      <c r="AB12" s="12"/>
      <c r="AC12" s="12"/>
      <c r="AD12" s="12"/>
      <c r="AE12" s="12"/>
      <c r="AF12" s="12"/>
      <c r="AG12" s="137"/>
    </row>
    <row r="13" spans="1:33" ht="11.25" customHeight="1" x14ac:dyDescent="0.2">
      <c r="A13" s="52"/>
      <c r="B13" s="85" t="s">
        <v>55</v>
      </c>
      <c r="C13" s="27" t="s">
        <v>188</v>
      </c>
      <c r="D13" s="27" t="s">
        <v>189</v>
      </c>
      <c r="E13" s="25" t="str">
        <f t="shared" si="0"/>
        <v>CNYQM3AB5Y_Quote</v>
      </c>
      <c r="F13" s="25" t="str">
        <f>_xll.qlSimpleQuote(Currency&amp;$C13&amp;$D13&amp;$B13&amp;QuoteSuffix,,RateTickValue,Permanent,Trigger,ObjectOverwrite)</f>
        <v>CNYQM3AB5Y_Quote#0003</v>
      </c>
      <c r="G13" s="82" t="str">
        <f>_xll.ohRangeRetrieveError(F13)</f>
        <v/>
      </c>
      <c r="H13" s="19"/>
      <c r="K13" s="52"/>
      <c r="L13" s="115" t="s">
        <v>55</v>
      </c>
      <c r="M13" s="146" t="s">
        <v>188</v>
      </c>
      <c r="N13" s="146" t="s">
        <v>210</v>
      </c>
      <c r="O13" s="144" t="str">
        <f t="shared" si="1"/>
        <v>CNYQM3S5YN</v>
      </c>
      <c r="P13" s="144" t="str">
        <v>CNYQM3S5YN=TRHK</v>
      </c>
      <c r="Q13" s="109">
        <v>4.49</v>
      </c>
      <c r="R13" s="109">
        <v>4.6900000000000004</v>
      </c>
      <c r="S13" s="109">
        <v>0</v>
      </c>
      <c r="T13" s="109">
        <v>0</v>
      </c>
      <c r="U13" s="113">
        <f>_xll.qlMidSafe($Q13,$R13)</f>
        <v>4.59</v>
      </c>
      <c r="V13" s="111"/>
      <c r="W13" s="112">
        <v>4.59</v>
      </c>
      <c r="X13" s="111"/>
      <c r="Y13" s="162">
        <v>4.59</v>
      </c>
      <c r="Z13" s="108" t="e">
        <f>_xll.qlSimpleQuoteSetValue(F13,Y13/100,Trigger)</f>
        <v>#N/A</v>
      </c>
      <c r="AA13" s="98"/>
      <c r="AB13" s="12"/>
      <c r="AC13" s="12"/>
      <c r="AD13" s="12"/>
      <c r="AE13" s="12"/>
      <c r="AF13" s="12"/>
      <c r="AG13" s="137"/>
    </row>
    <row r="14" spans="1:33" ht="11.25" customHeight="1" x14ac:dyDescent="0.2">
      <c r="A14" s="52"/>
      <c r="B14" s="85" t="s">
        <v>54</v>
      </c>
      <c r="C14" s="27" t="s">
        <v>188</v>
      </c>
      <c r="D14" s="27" t="s">
        <v>189</v>
      </c>
      <c r="E14" s="25" t="str">
        <f t="shared" si="0"/>
        <v>CNYQM3AB6Y_Quote</v>
      </c>
      <c r="F14" s="25" t="str">
        <f>_xll.qlSimpleQuote(Currency&amp;$C14&amp;$D14&amp;$B14&amp;QuoteSuffix,,RateTickValue,Permanent,Trigger,ObjectOverwrite)</f>
        <v>CNYQM3AB6Y_Quote#0003</v>
      </c>
      <c r="G14" s="82" t="str">
        <f>_xll.ohRangeRetrieveError(F14)</f>
        <v/>
      </c>
      <c r="H14" s="19"/>
      <c r="K14" s="52"/>
      <c r="L14" s="115" t="s">
        <v>54</v>
      </c>
      <c r="M14" s="146" t="s">
        <v>188</v>
      </c>
      <c r="N14" s="146" t="s">
        <v>210</v>
      </c>
      <c r="O14" s="144" t="str">
        <f t="shared" si="1"/>
        <v>CNYQM3S6YN</v>
      </c>
      <c r="P14" s="144" t="str">
        <v>CNYQM3S6YN=TRHK</v>
      </c>
      <c r="Q14" s="109" t="s">
        <v>135</v>
      </c>
      <c r="R14" s="109" t="s">
        <v>135</v>
      </c>
      <c r="S14" s="109" t="s">
        <v>135</v>
      </c>
      <c r="T14" s="109" t="s">
        <v>135</v>
      </c>
      <c r="U14" s="113" t="e">
        <f>_xll.qlMidSafe($Q14,$R14)</f>
        <v>#NUM!</v>
      </c>
      <c r="V14" s="111"/>
      <c r="W14" s="112" t="e">
        <v>#NUM!</v>
      </c>
      <c r="X14" s="111"/>
      <c r="Y14" s="162" t="e">
        <v>#NUM!</v>
      </c>
      <c r="Z14" s="108" t="e">
        <f>_xll.qlSimpleQuoteSetValue(F14,Y14/100,Trigger)</f>
        <v>#NUM!</v>
      </c>
      <c r="AA14" s="98"/>
      <c r="AB14" s="12"/>
      <c r="AC14" s="12"/>
      <c r="AD14" s="12"/>
      <c r="AE14" s="12"/>
      <c r="AF14" s="12"/>
      <c r="AG14" s="137"/>
    </row>
    <row r="15" spans="1:33" ht="11.25" customHeight="1" x14ac:dyDescent="0.2">
      <c r="A15" s="52"/>
      <c r="B15" s="85" t="s">
        <v>53</v>
      </c>
      <c r="C15" s="27" t="s">
        <v>188</v>
      </c>
      <c r="D15" s="27" t="s">
        <v>189</v>
      </c>
      <c r="E15" s="25" t="str">
        <f t="shared" si="0"/>
        <v>CNYQM3AB7Y_Quote</v>
      </c>
      <c r="F15" s="25" t="str">
        <f>_xll.qlSimpleQuote(Currency&amp;$C15&amp;$D15&amp;$B15&amp;QuoteSuffix,,RateTickValue,Permanent,Trigger,ObjectOverwrite)</f>
        <v>CNYQM3AB7Y_Quote#0003</v>
      </c>
      <c r="G15" s="82" t="str">
        <f>_xll.ohRangeRetrieveError(F15)</f>
        <v/>
      </c>
      <c r="H15" s="19"/>
      <c r="K15" s="52"/>
      <c r="L15" s="115" t="s">
        <v>53</v>
      </c>
      <c r="M15" s="146" t="s">
        <v>188</v>
      </c>
      <c r="N15" s="146" t="s">
        <v>210</v>
      </c>
      <c r="O15" s="144" t="str">
        <f t="shared" si="1"/>
        <v>CNYQM3S7YN</v>
      </c>
      <c r="P15" s="144" t="str">
        <v>CNYQM3S7YN=TRHK</v>
      </c>
      <c r="Q15" s="109">
        <v>5.52</v>
      </c>
      <c r="R15" s="109">
        <v>5.72</v>
      </c>
      <c r="S15" s="109">
        <v>0</v>
      </c>
      <c r="T15" s="109">
        <v>0</v>
      </c>
      <c r="U15" s="113">
        <f>_xll.qlMidSafe($Q15,$R15)</f>
        <v>5.6199999999999992</v>
      </c>
      <c r="V15" s="111"/>
      <c r="W15" s="112">
        <v>5.6199999999999992</v>
      </c>
      <c r="X15" s="111"/>
      <c r="Y15" s="162">
        <v>5.6199999999999992</v>
      </c>
      <c r="Z15" s="108" t="e">
        <f>_xll.qlSimpleQuoteSetValue(F15,Y15/100,Trigger)</f>
        <v>#N/A</v>
      </c>
      <c r="AA15" s="98"/>
      <c r="AB15" s="12"/>
      <c r="AC15" s="12"/>
      <c r="AD15" s="12"/>
      <c r="AE15" s="12"/>
      <c r="AF15" s="12"/>
      <c r="AG15" s="137"/>
    </row>
    <row r="16" spans="1:33" ht="11.25" customHeight="1" x14ac:dyDescent="0.2">
      <c r="A16" s="52"/>
      <c r="B16" s="85" t="s">
        <v>52</v>
      </c>
      <c r="C16" s="27" t="s">
        <v>188</v>
      </c>
      <c r="D16" s="27" t="s">
        <v>189</v>
      </c>
      <c r="E16" s="25" t="str">
        <f t="shared" si="0"/>
        <v>CNYQM3AB8Y_Quote</v>
      </c>
      <c r="F16" s="25" t="str">
        <f>_xll.qlSimpleQuote(Currency&amp;$C16&amp;$D16&amp;$B16&amp;QuoteSuffix,,RateTickValue,Permanent,Trigger,ObjectOverwrite)</f>
        <v>CNYQM3AB8Y_Quote#0003</v>
      </c>
      <c r="G16" s="82" t="str">
        <f>_xll.ohRangeRetrieveError(F16)</f>
        <v/>
      </c>
      <c r="H16" s="19"/>
      <c r="K16" s="52"/>
      <c r="L16" s="115" t="s">
        <v>52</v>
      </c>
      <c r="M16" s="146" t="s">
        <v>188</v>
      </c>
      <c r="N16" s="146" t="s">
        <v>210</v>
      </c>
      <c r="O16" s="144" t="str">
        <f t="shared" si="1"/>
        <v>CNYQM3S8YN</v>
      </c>
      <c r="P16" s="144" t="str">
        <v>CNYQM3S8YN=TRHK</v>
      </c>
      <c r="Q16" s="109" t="s">
        <v>135</v>
      </c>
      <c r="R16" s="109" t="s">
        <v>135</v>
      </c>
      <c r="S16" s="109" t="s">
        <v>135</v>
      </c>
      <c r="T16" s="109" t="s">
        <v>135</v>
      </c>
      <c r="U16" s="113" t="e">
        <f>_xll.qlMidSafe($Q16,$R16)</f>
        <v>#NUM!</v>
      </c>
      <c r="V16" s="111"/>
      <c r="W16" s="112" t="e">
        <v>#NUM!</v>
      </c>
      <c r="X16" s="111"/>
      <c r="Y16" s="162" t="e">
        <v>#NUM!</v>
      </c>
      <c r="Z16" s="108" t="e">
        <f>_xll.qlSimpleQuoteSetValue(F16,Y16/100,Trigger)</f>
        <v>#NUM!</v>
      </c>
      <c r="AA16" s="98"/>
      <c r="AB16" s="12"/>
      <c r="AC16" s="12"/>
      <c r="AD16" s="12"/>
      <c r="AE16" s="12"/>
      <c r="AF16" s="12"/>
      <c r="AG16" s="137"/>
    </row>
    <row r="17" spans="1:33" ht="11.25" customHeight="1" x14ac:dyDescent="0.2">
      <c r="A17" s="52"/>
      <c r="B17" s="85" t="s">
        <v>51</v>
      </c>
      <c r="C17" s="27" t="s">
        <v>188</v>
      </c>
      <c r="D17" s="27" t="s">
        <v>189</v>
      </c>
      <c r="E17" s="25" t="str">
        <f t="shared" si="0"/>
        <v>CNYQM3AB9Y_Quote</v>
      </c>
      <c r="F17" s="25" t="str">
        <f>_xll.qlSimpleQuote(Currency&amp;$C17&amp;$D17&amp;$B17&amp;QuoteSuffix,,RateTickValue,Permanent,Trigger,ObjectOverwrite)</f>
        <v>CNYQM3AB9Y_Quote#0003</v>
      </c>
      <c r="G17" s="82" t="str">
        <f>_xll.ohRangeRetrieveError(F17)</f>
        <v/>
      </c>
      <c r="H17" s="19"/>
      <c r="K17" s="52"/>
      <c r="L17" s="115" t="s">
        <v>51</v>
      </c>
      <c r="M17" s="146" t="s">
        <v>188</v>
      </c>
      <c r="N17" s="146" t="s">
        <v>210</v>
      </c>
      <c r="O17" s="144" t="str">
        <f t="shared" si="1"/>
        <v>CNYQM3S9YN</v>
      </c>
      <c r="P17" s="144" t="str">
        <v>CNYQM3S9YN=TRHK</v>
      </c>
      <c r="Q17" s="109" t="s">
        <v>135</v>
      </c>
      <c r="R17" s="109" t="s">
        <v>135</v>
      </c>
      <c r="S17" s="109" t="s">
        <v>135</v>
      </c>
      <c r="T17" s="109" t="s">
        <v>135</v>
      </c>
      <c r="U17" s="113" t="e">
        <f>_xll.qlMidSafe($Q17,$R17)</f>
        <v>#NUM!</v>
      </c>
      <c r="V17" s="111"/>
      <c r="W17" s="112" t="e">
        <v>#NUM!</v>
      </c>
      <c r="X17" s="111"/>
      <c r="Y17" s="162" t="e">
        <v>#NUM!</v>
      </c>
      <c r="Z17" s="108" t="e">
        <f>_xll.qlSimpleQuoteSetValue(F17,Y17/100,Trigger)</f>
        <v>#NUM!</v>
      </c>
      <c r="AA17" s="98"/>
      <c r="AB17" s="12"/>
      <c r="AC17" s="12"/>
      <c r="AD17" s="12"/>
      <c r="AE17" s="12"/>
      <c r="AF17" s="12"/>
      <c r="AG17" s="137"/>
    </row>
    <row r="18" spans="1:33" ht="11.25" customHeight="1" x14ac:dyDescent="0.2">
      <c r="A18" s="52"/>
      <c r="B18" s="85" t="s">
        <v>50</v>
      </c>
      <c r="C18" s="27" t="s">
        <v>188</v>
      </c>
      <c r="D18" s="27" t="s">
        <v>189</v>
      </c>
      <c r="E18" s="25" t="str">
        <f t="shared" si="0"/>
        <v>CNYQM3AB10Y_Quote</v>
      </c>
      <c r="F18" s="25" t="str">
        <f>_xll.qlSimpleQuote(Currency&amp;$C18&amp;$D18&amp;$B18&amp;QuoteSuffix,,RateTickValue,Permanent,Trigger,ObjectOverwrite)</f>
        <v>CNYQM3AB10Y_Quote#0003</v>
      </c>
      <c r="G18" s="82" t="str">
        <f>_xll.ohRangeRetrieveError(F18)</f>
        <v/>
      </c>
      <c r="H18" s="19"/>
      <c r="K18" s="52"/>
      <c r="L18" s="115" t="s">
        <v>50</v>
      </c>
      <c r="M18" s="146" t="s">
        <v>188</v>
      </c>
      <c r="N18" s="146" t="s">
        <v>210</v>
      </c>
      <c r="O18" s="144" t="str">
        <f t="shared" si="1"/>
        <v>CNYQM3S10YN</v>
      </c>
      <c r="P18" s="144" t="str">
        <v>CNYQM3S10YN=TRHK</v>
      </c>
      <c r="Q18" s="109">
        <v>5.57</v>
      </c>
      <c r="R18" s="109">
        <v>5.77</v>
      </c>
      <c r="S18" s="109">
        <v>0</v>
      </c>
      <c r="T18" s="109">
        <v>0</v>
      </c>
      <c r="U18" s="113">
        <f>_xll.qlMidSafe($Q18,$R18)</f>
        <v>5.67</v>
      </c>
      <c r="V18" s="111"/>
      <c r="W18" s="112">
        <v>5.67</v>
      </c>
      <c r="X18" s="111"/>
      <c r="Y18" s="162">
        <v>5.67</v>
      </c>
      <c r="Z18" s="108" t="e">
        <f>_xll.qlSimpleQuoteSetValue(F18,Y18/100,Trigger)</f>
        <v>#N/A</v>
      </c>
      <c r="AA18" s="98"/>
      <c r="AB18" s="12"/>
      <c r="AC18" s="12"/>
      <c r="AD18" s="12"/>
      <c r="AE18" s="12"/>
      <c r="AF18" s="12"/>
      <c r="AG18" s="137"/>
    </row>
    <row r="19" spans="1:33" ht="11.25" customHeight="1" x14ac:dyDescent="0.2">
      <c r="A19" s="52"/>
      <c r="B19" s="85" t="s">
        <v>49</v>
      </c>
      <c r="C19" s="27" t="s">
        <v>188</v>
      </c>
      <c r="D19" s="27" t="s">
        <v>189</v>
      </c>
      <c r="E19" s="25" t="str">
        <f t="shared" si="0"/>
        <v>CNYQM3AB11Y_Quote</v>
      </c>
      <c r="F19" s="25" t="str">
        <f>_xll.qlSimpleQuote(Currency&amp;$C19&amp;$D19&amp;$B19&amp;QuoteSuffix,,RateTickValue,Permanent,Trigger,ObjectOverwrite)</f>
        <v>CNYQM3AB11Y_Quote#0003</v>
      </c>
      <c r="G19" s="82" t="str">
        <f>_xll.ohRangeRetrieveError(F19)</f>
        <v/>
      </c>
      <c r="H19" s="19"/>
      <c r="K19" s="52"/>
      <c r="L19" s="115" t="s">
        <v>49</v>
      </c>
      <c r="M19" s="146" t="s">
        <v>188</v>
      </c>
      <c r="N19" s="146" t="s">
        <v>210</v>
      </c>
      <c r="O19" s="144" t="str">
        <f t="shared" si="1"/>
        <v>CNYQM3S11YN</v>
      </c>
      <c r="P19" s="144" t="str">
        <v>CNYQM3S11YN=TRHK</v>
      </c>
      <c r="Q19" s="109" t="s">
        <v>135</v>
      </c>
      <c r="R19" s="109" t="s">
        <v>135</v>
      </c>
      <c r="S19" s="109" t="s">
        <v>135</v>
      </c>
      <c r="T19" s="109" t="s">
        <v>135</v>
      </c>
      <c r="U19" s="113" t="e">
        <f>_xll.qlMidSafe($Q19,$R19)</f>
        <v>#NUM!</v>
      </c>
      <c r="V19" s="111"/>
      <c r="W19" s="112" t="e">
        <v>#NUM!</v>
      </c>
      <c r="X19" s="111"/>
      <c r="Y19" s="162" t="e">
        <v>#NUM!</v>
      </c>
      <c r="Z19" s="108" t="e">
        <f>_xll.qlSimpleQuoteSetValue(F19,Y19/100,Trigger)</f>
        <v>#NUM!</v>
      </c>
      <c r="AA19" s="98"/>
      <c r="AB19" s="12"/>
      <c r="AC19" s="12"/>
      <c r="AD19" s="12"/>
      <c r="AE19" s="12"/>
      <c r="AF19" s="12"/>
      <c r="AG19" s="137"/>
    </row>
    <row r="20" spans="1:33" ht="11.25" customHeight="1" x14ac:dyDescent="0.2">
      <c r="A20" s="52"/>
      <c r="B20" s="85" t="s">
        <v>48</v>
      </c>
      <c r="C20" s="27" t="s">
        <v>188</v>
      </c>
      <c r="D20" s="27" t="s">
        <v>189</v>
      </c>
      <c r="E20" s="25" t="str">
        <f t="shared" si="0"/>
        <v>CNYQM3AB12Y_Quote</v>
      </c>
      <c r="F20" s="25" t="str">
        <f>_xll.qlSimpleQuote(Currency&amp;$C20&amp;$D20&amp;$B20&amp;QuoteSuffix,,RateTickValue,Permanent,Trigger,ObjectOverwrite)</f>
        <v>CNYQM3AB12Y_Quote#0003</v>
      </c>
      <c r="G20" s="82" t="str">
        <f>_xll.ohRangeRetrieveError(F20)</f>
        <v/>
      </c>
      <c r="H20" s="19"/>
      <c r="K20" s="52"/>
      <c r="L20" s="115" t="s">
        <v>48</v>
      </c>
      <c r="M20" s="146" t="s">
        <v>188</v>
      </c>
      <c r="N20" s="146" t="s">
        <v>210</v>
      </c>
      <c r="O20" s="144" t="str">
        <f t="shared" si="1"/>
        <v>CNYQM3S12YN</v>
      </c>
      <c r="P20" s="144" t="str">
        <v>CNYQM3S12YN=TRHK</v>
      </c>
      <c r="Q20" s="109" t="s">
        <v>135</v>
      </c>
      <c r="R20" s="109" t="s">
        <v>135</v>
      </c>
      <c r="S20" s="109" t="s">
        <v>135</v>
      </c>
      <c r="T20" s="109" t="s">
        <v>135</v>
      </c>
      <c r="U20" s="113" t="e">
        <f>_xll.qlMidSafe($Q20,$R20)</f>
        <v>#NUM!</v>
      </c>
      <c r="V20" s="111"/>
      <c r="W20" s="112" t="e">
        <v>#NUM!</v>
      </c>
      <c r="X20" s="111"/>
      <c r="Y20" s="162" t="e">
        <v>#NUM!</v>
      </c>
      <c r="Z20" s="108" t="e">
        <f>_xll.qlSimpleQuoteSetValue(F20,Y20/100,Trigger)</f>
        <v>#NUM!</v>
      </c>
      <c r="AA20" s="98"/>
      <c r="AB20" s="12"/>
      <c r="AC20" s="12"/>
      <c r="AD20" s="12"/>
      <c r="AE20" s="12"/>
      <c r="AF20" s="12"/>
      <c r="AG20" s="137"/>
    </row>
    <row r="21" spans="1:33" ht="11.25" customHeight="1" x14ac:dyDescent="0.2">
      <c r="A21" s="52"/>
      <c r="B21" s="85" t="s">
        <v>47</v>
      </c>
      <c r="C21" s="27" t="s">
        <v>188</v>
      </c>
      <c r="D21" s="27" t="s">
        <v>189</v>
      </c>
      <c r="E21" s="25" t="str">
        <f t="shared" si="0"/>
        <v>CNYQM3AB13Y_Quote</v>
      </c>
      <c r="F21" s="25" t="str">
        <f>_xll.qlSimpleQuote(Currency&amp;$C21&amp;$D21&amp;$B21&amp;QuoteSuffix,,RateTickValue,Permanent,Trigger,ObjectOverwrite)</f>
        <v>CNYQM3AB13Y_Quote#0003</v>
      </c>
      <c r="G21" s="82" t="str">
        <f>_xll.ohRangeRetrieveError(F21)</f>
        <v/>
      </c>
      <c r="H21" s="19"/>
      <c r="K21" s="52"/>
      <c r="L21" s="115" t="s">
        <v>47</v>
      </c>
      <c r="M21" s="146" t="s">
        <v>188</v>
      </c>
      <c r="N21" s="146" t="s">
        <v>210</v>
      </c>
      <c r="O21" s="144" t="str">
        <f t="shared" si="1"/>
        <v>CNYQM3S13YN</v>
      </c>
      <c r="P21" s="144" t="str">
        <v>CNYQM3S13YN=TRHK</v>
      </c>
      <c r="Q21" s="109" t="s">
        <v>135</v>
      </c>
      <c r="R21" s="109" t="s">
        <v>135</v>
      </c>
      <c r="S21" s="109" t="s">
        <v>135</v>
      </c>
      <c r="T21" s="109" t="s">
        <v>135</v>
      </c>
      <c r="U21" s="113" t="e">
        <f>_xll.qlMidSafe($Q21,$R21)</f>
        <v>#NUM!</v>
      </c>
      <c r="V21" s="111"/>
      <c r="W21" s="112" t="e">
        <v>#NUM!</v>
      </c>
      <c r="X21" s="111"/>
      <c r="Y21" s="162" t="e">
        <v>#NUM!</v>
      </c>
      <c r="Z21" s="108" t="e">
        <f>_xll.qlSimpleQuoteSetValue(F21,Y21/100,Trigger)</f>
        <v>#NUM!</v>
      </c>
      <c r="AA21" s="98"/>
      <c r="AB21" s="12"/>
      <c r="AC21" s="12"/>
      <c r="AD21" s="12"/>
      <c r="AE21" s="12"/>
      <c r="AF21" s="12"/>
      <c r="AG21" s="137"/>
    </row>
    <row r="22" spans="1:33" ht="11.25" customHeight="1" x14ac:dyDescent="0.2">
      <c r="A22" s="52"/>
      <c r="B22" s="85" t="s">
        <v>46</v>
      </c>
      <c r="C22" s="27" t="s">
        <v>188</v>
      </c>
      <c r="D22" s="27" t="s">
        <v>189</v>
      </c>
      <c r="E22" s="25" t="str">
        <f t="shared" si="0"/>
        <v>CNYQM3AB14Y_Quote</v>
      </c>
      <c r="F22" s="25" t="str">
        <f>_xll.qlSimpleQuote(Currency&amp;$C22&amp;$D22&amp;$B22&amp;QuoteSuffix,,RateTickValue,Permanent,Trigger,ObjectOverwrite)</f>
        <v>CNYQM3AB14Y_Quote#0003</v>
      </c>
      <c r="G22" s="82" t="str">
        <f>_xll.ohRangeRetrieveError(F22)</f>
        <v/>
      </c>
      <c r="H22" s="19"/>
      <c r="K22" s="52"/>
      <c r="L22" s="115" t="s">
        <v>46</v>
      </c>
      <c r="M22" s="146" t="s">
        <v>188</v>
      </c>
      <c r="N22" s="146" t="s">
        <v>210</v>
      </c>
      <c r="O22" s="144" t="str">
        <f t="shared" si="1"/>
        <v>CNYQM3S14YN</v>
      </c>
      <c r="P22" s="144" t="str">
        <v>CNYQM3S14YN=TRHK</v>
      </c>
      <c r="Q22" s="109" t="s">
        <v>135</v>
      </c>
      <c r="R22" s="109" t="s">
        <v>135</v>
      </c>
      <c r="S22" s="109" t="s">
        <v>135</v>
      </c>
      <c r="T22" s="109" t="s">
        <v>135</v>
      </c>
      <c r="U22" s="113" t="e">
        <f>_xll.qlMidSafe($Q22,$R22)</f>
        <v>#NUM!</v>
      </c>
      <c r="V22" s="111"/>
      <c r="W22" s="112" t="e">
        <v>#NUM!</v>
      </c>
      <c r="X22" s="111"/>
      <c r="Y22" s="162" t="e">
        <v>#NUM!</v>
      </c>
      <c r="Z22" s="108" t="e">
        <f>_xll.qlSimpleQuoteSetValue(F22,Y22/100,Trigger)</f>
        <v>#NUM!</v>
      </c>
      <c r="AA22" s="98"/>
      <c r="AB22" s="12"/>
      <c r="AC22" s="12"/>
      <c r="AD22" s="12"/>
      <c r="AE22" s="12"/>
      <c r="AF22" s="12"/>
      <c r="AG22" s="137"/>
    </row>
    <row r="23" spans="1:33" ht="11.25" customHeight="1" x14ac:dyDescent="0.2">
      <c r="A23" s="52"/>
      <c r="B23" s="85" t="s">
        <v>45</v>
      </c>
      <c r="C23" s="27" t="s">
        <v>188</v>
      </c>
      <c r="D23" s="27" t="s">
        <v>189</v>
      </c>
      <c r="E23" s="25" t="str">
        <f t="shared" si="0"/>
        <v>CNYQM3AB15Y_Quote</v>
      </c>
      <c r="F23" s="25" t="str">
        <f>_xll.qlSimpleQuote(Currency&amp;$C23&amp;$D23&amp;$B23&amp;QuoteSuffix,,RateTickValue,Permanent,Trigger,ObjectOverwrite)</f>
        <v>CNYQM3AB15Y_Quote#0003</v>
      </c>
      <c r="G23" s="82" t="str">
        <f>_xll.ohRangeRetrieveError(F23)</f>
        <v/>
      </c>
      <c r="H23" s="19"/>
      <c r="K23" s="52"/>
      <c r="L23" s="115" t="s">
        <v>45</v>
      </c>
      <c r="M23" s="146" t="s">
        <v>188</v>
      </c>
      <c r="N23" s="146" t="s">
        <v>210</v>
      </c>
      <c r="O23" s="144" t="str">
        <f t="shared" si="1"/>
        <v>CNYQM3S15YN</v>
      </c>
      <c r="P23" s="144" t="str">
        <v>CNYQM3S15YN=TRHK</v>
      </c>
      <c r="Q23" s="109" t="s">
        <v>135</v>
      </c>
      <c r="R23" s="109" t="s">
        <v>135</v>
      </c>
      <c r="S23" s="109" t="s">
        <v>135</v>
      </c>
      <c r="T23" s="109" t="s">
        <v>135</v>
      </c>
      <c r="U23" s="113" t="e">
        <f>_xll.qlMidSafe($Q23,$R23)</f>
        <v>#NUM!</v>
      </c>
      <c r="V23" s="111"/>
      <c r="W23" s="112" t="e">
        <v>#NUM!</v>
      </c>
      <c r="X23" s="111"/>
      <c r="Y23" s="162" t="e">
        <v>#NUM!</v>
      </c>
      <c r="Z23" s="108" t="e">
        <f>_xll.qlSimpleQuoteSetValue(F23,Y23/100,Trigger)</f>
        <v>#NUM!</v>
      </c>
      <c r="AA23" s="98"/>
      <c r="AB23" s="12"/>
      <c r="AC23" s="12"/>
      <c r="AD23" s="12"/>
      <c r="AE23" s="12"/>
      <c r="AF23" s="12"/>
      <c r="AG23" s="137"/>
    </row>
    <row r="24" spans="1:33" ht="11.25" customHeight="1" x14ac:dyDescent="0.2">
      <c r="A24" s="52"/>
      <c r="B24" s="85" t="s">
        <v>44</v>
      </c>
      <c r="C24" s="27" t="s">
        <v>188</v>
      </c>
      <c r="D24" s="27" t="s">
        <v>189</v>
      </c>
      <c r="E24" s="25" t="str">
        <f t="shared" si="0"/>
        <v>CNYQM3AB16Y_Quote</v>
      </c>
      <c r="F24" s="25" t="str">
        <f>_xll.qlSimpleQuote(Currency&amp;$C24&amp;$D24&amp;$B24&amp;QuoteSuffix,,RateTickValue,Permanent,Trigger,ObjectOverwrite)</f>
        <v>CNYQM3AB16Y_Quote#0003</v>
      </c>
      <c r="G24" s="82" t="str">
        <f>_xll.ohRangeRetrieveError(F24)</f>
        <v/>
      </c>
      <c r="H24" s="19"/>
      <c r="K24" s="52"/>
      <c r="L24" s="115" t="s">
        <v>44</v>
      </c>
      <c r="M24" s="146" t="s">
        <v>188</v>
      </c>
      <c r="N24" s="146" t="s">
        <v>210</v>
      </c>
      <c r="O24" s="144" t="str">
        <f t="shared" si="1"/>
        <v>CNYQM3S16YN</v>
      </c>
      <c r="P24" s="144" t="str">
        <v>CNYQM3S16YN=TRHK</v>
      </c>
      <c r="Q24" s="109" t="s">
        <v>135</v>
      </c>
      <c r="R24" s="109" t="s">
        <v>135</v>
      </c>
      <c r="S24" s="109" t="s">
        <v>135</v>
      </c>
      <c r="T24" s="109" t="s">
        <v>135</v>
      </c>
      <c r="U24" s="113" t="e">
        <f>_xll.qlMidSafe($Q24,$R24)</f>
        <v>#NUM!</v>
      </c>
      <c r="V24" s="111"/>
      <c r="W24" s="112" t="e">
        <v>#NUM!</v>
      </c>
      <c r="X24" s="111"/>
      <c r="Y24" s="162" t="e">
        <v>#NUM!</v>
      </c>
      <c r="Z24" s="108" t="e">
        <f>_xll.qlSimpleQuoteSetValue(F24,Y24/100,Trigger)</f>
        <v>#NUM!</v>
      </c>
      <c r="AA24" s="98"/>
      <c r="AB24" s="12"/>
      <c r="AC24" s="12"/>
      <c r="AD24" s="12"/>
      <c r="AE24" s="12"/>
      <c r="AF24" s="12"/>
      <c r="AG24" s="137"/>
    </row>
    <row r="25" spans="1:33" ht="11.25" customHeight="1" x14ac:dyDescent="0.2">
      <c r="A25" s="52"/>
      <c r="B25" s="85" t="s">
        <v>43</v>
      </c>
      <c r="C25" s="27" t="s">
        <v>188</v>
      </c>
      <c r="D25" s="27" t="s">
        <v>189</v>
      </c>
      <c r="E25" s="25" t="str">
        <f t="shared" si="0"/>
        <v>CNYQM3AB17Y_Quote</v>
      </c>
      <c r="F25" s="25" t="str">
        <f>_xll.qlSimpleQuote(Currency&amp;$C25&amp;$D25&amp;$B25&amp;QuoteSuffix,,RateTickValue,Permanent,Trigger,ObjectOverwrite)</f>
        <v>CNYQM3AB17Y_Quote#0003</v>
      </c>
      <c r="G25" s="82" t="str">
        <f>_xll.ohRangeRetrieveError(F25)</f>
        <v/>
      </c>
      <c r="H25" s="19"/>
      <c r="K25" s="52"/>
      <c r="L25" s="115" t="s">
        <v>43</v>
      </c>
      <c r="M25" s="146" t="s">
        <v>188</v>
      </c>
      <c r="N25" s="146" t="s">
        <v>210</v>
      </c>
      <c r="O25" s="144" t="str">
        <f t="shared" si="1"/>
        <v>CNYQM3S17YN</v>
      </c>
      <c r="P25" s="144" t="str">
        <v>CNYQM3S17YN=TRHK</v>
      </c>
      <c r="Q25" s="109" t="s">
        <v>135</v>
      </c>
      <c r="R25" s="109" t="s">
        <v>135</v>
      </c>
      <c r="S25" s="109" t="s">
        <v>135</v>
      </c>
      <c r="T25" s="109" t="s">
        <v>135</v>
      </c>
      <c r="U25" s="113" t="e">
        <f>_xll.qlMidSafe($Q25,$R25)</f>
        <v>#NUM!</v>
      </c>
      <c r="V25" s="111"/>
      <c r="W25" s="112" t="e">
        <v>#NUM!</v>
      </c>
      <c r="X25" s="111"/>
      <c r="Y25" s="162" t="e">
        <v>#NUM!</v>
      </c>
      <c r="Z25" s="108" t="e">
        <f>_xll.qlSimpleQuoteSetValue(F25,Y25/100,Trigger)</f>
        <v>#NUM!</v>
      </c>
      <c r="AA25" s="98"/>
      <c r="AB25" s="12"/>
      <c r="AC25" s="12"/>
      <c r="AD25" s="12"/>
      <c r="AE25" s="12"/>
      <c r="AF25" s="12"/>
      <c r="AG25" s="137"/>
    </row>
    <row r="26" spans="1:33" ht="11.25" customHeight="1" x14ac:dyDescent="0.2">
      <c r="A26" s="52"/>
      <c r="B26" s="85" t="s">
        <v>42</v>
      </c>
      <c r="C26" s="27" t="s">
        <v>188</v>
      </c>
      <c r="D26" s="27" t="s">
        <v>189</v>
      </c>
      <c r="E26" s="25" t="str">
        <f t="shared" si="0"/>
        <v>CNYQM3AB18Y_Quote</v>
      </c>
      <c r="F26" s="25" t="str">
        <f>_xll.qlSimpleQuote(Currency&amp;$C26&amp;$D26&amp;$B26&amp;QuoteSuffix,,RateTickValue,Permanent,Trigger,ObjectOverwrite)</f>
        <v>CNYQM3AB18Y_Quote#0003</v>
      </c>
      <c r="G26" s="82" t="str">
        <f>_xll.ohRangeRetrieveError(F26)</f>
        <v/>
      </c>
      <c r="H26" s="19"/>
      <c r="K26" s="52"/>
      <c r="L26" s="115" t="s">
        <v>42</v>
      </c>
      <c r="M26" s="146" t="s">
        <v>188</v>
      </c>
      <c r="N26" s="146" t="s">
        <v>210</v>
      </c>
      <c r="O26" s="144" t="str">
        <f t="shared" si="1"/>
        <v>CNYQM3S18YN</v>
      </c>
      <c r="P26" s="144" t="str">
        <v>CNYQM3S18YN=TRHK</v>
      </c>
      <c r="Q26" s="109" t="s">
        <v>135</v>
      </c>
      <c r="R26" s="109" t="s">
        <v>135</v>
      </c>
      <c r="S26" s="109" t="s">
        <v>135</v>
      </c>
      <c r="T26" s="109" t="s">
        <v>135</v>
      </c>
      <c r="U26" s="113" t="e">
        <f>_xll.qlMidSafe($Q26,$R26)</f>
        <v>#NUM!</v>
      </c>
      <c r="V26" s="111"/>
      <c r="W26" s="112" t="e">
        <v>#NUM!</v>
      </c>
      <c r="X26" s="111"/>
      <c r="Y26" s="162" t="e">
        <v>#NUM!</v>
      </c>
      <c r="Z26" s="108" t="e">
        <f>_xll.qlSimpleQuoteSetValue(F26,Y26/100,Trigger)</f>
        <v>#NUM!</v>
      </c>
      <c r="AA26" s="98"/>
      <c r="AB26" s="12"/>
      <c r="AC26" s="12"/>
      <c r="AD26" s="12"/>
      <c r="AE26" s="12"/>
      <c r="AF26" s="12"/>
      <c r="AG26" s="137"/>
    </row>
    <row r="27" spans="1:33" ht="11.25" customHeight="1" x14ac:dyDescent="0.2">
      <c r="A27" s="52"/>
      <c r="B27" s="85" t="s">
        <v>41</v>
      </c>
      <c r="C27" s="27" t="s">
        <v>188</v>
      </c>
      <c r="D27" s="27" t="s">
        <v>189</v>
      </c>
      <c r="E27" s="25" t="str">
        <f t="shared" si="0"/>
        <v>CNYQM3AB19Y_Quote</v>
      </c>
      <c r="F27" s="25" t="str">
        <f>_xll.qlSimpleQuote(Currency&amp;$C27&amp;$D27&amp;$B27&amp;QuoteSuffix,,RateTickValue,Permanent,Trigger,ObjectOverwrite)</f>
        <v>CNYQM3AB19Y_Quote#0003</v>
      </c>
      <c r="G27" s="82" t="str">
        <f>_xll.ohRangeRetrieveError(F27)</f>
        <v/>
      </c>
      <c r="H27" s="19"/>
      <c r="K27" s="52"/>
      <c r="L27" s="115" t="s">
        <v>41</v>
      </c>
      <c r="M27" s="146" t="s">
        <v>188</v>
      </c>
      <c r="N27" s="146" t="s">
        <v>210</v>
      </c>
      <c r="O27" s="144" t="str">
        <f t="shared" si="1"/>
        <v>CNYQM3S19YN</v>
      </c>
      <c r="P27" s="144" t="str">
        <v>CNYQM3S19YN=TRHK</v>
      </c>
      <c r="Q27" s="109" t="s">
        <v>135</v>
      </c>
      <c r="R27" s="109" t="s">
        <v>135</v>
      </c>
      <c r="S27" s="109" t="s">
        <v>135</v>
      </c>
      <c r="T27" s="109" t="s">
        <v>135</v>
      </c>
      <c r="U27" s="113" t="e">
        <f>_xll.qlMidSafe($Q27,$R27)</f>
        <v>#NUM!</v>
      </c>
      <c r="V27" s="111"/>
      <c r="W27" s="112" t="e">
        <v>#NUM!</v>
      </c>
      <c r="X27" s="111"/>
      <c r="Y27" s="162" t="e">
        <v>#NUM!</v>
      </c>
      <c r="Z27" s="108" t="e">
        <f>_xll.qlSimpleQuoteSetValue(F27,Y27/100,Trigger)</f>
        <v>#NUM!</v>
      </c>
      <c r="AA27" s="98"/>
      <c r="AB27" s="12"/>
      <c r="AC27" s="12"/>
      <c r="AD27" s="12"/>
      <c r="AE27" s="12"/>
      <c r="AF27" s="12"/>
      <c r="AG27" s="137"/>
    </row>
    <row r="28" spans="1:33" ht="11.25" customHeight="1" x14ac:dyDescent="0.2">
      <c r="A28" s="52"/>
      <c r="B28" s="85" t="s">
        <v>40</v>
      </c>
      <c r="C28" s="27" t="s">
        <v>188</v>
      </c>
      <c r="D28" s="27" t="s">
        <v>189</v>
      </c>
      <c r="E28" s="25" t="str">
        <f t="shared" si="0"/>
        <v>CNYQM3AB20Y_Quote</v>
      </c>
      <c r="F28" s="25" t="str">
        <f>_xll.qlSimpleQuote(Currency&amp;$C28&amp;$D28&amp;$B28&amp;QuoteSuffix,,RateTickValue,Permanent,Trigger,ObjectOverwrite)</f>
        <v>CNYQM3AB20Y_Quote#0003</v>
      </c>
      <c r="G28" s="82" t="str">
        <f>_xll.ohRangeRetrieveError(F28)</f>
        <v/>
      </c>
      <c r="H28" s="19"/>
      <c r="K28" s="52"/>
      <c r="L28" s="115" t="s">
        <v>40</v>
      </c>
      <c r="M28" s="146" t="s">
        <v>188</v>
      </c>
      <c r="N28" s="146" t="s">
        <v>210</v>
      </c>
      <c r="O28" s="144" t="str">
        <f t="shared" si="1"/>
        <v>CNYQM3S20YN</v>
      </c>
      <c r="P28" s="144" t="str">
        <v>CNYQM3S20YN=TRHK</v>
      </c>
      <c r="Q28" s="109" t="s">
        <v>135</v>
      </c>
      <c r="R28" s="109" t="s">
        <v>135</v>
      </c>
      <c r="S28" s="109" t="s">
        <v>135</v>
      </c>
      <c r="T28" s="109" t="s">
        <v>135</v>
      </c>
      <c r="U28" s="113" t="e">
        <f>_xll.qlMidSafe($Q28,$R28)</f>
        <v>#NUM!</v>
      </c>
      <c r="V28" s="111"/>
      <c r="W28" s="112" t="e">
        <v>#NUM!</v>
      </c>
      <c r="X28" s="111"/>
      <c r="Y28" s="162" t="e">
        <v>#NUM!</v>
      </c>
      <c r="Z28" s="108" t="e">
        <f>_xll.qlSimpleQuoteSetValue(F28,Y28/100,Trigger)</f>
        <v>#NUM!</v>
      </c>
      <c r="AA28" s="98"/>
      <c r="AB28" s="12"/>
      <c r="AC28" s="12"/>
      <c r="AD28" s="12"/>
      <c r="AE28" s="12"/>
      <c r="AF28" s="12"/>
      <c r="AG28" s="137"/>
    </row>
    <row r="29" spans="1:33" ht="11.25" customHeight="1" x14ac:dyDescent="0.2">
      <c r="A29" s="52"/>
      <c r="B29" s="85" t="s">
        <v>39</v>
      </c>
      <c r="C29" s="27" t="s">
        <v>188</v>
      </c>
      <c r="D29" s="27" t="s">
        <v>189</v>
      </c>
      <c r="E29" s="25" t="str">
        <f t="shared" si="0"/>
        <v>CNYQM3AB21Y_Quote</v>
      </c>
      <c r="F29" s="25" t="str">
        <f>_xll.qlSimpleQuote(Currency&amp;$C29&amp;$D29&amp;$B29&amp;QuoteSuffix,,RateTickValue,Permanent,Trigger,ObjectOverwrite)</f>
        <v>CNYQM3AB21Y_Quote#0003</v>
      </c>
      <c r="G29" s="82" t="str">
        <f>_xll.ohRangeRetrieveError(F29)</f>
        <v/>
      </c>
      <c r="H29" s="19"/>
      <c r="K29" s="52"/>
      <c r="L29" s="115" t="s">
        <v>39</v>
      </c>
      <c r="M29" s="146" t="s">
        <v>188</v>
      </c>
      <c r="N29" s="146" t="s">
        <v>210</v>
      </c>
      <c r="O29" s="144" t="str">
        <f t="shared" si="1"/>
        <v>CNYQM3S21YN</v>
      </c>
      <c r="P29" s="144" t="str">
        <v>CNYQM3S21YN=TRHK</v>
      </c>
      <c r="Q29" s="109" t="s">
        <v>135</v>
      </c>
      <c r="R29" s="109" t="s">
        <v>135</v>
      </c>
      <c r="S29" s="109" t="s">
        <v>135</v>
      </c>
      <c r="T29" s="109" t="s">
        <v>135</v>
      </c>
      <c r="U29" s="113" t="e">
        <f>_xll.qlMidSafe($Q29,$R29)</f>
        <v>#NUM!</v>
      </c>
      <c r="V29" s="111"/>
      <c r="W29" s="112" t="e">
        <v>#NUM!</v>
      </c>
      <c r="X29" s="111"/>
      <c r="Y29" s="162" t="e">
        <v>#NUM!</v>
      </c>
      <c r="Z29" s="108" t="e">
        <f>_xll.qlSimpleQuoteSetValue(F29,Y29/100,Trigger)</f>
        <v>#NUM!</v>
      </c>
      <c r="AA29" s="98"/>
      <c r="AB29" s="12"/>
      <c r="AC29" s="12"/>
      <c r="AD29" s="12"/>
      <c r="AE29" s="12"/>
      <c r="AF29" s="12"/>
      <c r="AG29" s="137"/>
    </row>
    <row r="30" spans="1:33" ht="11.25" customHeight="1" x14ac:dyDescent="0.2">
      <c r="A30" s="52"/>
      <c r="B30" s="85" t="s">
        <v>38</v>
      </c>
      <c r="C30" s="27" t="s">
        <v>188</v>
      </c>
      <c r="D30" s="27" t="s">
        <v>189</v>
      </c>
      <c r="E30" s="25" t="str">
        <f t="shared" si="0"/>
        <v>CNYQM3AB22Y_Quote</v>
      </c>
      <c r="F30" s="25" t="str">
        <f>_xll.qlSimpleQuote(Currency&amp;$C30&amp;$D30&amp;$B30&amp;QuoteSuffix,,RateTickValue,Permanent,Trigger,ObjectOverwrite)</f>
        <v>CNYQM3AB22Y_Quote#0003</v>
      </c>
      <c r="G30" s="82" t="str">
        <f>_xll.ohRangeRetrieveError(F30)</f>
        <v/>
      </c>
      <c r="H30" s="19"/>
      <c r="K30" s="52"/>
      <c r="L30" s="115" t="s">
        <v>38</v>
      </c>
      <c r="M30" s="146" t="s">
        <v>188</v>
      </c>
      <c r="N30" s="146" t="s">
        <v>210</v>
      </c>
      <c r="O30" s="144" t="str">
        <f t="shared" si="1"/>
        <v>CNYQM3S22YN</v>
      </c>
      <c r="P30" s="144" t="str">
        <v>CNYQM3S22YN=TRHK</v>
      </c>
      <c r="Q30" s="109" t="s">
        <v>135</v>
      </c>
      <c r="R30" s="109" t="s">
        <v>135</v>
      </c>
      <c r="S30" s="109" t="s">
        <v>135</v>
      </c>
      <c r="T30" s="109" t="s">
        <v>135</v>
      </c>
      <c r="U30" s="113" t="e">
        <f>_xll.qlMidSafe($Q30,$R30)</f>
        <v>#NUM!</v>
      </c>
      <c r="V30" s="111"/>
      <c r="W30" s="112" t="e">
        <v>#NUM!</v>
      </c>
      <c r="X30" s="111"/>
      <c r="Y30" s="162" t="e">
        <v>#NUM!</v>
      </c>
      <c r="Z30" s="108" t="e">
        <f>_xll.qlSimpleQuoteSetValue(F30,Y30/100,Trigger)</f>
        <v>#NUM!</v>
      </c>
      <c r="AA30" s="98"/>
      <c r="AB30" s="12"/>
      <c r="AC30" s="12"/>
      <c r="AD30" s="12"/>
      <c r="AE30" s="12"/>
      <c r="AF30" s="12"/>
      <c r="AG30" s="137"/>
    </row>
    <row r="31" spans="1:33" ht="11.25" customHeight="1" x14ac:dyDescent="0.2">
      <c r="A31" s="52"/>
      <c r="B31" s="85" t="s">
        <v>37</v>
      </c>
      <c r="C31" s="27" t="s">
        <v>188</v>
      </c>
      <c r="D31" s="27" t="s">
        <v>189</v>
      </c>
      <c r="E31" s="25" t="str">
        <f t="shared" si="0"/>
        <v>CNYQM3AB23Y_Quote</v>
      </c>
      <c r="F31" s="25" t="str">
        <f>_xll.qlSimpleQuote(Currency&amp;$C31&amp;$D31&amp;$B31&amp;QuoteSuffix,,RateTickValue,Permanent,Trigger,ObjectOverwrite)</f>
        <v>CNYQM3AB23Y_Quote#0003</v>
      </c>
      <c r="G31" s="82" t="str">
        <f>_xll.ohRangeRetrieveError(F31)</f>
        <v/>
      </c>
      <c r="H31" s="19"/>
      <c r="K31" s="52"/>
      <c r="L31" s="115" t="s">
        <v>37</v>
      </c>
      <c r="M31" s="146" t="s">
        <v>188</v>
      </c>
      <c r="N31" s="146" t="s">
        <v>210</v>
      </c>
      <c r="O31" s="144" t="str">
        <f t="shared" si="1"/>
        <v>CNYQM3S23YN</v>
      </c>
      <c r="P31" s="144" t="str">
        <v>CNYQM3S23YN=TRHK</v>
      </c>
      <c r="Q31" s="109" t="s">
        <v>135</v>
      </c>
      <c r="R31" s="109" t="s">
        <v>135</v>
      </c>
      <c r="S31" s="109" t="s">
        <v>135</v>
      </c>
      <c r="T31" s="109" t="s">
        <v>135</v>
      </c>
      <c r="U31" s="113" t="e">
        <f>_xll.qlMidSafe($Q31,$R31)</f>
        <v>#NUM!</v>
      </c>
      <c r="V31" s="111"/>
      <c r="W31" s="112" t="e">
        <v>#NUM!</v>
      </c>
      <c r="X31" s="111"/>
      <c r="Y31" s="162" t="e">
        <v>#NUM!</v>
      </c>
      <c r="Z31" s="108" t="e">
        <f>_xll.qlSimpleQuoteSetValue(F31,Y31/100,Trigger)</f>
        <v>#NUM!</v>
      </c>
      <c r="AA31" s="98"/>
      <c r="AB31" s="12"/>
      <c r="AC31" s="12"/>
      <c r="AD31" s="12"/>
      <c r="AE31" s="12"/>
      <c r="AF31" s="12"/>
      <c r="AG31" s="137"/>
    </row>
    <row r="32" spans="1:33" ht="11.25" customHeight="1" x14ac:dyDescent="0.2">
      <c r="A32" s="52"/>
      <c r="B32" s="85" t="s">
        <v>36</v>
      </c>
      <c r="C32" s="27" t="s">
        <v>188</v>
      </c>
      <c r="D32" s="27" t="s">
        <v>189</v>
      </c>
      <c r="E32" s="25" t="str">
        <f t="shared" si="0"/>
        <v>CNYQM3AB24Y_Quote</v>
      </c>
      <c r="F32" s="25" t="str">
        <f>_xll.qlSimpleQuote(Currency&amp;$C32&amp;$D32&amp;$B32&amp;QuoteSuffix,,RateTickValue,Permanent,Trigger,ObjectOverwrite)</f>
        <v>CNYQM3AB24Y_Quote#0003</v>
      </c>
      <c r="G32" s="82" t="str">
        <f>_xll.ohRangeRetrieveError(F32)</f>
        <v/>
      </c>
      <c r="H32" s="19"/>
      <c r="K32" s="52"/>
      <c r="L32" s="115" t="s">
        <v>36</v>
      </c>
      <c r="M32" s="146" t="s">
        <v>188</v>
      </c>
      <c r="N32" s="146" t="s">
        <v>210</v>
      </c>
      <c r="O32" s="144" t="str">
        <f t="shared" si="1"/>
        <v>CNYQM3S24YN</v>
      </c>
      <c r="P32" s="144" t="str">
        <v>CNYQM3S24YN=TRHK</v>
      </c>
      <c r="Q32" s="109" t="s">
        <v>135</v>
      </c>
      <c r="R32" s="109" t="s">
        <v>135</v>
      </c>
      <c r="S32" s="109" t="s">
        <v>135</v>
      </c>
      <c r="T32" s="109" t="s">
        <v>135</v>
      </c>
      <c r="U32" s="113" t="e">
        <f>_xll.qlMidSafe($Q32,$R32)</f>
        <v>#NUM!</v>
      </c>
      <c r="V32" s="111"/>
      <c r="W32" s="112" t="e">
        <v>#NUM!</v>
      </c>
      <c r="X32" s="111"/>
      <c r="Y32" s="162" t="e">
        <v>#NUM!</v>
      </c>
      <c r="Z32" s="108" t="e">
        <f>_xll.qlSimpleQuoteSetValue(F32,Y32/100,Trigger)</f>
        <v>#NUM!</v>
      </c>
      <c r="AA32" s="98"/>
      <c r="AB32" s="12"/>
      <c r="AC32" s="12"/>
      <c r="AD32" s="12"/>
      <c r="AE32" s="12"/>
      <c r="AF32" s="12"/>
      <c r="AG32" s="137"/>
    </row>
    <row r="33" spans="1:33" ht="11.25" customHeight="1" x14ac:dyDescent="0.2">
      <c r="A33" s="52"/>
      <c r="B33" s="85" t="s">
        <v>35</v>
      </c>
      <c r="C33" s="27" t="s">
        <v>188</v>
      </c>
      <c r="D33" s="27" t="s">
        <v>189</v>
      </c>
      <c r="E33" s="25" t="str">
        <f t="shared" si="0"/>
        <v>CNYQM3AB25Y_Quote</v>
      </c>
      <c r="F33" s="25" t="str">
        <f>_xll.qlSimpleQuote(Currency&amp;$C33&amp;$D33&amp;$B33&amp;QuoteSuffix,,RateTickValue,Permanent,Trigger,ObjectOverwrite)</f>
        <v>CNYQM3AB25Y_Quote#0003</v>
      </c>
      <c r="G33" s="82" t="str">
        <f>_xll.ohRangeRetrieveError(F33)</f>
        <v/>
      </c>
      <c r="H33" s="19"/>
      <c r="K33" s="52"/>
      <c r="L33" s="115" t="s">
        <v>35</v>
      </c>
      <c r="M33" s="146" t="s">
        <v>188</v>
      </c>
      <c r="N33" s="146" t="s">
        <v>210</v>
      </c>
      <c r="O33" s="144" t="str">
        <f t="shared" si="1"/>
        <v>CNYQM3S25YN</v>
      </c>
      <c r="P33" s="144" t="str">
        <v>CNYQM3S25YN=TRHK</v>
      </c>
      <c r="Q33" s="109" t="s">
        <v>135</v>
      </c>
      <c r="R33" s="109" t="s">
        <v>135</v>
      </c>
      <c r="S33" s="109" t="s">
        <v>135</v>
      </c>
      <c r="T33" s="109" t="s">
        <v>135</v>
      </c>
      <c r="U33" s="113" t="e">
        <f>_xll.qlMidSafe($Q33,$R33)</f>
        <v>#NUM!</v>
      </c>
      <c r="V33" s="111"/>
      <c r="W33" s="112" t="e">
        <v>#NUM!</v>
      </c>
      <c r="X33" s="111"/>
      <c r="Y33" s="162" t="e">
        <v>#NUM!</v>
      </c>
      <c r="Z33" s="108" t="e">
        <f>_xll.qlSimpleQuoteSetValue(F33,Y33/100,Trigger)</f>
        <v>#NUM!</v>
      </c>
      <c r="AA33" s="98"/>
      <c r="AB33" s="12"/>
      <c r="AC33" s="12"/>
      <c r="AD33" s="12"/>
      <c r="AE33" s="12"/>
      <c r="AF33" s="12"/>
      <c r="AG33" s="137"/>
    </row>
    <row r="34" spans="1:33" ht="11.25" customHeight="1" x14ac:dyDescent="0.2">
      <c r="A34" s="52"/>
      <c r="B34" s="85" t="s">
        <v>34</v>
      </c>
      <c r="C34" s="27" t="s">
        <v>188</v>
      </c>
      <c r="D34" s="27" t="s">
        <v>189</v>
      </c>
      <c r="E34" s="25" t="str">
        <f t="shared" si="0"/>
        <v>CNYQM3AB26Y_Quote</v>
      </c>
      <c r="F34" s="25" t="str">
        <f>_xll.qlSimpleQuote(Currency&amp;$C34&amp;$D34&amp;$B34&amp;QuoteSuffix,,RateTickValue,Permanent,Trigger,ObjectOverwrite)</f>
        <v>CNYQM3AB26Y_Quote#0003</v>
      </c>
      <c r="G34" s="82" t="str">
        <f>_xll.ohRangeRetrieveError(F34)</f>
        <v/>
      </c>
      <c r="H34" s="19"/>
      <c r="K34" s="52"/>
      <c r="L34" s="115" t="s">
        <v>34</v>
      </c>
      <c r="M34" s="146" t="s">
        <v>188</v>
      </c>
      <c r="N34" s="146" t="s">
        <v>210</v>
      </c>
      <c r="O34" s="144" t="str">
        <f t="shared" si="1"/>
        <v>CNYQM3S26YN</v>
      </c>
      <c r="P34" s="144" t="str">
        <v>CNYQM3S26YN=TRHK</v>
      </c>
      <c r="Q34" s="109" t="s">
        <v>135</v>
      </c>
      <c r="R34" s="109" t="s">
        <v>135</v>
      </c>
      <c r="S34" s="109" t="s">
        <v>135</v>
      </c>
      <c r="T34" s="109" t="s">
        <v>135</v>
      </c>
      <c r="U34" s="113" t="e">
        <f>_xll.qlMidSafe($Q34,$R34)</f>
        <v>#NUM!</v>
      </c>
      <c r="V34" s="111"/>
      <c r="W34" s="112" t="e">
        <v>#NUM!</v>
      </c>
      <c r="X34" s="111"/>
      <c r="Y34" s="162" t="e">
        <v>#NUM!</v>
      </c>
      <c r="Z34" s="108" t="e">
        <f>_xll.qlSimpleQuoteSetValue(F34,Y34/100,Trigger)</f>
        <v>#NUM!</v>
      </c>
      <c r="AA34" s="98"/>
      <c r="AB34" s="12"/>
      <c r="AC34" s="12"/>
      <c r="AD34" s="12"/>
      <c r="AE34" s="12"/>
      <c r="AF34" s="12"/>
      <c r="AG34" s="137"/>
    </row>
    <row r="35" spans="1:33" ht="11.25" customHeight="1" x14ac:dyDescent="0.2">
      <c r="A35" s="52"/>
      <c r="B35" s="85" t="s">
        <v>33</v>
      </c>
      <c r="C35" s="27" t="s">
        <v>188</v>
      </c>
      <c r="D35" s="27" t="s">
        <v>189</v>
      </c>
      <c r="E35" s="25" t="str">
        <f t="shared" si="0"/>
        <v>CNYQM3AB27Y_Quote</v>
      </c>
      <c r="F35" s="25" t="str">
        <f>_xll.qlSimpleQuote(Currency&amp;$C35&amp;$D35&amp;$B35&amp;QuoteSuffix,,RateTickValue,Permanent,Trigger,ObjectOverwrite)</f>
        <v>CNYQM3AB27Y_Quote#0003</v>
      </c>
      <c r="G35" s="82" t="str">
        <f>_xll.ohRangeRetrieveError(F35)</f>
        <v/>
      </c>
      <c r="H35" s="19"/>
      <c r="K35" s="52"/>
      <c r="L35" s="115" t="s">
        <v>33</v>
      </c>
      <c r="M35" s="146" t="s">
        <v>188</v>
      </c>
      <c r="N35" s="146" t="s">
        <v>210</v>
      </c>
      <c r="O35" s="144" t="str">
        <f t="shared" si="1"/>
        <v>CNYQM3S27YN</v>
      </c>
      <c r="P35" s="144" t="str">
        <v>CNYQM3S27YN=TRHK</v>
      </c>
      <c r="Q35" s="109" t="s">
        <v>135</v>
      </c>
      <c r="R35" s="109" t="s">
        <v>135</v>
      </c>
      <c r="S35" s="109" t="s">
        <v>135</v>
      </c>
      <c r="T35" s="109" t="s">
        <v>135</v>
      </c>
      <c r="U35" s="113" t="e">
        <f>_xll.qlMidSafe($Q35,$R35)</f>
        <v>#NUM!</v>
      </c>
      <c r="V35" s="111"/>
      <c r="W35" s="112" t="e">
        <v>#NUM!</v>
      </c>
      <c r="X35" s="111"/>
      <c r="Y35" s="162" t="e">
        <v>#NUM!</v>
      </c>
      <c r="Z35" s="108" t="e">
        <f>_xll.qlSimpleQuoteSetValue(F35,Y35/100,Trigger)</f>
        <v>#NUM!</v>
      </c>
      <c r="AA35" s="98"/>
      <c r="AB35" s="12"/>
      <c r="AC35" s="12"/>
      <c r="AD35" s="12"/>
      <c r="AE35" s="12"/>
      <c r="AF35" s="12"/>
      <c r="AG35" s="137"/>
    </row>
    <row r="36" spans="1:33" ht="11.25" customHeight="1" x14ac:dyDescent="0.2">
      <c r="A36" s="52"/>
      <c r="B36" s="85" t="s">
        <v>32</v>
      </c>
      <c r="C36" s="27" t="s">
        <v>188</v>
      </c>
      <c r="D36" s="27" t="s">
        <v>189</v>
      </c>
      <c r="E36" s="25" t="str">
        <f t="shared" si="0"/>
        <v>CNYQM3AB28Y_Quote</v>
      </c>
      <c r="F36" s="25" t="str">
        <f>_xll.qlSimpleQuote(Currency&amp;$C36&amp;$D36&amp;$B36&amp;QuoteSuffix,,RateTickValue,Permanent,Trigger,ObjectOverwrite)</f>
        <v>CNYQM3AB28Y_Quote#0003</v>
      </c>
      <c r="G36" s="82" t="str">
        <f>_xll.ohRangeRetrieveError(F36)</f>
        <v/>
      </c>
      <c r="H36" s="19"/>
      <c r="K36" s="52"/>
      <c r="L36" s="115" t="s">
        <v>32</v>
      </c>
      <c r="M36" s="146" t="s">
        <v>188</v>
      </c>
      <c r="N36" s="146" t="s">
        <v>210</v>
      </c>
      <c r="O36" s="144" t="str">
        <f t="shared" si="1"/>
        <v>CNYQM3S28YN</v>
      </c>
      <c r="P36" s="144" t="str">
        <v>CNYQM3S28YN=TRHK</v>
      </c>
      <c r="Q36" s="109" t="s">
        <v>135</v>
      </c>
      <c r="R36" s="109" t="s">
        <v>135</v>
      </c>
      <c r="S36" s="109" t="s">
        <v>135</v>
      </c>
      <c r="T36" s="109" t="s">
        <v>135</v>
      </c>
      <c r="U36" s="113" t="e">
        <f>_xll.qlMidSafe($Q36,$R36)</f>
        <v>#NUM!</v>
      </c>
      <c r="V36" s="111"/>
      <c r="W36" s="112" t="e">
        <v>#NUM!</v>
      </c>
      <c r="X36" s="111"/>
      <c r="Y36" s="162" t="e">
        <v>#NUM!</v>
      </c>
      <c r="Z36" s="108" t="e">
        <f>_xll.qlSimpleQuoteSetValue(F36,Y36/100,Trigger)</f>
        <v>#NUM!</v>
      </c>
      <c r="AA36" s="98"/>
      <c r="AB36" s="12"/>
      <c r="AC36" s="12"/>
      <c r="AD36" s="12"/>
      <c r="AE36" s="12"/>
      <c r="AF36" s="12"/>
      <c r="AG36" s="137"/>
    </row>
    <row r="37" spans="1:33" ht="11.25" customHeight="1" x14ac:dyDescent="0.2">
      <c r="A37" s="52"/>
      <c r="B37" s="85" t="s">
        <v>31</v>
      </c>
      <c r="C37" s="27" t="s">
        <v>188</v>
      </c>
      <c r="D37" s="27" t="s">
        <v>189</v>
      </c>
      <c r="E37" s="25" t="str">
        <f t="shared" si="0"/>
        <v>CNYQM3AB29Y_Quote</v>
      </c>
      <c r="F37" s="25" t="str">
        <f>_xll.qlSimpleQuote(Currency&amp;$C37&amp;$D37&amp;$B37&amp;QuoteSuffix,,RateTickValue,Permanent,Trigger,ObjectOverwrite)</f>
        <v>CNYQM3AB29Y_Quote#0003</v>
      </c>
      <c r="G37" s="82" t="str">
        <f>_xll.ohRangeRetrieveError(F37)</f>
        <v/>
      </c>
      <c r="H37" s="19"/>
      <c r="K37" s="52"/>
      <c r="L37" s="115" t="s">
        <v>31</v>
      </c>
      <c r="M37" s="146" t="s">
        <v>188</v>
      </c>
      <c r="N37" s="146" t="s">
        <v>210</v>
      </c>
      <c r="O37" s="144" t="str">
        <f t="shared" si="1"/>
        <v>CNYQM3S29YN</v>
      </c>
      <c r="P37" s="144" t="str">
        <v>CNYQM3S29YN=TRHK</v>
      </c>
      <c r="Q37" s="109" t="s">
        <v>135</v>
      </c>
      <c r="R37" s="109" t="s">
        <v>135</v>
      </c>
      <c r="S37" s="109" t="s">
        <v>135</v>
      </c>
      <c r="T37" s="109" t="s">
        <v>135</v>
      </c>
      <c r="U37" s="113" t="e">
        <f>_xll.qlMidSafe($Q37,$R37)</f>
        <v>#NUM!</v>
      </c>
      <c r="V37" s="111"/>
      <c r="W37" s="112" t="e">
        <v>#NUM!</v>
      </c>
      <c r="X37" s="111"/>
      <c r="Y37" s="162" t="e">
        <v>#NUM!</v>
      </c>
      <c r="Z37" s="108" t="e">
        <f>_xll.qlSimpleQuoteSetValue(F37,Y37/100,Trigger)</f>
        <v>#NUM!</v>
      </c>
      <c r="AA37" s="98"/>
      <c r="AB37" s="12"/>
      <c r="AC37" s="12"/>
      <c r="AD37" s="12"/>
      <c r="AE37" s="12"/>
      <c r="AF37" s="12"/>
      <c r="AG37" s="137"/>
    </row>
    <row r="38" spans="1:33" ht="11.25" customHeight="1" x14ac:dyDescent="0.2">
      <c r="A38" s="52"/>
      <c r="B38" s="85" t="s">
        <v>30</v>
      </c>
      <c r="C38" s="27" t="s">
        <v>188</v>
      </c>
      <c r="D38" s="27" t="s">
        <v>189</v>
      </c>
      <c r="E38" s="25" t="str">
        <f t="shared" si="0"/>
        <v>CNYQM3AB30Y_Quote</v>
      </c>
      <c r="F38" s="25" t="str">
        <f>_xll.qlSimpleQuote(Currency&amp;$C38&amp;$D38&amp;$B38&amp;QuoteSuffix,,RateTickValue,Permanent,Trigger,ObjectOverwrite)</f>
        <v>CNYQM3AB30Y_Quote#0003</v>
      </c>
      <c r="G38" s="82" t="str">
        <f>_xll.ohRangeRetrieveError(F38)</f>
        <v/>
      </c>
      <c r="H38" s="19"/>
      <c r="K38" s="52"/>
      <c r="L38" s="115" t="s">
        <v>30</v>
      </c>
      <c r="M38" s="146" t="s">
        <v>188</v>
      </c>
      <c r="N38" s="146" t="s">
        <v>210</v>
      </c>
      <c r="O38" s="144" t="str">
        <f t="shared" si="1"/>
        <v>CNYQM3S30YN</v>
      </c>
      <c r="P38" s="144" t="str">
        <v>CNYQM3S30YN=TRHK</v>
      </c>
      <c r="Q38" s="109" t="s">
        <v>135</v>
      </c>
      <c r="R38" s="109" t="s">
        <v>135</v>
      </c>
      <c r="S38" s="109" t="s">
        <v>135</v>
      </c>
      <c r="T38" s="109" t="s">
        <v>135</v>
      </c>
      <c r="U38" s="113" t="e">
        <f>_xll.qlMidSafe($Q38,$R38)</f>
        <v>#NUM!</v>
      </c>
      <c r="V38" s="111"/>
      <c r="W38" s="112" t="e">
        <v>#NUM!</v>
      </c>
      <c r="X38" s="111"/>
      <c r="Y38" s="162" t="e">
        <v>#NUM!</v>
      </c>
      <c r="Z38" s="108" t="e">
        <f>_xll.qlSimpleQuoteSetValue(F38,Y38/100,Trigger)</f>
        <v>#NUM!</v>
      </c>
      <c r="AA38" s="98"/>
      <c r="AB38" s="12"/>
      <c r="AC38" s="12"/>
      <c r="AD38" s="12"/>
      <c r="AE38" s="12"/>
      <c r="AF38" s="12"/>
      <c r="AG38" s="137"/>
    </row>
    <row r="39" spans="1:33" ht="11.25" customHeight="1" x14ac:dyDescent="0.2">
      <c r="A39" s="52"/>
      <c r="B39" s="85" t="s">
        <v>29</v>
      </c>
      <c r="C39" s="27" t="s">
        <v>188</v>
      </c>
      <c r="D39" s="27" t="s">
        <v>189</v>
      </c>
      <c r="E39" s="25" t="str">
        <f t="shared" si="0"/>
        <v>CNYQM3AB35Y_Quote</v>
      </c>
      <c r="F39" s="25" t="str">
        <f>_xll.qlSimpleQuote(Currency&amp;$C39&amp;$D39&amp;$B39&amp;QuoteSuffix,,RateTickValue,Permanent,Trigger,ObjectOverwrite)</f>
        <v>CNYQM3AB35Y_Quote#0003</v>
      </c>
      <c r="G39" s="82" t="str">
        <f>_xll.ohRangeRetrieveError(F39)</f>
        <v/>
      </c>
      <c r="H39" s="19"/>
      <c r="K39" s="52"/>
      <c r="L39" s="115" t="s">
        <v>29</v>
      </c>
      <c r="M39" s="146" t="s">
        <v>188</v>
      </c>
      <c r="N39" s="146" t="s">
        <v>210</v>
      </c>
      <c r="O39" s="144" t="str">
        <f t="shared" si="1"/>
        <v>CNYQM3S35YN</v>
      </c>
      <c r="P39" s="144" t="str">
        <v>CNYQM3S35YN=TRHK</v>
      </c>
      <c r="Q39" s="109" t="s">
        <v>135</v>
      </c>
      <c r="R39" s="109" t="s">
        <v>135</v>
      </c>
      <c r="S39" s="109" t="s">
        <v>135</v>
      </c>
      <c r="T39" s="109" t="s">
        <v>135</v>
      </c>
      <c r="U39" s="113" t="e">
        <f>_xll.qlMidSafe($Q39,$R39)</f>
        <v>#NUM!</v>
      </c>
      <c r="V39" s="111"/>
      <c r="W39" s="112" t="e">
        <v>#NUM!</v>
      </c>
      <c r="X39" s="111"/>
      <c r="Y39" s="162" t="e">
        <v>#NUM!</v>
      </c>
      <c r="Z39" s="108" t="e">
        <f>_xll.qlSimpleQuoteSetValue(F39,Y39/100,Trigger)</f>
        <v>#NUM!</v>
      </c>
      <c r="AA39" s="98"/>
      <c r="AB39" s="12"/>
      <c r="AC39" s="12"/>
      <c r="AD39" s="12"/>
      <c r="AE39" s="12"/>
      <c r="AF39" s="12"/>
      <c r="AG39" s="137"/>
    </row>
    <row r="40" spans="1:33" ht="11.25" customHeight="1" x14ac:dyDescent="0.2">
      <c r="A40" s="52"/>
      <c r="B40" s="85" t="s">
        <v>28</v>
      </c>
      <c r="C40" s="27" t="s">
        <v>188</v>
      </c>
      <c r="D40" s="27" t="s">
        <v>189</v>
      </c>
      <c r="E40" s="25" t="str">
        <f t="shared" si="0"/>
        <v>CNYQM3AB40Y_Quote</v>
      </c>
      <c r="F40" s="25" t="str">
        <f>_xll.qlSimpleQuote(Currency&amp;$C40&amp;$D40&amp;$B40&amp;QuoteSuffix,,RateTickValue,Permanent,Trigger,ObjectOverwrite)</f>
        <v>CNYQM3AB40Y_Quote#0003</v>
      </c>
      <c r="G40" s="82" t="str">
        <f>_xll.ohRangeRetrieveError(F40)</f>
        <v/>
      </c>
      <c r="H40" s="19"/>
      <c r="K40" s="52"/>
      <c r="L40" s="115" t="s">
        <v>28</v>
      </c>
      <c r="M40" s="146" t="s">
        <v>188</v>
      </c>
      <c r="N40" s="146" t="s">
        <v>210</v>
      </c>
      <c r="O40" s="144" t="str">
        <f t="shared" si="1"/>
        <v>CNYQM3S40YN</v>
      </c>
      <c r="P40" s="144" t="str">
        <v>CNYQM3S40YN=TRHK</v>
      </c>
      <c r="Q40" s="109" t="s">
        <v>135</v>
      </c>
      <c r="R40" s="109" t="s">
        <v>135</v>
      </c>
      <c r="S40" s="109" t="s">
        <v>135</v>
      </c>
      <c r="T40" s="109" t="s">
        <v>135</v>
      </c>
      <c r="U40" s="113" t="e">
        <f>_xll.qlMidSafe($Q40,$R40)</f>
        <v>#NUM!</v>
      </c>
      <c r="V40" s="111"/>
      <c r="W40" s="112" t="e">
        <v>#NUM!</v>
      </c>
      <c r="X40" s="111"/>
      <c r="Y40" s="162" t="e">
        <v>#NUM!</v>
      </c>
      <c r="Z40" s="108" t="e">
        <f>_xll.qlSimpleQuoteSetValue(F40,Y40/100,Trigger)</f>
        <v>#NUM!</v>
      </c>
      <c r="AA40" s="98"/>
      <c r="AB40" s="12"/>
      <c r="AC40" s="12"/>
      <c r="AD40" s="12"/>
      <c r="AE40" s="12"/>
      <c r="AF40" s="12"/>
      <c r="AG40" s="137"/>
    </row>
    <row r="41" spans="1:33" ht="11.25" customHeight="1" x14ac:dyDescent="0.2">
      <c r="A41" s="52"/>
      <c r="B41" s="85" t="s">
        <v>26</v>
      </c>
      <c r="C41" s="27" t="s">
        <v>188</v>
      </c>
      <c r="D41" s="27" t="s">
        <v>189</v>
      </c>
      <c r="E41" s="25" t="str">
        <f t="shared" si="0"/>
        <v>CNYQM3AB50Y_Quote</v>
      </c>
      <c r="F41" s="25" t="str">
        <f>_xll.qlSimpleQuote(Currency&amp;$C41&amp;$D41&amp;$B41&amp;QuoteSuffix,,RateTickValue,Permanent,Trigger,ObjectOverwrite)</f>
        <v>CNYQM3AB50Y_Quote#0003</v>
      </c>
      <c r="G41" s="82" t="str">
        <f>_xll.ohRangeRetrieveError(F41)</f>
        <v/>
      </c>
      <c r="H41" s="19"/>
      <c r="K41" s="52"/>
      <c r="L41" s="115" t="s">
        <v>26</v>
      </c>
      <c r="M41" s="146" t="s">
        <v>188</v>
      </c>
      <c r="N41" s="146" t="s">
        <v>210</v>
      </c>
      <c r="O41" s="144" t="str">
        <f t="shared" si="1"/>
        <v>CNYQM3S50YN</v>
      </c>
      <c r="P41" s="144" t="str">
        <v>CNYQM3S50YN=TRHK</v>
      </c>
      <c r="Q41" s="109" t="s">
        <v>135</v>
      </c>
      <c r="R41" s="109" t="s">
        <v>135</v>
      </c>
      <c r="S41" s="109" t="s">
        <v>135</v>
      </c>
      <c r="T41" s="109" t="s">
        <v>135</v>
      </c>
      <c r="U41" s="113" t="e">
        <f>_xll.qlMidSafe($Q41,$R41)</f>
        <v>#NUM!</v>
      </c>
      <c r="V41" s="111"/>
      <c r="W41" s="112" t="e">
        <v>#NUM!</v>
      </c>
      <c r="X41" s="111"/>
      <c r="Y41" s="162" t="e">
        <v>#NUM!</v>
      </c>
      <c r="Z41" s="108" t="e">
        <f>_xll.qlSimpleQuoteSetValue(F41,Y41/100,Trigger)</f>
        <v>#NUM!</v>
      </c>
      <c r="AA41" s="98"/>
      <c r="AB41" s="12"/>
      <c r="AC41" s="12"/>
      <c r="AD41" s="12"/>
      <c r="AE41" s="12"/>
      <c r="AF41" s="12"/>
      <c r="AG41" s="137"/>
    </row>
    <row r="42" spans="1:33" ht="11.25" customHeight="1" x14ac:dyDescent="0.2">
      <c r="A42" s="52"/>
      <c r="B42" s="85" t="s">
        <v>25</v>
      </c>
      <c r="C42" s="27" t="s">
        <v>188</v>
      </c>
      <c r="D42" s="27" t="s">
        <v>189</v>
      </c>
      <c r="E42" s="25" t="str">
        <f t="shared" si="0"/>
        <v>CNYQM3AB60Y_Quote</v>
      </c>
      <c r="F42" s="25" t="str">
        <f>_xll.qlSimpleQuote(Currency&amp;$C42&amp;$D42&amp;$B42&amp;QuoteSuffix,,RateTickValue,Permanent,Trigger,ObjectOverwrite)</f>
        <v>CNYQM3AB60Y_Quote#0003</v>
      </c>
      <c r="G42" s="82" t="str">
        <f>_xll.ohRangeRetrieveError(F42)</f>
        <v/>
      </c>
      <c r="H42" s="19"/>
      <c r="K42" s="52"/>
      <c r="L42" s="115" t="s">
        <v>25</v>
      </c>
      <c r="M42" s="146" t="s">
        <v>188</v>
      </c>
      <c r="N42" s="146" t="s">
        <v>210</v>
      </c>
      <c r="O42" s="144" t="str">
        <f t="shared" si="1"/>
        <v>CNYQM3S60YN</v>
      </c>
      <c r="P42" s="140" t="str">
        <v>CNYQM3S60YN=TRHK</v>
      </c>
      <c r="Q42" s="117" t="s">
        <v>135</v>
      </c>
      <c r="R42" s="117" t="s">
        <v>135</v>
      </c>
      <c r="S42" s="117" t="s">
        <v>135</v>
      </c>
      <c r="T42" s="117" t="s">
        <v>135</v>
      </c>
      <c r="U42" s="119" t="e">
        <f>_xll.qlMidSafe($Q42,$R42)</f>
        <v>#NUM!</v>
      </c>
      <c r="V42" s="111"/>
      <c r="W42" s="118" t="e">
        <v>#NUM!</v>
      </c>
      <c r="X42" s="111"/>
      <c r="Y42" s="155" t="e">
        <v>#NUM!</v>
      </c>
      <c r="Z42" s="116" t="e">
        <f>_xll.qlSimpleQuoteSetValue(F42,Y42/100,Trigger)</f>
        <v>#NUM!</v>
      </c>
      <c r="AA42" s="98"/>
      <c r="AB42" s="12"/>
      <c r="AC42" s="12"/>
      <c r="AD42" s="12"/>
      <c r="AE42" s="12"/>
      <c r="AF42" s="12"/>
      <c r="AG42" s="137"/>
    </row>
    <row r="43" spans="1:33" ht="11.25" customHeight="1" thickBot="1" x14ac:dyDescent="0.25">
      <c r="A43" s="18"/>
      <c r="B43" s="17"/>
      <c r="C43" s="17"/>
      <c r="D43" s="17"/>
      <c r="E43" s="17"/>
      <c r="F43" s="50"/>
      <c r="G43" s="50"/>
      <c r="H43" s="16"/>
      <c r="K43" s="94"/>
      <c r="L43" s="333"/>
      <c r="M43" s="333"/>
      <c r="N43" s="333"/>
      <c r="O43" s="107"/>
      <c r="P43" s="17"/>
      <c r="Q43" s="17"/>
      <c r="R43" s="17"/>
      <c r="S43" s="17"/>
      <c r="T43" s="17"/>
      <c r="U43" s="17"/>
      <c r="V43" s="93"/>
      <c r="W43" s="93"/>
      <c r="X43" s="93"/>
      <c r="Y43" s="93"/>
      <c r="Z43" s="93"/>
      <c r="AA43" s="138"/>
      <c r="AB43" s="12"/>
      <c r="AC43" s="12"/>
      <c r="AD43" s="12"/>
      <c r="AE43" s="12"/>
      <c r="AF43" s="12"/>
      <c r="AG43" s="12"/>
    </row>
  </sheetData>
  <conditionalFormatting sqref="Z5:Z42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count="1">
    <dataValidation type="list" showInputMessage="1" showErrorMessage="1" sqref="P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G43"/>
  <sheetViews>
    <sheetView workbookViewId="0"/>
  </sheetViews>
  <sheetFormatPr defaultRowHeight="11.25" x14ac:dyDescent="0.2"/>
  <cols>
    <col min="1" max="1" width="2.7109375" style="38" customWidth="1"/>
    <col min="2" max="2" width="6.5703125" style="12" bestFit="1" customWidth="1"/>
    <col min="3" max="3" width="3.28515625" style="38" customWidth="1"/>
    <col min="4" max="4" width="4.28515625" style="38" customWidth="1"/>
    <col min="5" max="5" width="19.28515625" style="38" bestFit="1" customWidth="1"/>
    <col min="6" max="6" width="21.85546875" style="92" bestFit="1" customWidth="1"/>
    <col min="7" max="7" width="35.7109375" style="38" customWidth="1"/>
    <col min="8" max="11" width="2.7109375" style="38" customWidth="1"/>
    <col min="12" max="12" width="3.85546875" style="38" bestFit="1" customWidth="1"/>
    <col min="13" max="13" width="3.140625" style="38" bestFit="1" customWidth="1"/>
    <col min="14" max="14" width="4" style="38" bestFit="1" customWidth="1"/>
    <col min="15" max="15" width="12.140625" style="38" bestFit="1" customWidth="1"/>
    <col min="16" max="16" width="16.7109375" style="38" bestFit="1" customWidth="1"/>
    <col min="17" max="19" width="9.140625" style="38"/>
    <col min="20" max="20" width="10.140625" style="38" customWidth="1"/>
    <col min="21" max="21" width="7.7109375" style="38" bestFit="1" customWidth="1"/>
    <col min="22" max="22" width="2.7109375" style="38" customWidth="1"/>
    <col min="23" max="23" width="5.7109375" style="38" bestFit="1" customWidth="1"/>
    <col min="24" max="24" width="2.7109375" style="38" customWidth="1"/>
    <col min="25" max="25" width="7.7109375" style="38" bestFit="1" customWidth="1"/>
    <col min="26" max="26" width="7" style="38" bestFit="1" customWidth="1"/>
    <col min="27" max="28" width="2.7109375" style="38" customWidth="1"/>
    <col min="29" max="16384" width="9.140625" style="38"/>
  </cols>
  <sheetData>
    <row r="1" spans="1:33" ht="11.25" customHeight="1" x14ac:dyDescent="0.2">
      <c r="A1" s="81"/>
      <c r="B1" s="55"/>
      <c r="C1" s="55"/>
      <c r="D1" s="55"/>
      <c r="E1" s="55"/>
      <c r="F1" s="55"/>
      <c r="G1" s="55"/>
      <c r="H1" s="19"/>
      <c r="K1" s="153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89"/>
      <c r="AB1" s="12"/>
      <c r="AC1" s="12"/>
      <c r="AD1" s="12"/>
      <c r="AE1" s="12"/>
      <c r="AF1" s="12"/>
      <c r="AG1" s="12"/>
    </row>
    <row r="2" spans="1:33" ht="15" customHeight="1" x14ac:dyDescent="0.25">
      <c r="A2" s="81"/>
      <c r="B2" s="55"/>
      <c r="C2" s="55"/>
      <c r="D2" s="55"/>
      <c r="E2" s="55"/>
      <c r="F2" s="55"/>
      <c r="G2" s="55"/>
      <c r="H2" s="19"/>
      <c r="K2" s="135"/>
      <c r="L2" s="55"/>
      <c r="M2" s="134"/>
      <c r="N2" s="134"/>
      <c r="O2" s="134"/>
      <c r="P2" s="62" t="s">
        <v>208</v>
      </c>
      <c r="Q2" s="111"/>
      <c r="R2" s="111"/>
      <c r="S2" s="111"/>
      <c r="T2" s="111"/>
      <c r="U2" s="55"/>
      <c r="V2" s="111"/>
      <c r="W2" s="111"/>
      <c r="X2" s="111"/>
      <c r="Y2"/>
      <c r="Z2" s="55"/>
      <c r="AA2" s="19"/>
      <c r="AB2" s="12"/>
      <c r="AC2" s="12"/>
      <c r="AD2" s="12"/>
      <c r="AE2" s="12"/>
      <c r="AF2" s="12"/>
      <c r="AG2" s="12"/>
    </row>
    <row r="3" spans="1:33" ht="11.25" customHeight="1" x14ac:dyDescent="0.2">
      <c r="A3" s="81"/>
      <c r="B3" s="55"/>
      <c r="C3" s="55"/>
      <c r="D3" s="55"/>
      <c r="E3" s="326"/>
      <c r="F3" s="55"/>
      <c r="G3" s="55"/>
      <c r="H3" s="19"/>
      <c r="K3" s="52"/>
      <c r="L3" s="111"/>
      <c r="M3" s="55"/>
      <c r="N3" s="55"/>
      <c r="O3" s="55"/>
      <c r="P3" s="55"/>
      <c r="Q3" s="55"/>
      <c r="R3" s="55"/>
      <c r="S3" s="55"/>
      <c r="T3" s="55"/>
      <c r="U3" s="55"/>
      <c r="V3" s="111"/>
      <c r="W3" s="111"/>
      <c r="X3" s="111"/>
      <c r="Y3" s="55"/>
      <c r="Z3" s="132">
        <f>_xll.ohTrigger(Z5:Z42)</f>
        <v>38</v>
      </c>
      <c r="AA3" s="98"/>
      <c r="AB3" s="12"/>
      <c r="AC3" s="12"/>
      <c r="AD3" s="12"/>
      <c r="AE3" s="12"/>
      <c r="AF3" s="12"/>
      <c r="AG3" s="12"/>
    </row>
    <row r="4" spans="1:33" ht="12.75" customHeight="1" x14ac:dyDescent="0.2">
      <c r="A4" s="52"/>
      <c r="B4" s="34" t="s">
        <v>70</v>
      </c>
      <c r="C4" s="34"/>
      <c r="D4" s="34"/>
      <c r="E4" s="33" t="str">
        <f>Currency&amp;"_010_Sw"&amp;$C$5&amp;$D$5&amp;".xml"</f>
        <v>CNY_010_SwSM6AB.xml</v>
      </c>
      <c r="F4" s="32" t="s">
        <v>193</v>
      </c>
      <c r="G4" s="24" t="str">
        <f>_xll.ohRangeRetrieveError(F4)</f>
        <v/>
      </c>
      <c r="H4" s="19"/>
      <c r="K4" s="52"/>
      <c r="L4" s="204"/>
      <c r="M4" s="87"/>
      <c r="N4" s="87"/>
      <c r="O4" s="87"/>
      <c r="P4" s="106" t="str">
        <f>_xll.RData(P5:P42,Q4:T4,"RTFEED:IDN",ReutersRtMode,,Q5)</f>
        <v>Paused at 12:54:29</v>
      </c>
      <c r="Q4" s="151" t="s">
        <v>128</v>
      </c>
      <c r="R4" s="151" t="s">
        <v>127</v>
      </c>
      <c r="S4" s="151" t="s">
        <v>140</v>
      </c>
      <c r="T4" s="151" t="s">
        <v>148</v>
      </c>
      <c r="U4" s="128" t="s">
        <v>147</v>
      </c>
      <c r="V4" s="111"/>
      <c r="W4" s="130" t="s">
        <v>145</v>
      </c>
      <c r="X4" s="111"/>
      <c r="Y4" s="233" t="s">
        <v>144</v>
      </c>
      <c r="Z4" s="35" t="s">
        <v>143</v>
      </c>
      <c r="AA4" s="98"/>
      <c r="AB4" s="12"/>
      <c r="AC4" s="12"/>
      <c r="AD4" s="12"/>
      <c r="AE4" s="12"/>
      <c r="AF4" s="12"/>
      <c r="AG4" s="150"/>
    </row>
    <row r="5" spans="1:33" ht="11.25" customHeight="1" x14ac:dyDescent="0.2">
      <c r="A5" s="52"/>
      <c r="B5" s="95" t="s">
        <v>19</v>
      </c>
      <c r="C5" s="27" t="s">
        <v>190</v>
      </c>
      <c r="D5" s="27" t="s">
        <v>191</v>
      </c>
      <c r="E5" s="25" t="str">
        <f t="shared" ref="E5:E42" si="0">Currency&amp;$C5&amp;$D5&amp;$B5&amp;QuoteSuffix</f>
        <v>CNYSM6AB1M_Quote</v>
      </c>
      <c r="F5" s="25" t="str">
        <f>_xll.qlSimpleQuote(Currency&amp;$C5&amp;$D5&amp;$B5&amp;QuoteSuffix,,RateTickValue,Permanent,Trigger,ObjectOverwrite)</f>
        <v>CNYSM6AB1M_Quote#0004</v>
      </c>
      <c r="G5" s="24" t="str">
        <f>_xll.ohRangeRetrieveError(F5)</f>
        <v/>
      </c>
      <c r="H5" s="19"/>
      <c r="K5" s="52"/>
      <c r="L5" s="115" t="str">
        <f>B5</f>
        <v>1M</v>
      </c>
      <c r="M5" s="146" t="s">
        <v>217</v>
      </c>
      <c r="N5" s="146" t="s">
        <v>218</v>
      </c>
      <c r="O5" s="114" t="str">
        <f>SUBSTITUTE(Currency,"Y","")&amp;$M5&amp;$N5&amp;$L5</f>
        <v>CNNDIRS1M</v>
      </c>
      <c r="P5" s="114" t="str">
        <f t="array" ref="P5:P42">Instruments&amp;"="&amp;VLOOKUP(Contributor,ContributorTable,2,FALSE)</f>
        <v>CNNDIRS1M=TRHK</v>
      </c>
      <c r="Q5" s="109">
        <v>3.28</v>
      </c>
      <c r="R5" s="109">
        <v>3.38</v>
      </c>
      <c r="S5" s="109">
        <v>0</v>
      </c>
      <c r="T5" s="109">
        <v>0</v>
      </c>
      <c r="U5" s="113">
        <f>_xll.qlMidSafe($Q5,$R5)</f>
        <v>3.33</v>
      </c>
      <c r="V5" s="111"/>
      <c r="W5" s="112">
        <v>3.33</v>
      </c>
      <c r="X5" s="111"/>
      <c r="Y5" s="162">
        <f t="array" ref="Y5:Y42">QuoteLive</f>
        <v>3.33</v>
      </c>
      <c r="Z5" s="108">
        <f>_xll.qlSimpleQuoteSetValue(F5,Y5/100,Trigger)</f>
        <v>0</v>
      </c>
      <c r="AA5" s="98"/>
      <c r="AB5" s="12"/>
      <c r="AC5" s="12"/>
      <c r="AD5" s="12"/>
      <c r="AE5" s="12"/>
      <c r="AF5" s="12"/>
      <c r="AG5" s="137"/>
    </row>
    <row r="6" spans="1:33" ht="11.25" customHeight="1" x14ac:dyDescent="0.25">
      <c r="A6" s="52"/>
      <c r="B6" s="96" t="s">
        <v>17</v>
      </c>
      <c r="C6" s="27" t="s">
        <v>190</v>
      </c>
      <c r="D6" s="27" t="s">
        <v>191</v>
      </c>
      <c r="E6" s="25" t="str">
        <f t="shared" si="0"/>
        <v>CNYSM6AB3M_Quote</v>
      </c>
      <c r="F6" s="25" t="str">
        <f>_xll.qlSimpleQuote(Currency&amp;$C6&amp;$D6&amp;$B6&amp;QuoteSuffix,,RateTickValue,Permanent,Trigger,ObjectOverwrite)</f>
        <v>CNYSM6AB3M_Quote#0004</v>
      </c>
      <c r="G6" s="24" t="str">
        <f>_xll.ohRangeRetrieveError(F6)</f>
        <v/>
      </c>
      <c r="H6" s="19"/>
      <c r="K6" s="52"/>
      <c r="L6" s="115" t="str">
        <f t="shared" ref="L6:L42" si="1">B6</f>
        <v>3M</v>
      </c>
      <c r="M6" s="146" t="s">
        <v>217</v>
      </c>
      <c r="N6" s="146" t="s">
        <v>218</v>
      </c>
      <c r="O6" s="114" t="str">
        <f>SUBSTITUTE(Currency,"Y","")&amp;$M6&amp;$N6&amp;$L6</f>
        <v>CNNDIRS3M</v>
      </c>
      <c r="P6" s="114" t="str">
        <v>CNNDIRS3M=TRHK</v>
      </c>
      <c r="Q6" s="109">
        <v>3.31</v>
      </c>
      <c r="R6" s="109">
        <v>3.41</v>
      </c>
      <c r="S6" s="109">
        <v>0</v>
      </c>
      <c r="T6" s="109">
        <v>0</v>
      </c>
      <c r="U6" s="113">
        <f>_xll.qlMidSafe($Q6,$R6)</f>
        <v>3.3600000000000003</v>
      </c>
      <c r="V6" s="111"/>
      <c r="W6" s="112">
        <v>3.3600000000000003</v>
      </c>
      <c r="X6" s="111"/>
      <c r="Y6" s="162">
        <v>3.3600000000000003</v>
      </c>
      <c r="Z6" s="108">
        <f>_xll.qlSimpleQuoteSetValue(F6,Y6/100,Trigger)</f>
        <v>0</v>
      </c>
      <c r="AA6" s="98"/>
      <c r="AB6" s="12"/>
      <c r="AC6" s="12"/>
      <c r="AD6"/>
      <c r="AE6" s="12"/>
      <c r="AF6" s="12"/>
      <c r="AG6" s="137"/>
    </row>
    <row r="7" spans="1:33" ht="11.25" customHeight="1" x14ac:dyDescent="0.2">
      <c r="A7" s="52"/>
      <c r="B7" s="96" t="s">
        <v>14</v>
      </c>
      <c r="C7" s="27" t="s">
        <v>190</v>
      </c>
      <c r="D7" s="27" t="s">
        <v>191</v>
      </c>
      <c r="E7" s="25" t="str">
        <f t="shared" si="0"/>
        <v>CNYSM6AB6M_Quote</v>
      </c>
      <c r="F7" s="25" t="str">
        <f>_xll.qlSimpleQuote(Currency&amp;$C7&amp;$D7&amp;$B7&amp;QuoteSuffix,,RateTickValue,Permanent,Trigger,ObjectOverwrite)</f>
        <v>CNYSM6AB6M_Quote#0003</v>
      </c>
      <c r="G7" s="24" t="str">
        <f>_xll.ohRangeRetrieveError(F7)</f>
        <v/>
      </c>
      <c r="H7" s="19"/>
      <c r="K7" s="52"/>
      <c r="L7" s="115" t="str">
        <f t="shared" si="1"/>
        <v>6M</v>
      </c>
      <c r="M7" s="146" t="s">
        <v>217</v>
      </c>
      <c r="N7" s="146" t="s">
        <v>218</v>
      </c>
      <c r="O7" s="114" t="str">
        <f>SUBSTITUTE(Currency,"Y","")&amp;$M7&amp;$N7&amp;$L7</f>
        <v>CNNDIRS6M</v>
      </c>
      <c r="P7" s="114" t="str">
        <v>CNNDIRS6M=TRHK</v>
      </c>
      <c r="Q7" s="109">
        <v>3.32</v>
      </c>
      <c r="R7" s="109">
        <v>3.42</v>
      </c>
      <c r="S7" s="109">
        <v>0</v>
      </c>
      <c r="T7" s="109">
        <v>0</v>
      </c>
      <c r="U7" s="113">
        <f>_xll.qlMidEquivalent($Q7,$R7,$S7,$T7)</f>
        <v>3.37</v>
      </c>
      <c r="V7" s="111"/>
      <c r="W7" s="112">
        <v>3.37</v>
      </c>
      <c r="X7" s="111"/>
      <c r="Y7" s="162">
        <v>3.37</v>
      </c>
      <c r="Z7" s="108">
        <f>_xll.qlSimpleQuoteSetValue(F7,Y7/100,Trigger)</f>
        <v>0</v>
      </c>
      <c r="AA7" s="98"/>
      <c r="AB7" s="12"/>
      <c r="AC7" s="12"/>
      <c r="AD7" s="12"/>
      <c r="AE7" s="12"/>
      <c r="AF7" s="203"/>
      <c r="AG7" s="137"/>
    </row>
    <row r="8" spans="1:33" ht="11.25" customHeight="1" x14ac:dyDescent="0.25">
      <c r="A8" s="52"/>
      <c r="B8" s="96" t="s">
        <v>11</v>
      </c>
      <c r="C8" s="27" t="s">
        <v>190</v>
      </c>
      <c r="D8" s="27" t="s">
        <v>191</v>
      </c>
      <c r="E8" s="25" t="str">
        <f t="shared" si="0"/>
        <v>CNYSM6AB9M_Quote</v>
      </c>
      <c r="F8" s="25" t="str">
        <f>_xll.qlSimpleQuote(Currency&amp;$C8&amp;$D8&amp;$B8&amp;QuoteSuffix,,RateTickValue,Permanent,Trigger,ObjectOverwrite)</f>
        <v>CNYSM6AB9M_Quote#0004</v>
      </c>
      <c r="G8" s="24" t="str">
        <f>_xll.ohRangeRetrieveError(F8)</f>
        <v/>
      </c>
      <c r="H8" s="19"/>
      <c r="K8" s="52"/>
      <c r="L8" s="115" t="str">
        <f t="shared" si="1"/>
        <v>9M</v>
      </c>
      <c r="M8" s="146" t="s">
        <v>217</v>
      </c>
      <c r="N8" s="146" t="s">
        <v>218</v>
      </c>
      <c r="O8" s="114" t="str">
        <f>SUBSTITUTE(Currency,"Y","")&amp;$M8&amp;$N8&amp;$L8</f>
        <v>CNNDIRS9M</v>
      </c>
      <c r="P8" s="114" t="str">
        <v>CNNDIRS9M=TRHK</v>
      </c>
      <c r="Q8" s="109">
        <v>3.35</v>
      </c>
      <c r="R8" s="109">
        <v>3.45</v>
      </c>
      <c r="S8" s="109">
        <v>0</v>
      </c>
      <c r="T8" s="109">
        <v>0</v>
      </c>
      <c r="U8" s="113">
        <f>_xll.qlMidEquivalent($Q8,$R8,$S8,$T8)</f>
        <v>3.4000000000000004</v>
      </c>
      <c r="V8" s="111"/>
      <c r="W8" s="112">
        <v>3.4000000000000004</v>
      </c>
      <c r="X8" s="111"/>
      <c r="Y8" s="162">
        <v>3.4000000000000004</v>
      </c>
      <c r="Z8" s="108">
        <f>_xll.qlSimpleQuoteSetValue(F8,Y8/100,Trigger)</f>
        <v>0</v>
      </c>
      <c r="AA8" s="98"/>
      <c r="AB8" s="12"/>
      <c r="AC8" s="12"/>
      <c r="AD8" s="12"/>
      <c r="AE8"/>
      <c r="AF8" s="203"/>
      <c r="AG8" s="137"/>
    </row>
    <row r="9" spans="1:33" ht="11.25" customHeight="1" x14ac:dyDescent="0.2">
      <c r="A9" s="52"/>
      <c r="B9" s="95" t="s">
        <v>8</v>
      </c>
      <c r="C9" s="27" t="s">
        <v>190</v>
      </c>
      <c r="D9" s="27" t="s">
        <v>191</v>
      </c>
      <c r="E9" s="25" t="str">
        <f t="shared" si="0"/>
        <v>CNYSM6AB1Y_Quote</v>
      </c>
      <c r="F9" s="25" t="str">
        <f>_xll.qlSimpleQuote(Currency&amp;$C9&amp;$D9&amp;$B9&amp;QuoteSuffix,,RateTickValue,Permanent,Trigger,ObjectOverwrite)</f>
        <v>CNYSM6AB1Y_Quote#0003</v>
      </c>
      <c r="G9" s="24" t="str">
        <f>_xll.ohRangeRetrieveError(F9)</f>
        <v/>
      </c>
      <c r="H9" s="19"/>
      <c r="K9" s="52"/>
      <c r="L9" s="115" t="str">
        <f t="shared" si="1"/>
        <v>1Y</v>
      </c>
      <c r="M9" s="146" t="s">
        <v>217</v>
      </c>
      <c r="N9" s="146" t="s">
        <v>218</v>
      </c>
      <c r="O9" s="114" t="str">
        <f>SUBSTITUTE(Currency,"Y","")&amp;$M9&amp;$N9&amp;$L9</f>
        <v>CNNDIRS1Y</v>
      </c>
      <c r="P9" s="114" t="str">
        <v>CNNDIRS1Y=TRHK</v>
      </c>
      <c r="Q9" s="109">
        <v>3.38</v>
      </c>
      <c r="R9" s="109">
        <v>3.48</v>
      </c>
      <c r="S9" s="109">
        <v>0</v>
      </c>
      <c r="T9" s="109">
        <v>0</v>
      </c>
      <c r="U9" s="113">
        <f>_xll.qlMidEquivalent($Q9,$R9,$S9,$T9)</f>
        <v>3.4299999999999997</v>
      </c>
      <c r="V9" s="111"/>
      <c r="W9" s="112">
        <v>3.4299999999999997</v>
      </c>
      <c r="X9" s="111"/>
      <c r="Y9" s="162">
        <v>3.4299999999999997</v>
      </c>
      <c r="Z9" s="108">
        <f>_xll.qlSimpleQuoteSetValue(F9,Y9/100,Trigger)</f>
        <v>0</v>
      </c>
      <c r="AA9" s="98"/>
      <c r="AB9" s="12"/>
      <c r="AC9" s="12"/>
      <c r="AD9" s="12"/>
      <c r="AE9" s="12"/>
      <c r="AF9" s="12"/>
      <c r="AG9" s="137"/>
    </row>
    <row r="10" spans="1:33" ht="11.25" customHeight="1" x14ac:dyDescent="0.2">
      <c r="A10" s="52"/>
      <c r="B10" s="95" t="s">
        <v>58</v>
      </c>
      <c r="C10" s="27" t="s">
        <v>190</v>
      </c>
      <c r="D10" s="27" t="s">
        <v>191</v>
      </c>
      <c r="E10" s="25" t="str">
        <f t="shared" si="0"/>
        <v>CNYSM6AB2Y_Quote</v>
      </c>
      <c r="F10" s="25" t="str">
        <f>_xll.qlSimpleQuote(Currency&amp;$C10&amp;$D10&amp;$B10&amp;QuoteSuffix,,RateTickValue,Permanent,Trigger,ObjectOverwrite)</f>
        <v>CNYSM6AB2Y_Quote#0004</v>
      </c>
      <c r="G10" s="24" t="str">
        <f>_xll.ohRangeRetrieveError(F10)</f>
        <v/>
      </c>
      <c r="H10" s="19"/>
      <c r="K10" s="52"/>
      <c r="L10" s="115" t="str">
        <f t="shared" si="1"/>
        <v>2Y</v>
      </c>
      <c r="M10" s="146" t="s">
        <v>217</v>
      </c>
      <c r="N10" s="146" t="s">
        <v>218</v>
      </c>
      <c r="O10" s="114" t="str">
        <f>SUBSTITUTE(Currency,"Y","")&amp;$M10&amp;$N10&amp;$L10</f>
        <v>CNNDIRS2Y</v>
      </c>
      <c r="P10" s="114" t="str">
        <v>CNNDIRS2Y=TRHK</v>
      </c>
      <c r="Q10" s="109">
        <v>3.48</v>
      </c>
      <c r="R10" s="109">
        <v>3.58</v>
      </c>
      <c r="S10" s="109">
        <v>0</v>
      </c>
      <c r="T10" s="109">
        <v>0</v>
      </c>
      <c r="U10" s="113">
        <f>_xll.qlMidEquivalent($Q10,$R10,$S10,$T10)</f>
        <v>3.5300000000000002</v>
      </c>
      <c r="V10" s="111"/>
      <c r="W10" s="112">
        <v>3.5300000000000002</v>
      </c>
      <c r="X10" s="111"/>
      <c r="Y10" s="162">
        <v>3.5300000000000002</v>
      </c>
      <c r="Z10" s="108">
        <f>_xll.qlSimpleQuoteSetValue(F10,Y10/100,Trigger)</f>
        <v>0</v>
      </c>
      <c r="AA10" s="98"/>
      <c r="AB10" s="12"/>
      <c r="AC10" s="12"/>
      <c r="AD10" s="12"/>
      <c r="AE10" s="12"/>
      <c r="AF10" s="12"/>
      <c r="AG10" s="137"/>
    </row>
    <row r="11" spans="1:33" ht="11.25" customHeight="1" x14ac:dyDescent="0.2">
      <c r="A11" s="52"/>
      <c r="B11" s="95" t="s">
        <v>57</v>
      </c>
      <c r="C11" s="27" t="s">
        <v>190</v>
      </c>
      <c r="D11" s="27" t="s">
        <v>191</v>
      </c>
      <c r="E11" s="25" t="str">
        <f t="shared" si="0"/>
        <v>CNYSM6AB3Y_Quote</v>
      </c>
      <c r="F11" s="25" t="str">
        <f>_xll.qlSimpleQuote(Currency&amp;$C11&amp;$D11&amp;$B11&amp;QuoteSuffix,,RateTickValue,Permanent,Trigger,ObjectOverwrite)</f>
        <v>CNYSM6AB3Y_Quote#0004</v>
      </c>
      <c r="G11" s="24" t="str">
        <f>_xll.ohRangeRetrieveError(F11)</f>
        <v/>
      </c>
      <c r="H11" s="19"/>
      <c r="K11" s="52"/>
      <c r="L11" s="115" t="str">
        <f t="shared" si="1"/>
        <v>3Y</v>
      </c>
      <c r="M11" s="146" t="s">
        <v>217</v>
      </c>
      <c r="N11" s="146" t="s">
        <v>218</v>
      </c>
      <c r="O11" s="114" t="str">
        <f>SUBSTITUTE(Currency,"Y","")&amp;$M11&amp;$N11&amp;$L11</f>
        <v>CNNDIRS3Y</v>
      </c>
      <c r="P11" s="114" t="str">
        <v>CNNDIRS3Y=TRHK</v>
      </c>
      <c r="Q11" s="109">
        <v>3.59</v>
      </c>
      <c r="R11" s="109">
        <v>3.69</v>
      </c>
      <c r="S11" s="109">
        <v>0</v>
      </c>
      <c r="T11" s="109">
        <v>0</v>
      </c>
      <c r="U11" s="113">
        <f>_xll.qlMidEquivalent($Q11,$R11,$S11,$T11)</f>
        <v>3.6399999999999997</v>
      </c>
      <c r="V11" s="111"/>
      <c r="W11" s="112">
        <v>3.6399999999999997</v>
      </c>
      <c r="X11" s="111"/>
      <c r="Y11" s="162">
        <v>3.6399999999999997</v>
      </c>
      <c r="Z11" s="108">
        <f>_xll.qlSimpleQuoteSetValue(F11,Y11/100,Trigger)</f>
        <v>0</v>
      </c>
      <c r="AA11" s="98"/>
      <c r="AB11" s="12"/>
      <c r="AC11" s="12"/>
      <c r="AD11" s="12"/>
      <c r="AE11" s="12"/>
      <c r="AF11" s="12"/>
      <c r="AG11" s="137"/>
    </row>
    <row r="12" spans="1:33" ht="11.25" customHeight="1" x14ac:dyDescent="0.2">
      <c r="A12" s="52"/>
      <c r="B12" s="95" t="s">
        <v>56</v>
      </c>
      <c r="C12" s="27" t="s">
        <v>190</v>
      </c>
      <c r="D12" s="27" t="s">
        <v>191</v>
      </c>
      <c r="E12" s="25" t="str">
        <f t="shared" si="0"/>
        <v>CNYSM6AB4Y_Quote</v>
      </c>
      <c r="F12" s="25" t="str">
        <f>_xll.qlSimpleQuote(Currency&amp;$C12&amp;$D12&amp;$B12&amp;QuoteSuffix,,RateTickValue,Permanent,Trigger,ObjectOverwrite)</f>
        <v>CNYSM6AB4Y_Quote#0004</v>
      </c>
      <c r="G12" s="24" t="str">
        <f>_xll.ohRangeRetrieveError(F12)</f>
        <v/>
      </c>
      <c r="H12" s="19"/>
      <c r="K12" s="52"/>
      <c r="L12" s="115" t="str">
        <f t="shared" si="1"/>
        <v>4Y</v>
      </c>
      <c r="M12" s="146" t="s">
        <v>217</v>
      </c>
      <c r="N12" s="146" t="s">
        <v>218</v>
      </c>
      <c r="O12" s="114" t="str">
        <f>SUBSTITUTE(Currency,"Y","")&amp;$M12&amp;$N12&amp;$L12</f>
        <v>CNNDIRS4Y</v>
      </c>
      <c r="P12" s="114" t="str">
        <v>CNNDIRS4Y=TRHK</v>
      </c>
      <c r="Q12" s="109">
        <v>3.7</v>
      </c>
      <c r="R12" s="109">
        <v>3.8</v>
      </c>
      <c r="S12" s="109">
        <v>0</v>
      </c>
      <c r="T12" s="109">
        <v>0</v>
      </c>
      <c r="U12" s="113">
        <f>_xll.qlMidEquivalent($Q12,$R12,$S12,$T12)</f>
        <v>3.75</v>
      </c>
      <c r="V12" s="111"/>
      <c r="W12" s="112">
        <v>3.75</v>
      </c>
      <c r="X12" s="111"/>
      <c r="Y12" s="162">
        <v>3.75</v>
      </c>
      <c r="Z12" s="108">
        <f>_xll.qlSimpleQuoteSetValue(F12,Y12/100,Trigger)</f>
        <v>0</v>
      </c>
      <c r="AA12" s="98"/>
      <c r="AB12" s="12"/>
      <c r="AC12" s="12"/>
      <c r="AD12" s="12"/>
      <c r="AE12" s="12"/>
      <c r="AF12" s="12"/>
      <c r="AG12" s="137"/>
    </row>
    <row r="13" spans="1:33" ht="11.25" customHeight="1" x14ac:dyDescent="0.2">
      <c r="A13" s="52"/>
      <c r="B13" s="95" t="s">
        <v>55</v>
      </c>
      <c r="C13" s="27" t="s">
        <v>190</v>
      </c>
      <c r="D13" s="27" t="s">
        <v>191</v>
      </c>
      <c r="E13" s="25" t="str">
        <f t="shared" si="0"/>
        <v>CNYSM6AB5Y_Quote</v>
      </c>
      <c r="F13" s="25" t="str">
        <f>_xll.qlSimpleQuote(Currency&amp;$C13&amp;$D13&amp;$B13&amp;QuoteSuffix,,RateTickValue,Permanent,Trigger,ObjectOverwrite)</f>
        <v>CNYSM6AB5Y_Quote#0004</v>
      </c>
      <c r="G13" s="24" t="str">
        <f>_xll.ohRangeRetrieveError(F13)</f>
        <v/>
      </c>
      <c r="H13" s="19"/>
      <c r="K13" s="52"/>
      <c r="L13" s="115" t="str">
        <f t="shared" si="1"/>
        <v>5Y</v>
      </c>
      <c r="M13" s="146" t="s">
        <v>217</v>
      </c>
      <c r="N13" s="146" t="s">
        <v>218</v>
      </c>
      <c r="O13" s="114" t="str">
        <f>SUBSTITUTE(Currency,"Y","")&amp;$M13&amp;$N13&amp;$L13</f>
        <v>CNNDIRS5Y</v>
      </c>
      <c r="P13" s="114" t="str">
        <v>CNNDIRS5Y=TRHK</v>
      </c>
      <c r="Q13" s="109">
        <v>3.82</v>
      </c>
      <c r="R13" s="109">
        <v>3.92</v>
      </c>
      <c r="S13" s="109">
        <v>0</v>
      </c>
      <c r="T13" s="109">
        <v>0</v>
      </c>
      <c r="U13" s="113">
        <f>_xll.qlMidEquivalent($Q13,$R13,$S13,$T13)</f>
        <v>3.87</v>
      </c>
      <c r="V13" s="111"/>
      <c r="W13" s="112">
        <v>3.87</v>
      </c>
      <c r="X13" s="111"/>
      <c r="Y13" s="162">
        <v>3.87</v>
      </c>
      <c r="Z13" s="108">
        <f>_xll.qlSimpleQuoteSetValue(F13,Y13/100,Trigger)</f>
        <v>0</v>
      </c>
      <c r="AA13" s="98"/>
      <c r="AB13" s="12"/>
      <c r="AC13" s="12"/>
      <c r="AD13" s="12"/>
      <c r="AE13" s="12"/>
      <c r="AF13" s="12"/>
      <c r="AG13" s="137"/>
    </row>
    <row r="14" spans="1:33" ht="11.25" customHeight="1" x14ac:dyDescent="0.2">
      <c r="A14" s="52"/>
      <c r="B14" s="95" t="s">
        <v>54</v>
      </c>
      <c r="C14" s="27" t="s">
        <v>190</v>
      </c>
      <c r="D14" s="27" t="s">
        <v>191</v>
      </c>
      <c r="E14" s="25" t="str">
        <f t="shared" si="0"/>
        <v>CNYSM6AB6Y_Quote</v>
      </c>
      <c r="F14" s="25" t="str">
        <f>_xll.qlSimpleQuote(Currency&amp;$C14&amp;$D14&amp;$B14&amp;QuoteSuffix,,RateTickValue,Permanent,Trigger,ObjectOverwrite)</f>
        <v>CNYSM6AB6Y_Quote#0004</v>
      </c>
      <c r="G14" s="24" t="str">
        <f>_xll.ohRangeRetrieveError(F14)</f>
        <v/>
      </c>
      <c r="H14" s="19"/>
      <c r="K14" s="52"/>
      <c r="L14" s="115" t="str">
        <f t="shared" si="1"/>
        <v>6Y</v>
      </c>
      <c r="M14" s="146" t="s">
        <v>217</v>
      </c>
      <c r="N14" s="146" t="s">
        <v>218</v>
      </c>
      <c r="O14" s="114" t="str">
        <f>SUBSTITUTE(Currency,"Y","")&amp;$M14&amp;$N14&amp;$L14</f>
        <v>CNNDIRS6Y</v>
      </c>
      <c r="P14" s="114" t="str">
        <v>CNNDIRS6Y=TRHK</v>
      </c>
      <c r="Q14" s="109">
        <v>3.88</v>
      </c>
      <c r="R14" s="109">
        <v>3.98</v>
      </c>
      <c r="S14" s="109">
        <v>0</v>
      </c>
      <c r="T14" s="109">
        <v>0</v>
      </c>
      <c r="U14" s="113">
        <f>_xll.qlMidEquivalent($Q14,$R14,$S14,$T14)</f>
        <v>3.9299999999999997</v>
      </c>
      <c r="V14" s="111"/>
      <c r="W14" s="112">
        <v>3.9299999999999997</v>
      </c>
      <c r="X14" s="111"/>
      <c r="Y14" s="162">
        <v>3.9299999999999997</v>
      </c>
      <c r="Z14" s="108">
        <f>_xll.qlSimpleQuoteSetValue(F14,Y14/100,Trigger)</f>
        <v>0</v>
      </c>
      <c r="AA14" s="98"/>
      <c r="AB14" s="12"/>
      <c r="AC14" s="12"/>
      <c r="AD14" s="12"/>
      <c r="AE14" s="12"/>
      <c r="AF14" s="12"/>
      <c r="AG14" s="137"/>
    </row>
    <row r="15" spans="1:33" ht="11.25" customHeight="1" x14ac:dyDescent="0.2">
      <c r="A15" s="52"/>
      <c r="B15" s="95" t="s">
        <v>53</v>
      </c>
      <c r="C15" s="27" t="s">
        <v>190</v>
      </c>
      <c r="D15" s="27" t="s">
        <v>191</v>
      </c>
      <c r="E15" s="25" t="str">
        <f t="shared" si="0"/>
        <v>CNYSM6AB7Y_Quote</v>
      </c>
      <c r="F15" s="25" t="str">
        <f>_xll.qlSimpleQuote(Currency&amp;$C15&amp;$D15&amp;$B15&amp;QuoteSuffix,,RateTickValue,Permanent,Trigger,ObjectOverwrite)</f>
        <v>CNYSM6AB7Y_Quote#0004</v>
      </c>
      <c r="G15" s="24" t="str">
        <f>_xll.ohRangeRetrieveError(F15)</f>
        <v/>
      </c>
      <c r="H15" s="19"/>
      <c r="K15" s="52"/>
      <c r="L15" s="115" t="str">
        <f t="shared" si="1"/>
        <v>7Y</v>
      </c>
      <c r="M15" s="146" t="s">
        <v>217</v>
      </c>
      <c r="N15" s="146" t="s">
        <v>218</v>
      </c>
      <c r="O15" s="114" t="str">
        <f>SUBSTITUTE(Currency,"Y","")&amp;$M15&amp;$N15&amp;$L15</f>
        <v>CNNDIRS7Y</v>
      </c>
      <c r="P15" s="114" t="str">
        <v>CNNDIRS7Y=TRHK</v>
      </c>
      <c r="Q15" s="109">
        <v>3.95</v>
      </c>
      <c r="R15" s="109">
        <v>4.05</v>
      </c>
      <c r="S15" s="109">
        <v>0</v>
      </c>
      <c r="T15" s="109">
        <v>0</v>
      </c>
      <c r="U15" s="113">
        <f>_xll.qlMidEquivalent($Q15,$R15,$S15,$T15)</f>
        <v>4</v>
      </c>
      <c r="V15" s="111"/>
      <c r="W15" s="112">
        <v>4</v>
      </c>
      <c r="X15" s="111"/>
      <c r="Y15" s="162">
        <v>4</v>
      </c>
      <c r="Z15" s="108">
        <f>_xll.qlSimpleQuoteSetValue(F15,Y15/100,Trigger)</f>
        <v>0</v>
      </c>
      <c r="AA15" s="98"/>
      <c r="AB15" s="12"/>
      <c r="AC15" s="12"/>
      <c r="AD15" s="12"/>
      <c r="AE15" s="12"/>
      <c r="AF15" s="12"/>
      <c r="AG15" s="137"/>
    </row>
    <row r="16" spans="1:33" ht="11.25" customHeight="1" x14ac:dyDescent="0.2">
      <c r="A16" s="52"/>
      <c r="B16" s="95" t="s">
        <v>52</v>
      </c>
      <c r="C16" s="27" t="s">
        <v>190</v>
      </c>
      <c r="D16" s="27" t="s">
        <v>191</v>
      </c>
      <c r="E16" s="25" t="str">
        <f t="shared" si="0"/>
        <v>CNYSM6AB8Y_Quote</v>
      </c>
      <c r="F16" s="25" t="str">
        <f>_xll.qlSimpleQuote(Currency&amp;$C16&amp;$D16&amp;$B16&amp;QuoteSuffix,,RateTickValue,Permanent,Trigger,ObjectOverwrite)</f>
        <v>CNYSM6AB8Y_Quote#0004</v>
      </c>
      <c r="G16" s="24" t="str">
        <f>_xll.ohRangeRetrieveError(F16)</f>
        <v/>
      </c>
      <c r="H16" s="19"/>
      <c r="K16" s="52"/>
      <c r="L16" s="115" t="str">
        <f t="shared" si="1"/>
        <v>8Y</v>
      </c>
      <c r="M16" s="146" t="s">
        <v>217</v>
      </c>
      <c r="N16" s="146" t="s">
        <v>218</v>
      </c>
      <c r="O16" s="114" t="str">
        <f>SUBSTITUTE(Currency,"Y","")&amp;$M16&amp;$N16&amp;$L16</f>
        <v>CNNDIRS8Y</v>
      </c>
      <c r="P16" s="114" t="str">
        <v>CNNDIRS8Y=TRHK</v>
      </c>
      <c r="Q16" s="109">
        <v>3.99</v>
      </c>
      <c r="R16" s="109">
        <v>4.09</v>
      </c>
      <c r="S16" s="109">
        <v>0</v>
      </c>
      <c r="T16" s="109">
        <v>0</v>
      </c>
      <c r="U16" s="113">
        <f>_xll.qlMidEquivalent($Q16,$R16,$S16,$T16)</f>
        <v>4.04</v>
      </c>
      <c r="V16" s="111"/>
      <c r="W16" s="112">
        <v>4.04</v>
      </c>
      <c r="X16" s="111"/>
      <c r="Y16" s="162">
        <v>4.04</v>
      </c>
      <c r="Z16" s="108">
        <f>_xll.qlSimpleQuoteSetValue(F16,Y16/100,Trigger)</f>
        <v>0</v>
      </c>
      <c r="AA16" s="98"/>
      <c r="AB16" s="12"/>
      <c r="AC16" s="12"/>
      <c r="AD16" s="12"/>
      <c r="AE16" s="12"/>
      <c r="AF16" s="12"/>
      <c r="AG16" s="137"/>
    </row>
    <row r="17" spans="1:33" ht="11.25" customHeight="1" x14ac:dyDescent="0.2">
      <c r="A17" s="52"/>
      <c r="B17" s="95" t="s">
        <v>51</v>
      </c>
      <c r="C17" s="27" t="s">
        <v>190</v>
      </c>
      <c r="D17" s="27" t="s">
        <v>191</v>
      </c>
      <c r="E17" s="25" t="str">
        <f t="shared" si="0"/>
        <v>CNYSM6AB9Y_Quote</v>
      </c>
      <c r="F17" s="25" t="str">
        <f>_xll.qlSimpleQuote(Currency&amp;$C17&amp;$D17&amp;$B17&amp;QuoteSuffix,,RateTickValue,Permanent,Trigger,ObjectOverwrite)</f>
        <v>CNYSM6AB9Y_Quote#0004</v>
      </c>
      <c r="G17" s="24" t="str">
        <f>_xll.ohRangeRetrieveError(F17)</f>
        <v/>
      </c>
      <c r="H17" s="19"/>
      <c r="K17" s="52"/>
      <c r="L17" s="115" t="str">
        <f t="shared" si="1"/>
        <v>9Y</v>
      </c>
      <c r="M17" s="146" t="s">
        <v>217</v>
      </c>
      <c r="N17" s="146" t="s">
        <v>218</v>
      </c>
      <c r="O17" s="114" t="str">
        <f>SUBSTITUTE(Currency,"Y","")&amp;$M17&amp;$N17&amp;$L17</f>
        <v>CNNDIRS9Y</v>
      </c>
      <c r="P17" s="114" t="str">
        <v>CNNDIRS9Y=TRHK</v>
      </c>
      <c r="Q17" s="109">
        <v>4.03</v>
      </c>
      <c r="R17" s="109">
        <v>4.13</v>
      </c>
      <c r="S17" s="109">
        <v>0</v>
      </c>
      <c r="T17" s="109">
        <v>0</v>
      </c>
      <c r="U17" s="113">
        <f>_xll.qlMidEquivalent($Q17,$R17,$S17,$T17)</f>
        <v>4.08</v>
      </c>
      <c r="V17" s="111"/>
      <c r="W17" s="112">
        <v>4.08</v>
      </c>
      <c r="X17" s="111"/>
      <c r="Y17" s="162">
        <v>4.08</v>
      </c>
      <c r="Z17" s="108">
        <f>_xll.qlSimpleQuoteSetValue(F17,Y17/100,Trigger)</f>
        <v>0</v>
      </c>
      <c r="AA17" s="98"/>
      <c r="AB17" s="12"/>
      <c r="AC17" s="12"/>
      <c r="AD17" s="12"/>
      <c r="AE17" s="12"/>
      <c r="AF17" s="12"/>
      <c r="AG17" s="137"/>
    </row>
    <row r="18" spans="1:33" ht="11.25" customHeight="1" x14ac:dyDescent="0.2">
      <c r="A18" s="52"/>
      <c r="B18" s="95" t="s">
        <v>50</v>
      </c>
      <c r="C18" s="27" t="s">
        <v>190</v>
      </c>
      <c r="D18" s="27" t="s">
        <v>191</v>
      </c>
      <c r="E18" s="25" t="str">
        <f t="shared" si="0"/>
        <v>CNYSM6AB10Y_Quote</v>
      </c>
      <c r="F18" s="25" t="str">
        <f>_xll.qlSimpleQuote(Currency&amp;$C18&amp;$D18&amp;$B18&amp;QuoteSuffix,,RateTickValue,Permanent,Trigger,ObjectOverwrite)</f>
        <v>CNYSM6AB10Y_Quote#0003</v>
      </c>
      <c r="G18" s="24" t="str">
        <f>_xll.ohRangeRetrieveError(F18)</f>
        <v/>
      </c>
      <c r="H18" s="19"/>
      <c r="K18" s="52"/>
      <c r="L18" s="115" t="str">
        <f t="shared" si="1"/>
        <v>10Y</v>
      </c>
      <c r="M18" s="146" t="s">
        <v>217</v>
      </c>
      <c r="N18" s="146" t="s">
        <v>218</v>
      </c>
      <c r="O18" s="114" t="str">
        <f>SUBSTITUTE(Currency,"Y","")&amp;$M18&amp;$N18&amp;$L18</f>
        <v>CNNDIRS10Y</v>
      </c>
      <c r="P18" s="114" t="str">
        <v>CNNDIRS10Y=TRHK</v>
      </c>
      <c r="Q18" s="109">
        <v>4.0599999999999996</v>
      </c>
      <c r="R18" s="109">
        <v>4.16</v>
      </c>
      <c r="S18" s="109">
        <v>0</v>
      </c>
      <c r="T18" s="109">
        <v>0</v>
      </c>
      <c r="U18" s="113">
        <f>_xll.qlMidEquivalent($Q18,$R18,$S18,$T18)</f>
        <v>4.1099999999999994</v>
      </c>
      <c r="V18" s="111"/>
      <c r="W18" s="112">
        <v>4.1099999999999994</v>
      </c>
      <c r="X18" s="111"/>
      <c r="Y18" s="162">
        <v>4.1099999999999994</v>
      </c>
      <c r="Z18" s="108">
        <f>_xll.qlSimpleQuoteSetValue(F18,Y18/100,Trigger)</f>
        <v>0</v>
      </c>
      <c r="AA18" s="98"/>
      <c r="AB18" s="12"/>
      <c r="AC18" s="12"/>
      <c r="AD18" s="12"/>
      <c r="AE18" s="12"/>
      <c r="AF18" s="12"/>
      <c r="AG18" s="137"/>
    </row>
    <row r="19" spans="1:33" ht="11.25" customHeight="1" x14ac:dyDescent="0.2">
      <c r="A19" s="52"/>
      <c r="B19" s="95" t="s">
        <v>49</v>
      </c>
      <c r="C19" s="27" t="s">
        <v>190</v>
      </c>
      <c r="D19" s="27" t="s">
        <v>191</v>
      </c>
      <c r="E19" s="25" t="str">
        <f t="shared" si="0"/>
        <v>CNYSM6AB11Y_Quote</v>
      </c>
      <c r="F19" s="25" t="str">
        <f>_xll.qlSimpleQuote(Currency&amp;$C19&amp;$D19&amp;$B19&amp;QuoteSuffix,,RateTickValue,Permanent,Trigger,ObjectOverwrite)</f>
        <v>CNYSM6AB11Y_Quote#0003</v>
      </c>
      <c r="G19" s="24" t="str">
        <f>_xll.ohRangeRetrieveError(F19)</f>
        <v/>
      </c>
      <c r="H19" s="19"/>
      <c r="K19" s="52"/>
      <c r="L19" s="115" t="str">
        <f t="shared" si="1"/>
        <v>11Y</v>
      </c>
      <c r="M19" s="146" t="s">
        <v>217</v>
      </c>
      <c r="N19" s="146" t="s">
        <v>218</v>
      </c>
      <c r="O19" s="114" t="str">
        <f>SUBSTITUTE(Currency,"Y","")&amp;$M19&amp;$N19&amp;$L19</f>
        <v>CNNDIRS11Y</v>
      </c>
      <c r="P19" s="114" t="str">
        <v>CNNDIRS11Y=TRHK</v>
      </c>
      <c r="Q19" s="109" t="s">
        <v>135</v>
      </c>
      <c r="R19" s="109" t="s">
        <v>135</v>
      </c>
      <c r="S19" s="109" t="s">
        <v>135</v>
      </c>
      <c r="T19" s="109" t="s">
        <v>135</v>
      </c>
      <c r="U19" s="113" t="e">
        <f>_xll.qlMidEquivalent($Q19,$R19,$S19,$T19)</f>
        <v>#NUM!</v>
      </c>
      <c r="V19" s="111"/>
      <c r="W19" s="112" t="e">
        <v>#NUM!</v>
      </c>
      <c r="X19" s="111"/>
      <c r="Y19" s="162" t="e">
        <v>#NUM!</v>
      </c>
      <c r="Z19" s="108" t="e">
        <f>_xll.qlSimpleQuoteSetValue(F19,Y19/100,Trigger)</f>
        <v>#NUM!</v>
      </c>
      <c r="AA19" s="98"/>
      <c r="AB19" s="12"/>
      <c r="AC19" s="12"/>
      <c r="AD19" s="12"/>
      <c r="AE19" s="12"/>
      <c r="AF19" s="12"/>
      <c r="AG19" s="137"/>
    </row>
    <row r="20" spans="1:33" ht="11.25" customHeight="1" x14ac:dyDescent="0.2">
      <c r="A20" s="52"/>
      <c r="B20" s="95" t="s">
        <v>48</v>
      </c>
      <c r="C20" s="27" t="s">
        <v>190</v>
      </c>
      <c r="D20" s="27" t="s">
        <v>191</v>
      </c>
      <c r="E20" s="25" t="str">
        <f t="shared" si="0"/>
        <v>CNYSM6AB12Y_Quote</v>
      </c>
      <c r="F20" s="25" t="str">
        <f>_xll.qlSimpleQuote(Currency&amp;$C20&amp;$D20&amp;$B20&amp;QuoteSuffix,,RateTickValue,Permanent,Trigger,ObjectOverwrite)</f>
        <v>CNYSM6AB12Y_Quote#0003</v>
      </c>
      <c r="G20" s="24" t="str">
        <f>_xll.ohRangeRetrieveError(F20)</f>
        <v/>
      </c>
      <c r="H20" s="19"/>
      <c r="K20" s="52"/>
      <c r="L20" s="115" t="str">
        <f t="shared" si="1"/>
        <v>12Y</v>
      </c>
      <c r="M20" s="146" t="s">
        <v>217</v>
      </c>
      <c r="N20" s="146" t="s">
        <v>218</v>
      </c>
      <c r="O20" s="114" t="str">
        <f>SUBSTITUTE(Currency,"Y","")&amp;$M20&amp;$N20&amp;$L20</f>
        <v>CNNDIRS12Y</v>
      </c>
      <c r="P20" s="114" t="str">
        <v>CNNDIRS12Y=TRHK</v>
      </c>
      <c r="Q20" s="109" t="s">
        <v>135</v>
      </c>
      <c r="R20" s="109" t="s">
        <v>135</v>
      </c>
      <c r="S20" s="109" t="s">
        <v>135</v>
      </c>
      <c r="T20" s="109" t="s">
        <v>135</v>
      </c>
      <c r="U20" s="113" t="e">
        <f>_xll.qlMidEquivalent($Q20,$R20,$S20,$T20)</f>
        <v>#NUM!</v>
      </c>
      <c r="V20" s="111"/>
      <c r="W20" s="112" t="e">
        <v>#NUM!</v>
      </c>
      <c r="X20" s="111"/>
      <c r="Y20" s="162" t="e">
        <v>#NUM!</v>
      </c>
      <c r="Z20" s="108" t="e">
        <f>_xll.qlSimpleQuoteSetValue(F20,Y20/100,Trigger)</f>
        <v>#NUM!</v>
      </c>
      <c r="AA20" s="98"/>
      <c r="AB20" s="12"/>
      <c r="AC20" s="12"/>
      <c r="AD20" s="12"/>
      <c r="AE20" s="12"/>
      <c r="AF20" s="12"/>
      <c r="AG20" s="137"/>
    </row>
    <row r="21" spans="1:33" ht="11.25" customHeight="1" x14ac:dyDescent="0.2">
      <c r="A21" s="52"/>
      <c r="B21" s="95" t="s">
        <v>47</v>
      </c>
      <c r="C21" s="27" t="s">
        <v>190</v>
      </c>
      <c r="D21" s="27" t="s">
        <v>191</v>
      </c>
      <c r="E21" s="25" t="str">
        <f t="shared" si="0"/>
        <v>CNYSM6AB13Y_Quote</v>
      </c>
      <c r="F21" s="25" t="str">
        <f>_xll.qlSimpleQuote(Currency&amp;$C21&amp;$D21&amp;$B21&amp;QuoteSuffix,,RateTickValue,Permanent,Trigger,ObjectOverwrite)</f>
        <v>CNYSM6AB13Y_Quote#0003</v>
      </c>
      <c r="G21" s="24" t="str">
        <f>_xll.ohRangeRetrieveError(F21)</f>
        <v/>
      </c>
      <c r="H21" s="19"/>
      <c r="K21" s="52"/>
      <c r="L21" s="115" t="str">
        <f t="shared" si="1"/>
        <v>13Y</v>
      </c>
      <c r="M21" s="146" t="s">
        <v>217</v>
      </c>
      <c r="N21" s="146" t="s">
        <v>218</v>
      </c>
      <c r="O21" s="114" t="str">
        <f>SUBSTITUTE(Currency,"Y","")&amp;$M21&amp;$N21&amp;$L21</f>
        <v>CNNDIRS13Y</v>
      </c>
      <c r="P21" s="114" t="str">
        <v>CNNDIRS13Y=TRHK</v>
      </c>
      <c r="Q21" s="109" t="s">
        <v>135</v>
      </c>
      <c r="R21" s="109" t="s">
        <v>135</v>
      </c>
      <c r="S21" s="109" t="s">
        <v>135</v>
      </c>
      <c r="T21" s="109" t="s">
        <v>135</v>
      </c>
      <c r="U21" s="113" t="e">
        <f>_xll.qlMidEquivalent($Q21,$R21,$S21,$T21)</f>
        <v>#NUM!</v>
      </c>
      <c r="V21" s="111"/>
      <c r="W21" s="112" t="e">
        <v>#NUM!</v>
      </c>
      <c r="X21" s="111"/>
      <c r="Y21" s="162" t="e">
        <v>#NUM!</v>
      </c>
      <c r="Z21" s="108" t="e">
        <f>_xll.qlSimpleQuoteSetValue(F21,Y21/100,Trigger)</f>
        <v>#NUM!</v>
      </c>
      <c r="AA21" s="98"/>
      <c r="AB21" s="12"/>
      <c r="AC21" s="12"/>
      <c r="AD21" s="12"/>
      <c r="AE21" s="12"/>
      <c r="AF21" s="12"/>
      <c r="AG21" s="137"/>
    </row>
    <row r="22" spans="1:33" ht="11.25" customHeight="1" x14ac:dyDescent="0.2">
      <c r="A22" s="52"/>
      <c r="B22" s="95" t="s">
        <v>46</v>
      </c>
      <c r="C22" s="27" t="s">
        <v>190</v>
      </c>
      <c r="D22" s="27" t="s">
        <v>191</v>
      </c>
      <c r="E22" s="25" t="str">
        <f t="shared" si="0"/>
        <v>CNYSM6AB14Y_Quote</v>
      </c>
      <c r="F22" s="25" t="str">
        <f>_xll.qlSimpleQuote(Currency&amp;$C22&amp;$D22&amp;$B22&amp;QuoteSuffix,,RateTickValue,Permanent,Trigger,ObjectOverwrite)</f>
        <v>CNYSM6AB14Y_Quote#0003</v>
      </c>
      <c r="G22" s="24" t="str">
        <f>_xll.ohRangeRetrieveError(F22)</f>
        <v/>
      </c>
      <c r="H22" s="19"/>
      <c r="K22" s="52"/>
      <c r="L22" s="115" t="str">
        <f t="shared" si="1"/>
        <v>14Y</v>
      </c>
      <c r="M22" s="146" t="s">
        <v>217</v>
      </c>
      <c r="N22" s="146" t="s">
        <v>218</v>
      </c>
      <c r="O22" s="114" t="str">
        <f>SUBSTITUTE(Currency,"Y","")&amp;$M22&amp;$N22&amp;$L22</f>
        <v>CNNDIRS14Y</v>
      </c>
      <c r="P22" s="114" t="str">
        <v>CNNDIRS14Y=TRHK</v>
      </c>
      <c r="Q22" s="109" t="s">
        <v>135</v>
      </c>
      <c r="R22" s="109" t="s">
        <v>135</v>
      </c>
      <c r="S22" s="109" t="s">
        <v>135</v>
      </c>
      <c r="T22" s="109" t="s">
        <v>135</v>
      </c>
      <c r="U22" s="113" t="e">
        <f>_xll.qlMidEquivalent($Q22,$R22,$S22,$T22)</f>
        <v>#NUM!</v>
      </c>
      <c r="V22" s="111"/>
      <c r="W22" s="112" t="e">
        <v>#NUM!</v>
      </c>
      <c r="X22" s="111"/>
      <c r="Y22" s="162" t="e">
        <v>#NUM!</v>
      </c>
      <c r="Z22" s="108" t="e">
        <f>_xll.qlSimpleQuoteSetValue(F22,Y22/100,Trigger)</f>
        <v>#NUM!</v>
      </c>
      <c r="AA22" s="98"/>
      <c r="AB22" s="12"/>
      <c r="AC22" s="12"/>
      <c r="AD22" s="12"/>
      <c r="AE22" s="12"/>
      <c r="AF22" s="12"/>
      <c r="AG22" s="137"/>
    </row>
    <row r="23" spans="1:33" ht="11.25" customHeight="1" x14ac:dyDescent="0.2">
      <c r="A23" s="52"/>
      <c r="B23" s="95" t="s">
        <v>45</v>
      </c>
      <c r="C23" s="27" t="s">
        <v>190</v>
      </c>
      <c r="D23" s="27" t="s">
        <v>191</v>
      </c>
      <c r="E23" s="25" t="str">
        <f t="shared" si="0"/>
        <v>CNYSM6AB15Y_Quote</v>
      </c>
      <c r="F23" s="25" t="str">
        <f>_xll.qlSimpleQuote(Currency&amp;$C23&amp;$D23&amp;$B23&amp;QuoteSuffix,,RateTickValue,Permanent,Trigger,ObjectOverwrite)</f>
        <v>CNYSM6AB15Y_Quote#0003</v>
      </c>
      <c r="G23" s="24" t="str">
        <f>_xll.ohRangeRetrieveError(F23)</f>
        <v/>
      </c>
      <c r="H23" s="19"/>
      <c r="K23" s="52"/>
      <c r="L23" s="115" t="str">
        <f t="shared" si="1"/>
        <v>15Y</v>
      </c>
      <c r="M23" s="146" t="s">
        <v>217</v>
      </c>
      <c r="N23" s="146" t="s">
        <v>218</v>
      </c>
      <c r="O23" s="114" t="str">
        <f>SUBSTITUTE(Currency,"Y","")&amp;$M23&amp;$N23&amp;$L23</f>
        <v>CNNDIRS15Y</v>
      </c>
      <c r="P23" s="114" t="str">
        <v>CNNDIRS15Y=TRHK</v>
      </c>
      <c r="Q23" s="109" t="s">
        <v>135</v>
      </c>
      <c r="R23" s="109" t="s">
        <v>135</v>
      </c>
      <c r="S23" s="109" t="s">
        <v>135</v>
      </c>
      <c r="T23" s="109" t="s">
        <v>135</v>
      </c>
      <c r="U23" s="113" t="e">
        <f>_xll.qlMidEquivalent($Q23,$R23,$S23,$T23)</f>
        <v>#NUM!</v>
      </c>
      <c r="V23" s="111"/>
      <c r="W23" s="112" t="e">
        <v>#NUM!</v>
      </c>
      <c r="X23" s="111"/>
      <c r="Y23" s="162" t="e">
        <v>#NUM!</v>
      </c>
      <c r="Z23" s="108" t="e">
        <f>_xll.qlSimpleQuoteSetValue(F23,Y23/100,Trigger)</f>
        <v>#NUM!</v>
      </c>
      <c r="AA23" s="98"/>
      <c r="AB23" s="12"/>
      <c r="AC23" s="12"/>
      <c r="AD23" s="12"/>
      <c r="AE23" s="12"/>
      <c r="AF23" s="12"/>
      <c r="AG23" s="137"/>
    </row>
    <row r="24" spans="1:33" ht="11.25" customHeight="1" x14ac:dyDescent="0.2">
      <c r="A24" s="52"/>
      <c r="B24" s="95" t="s">
        <v>44</v>
      </c>
      <c r="C24" s="27" t="s">
        <v>190</v>
      </c>
      <c r="D24" s="27" t="s">
        <v>191</v>
      </c>
      <c r="E24" s="25" t="str">
        <f t="shared" si="0"/>
        <v>CNYSM6AB16Y_Quote</v>
      </c>
      <c r="F24" s="25" t="str">
        <f>_xll.qlSimpleQuote(Currency&amp;$C24&amp;$D24&amp;$B24&amp;QuoteSuffix,,RateTickValue,Permanent,Trigger,ObjectOverwrite)</f>
        <v>CNYSM6AB16Y_Quote#0003</v>
      </c>
      <c r="G24" s="24" t="str">
        <f>_xll.ohRangeRetrieveError(F24)</f>
        <v/>
      </c>
      <c r="H24" s="19"/>
      <c r="K24" s="52"/>
      <c r="L24" s="115" t="str">
        <f t="shared" si="1"/>
        <v>16Y</v>
      </c>
      <c r="M24" s="146" t="s">
        <v>217</v>
      </c>
      <c r="N24" s="146" t="s">
        <v>218</v>
      </c>
      <c r="O24" s="114" t="str">
        <f>SUBSTITUTE(Currency,"Y","")&amp;$M24&amp;$N24&amp;$L24</f>
        <v>CNNDIRS16Y</v>
      </c>
      <c r="P24" s="114" t="str">
        <v>CNNDIRS16Y=TRHK</v>
      </c>
      <c r="Q24" s="109" t="s">
        <v>135</v>
      </c>
      <c r="R24" s="109" t="s">
        <v>135</v>
      </c>
      <c r="S24" s="109" t="s">
        <v>135</v>
      </c>
      <c r="T24" s="109" t="s">
        <v>135</v>
      </c>
      <c r="U24" s="113" t="e">
        <f>_xll.qlMidEquivalent($Q24,$R24,$S24,$T24)</f>
        <v>#NUM!</v>
      </c>
      <c r="V24" s="111"/>
      <c r="W24" s="112" t="e">
        <v>#NUM!</v>
      </c>
      <c r="X24" s="111"/>
      <c r="Y24" s="162" t="e">
        <v>#NUM!</v>
      </c>
      <c r="Z24" s="108" t="e">
        <f>_xll.qlSimpleQuoteSetValue(F24,Y24/100,Trigger)</f>
        <v>#NUM!</v>
      </c>
      <c r="AA24" s="98"/>
      <c r="AB24" s="12"/>
      <c r="AC24" s="12"/>
      <c r="AD24" s="12"/>
      <c r="AE24" s="12"/>
      <c r="AF24" s="12"/>
      <c r="AG24" s="137"/>
    </row>
    <row r="25" spans="1:33" ht="11.25" customHeight="1" x14ac:dyDescent="0.2">
      <c r="A25" s="52"/>
      <c r="B25" s="95" t="s">
        <v>43</v>
      </c>
      <c r="C25" s="27" t="s">
        <v>190</v>
      </c>
      <c r="D25" s="27" t="s">
        <v>191</v>
      </c>
      <c r="E25" s="25" t="str">
        <f t="shared" si="0"/>
        <v>CNYSM6AB17Y_Quote</v>
      </c>
      <c r="F25" s="25" t="str">
        <f>_xll.qlSimpleQuote(Currency&amp;$C25&amp;$D25&amp;$B25&amp;QuoteSuffix,,RateTickValue,Permanent,Trigger,ObjectOverwrite)</f>
        <v>CNYSM6AB17Y_Quote#0003</v>
      </c>
      <c r="G25" s="24" t="str">
        <f>_xll.ohRangeRetrieveError(F25)</f>
        <v/>
      </c>
      <c r="H25" s="19"/>
      <c r="K25" s="52"/>
      <c r="L25" s="115" t="str">
        <f t="shared" si="1"/>
        <v>17Y</v>
      </c>
      <c r="M25" s="146" t="s">
        <v>217</v>
      </c>
      <c r="N25" s="146" t="s">
        <v>218</v>
      </c>
      <c r="O25" s="114" t="str">
        <f>SUBSTITUTE(Currency,"Y","")&amp;$M25&amp;$N25&amp;$L25</f>
        <v>CNNDIRS17Y</v>
      </c>
      <c r="P25" s="114" t="str">
        <v>CNNDIRS17Y=TRHK</v>
      </c>
      <c r="Q25" s="109" t="s">
        <v>135</v>
      </c>
      <c r="R25" s="109" t="s">
        <v>135</v>
      </c>
      <c r="S25" s="109" t="s">
        <v>135</v>
      </c>
      <c r="T25" s="109" t="s">
        <v>135</v>
      </c>
      <c r="U25" s="113" t="e">
        <f>_xll.qlMidEquivalent($Q25,$R25,$S25,$T25)</f>
        <v>#NUM!</v>
      </c>
      <c r="V25" s="111"/>
      <c r="W25" s="112" t="e">
        <v>#NUM!</v>
      </c>
      <c r="X25" s="111"/>
      <c r="Y25" s="162" t="e">
        <v>#NUM!</v>
      </c>
      <c r="Z25" s="108" t="e">
        <f>_xll.qlSimpleQuoteSetValue(F25,Y25/100,Trigger)</f>
        <v>#NUM!</v>
      </c>
      <c r="AA25" s="98"/>
      <c r="AB25" s="12"/>
      <c r="AC25" s="12"/>
      <c r="AD25" s="12"/>
      <c r="AE25" s="12"/>
      <c r="AF25" s="12"/>
      <c r="AG25" s="137"/>
    </row>
    <row r="26" spans="1:33" ht="11.25" customHeight="1" x14ac:dyDescent="0.2">
      <c r="A26" s="52"/>
      <c r="B26" s="95" t="s">
        <v>42</v>
      </c>
      <c r="C26" s="27" t="s">
        <v>190</v>
      </c>
      <c r="D26" s="27" t="s">
        <v>191</v>
      </c>
      <c r="E26" s="25" t="str">
        <f t="shared" si="0"/>
        <v>CNYSM6AB18Y_Quote</v>
      </c>
      <c r="F26" s="25" t="str">
        <f>_xll.qlSimpleQuote(Currency&amp;$C26&amp;$D26&amp;$B26&amp;QuoteSuffix,,RateTickValue,Permanent,Trigger,ObjectOverwrite)</f>
        <v>CNYSM6AB18Y_Quote#0003</v>
      </c>
      <c r="G26" s="24" t="str">
        <f>_xll.ohRangeRetrieveError(F26)</f>
        <v/>
      </c>
      <c r="H26" s="19"/>
      <c r="K26" s="52"/>
      <c r="L26" s="115" t="str">
        <f t="shared" si="1"/>
        <v>18Y</v>
      </c>
      <c r="M26" s="146" t="s">
        <v>217</v>
      </c>
      <c r="N26" s="146" t="s">
        <v>218</v>
      </c>
      <c r="O26" s="114" t="str">
        <f>SUBSTITUTE(Currency,"Y","")&amp;$M26&amp;$N26&amp;$L26</f>
        <v>CNNDIRS18Y</v>
      </c>
      <c r="P26" s="114" t="str">
        <v>CNNDIRS18Y=TRHK</v>
      </c>
      <c r="Q26" s="109" t="s">
        <v>135</v>
      </c>
      <c r="R26" s="109" t="s">
        <v>135</v>
      </c>
      <c r="S26" s="109" t="s">
        <v>135</v>
      </c>
      <c r="T26" s="109" t="s">
        <v>135</v>
      </c>
      <c r="U26" s="113" t="e">
        <f>_xll.qlMidEquivalent($Q26,$R26,$S26,$T26)</f>
        <v>#NUM!</v>
      </c>
      <c r="V26" s="111"/>
      <c r="W26" s="112" t="e">
        <v>#NUM!</v>
      </c>
      <c r="X26" s="111"/>
      <c r="Y26" s="162" t="e">
        <v>#NUM!</v>
      </c>
      <c r="Z26" s="108" t="e">
        <f>_xll.qlSimpleQuoteSetValue(F26,Y26/100,Trigger)</f>
        <v>#NUM!</v>
      </c>
      <c r="AA26" s="98"/>
      <c r="AB26" s="12"/>
      <c r="AC26" s="12"/>
      <c r="AD26" s="12"/>
      <c r="AE26" s="12"/>
      <c r="AF26" s="12"/>
      <c r="AG26" s="137"/>
    </row>
    <row r="27" spans="1:33" ht="11.25" customHeight="1" x14ac:dyDescent="0.2">
      <c r="A27" s="52"/>
      <c r="B27" s="95" t="s">
        <v>41</v>
      </c>
      <c r="C27" s="27" t="s">
        <v>190</v>
      </c>
      <c r="D27" s="27" t="s">
        <v>191</v>
      </c>
      <c r="E27" s="25" t="str">
        <f t="shared" si="0"/>
        <v>CNYSM6AB19Y_Quote</v>
      </c>
      <c r="F27" s="25" t="str">
        <f>_xll.qlSimpleQuote(Currency&amp;$C27&amp;$D27&amp;$B27&amp;QuoteSuffix,,RateTickValue,Permanent,Trigger,ObjectOverwrite)</f>
        <v>CNYSM6AB19Y_Quote#0003</v>
      </c>
      <c r="G27" s="24" t="str">
        <f>_xll.ohRangeRetrieveError(F27)</f>
        <v/>
      </c>
      <c r="H27" s="19"/>
      <c r="K27" s="52"/>
      <c r="L27" s="115" t="str">
        <f t="shared" si="1"/>
        <v>19Y</v>
      </c>
      <c r="M27" s="146" t="s">
        <v>217</v>
      </c>
      <c r="N27" s="146" t="s">
        <v>218</v>
      </c>
      <c r="O27" s="114" t="str">
        <f>SUBSTITUTE(Currency,"Y","")&amp;$M27&amp;$N27&amp;$L27</f>
        <v>CNNDIRS19Y</v>
      </c>
      <c r="P27" s="114" t="str">
        <v>CNNDIRS19Y=TRHK</v>
      </c>
      <c r="Q27" s="109" t="s">
        <v>135</v>
      </c>
      <c r="R27" s="109" t="s">
        <v>135</v>
      </c>
      <c r="S27" s="109" t="s">
        <v>135</v>
      </c>
      <c r="T27" s="109" t="s">
        <v>135</v>
      </c>
      <c r="U27" s="113" t="e">
        <f>_xll.qlMidEquivalent($Q27,$R27,$S27,$T27)</f>
        <v>#NUM!</v>
      </c>
      <c r="V27" s="111"/>
      <c r="W27" s="112" t="e">
        <v>#NUM!</v>
      </c>
      <c r="X27" s="111"/>
      <c r="Y27" s="162" t="e">
        <v>#NUM!</v>
      </c>
      <c r="Z27" s="108" t="e">
        <f>_xll.qlSimpleQuoteSetValue(F27,Y27/100,Trigger)</f>
        <v>#NUM!</v>
      </c>
      <c r="AA27" s="98"/>
      <c r="AB27" s="12"/>
      <c r="AC27" s="12"/>
      <c r="AD27" s="12"/>
      <c r="AE27" s="12"/>
      <c r="AF27" s="12"/>
      <c r="AG27" s="137"/>
    </row>
    <row r="28" spans="1:33" ht="11.25" customHeight="1" x14ac:dyDescent="0.2">
      <c r="A28" s="52"/>
      <c r="B28" s="95" t="s">
        <v>40</v>
      </c>
      <c r="C28" s="27" t="s">
        <v>190</v>
      </c>
      <c r="D28" s="27" t="s">
        <v>191</v>
      </c>
      <c r="E28" s="25" t="str">
        <f t="shared" si="0"/>
        <v>CNYSM6AB20Y_Quote</v>
      </c>
      <c r="F28" s="25" t="str">
        <f>_xll.qlSimpleQuote(Currency&amp;$C28&amp;$D28&amp;$B28&amp;QuoteSuffix,,RateTickValue,Permanent,Trigger,ObjectOverwrite)</f>
        <v>CNYSM6AB20Y_Quote#0003</v>
      </c>
      <c r="G28" s="24" t="str">
        <f>_xll.ohRangeRetrieveError(F28)</f>
        <v/>
      </c>
      <c r="H28" s="19"/>
      <c r="K28" s="52"/>
      <c r="L28" s="115" t="str">
        <f t="shared" si="1"/>
        <v>20Y</v>
      </c>
      <c r="M28" s="146" t="s">
        <v>217</v>
      </c>
      <c r="N28" s="146" t="s">
        <v>218</v>
      </c>
      <c r="O28" s="114" t="str">
        <f>SUBSTITUTE(Currency,"Y","")&amp;$M28&amp;$N28&amp;$L28</f>
        <v>CNNDIRS20Y</v>
      </c>
      <c r="P28" s="114" t="str">
        <v>CNNDIRS20Y=TRHK</v>
      </c>
      <c r="Q28" s="109" t="s">
        <v>135</v>
      </c>
      <c r="R28" s="109" t="s">
        <v>135</v>
      </c>
      <c r="S28" s="109" t="s">
        <v>135</v>
      </c>
      <c r="T28" s="109" t="s">
        <v>135</v>
      </c>
      <c r="U28" s="113" t="e">
        <f>_xll.qlMidEquivalent($Q28,$R28,$S28,$T28)</f>
        <v>#NUM!</v>
      </c>
      <c r="V28" s="111"/>
      <c r="W28" s="112" t="e">
        <v>#NUM!</v>
      </c>
      <c r="X28" s="111"/>
      <c r="Y28" s="162" t="e">
        <v>#NUM!</v>
      </c>
      <c r="Z28" s="108" t="e">
        <f>_xll.qlSimpleQuoteSetValue(F28,Y28/100,Trigger)</f>
        <v>#NUM!</v>
      </c>
      <c r="AA28" s="98"/>
      <c r="AB28" s="12"/>
      <c r="AC28" s="12"/>
      <c r="AD28" s="12"/>
      <c r="AE28" s="12"/>
      <c r="AF28" s="12"/>
      <c r="AG28" s="137"/>
    </row>
    <row r="29" spans="1:33" ht="11.25" customHeight="1" x14ac:dyDescent="0.2">
      <c r="A29" s="52"/>
      <c r="B29" s="95" t="s">
        <v>39</v>
      </c>
      <c r="C29" s="27" t="s">
        <v>190</v>
      </c>
      <c r="D29" s="27" t="s">
        <v>191</v>
      </c>
      <c r="E29" s="25" t="str">
        <f t="shared" si="0"/>
        <v>CNYSM6AB21Y_Quote</v>
      </c>
      <c r="F29" s="25" t="str">
        <f>_xll.qlSimpleQuote(Currency&amp;$C29&amp;$D29&amp;$B29&amp;QuoteSuffix,,RateTickValue,Permanent,Trigger,ObjectOverwrite)</f>
        <v>CNYSM6AB21Y_Quote#0003</v>
      </c>
      <c r="G29" s="24" t="str">
        <f>_xll.ohRangeRetrieveError(F29)</f>
        <v/>
      </c>
      <c r="H29" s="19"/>
      <c r="K29" s="52"/>
      <c r="L29" s="115" t="str">
        <f t="shared" si="1"/>
        <v>21Y</v>
      </c>
      <c r="M29" s="146" t="s">
        <v>217</v>
      </c>
      <c r="N29" s="146" t="s">
        <v>218</v>
      </c>
      <c r="O29" s="114" t="str">
        <f>SUBSTITUTE(Currency,"Y","")&amp;$M29&amp;$N29&amp;$L29</f>
        <v>CNNDIRS21Y</v>
      </c>
      <c r="P29" s="114" t="str">
        <v>CNNDIRS21Y=TRHK</v>
      </c>
      <c r="Q29" s="109" t="s">
        <v>135</v>
      </c>
      <c r="R29" s="109" t="s">
        <v>135</v>
      </c>
      <c r="S29" s="109" t="s">
        <v>135</v>
      </c>
      <c r="T29" s="109" t="s">
        <v>135</v>
      </c>
      <c r="U29" s="113" t="e">
        <f>_xll.qlMidEquivalent($Q29,$R29,$S29,$T29)</f>
        <v>#NUM!</v>
      </c>
      <c r="V29" s="111"/>
      <c r="W29" s="112" t="e">
        <v>#NUM!</v>
      </c>
      <c r="X29" s="111"/>
      <c r="Y29" s="162" t="e">
        <v>#NUM!</v>
      </c>
      <c r="Z29" s="108" t="e">
        <f>_xll.qlSimpleQuoteSetValue(F29,Y29/100,Trigger)</f>
        <v>#NUM!</v>
      </c>
      <c r="AA29" s="98"/>
      <c r="AB29" s="12"/>
      <c r="AC29" s="12"/>
      <c r="AD29" s="12"/>
      <c r="AE29" s="12"/>
      <c r="AF29" s="12"/>
      <c r="AG29" s="137"/>
    </row>
    <row r="30" spans="1:33" ht="11.25" customHeight="1" x14ac:dyDescent="0.2">
      <c r="A30" s="52"/>
      <c r="B30" s="95" t="s">
        <v>38</v>
      </c>
      <c r="C30" s="27" t="s">
        <v>190</v>
      </c>
      <c r="D30" s="27" t="s">
        <v>191</v>
      </c>
      <c r="E30" s="25" t="str">
        <f t="shared" si="0"/>
        <v>CNYSM6AB22Y_Quote</v>
      </c>
      <c r="F30" s="25" t="str">
        <f>_xll.qlSimpleQuote(Currency&amp;$C30&amp;$D30&amp;$B30&amp;QuoteSuffix,,RateTickValue,Permanent,Trigger,ObjectOverwrite)</f>
        <v>CNYSM6AB22Y_Quote#0003</v>
      </c>
      <c r="G30" s="24" t="str">
        <f>_xll.ohRangeRetrieveError(F30)</f>
        <v/>
      </c>
      <c r="H30" s="19"/>
      <c r="K30" s="52"/>
      <c r="L30" s="115" t="str">
        <f t="shared" si="1"/>
        <v>22Y</v>
      </c>
      <c r="M30" s="146" t="s">
        <v>217</v>
      </c>
      <c r="N30" s="146" t="s">
        <v>218</v>
      </c>
      <c r="O30" s="114" t="str">
        <f>SUBSTITUTE(Currency,"Y","")&amp;$M30&amp;$N30&amp;$L30</f>
        <v>CNNDIRS22Y</v>
      </c>
      <c r="P30" s="114" t="str">
        <v>CNNDIRS22Y=TRHK</v>
      </c>
      <c r="Q30" s="109" t="s">
        <v>135</v>
      </c>
      <c r="R30" s="109" t="s">
        <v>135</v>
      </c>
      <c r="S30" s="109" t="s">
        <v>135</v>
      </c>
      <c r="T30" s="109" t="s">
        <v>135</v>
      </c>
      <c r="U30" s="113" t="e">
        <f>_xll.qlMidEquivalent($Q30,$R30,$S30,$T30)</f>
        <v>#NUM!</v>
      </c>
      <c r="V30" s="111"/>
      <c r="W30" s="112" t="e">
        <v>#NUM!</v>
      </c>
      <c r="X30" s="111"/>
      <c r="Y30" s="162" t="e">
        <v>#NUM!</v>
      </c>
      <c r="Z30" s="108" t="e">
        <f>_xll.qlSimpleQuoteSetValue(F30,Y30/100,Trigger)</f>
        <v>#NUM!</v>
      </c>
      <c r="AA30" s="98"/>
      <c r="AB30" s="12"/>
      <c r="AC30" s="12"/>
      <c r="AD30" s="12"/>
      <c r="AE30" s="12"/>
      <c r="AF30" s="12"/>
      <c r="AG30" s="137"/>
    </row>
    <row r="31" spans="1:33" ht="11.25" customHeight="1" x14ac:dyDescent="0.2">
      <c r="A31" s="52"/>
      <c r="B31" s="95" t="s">
        <v>37</v>
      </c>
      <c r="C31" s="27" t="s">
        <v>190</v>
      </c>
      <c r="D31" s="27" t="s">
        <v>191</v>
      </c>
      <c r="E31" s="25" t="str">
        <f t="shared" si="0"/>
        <v>CNYSM6AB23Y_Quote</v>
      </c>
      <c r="F31" s="25" t="str">
        <f>_xll.qlSimpleQuote(Currency&amp;$C31&amp;$D31&amp;$B31&amp;QuoteSuffix,,RateTickValue,Permanent,Trigger,ObjectOverwrite)</f>
        <v>CNYSM6AB23Y_Quote#0003</v>
      </c>
      <c r="G31" s="24" t="str">
        <f>_xll.ohRangeRetrieveError(F31)</f>
        <v/>
      </c>
      <c r="H31" s="19"/>
      <c r="K31" s="52"/>
      <c r="L31" s="115" t="str">
        <f t="shared" si="1"/>
        <v>23Y</v>
      </c>
      <c r="M31" s="146" t="s">
        <v>217</v>
      </c>
      <c r="N31" s="146" t="s">
        <v>218</v>
      </c>
      <c r="O31" s="114" t="str">
        <f>SUBSTITUTE(Currency,"Y","")&amp;$M31&amp;$N31&amp;$L31</f>
        <v>CNNDIRS23Y</v>
      </c>
      <c r="P31" s="114" t="str">
        <v>CNNDIRS23Y=TRHK</v>
      </c>
      <c r="Q31" s="109" t="s">
        <v>135</v>
      </c>
      <c r="R31" s="109" t="s">
        <v>135</v>
      </c>
      <c r="S31" s="109" t="s">
        <v>135</v>
      </c>
      <c r="T31" s="109" t="s">
        <v>135</v>
      </c>
      <c r="U31" s="113" t="e">
        <f>_xll.qlMidEquivalent($Q31,$R31,$S31,$T31)</f>
        <v>#NUM!</v>
      </c>
      <c r="V31" s="111"/>
      <c r="W31" s="112" t="e">
        <v>#NUM!</v>
      </c>
      <c r="X31" s="111"/>
      <c r="Y31" s="162" t="e">
        <v>#NUM!</v>
      </c>
      <c r="Z31" s="108" t="e">
        <f>_xll.qlSimpleQuoteSetValue(F31,Y31/100,Trigger)</f>
        <v>#NUM!</v>
      </c>
      <c r="AA31" s="98"/>
      <c r="AB31" s="12"/>
      <c r="AC31" s="12"/>
      <c r="AD31" s="12"/>
      <c r="AE31" s="12"/>
      <c r="AF31" s="12"/>
      <c r="AG31" s="137"/>
    </row>
    <row r="32" spans="1:33" ht="11.25" customHeight="1" x14ac:dyDescent="0.2">
      <c r="A32" s="52"/>
      <c r="B32" s="95" t="s">
        <v>36</v>
      </c>
      <c r="C32" s="27" t="s">
        <v>190</v>
      </c>
      <c r="D32" s="27" t="s">
        <v>191</v>
      </c>
      <c r="E32" s="25" t="str">
        <f t="shared" si="0"/>
        <v>CNYSM6AB24Y_Quote</v>
      </c>
      <c r="F32" s="25" t="str">
        <f>_xll.qlSimpleQuote(Currency&amp;$C32&amp;$D32&amp;$B32&amp;QuoteSuffix,,RateTickValue,Permanent,Trigger,ObjectOverwrite)</f>
        <v>CNYSM6AB24Y_Quote#0003</v>
      </c>
      <c r="G32" s="24" t="str">
        <f>_xll.ohRangeRetrieveError(F32)</f>
        <v/>
      </c>
      <c r="H32" s="19"/>
      <c r="K32" s="52"/>
      <c r="L32" s="115" t="str">
        <f t="shared" si="1"/>
        <v>24Y</v>
      </c>
      <c r="M32" s="146" t="s">
        <v>217</v>
      </c>
      <c r="N32" s="146" t="s">
        <v>218</v>
      </c>
      <c r="O32" s="114" t="str">
        <f>SUBSTITUTE(Currency,"Y","")&amp;$M32&amp;$N32&amp;$L32</f>
        <v>CNNDIRS24Y</v>
      </c>
      <c r="P32" s="114" t="str">
        <v>CNNDIRS24Y=TRHK</v>
      </c>
      <c r="Q32" s="109" t="s">
        <v>135</v>
      </c>
      <c r="R32" s="109" t="s">
        <v>135</v>
      </c>
      <c r="S32" s="109" t="s">
        <v>135</v>
      </c>
      <c r="T32" s="109" t="s">
        <v>135</v>
      </c>
      <c r="U32" s="113" t="e">
        <f>_xll.qlMidEquivalent($Q32,$R32,$S32,$T32)</f>
        <v>#NUM!</v>
      </c>
      <c r="V32" s="111"/>
      <c r="W32" s="112" t="e">
        <v>#NUM!</v>
      </c>
      <c r="X32" s="111"/>
      <c r="Y32" s="162" t="e">
        <v>#NUM!</v>
      </c>
      <c r="Z32" s="108" t="e">
        <f>_xll.qlSimpleQuoteSetValue(F32,Y32/100,Trigger)</f>
        <v>#NUM!</v>
      </c>
      <c r="AA32" s="98"/>
      <c r="AB32" s="12"/>
      <c r="AC32" s="12"/>
      <c r="AD32" s="12"/>
      <c r="AE32" s="12"/>
      <c r="AF32" s="12"/>
      <c r="AG32" s="137"/>
    </row>
    <row r="33" spans="1:33" ht="11.25" customHeight="1" x14ac:dyDescent="0.2">
      <c r="A33" s="52"/>
      <c r="B33" s="95" t="s">
        <v>35</v>
      </c>
      <c r="C33" s="27" t="s">
        <v>190</v>
      </c>
      <c r="D33" s="27" t="s">
        <v>191</v>
      </c>
      <c r="E33" s="25" t="str">
        <f t="shared" si="0"/>
        <v>CNYSM6AB25Y_Quote</v>
      </c>
      <c r="F33" s="25" t="str">
        <f>_xll.qlSimpleQuote(Currency&amp;$C33&amp;$D33&amp;$B33&amp;QuoteSuffix,,RateTickValue,Permanent,Trigger,ObjectOverwrite)</f>
        <v>CNYSM6AB25Y_Quote#0003</v>
      </c>
      <c r="G33" s="24" t="str">
        <f>_xll.ohRangeRetrieveError(F33)</f>
        <v/>
      </c>
      <c r="H33" s="19"/>
      <c r="K33" s="52"/>
      <c r="L33" s="115" t="str">
        <f t="shared" si="1"/>
        <v>25Y</v>
      </c>
      <c r="M33" s="146" t="s">
        <v>217</v>
      </c>
      <c r="N33" s="146" t="s">
        <v>218</v>
      </c>
      <c r="O33" s="114" t="str">
        <f>SUBSTITUTE(Currency,"Y","")&amp;$M33&amp;$N33&amp;$L33</f>
        <v>CNNDIRS25Y</v>
      </c>
      <c r="P33" s="114" t="str">
        <v>CNNDIRS25Y=TRHK</v>
      </c>
      <c r="Q33" s="109" t="s">
        <v>135</v>
      </c>
      <c r="R33" s="109" t="s">
        <v>135</v>
      </c>
      <c r="S33" s="109" t="s">
        <v>135</v>
      </c>
      <c r="T33" s="109" t="s">
        <v>135</v>
      </c>
      <c r="U33" s="113" t="e">
        <f>_xll.qlMidEquivalent($Q33,$R33,$S33,$T33)</f>
        <v>#NUM!</v>
      </c>
      <c r="V33" s="111"/>
      <c r="W33" s="112" t="e">
        <v>#NUM!</v>
      </c>
      <c r="X33" s="111"/>
      <c r="Y33" s="162" t="e">
        <v>#NUM!</v>
      </c>
      <c r="Z33" s="108" t="e">
        <f>_xll.qlSimpleQuoteSetValue(F33,Y33/100,Trigger)</f>
        <v>#NUM!</v>
      </c>
      <c r="AA33" s="98"/>
      <c r="AB33" s="12"/>
      <c r="AC33" s="12"/>
      <c r="AD33" s="12"/>
      <c r="AE33" s="12"/>
      <c r="AF33" s="12"/>
      <c r="AG33" s="137"/>
    </row>
    <row r="34" spans="1:33" ht="11.25" customHeight="1" x14ac:dyDescent="0.2">
      <c r="A34" s="52"/>
      <c r="B34" s="95" t="s">
        <v>34</v>
      </c>
      <c r="C34" s="27" t="s">
        <v>190</v>
      </c>
      <c r="D34" s="27" t="s">
        <v>191</v>
      </c>
      <c r="E34" s="25" t="str">
        <f t="shared" si="0"/>
        <v>CNYSM6AB26Y_Quote</v>
      </c>
      <c r="F34" s="25" t="str">
        <f>_xll.qlSimpleQuote(Currency&amp;$C34&amp;$D34&amp;$B34&amp;QuoteSuffix,,RateTickValue,Permanent,Trigger,ObjectOverwrite)</f>
        <v>CNYSM6AB26Y_Quote#0003</v>
      </c>
      <c r="G34" s="24" t="str">
        <f>_xll.ohRangeRetrieveError(F34)</f>
        <v/>
      </c>
      <c r="H34" s="19"/>
      <c r="K34" s="52"/>
      <c r="L34" s="115" t="str">
        <f t="shared" si="1"/>
        <v>26Y</v>
      </c>
      <c r="M34" s="146" t="s">
        <v>217</v>
      </c>
      <c r="N34" s="146" t="s">
        <v>218</v>
      </c>
      <c r="O34" s="114" t="str">
        <f>SUBSTITUTE(Currency,"Y","")&amp;$M34&amp;$N34&amp;$L34</f>
        <v>CNNDIRS26Y</v>
      </c>
      <c r="P34" s="114" t="str">
        <v>CNNDIRS26Y=TRHK</v>
      </c>
      <c r="Q34" s="109" t="s">
        <v>135</v>
      </c>
      <c r="R34" s="109" t="s">
        <v>135</v>
      </c>
      <c r="S34" s="109" t="s">
        <v>135</v>
      </c>
      <c r="T34" s="109" t="s">
        <v>135</v>
      </c>
      <c r="U34" s="113" t="e">
        <f>_xll.qlMidEquivalent($Q34,$R34,$S34,$T34)</f>
        <v>#NUM!</v>
      </c>
      <c r="V34" s="111"/>
      <c r="W34" s="112" t="e">
        <v>#NUM!</v>
      </c>
      <c r="X34" s="111"/>
      <c r="Y34" s="162" t="e">
        <v>#NUM!</v>
      </c>
      <c r="Z34" s="108" t="e">
        <f>_xll.qlSimpleQuoteSetValue(F34,Y34/100,Trigger)</f>
        <v>#NUM!</v>
      </c>
      <c r="AA34" s="98"/>
      <c r="AB34" s="12"/>
      <c r="AC34" s="12"/>
      <c r="AD34" s="12"/>
      <c r="AE34" s="12"/>
      <c r="AF34" s="12"/>
      <c r="AG34" s="137"/>
    </row>
    <row r="35" spans="1:33" ht="11.25" customHeight="1" x14ac:dyDescent="0.2">
      <c r="A35" s="52"/>
      <c r="B35" s="95" t="s">
        <v>33</v>
      </c>
      <c r="C35" s="27" t="s">
        <v>190</v>
      </c>
      <c r="D35" s="27" t="s">
        <v>191</v>
      </c>
      <c r="E35" s="25" t="str">
        <f t="shared" si="0"/>
        <v>CNYSM6AB27Y_Quote</v>
      </c>
      <c r="F35" s="25" t="str">
        <f>_xll.qlSimpleQuote(Currency&amp;$C35&amp;$D35&amp;$B35&amp;QuoteSuffix,,RateTickValue,Permanent,Trigger,ObjectOverwrite)</f>
        <v>CNYSM6AB27Y_Quote#0003</v>
      </c>
      <c r="G35" s="24" t="str">
        <f>_xll.ohRangeRetrieveError(F35)</f>
        <v/>
      </c>
      <c r="H35" s="19"/>
      <c r="K35" s="52"/>
      <c r="L35" s="115" t="str">
        <f t="shared" si="1"/>
        <v>27Y</v>
      </c>
      <c r="M35" s="146" t="s">
        <v>217</v>
      </c>
      <c r="N35" s="146" t="s">
        <v>218</v>
      </c>
      <c r="O35" s="114" t="str">
        <f>SUBSTITUTE(Currency,"Y","")&amp;$M35&amp;$N35&amp;$L35</f>
        <v>CNNDIRS27Y</v>
      </c>
      <c r="P35" s="114" t="str">
        <v>CNNDIRS27Y=TRHK</v>
      </c>
      <c r="Q35" s="109" t="s">
        <v>135</v>
      </c>
      <c r="R35" s="109" t="s">
        <v>135</v>
      </c>
      <c r="S35" s="109" t="s">
        <v>135</v>
      </c>
      <c r="T35" s="109" t="s">
        <v>135</v>
      </c>
      <c r="U35" s="113" t="e">
        <f>_xll.qlMidEquivalent($Q35,$R35,$S35,$T35)</f>
        <v>#NUM!</v>
      </c>
      <c r="V35" s="111"/>
      <c r="W35" s="112" t="e">
        <v>#NUM!</v>
      </c>
      <c r="X35" s="111"/>
      <c r="Y35" s="162" t="e">
        <v>#NUM!</v>
      </c>
      <c r="Z35" s="108" t="e">
        <f>_xll.qlSimpleQuoteSetValue(F35,Y35/100,Trigger)</f>
        <v>#NUM!</v>
      </c>
      <c r="AA35" s="98"/>
      <c r="AB35" s="12"/>
      <c r="AC35" s="12"/>
      <c r="AD35" s="12"/>
      <c r="AE35" s="12"/>
      <c r="AF35" s="12"/>
      <c r="AG35" s="137"/>
    </row>
    <row r="36" spans="1:33" ht="11.25" customHeight="1" x14ac:dyDescent="0.2">
      <c r="A36" s="52"/>
      <c r="B36" s="95" t="s">
        <v>32</v>
      </c>
      <c r="C36" s="27" t="s">
        <v>190</v>
      </c>
      <c r="D36" s="27" t="s">
        <v>191</v>
      </c>
      <c r="E36" s="25" t="str">
        <f t="shared" si="0"/>
        <v>CNYSM6AB28Y_Quote</v>
      </c>
      <c r="F36" s="25" t="str">
        <f>_xll.qlSimpleQuote(Currency&amp;$C36&amp;$D36&amp;$B36&amp;QuoteSuffix,,RateTickValue,Permanent,Trigger,ObjectOverwrite)</f>
        <v>CNYSM6AB28Y_Quote#0003</v>
      </c>
      <c r="G36" s="24" t="str">
        <f>_xll.ohRangeRetrieveError(F36)</f>
        <v/>
      </c>
      <c r="H36" s="19"/>
      <c r="K36" s="52"/>
      <c r="L36" s="115" t="str">
        <f t="shared" si="1"/>
        <v>28Y</v>
      </c>
      <c r="M36" s="146" t="s">
        <v>217</v>
      </c>
      <c r="N36" s="146" t="s">
        <v>218</v>
      </c>
      <c r="O36" s="114" t="str">
        <f>SUBSTITUTE(Currency,"Y","")&amp;$M36&amp;$N36&amp;$L36</f>
        <v>CNNDIRS28Y</v>
      </c>
      <c r="P36" s="114" t="str">
        <v>CNNDIRS28Y=TRHK</v>
      </c>
      <c r="Q36" s="109" t="s">
        <v>135</v>
      </c>
      <c r="R36" s="109" t="s">
        <v>135</v>
      </c>
      <c r="S36" s="109" t="s">
        <v>135</v>
      </c>
      <c r="T36" s="109" t="s">
        <v>135</v>
      </c>
      <c r="U36" s="113" t="e">
        <f>_xll.qlMidEquivalent($Q36,$R36,$S36,$T36)</f>
        <v>#NUM!</v>
      </c>
      <c r="V36" s="111"/>
      <c r="W36" s="112" t="e">
        <v>#NUM!</v>
      </c>
      <c r="X36" s="111"/>
      <c r="Y36" s="162" t="e">
        <v>#NUM!</v>
      </c>
      <c r="Z36" s="108" t="e">
        <f>_xll.qlSimpleQuoteSetValue(F36,Y36/100,Trigger)</f>
        <v>#NUM!</v>
      </c>
      <c r="AA36" s="98"/>
      <c r="AB36" s="12"/>
      <c r="AC36" s="12"/>
      <c r="AD36" s="12"/>
      <c r="AE36" s="12"/>
      <c r="AF36" s="12"/>
      <c r="AG36" s="137"/>
    </row>
    <row r="37" spans="1:33" ht="11.25" customHeight="1" x14ac:dyDescent="0.2">
      <c r="A37" s="52"/>
      <c r="B37" s="95" t="s">
        <v>31</v>
      </c>
      <c r="C37" s="27" t="s">
        <v>190</v>
      </c>
      <c r="D37" s="27" t="s">
        <v>191</v>
      </c>
      <c r="E37" s="25" t="str">
        <f t="shared" si="0"/>
        <v>CNYSM6AB29Y_Quote</v>
      </c>
      <c r="F37" s="25" t="str">
        <f>_xll.qlSimpleQuote(Currency&amp;$C37&amp;$D37&amp;$B37&amp;QuoteSuffix,,RateTickValue,Permanent,Trigger,ObjectOverwrite)</f>
        <v>CNYSM6AB29Y_Quote#0003</v>
      </c>
      <c r="G37" s="24" t="str">
        <f>_xll.ohRangeRetrieveError(F37)</f>
        <v/>
      </c>
      <c r="H37" s="19"/>
      <c r="K37" s="52"/>
      <c r="L37" s="115" t="str">
        <f t="shared" si="1"/>
        <v>29Y</v>
      </c>
      <c r="M37" s="146" t="s">
        <v>217</v>
      </c>
      <c r="N37" s="146" t="s">
        <v>218</v>
      </c>
      <c r="O37" s="114" t="str">
        <f>SUBSTITUTE(Currency,"Y","")&amp;$M37&amp;$N37&amp;$L37</f>
        <v>CNNDIRS29Y</v>
      </c>
      <c r="P37" s="114" t="str">
        <v>CNNDIRS29Y=TRHK</v>
      </c>
      <c r="Q37" s="109" t="s">
        <v>135</v>
      </c>
      <c r="R37" s="109" t="s">
        <v>135</v>
      </c>
      <c r="S37" s="109" t="s">
        <v>135</v>
      </c>
      <c r="T37" s="109" t="s">
        <v>135</v>
      </c>
      <c r="U37" s="113" t="e">
        <f>_xll.qlMidEquivalent($Q37,$R37,$S37,$T37)</f>
        <v>#NUM!</v>
      </c>
      <c r="V37" s="111"/>
      <c r="W37" s="112" t="e">
        <v>#NUM!</v>
      </c>
      <c r="X37" s="111"/>
      <c r="Y37" s="162" t="e">
        <v>#NUM!</v>
      </c>
      <c r="Z37" s="108" t="e">
        <f>_xll.qlSimpleQuoteSetValue(F37,Y37/100,Trigger)</f>
        <v>#NUM!</v>
      </c>
      <c r="AA37" s="98"/>
      <c r="AB37" s="12"/>
      <c r="AC37" s="12"/>
      <c r="AD37" s="12"/>
      <c r="AE37" s="12"/>
      <c r="AF37" s="12"/>
      <c r="AG37" s="137"/>
    </row>
    <row r="38" spans="1:33" ht="11.25" customHeight="1" x14ac:dyDescent="0.2">
      <c r="A38" s="52"/>
      <c r="B38" s="95" t="s">
        <v>30</v>
      </c>
      <c r="C38" s="27" t="s">
        <v>190</v>
      </c>
      <c r="D38" s="27" t="s">
        <v>191</v>
      </c>
      <c r="E38" s="25" t="str">
        <f t="shared" si="0"/>
        <v>CNYSM6AB30Y_Quote</v>
      </c>
      <c r="F38" s="25" t="str">
        <f>_xll.qlSimpleQuote(Currency&amp;$C38&amp;$D38&amp;$B38&amp;QuoteSuffix,,RateTickValue,Permanent,Trigger,ObjectOverwrite)</f>
        <v>CNYSM6AB30Y_Quote#0003</v>
      </c>
      <c r="G38" s="24" t="str">
        <f>_xll.ohRangeRetrieveError(F38)</f>
        <v/>
      </c>
      <c r="H38" s="19"/>
      <c r="K38" s="52"/>
      <c r="L38" s="115" t="str">
        <f t="shared" si="1"/>
        <v>30Y</v>
      </c>
      <c r="M38" s="146" t="s">
        <v>217</v>
      </c>
      <c r="N38" s="146" t="s">
        <v>218</v>
      </c>
      <c r="O38" s="114" t="str">
        <f>SUBSTITUTE(Currency,"Y","")&amp;$M38&amp;$N38&amp;$L38</f>
        <v>CNNDIRS30Y</v>
      </c>
      <c r="P38" s="114" t="str">
        <v>CNNDIRS30Y=TRHK</v>
      </c>
      <c r="Q38" s="109" t="s">
        <v>135</v>
      </c>
      <c r="R38" s="109" t="s">
        <v>135</v>
      </c>
      <c r="S38" s="109" t="s">
        <v>135</v>
      </c>
      <c r="T38" s="109" t="s">
        <v>135</v>
      </c>
      <c r="U38" s="113" t="e">
        <f>_xll.qlMidEquivalent($Q38,$R38,$S38,$T38)</f>
        <v>#NUM!</v>
      </c>
      <c r="V38" s="111"/>
      <c r="W38" s="112" t="e">
        <v>#NUM!</v>
      </c>
      <c r="X38" s="111"/>
      <c r="Y38" s="162" t="e">
        <v>#NUM!</v>
      </c>
      <c r="Z38" s="108" t="e">
        <f>_xll.qlSimpleQuoteSetValue(F38,Y38/100,Trigger)</f>
        <v>#NUM!</v>
      </c>
      <c r="AA38" s="98"/>
      <c r="AB38" s="12"/>
      <c r="AC38" s="12"/>
      <c r="AD38" s="12"/>
      <c r="AE38" s="12"/>
      <c r="AF38" s="12"/>
      <c r="AG38" s="137"/>
    </row>
    <row r="39" spans="1:33" ht="11.25" customHeight="1" x14ac:dyDescent="0.2">
      <c r="A39" s="52"/>
      <c r="B39" s="95" t="s">
        <v>29</v>
      </c>
      <c r="C39" s="27" t="s">
        <v>190</v>
      </c>
      <c r="D39" s="27" t="s">
        <v>191</v>
      </c>
      <c r="E39" s="25" t="str">
        <f t="shared" si="0"/>
        <v>CNYSM6AB35Y_Quote</v>
      </c>
      <c r="F39" s="25" t="str">
        <f>_xll.qlSimpleQuote(Currency&amp;$C39&amp;$D39&amp;$B39&amp;QuoteSuffix,,RateTickValue,Permanent,Trigger,ObjectOverwrite)</f>
        <v>CNYSM6AB35Y_Quote#0003</v>
      </c>
      <c r="G39" s="24" t="str">
        <f>_xll.ohRangeRetrieveError(F39)</f>
        <v/>
      </c>
      <c r="H39" s="19"/>
      <c r="K39" s="52"/>
      <c r="L39" s="115" t="str">
        <f t="shared" si="1"/>
        <v>35Y</v>
      </c>
      <c r="M39" s="146" t="s">
        <v>217</v>
      </c>
      <c r="N39" s="146" t="s">
        <v>218</v>
      </c>
      <c r="O39" s="114" t="str">
        <f>SUBSTITUTE(Currency,"Y","")&amp;$M39&amp;$N39&amp;$L39</f>
        <v>CNNDIRS35Y</v>
      </c>
      <c r="P39" s="114" t="str">
        <v>CNNDIRS35Y=TRHK</v>
      </c>
      <c r="Q39" s="109" t="s">
        <v>135</v>
      </c>
      <c r="R39" s="109" t="s">
        <v>135</v>
      </c>
      <c r="S39" s="109" t="s">
        <v>135</v>
      </c>
      <c r="T39" s="109" t="s">
        <v>135</v>
      </c>
      <c r="U39" s="113" t="e">
        <f>_xll.qlMidEquivalent($Q39,$R39,$S39,$T39)</f>
        <v>#NUM!</v>
      </c>
      <c r="V39" s="111"/>
      <c r="W39" s="112" t="e">
        <v>#NUM!</v>
      </c>
      <c r="X39" s="111"/>
      <c r="Y39" s="162" t="e">
        <v>#NUM!</v>
      </c>
      <c r="Z39" s="108" t="e">
        <f>_xll.qlSimpleQuoteSetValue(F39,Y39/100,Trigger)</f>
        <v>#NUM!</v>
      </c>
      <c r="AA39" s="98"/>
      <c r="AB39" s="12"/>
      <c r="AC39" s="12"/>
      <c r="AD39" s="12"/>
      <c r="AE39" s="12"/>
      <c r="AF39" s="12"/>
      <c r="AG39" s="137"/>
    </row>
    <row r="40" spans="1:33" ht="11.25" customHeight="1" x14ac:dyDescent="0.2">
      <c r="A40" s="52"/>
      <c r="B40" s="95" t="s">
        <v>28</v>
      </c>
      <c r="C40" s="27" t="s">
        <v>190</v>
      </c>
      <c r="D40" s="27" t="s">
        <v>191</v>
      </c>
      <c r="E40" s="25" t="str">
        <f t="shared" si="0"/>
        <v>CNYSM6AB40Y_Quote</v>
      </c>
      <c r="F40" s="25" t="str">
        <f>_xll.qlSimpleQuote(Currency&amp;$C40&amp;$D40&amp;$B40&amp;QuoteSuffix,,RateTickValue,Permanent,Trigger,ObjectOverwrite)</f>
        <v>CNYSM6AB40Y_Quote#0003</v>
      </c>
      <c r="G40" s="24" t="str">
        <f>_xll.ohRangeRetrieveError(F40)</f>
        <v/>
      </c>
      <c r="H40" s="19"/>
      <c r="K40" s="52"/>
      <c r="L40" s="115" t="str">
        <f t="shared" si="1"/>
        <v>40Y</v>
      </c>
      <c r="M40" s="146" t="s">
        <v>217</v>
      </c>
      <c r="N40" s="146" t="s">
        <v>218</v>
      </c>
      <c r="O40" s="114" t="str">
        <f>SUBSTITUTE(Currency,"Y","")&amp;$M40&amp;$N40&amp;$L40</f>
        <v>CNNDIRS40Y</v>
      </c>
      <c r="P40" s="114" t="str">
        <v>CNNDIRS40Y=TRHK</v>
      </c>
      <c r="Q40" s="109" t="s">
        <v>135</v>
      </c>
      <c r="R40" s="109" t="s">
        <v>135</v>
      </c>
      <c r="S40" s="109" t="s">
        <v>135</v>
      </c>
      <c r="T40" s="109" t="s">
        <v>135</v>
      </c>
      <c r="U40" s="113" t="e">
        <f>_xll.qlMidEquivalent($Q40,$R40,$S40,$T40)</f>
        <v>#NUM!</v>
      </c>
      <c r="V40" s="111"/>
      <c r="W40" s="112" t="e">
        <v>#NUM!</v>
      </c>
      <c r="X40" s="111"/>
      <c r="Y40" s="162" t="e">
        <v>#NUM!</v>
      </c>
      <c r="Z40" s="108" t="e">
        <f>_xll.qlSimpleQuoteSetValue(F40,Y40/100,Trigger)</f>
        <v>#NUM!</v>
      </c>
      <c r="AA40" s="98"/>
      <c r="AB40" s="12"/>
      <c r="AC40" s="12"/>
      <c r="AD40" s="12"/>
      <c r="AE40" s="12"/>
      <c r="AF40" s="12"/>
      <c r="AG40" s="137"/>
    </row>
    <row r="41" spans="1:33" ht="11.25" customHeight="1" x14ac:dyDescent="0.2">
      <c r="A41" s="52"/>
      <c r="B41" s="95" t="s">
        <v>26</v>
      </c>
      <c r="C41" s="27" t="s">
        <v>190</v>
      </c>
      <c r="D41" s="27" t="s">
        <v>191</v>
      </c>
      <c r="E41" s="25" t="str">
        <f t="shared" si="0"/>
        <v>CNYSM6AB50Y_Quote</v>
      </c>
      <c r="F41" s="25" t="str">
        <f>_xll.qlSimpleQuote(Currency&amp;$C41&amp;$D41&amp;$B41&amp;QuoteSuffix,,RateTickValue,Permanent,Trigger,ObjectOverwrite)</f>
        <v>CNYSM6AB50Y_Quote#0003</v>
      </c>
      <c r="G41" s="24" t="str">
        <f>_xll.ohRangeRetrieveError(F41)</f>
        <v/>
      </c>
      <c r="H41" s="19"/>
      <c r="K41" s="52"/>
      <c r="L41" s="115" t="str">
        <f t="shared" si="1"/>
        <v>50Y</v>
      </c>
      <c r="M41" s="146" t="s">
        <v>217</v>
      </c>
      <c r="N41" s="146" t="s">
        <v>218</v>
      </c>
      <c r="O41" s="114" t="str">
        <f>SUBSTITUTE(Currency,"Y","")&amp;$M41&amp;$N41&amp;$L41</f>
        <v>CNNDIRS50Y</v>
      </c>
      <c r="P41" s="114" t="str">
        <v>CNNDIRS50Y=TRHK</v>
      </c>
      <c r="Q41" s="109" t="s">
        <v>135</v>
      </c>
      <c r="R41" s="109" t="s">
        <v>135</v>
      </c>
      <c r="S41" s="109" t="s">
        <v>135</v>
      </c>
      <c r="T41" s="109" t="s">
        <v>135</v>
      </c>
      <c r="U41" s="113" t="e">
        <f>_xll.qlMidEquivalent($Q41,$R41,$S41,$T41)</f>
        <v>#NUM!</v>
      </c>
      <c r="V41" s="111"/>
      <c r="W41" s="112" t="e">
        <v>#NUM!</v>
      </c>
      <c r="X41" s="111"/>
      <c r="Y41" s="162" t="e">
        <v>#NUM!</v>
      </c>
      <c r="Z41" s="108" t="e">
        <f>_xll.qlSimpleQuoteSetValue(F41,Y41/100,Trigger)</f>
        <v>#NUM!</v>
      </c>
      <c r="AA41" s="98"/>
      <c r="AB41" s="12"/>
      <c r="AC41" s="12"/>
      <c r="AD41" s="12"/>
      <c r="AE41" s="12"/>
      <c r="AF41" s="12"/>
      <c r="AG41" s="137"/>
    </row>
    <row r="42" spans="1:33" ht="11.25" customHeight="1" x14ac:dyDescent="0.2">
      <c r="A42" s="52"/>
      <c r="B42" s="95" t="s">
        <v>25</v>
      </c>
      <c r="C42" s="27" t="s">
        <v>190</v>
      </c>
      <c r="D42" s="27" t="s">
        <v>191</v>
      </c>
      <c r="E42" s="25" t="str">
        <f t="shared" si="0"/>
        <v>CNYSM6AB60Y_Quote</v>
      </c>
      <c r="F42" s="25" t="str">
        <f>_xll.qlSimpleQuote(Currency&amp;$C42&amp;$D42&amp;$B42&amp;QuoteSuffix,,RateTickValue,Permanent,Trigger,ObjectOverwrite)</f>
        <v>CNYSM6AB60Y_Quote#0003</v>
      </c>
      <c r="G42" s="24" t="str">
        <f>_xll.ohRangeRetrieveError(F42)</f>
        <v/>
      </c>
      <c r="H42" s="19"/>
      <c r="K42" s="52"/>
      <c r="L42" s="115" t="str">
        <f t="shared" si="1"/>
        <v>60Y</v>
      </c>
      <c r="M42" s="146" t="s">
        <v>217</v>
      </c>
      <c r="N42" s="146" t="s">
        <v>218</v>
      </c>
      <c r="O42" s="114" t="str">
        <f>SUBSTITUTE(Currency,"Y","")&amp;$M42&amp;$N42&amp;$L42</f>
        <v>CNNDIRS60Y</v>
      </c>
      <c r="P42" s="114" t="str">
        <v>CNNDIRS60Y=TRHK</v>
      </c>
      <c r="Q42" s="109" t="s">
        <v>135</v>
      </c>
      <c r="R42" s="109" t="s">
        <v>135</v>
      </c>
      <c r="S42" s="109" t="s">
        <v>135</v>
      </c>
      <c r="T42" s="109" t="s">
        <v>135</v>
      </c>
      <c r="U42" s="113" t="e">
        <f>_xll.qlMidEquivalent($Q42,$R42,$S42,$T42)</f>
        <v>#NUM!</v>
      </c>
      <c r="V42" s="111"/>
      <c r="W42" s="118" t="e">
        <v>#NUM!</v>
      </c>
      <c r="X42" s="111"/>
      <c r="Y42" s="155" t="e">
        <v>#NUM!</v>
      </c>
      <c r="Z42" s="116" t="e">
        <f>_xll.qlSimpleQuoteSetValue(F42,Y42/100,Trigger)</f>
        <v>#NUM!</v>
      </c>
      <c r="AA42" s="98"/>
      <c r="AB42" s="12"/>
      <c r="AC42" s="12"/>
      <c r="AD42" s="12"/>
      <c r="AE42" s="12"/>
      <c r="AF42" s="12"/>
      <c r="AG42" s="137"/>
    </row>
    <row r="43" spans="1:33" ht="11.25" customHeight="1" thickBot="1" x14ac:dyDescent="0.25">
      <c r="A43" s="94"/>
      <c r="B43" s="93"/>
      <c r="C43" s="93"/>
      <c r="D43" s="93"/>
      <c r="E43" s="93"/>
      <c r="F43" s="93"/>
      <c r="G43" s="93"/>
      <c r="H43" s="16"/>
      <c r="K43" s="18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7"/>
      <c r="W43" s="17"/>
      <c r="X43" s="17"/>
      <c r="Y43" s="17"/>
      <c r="Z43" s="17"/>
      <c r="AA43" s="138"/>
      <c r="AB43" s="12"/>
      <c r="AC43" s="12"/>
      <c r="AD43" s="12"/>
      <c r="AE43" s="12"/>
      <c r="AF43" s="12"/>
      <c r="AG43" s="12"/>
    </row>
  </sheetData>
  <conditionalFormatting sqref="Z5:Z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1">
    <dataValidation type="list" showInputMessage="1" showErrorMessage="1" sqref="P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70</vt:i4>
      </vt:variant>
    </vt:vector>
  </HeadingPairs>
  <TitlesOfParts>
    <vt:vector size="82" baseType="lpstr">
      <vt:lpstr>General Settings</vt:lpstr>
      <vt:lpstr>RepoRates</vt:lpstr>
      <vt:lpstr>Shibor</vt:lpstr>
      <vt:lpstr>Deposits</vt:lpstr>
      <vt:lpstr>OIS</vt:lpstr>
      <vt:lpstr>FRA</vt:lpstr>
      <vt:lpstr>Futures1M</vt:lpstr>
      <vt:lpstr>Futures3M</vt:lpstr>
      <vt:lpstr>FuturesHWConvAdj</vt:lpstr>
      <vt:lpstr>Swaps1M</vt:lpstr>
      <vt:lpstr>Swap3M</vt:lpstr>
      <vt:lpstr>Swap7DRepo</vt:lpstr>
      <vt:lpstr>Calendar</vt:lpstr>
      <vt:lpstr>OIS!Contributor</vt:lpstr>
      <vt:lpstr>Contributor</vt:lpstr>
      <vt:lpstr>ContributorFRA</vt:lpstr>
      <vt:lpstr>Contributors</vt:lpstr>
      <vt:lpstr>ContributorTable</vt:lpstr>
      <vt:lpstr>Counter</vt:lpstr>
      <vt:lpstr>Currency</vt:lpstr>
      <vt:lpstr>EvaluationDate</vt:lpstr>
      <vt:lpstr>RepoRates!FamilyName</vt:lpstr>
      <vt:lpstr>FamilyName</vt:lpstr>
      <vt:lpstr>FileOverwrite</vt:lpstr>
      <vt:lpstr>Futures1M!FuturesCodes</vt:lpstr>
      <vt:lpstr>Futures3M!FuturesCodes</vt:lpstr>
      <vt:lpstr>Futures1M!FuturesDates</vt:lpstr>
      <vt:lpstr>Futures3M!FuturesDates</vt:lpstr>
      <vt:lpstr>Futures1M!IborIndex</vt:lpstr>
      <vt:lpstr>Futures3M!IborIndex</vt:lpstr>
      <vt:lpstr>FRA!Instruments</vt:lpstr>
      <vt:lpstr>OIS!Instruments</vt:lpstr>
      <vt:lpstr>Swap3M!Instruments</vt:lpstr>
      <vt:lpstr>Swap7DRepo!Instruments</vt:lpstr>
      <vt:lpstr>Swaps1M!Instruments</vt:lpstr>
      <vt:lpstr>InterpolationType</vt:lpstr>
      <vt:lpstr>LastFixingsTrigger</vt:lpstr>
      <vt:lpstr>LastUpdate</vt:lpstr>
      <vt:lpstr>LiveDataFeed</vt:lpstr>
      <vt:lpstr>Futures1M!MeanReversion</vt:lpstr>
      <vt:lpstr>Futures3M!MeanReversion</vt:lpstr>
      <vt:lpstr>MoneyMarketDayCounter</vt:lpstr>
      <vt:lpstr>ObjectOverwrite</vt:lpstr>
      <vt:lpstr>Permanent</vt:lpstr>
      <vt:lpstr>PriceTickValue</vt:lpstr>
      <vt:lpstr>Deposits!Quote</vt:lpstr>
      <vt:lpstr>FRA!Quote</vt:lpstr>
      <vt:lpstr>Futures1M!Quote</vt:lpstr>
      <vt:lpstr>Futures3M!Quote</vt:lpstr>
      <vt:lpstr>FuturesHWConvAdj!Quote</vt:lpstr>
      <vt:lpstr>OIS!Quote</vt:lpstr>
      <vt:lpstr>Swap3M!Quote</vt:lpstr>
      <vt:lpstr>Swaps1M!Quote</vt:lpstr>
      <vt:lpstr>Deposits!QuoteLive</vt:lpstr>
      <vt:lpstr>FRA!QuoteLive</vt:lpstr>
      <vt:lpstr>Futures1M!QuoteLive</vt:lpstr>
      <vt:lpstr>Futures3M!QuoteLive</vt:lpstr>
      <vt:lpstr>FuturesHWConvAdj!QuoteLive</vt:lpstr>
      <vt:lpstr>OIS!QuoteLive</vt:lpstr>
      <vt:lpstr>Swap3M!QuoteLive</vt:lpstr>
      <vt:lpstr>Swap7DRepo!QuoteLive</vt:lpstr>
      <vt:lpstr>Swaps1M!QuoteLive</vt:lpstr>
      <vt:lpstr>Deposits!QuoteStatic</vt:lpstr>
      <vt:lpstr>FRA!QuoteStatic</vt:lpstr>
      <vt:lpstr>Futures1M!QuoteStatic</vt:lpstr>
      <vt:lpstr>Futures3M!QuoteStatic</vt:lpstr>
      <vt:lpstr>FuturesHWConvAdj!QuoteStatic</vt:lpstr>
      <vt:lpstr>OIS!QuoteStatic</vt:lpstr>
      <vt:lpstr>Swap3M!QuoteStatic</vt:lpstr>
      <vt:lpstr>Swap7DRepo!QuoteStatic</vt:lpstr>
      <vt:lpstr>Swaps1M!QuoteStatic</vt:lpstr>
      <vt:lpstr>QuoteSuffix</vt:lpstr>
      <vt:lpstr>RateTickValue</vt:lpstr>
      <vt:lpstr>ReutersRtMode</vt:lpstr>
      <vt:lpstr>SerializationPath</vt:lpstr>
      <vt:lpstr>Serialize</vt:lpstr>
      <vt:lpstr>Swap3M4Y</vt:lpstr>
      <vt:lpstr>Swap6M4Y</vt:lpstr>
      <vt:lpstr>Trigger</vt:lpstr>
      <vt:lpstr>TriggerCounter</vt:lpstr>
      <vt:lpstr>Futures1M!Volatility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AMETRANO FERDINANDO MARIA</cp:lastModifiedBy>
  <dcterms:created xsi:type="dcterms:W3CDTF">2013-12-12T21:53:52Z</dcterms:created>
  <dcterms:modified xsi:type="dcterms:W3CDTF">2014-06-19T10:59:10Z</dcterms:modified>
</cp:coreProperties>
</file>