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55" windowHeight="11430" tabRatio="787" activeTab="3"/>
  </bookViews>
  <sheets>
    <sheet name="GeneralSettings" sheetId="5" r:id="rId1"/>
    <sheet name="FxPoints" sheetId="7" r:id="rId2"/>
    <sheet name="DomesticLegRenotioning" sheetId="19" r:id="rId3"/>
    <sheet name="CCSPricing" sheetId="11" r:id="rId4"/>
    <sheet name="DomesticLegFlowAnalysis" sheetId="15" r:id="rId5"/>
    <sheet name="ForeignLegFlowAnalysis" sheetId="18" r:id="rId6"/>
  </sheets>
  <definedNames>
    <definedName name="BaseYieldCurve">GeneralSettings!$C$13</definedName>
    <definedName name="CCSQuoteMid">CCSPricing!$S$4:$S$17</definedName>
    <definedName name="Contributor">CCSPricing!$V$2</definedName>
    <definedName name="Dates">FxPoints!$D$4:$D$35</definedName>
    <definedName name="DayCounter">FxPoints!$X$4</definedName>
    <definedName name="DiscountCurve">GeneralSettings!$G$4</definedName>
    <definedName name="DomesticArrearFlag">GeneralSettings!$F$18</definedName>
    <definedName name="DomesticBDC">GeneralSettings!$F$10</definedName>
    <definedName name="DomesticCalendar">GeneralSettings!$C$15</definedName>
    <definedName name="DomesticCurrency">GeneralSettings!$C$12</definedName>
    <definedName name="DomesticDateGeneration">GeneralSettings!$F$12</definedName>
    <definedName name="DomesticDayCounter">GeneralSettings!$F$19</definedName>
    <definedName name="DomesticDiscount">FxPoints!$U$4:$U$32</definedName>
    <definedName name="DomesticDiscountCurve">GeneralSettings!$C$14</definedName>
    <definedName name="DomesticEOM">GeneralSettings!$F$13</definedName>
    <definedName name="DomesticFinalNotionals">DomesticLegRenotioning!$G$3:$G$202</definedName>
    <definedName name="DomesticFixingCalendar">GeneralSettings!$F$6</definedName>
    <definedName name="DomesticFixingDays">GeneralSettings!$F$17</definedName>
    <definedName name="DomesticGearing">GeneralSettings!$F$20</definedName>
    <definedName name="DomesticIndex">GeneralSettings!$F$21</definedName>
    <definedName name="DomesticInitialNotionals">DomesticLegRenotioning!$F$2:$F$201</definedName>
    <definedName name="DomesticPayFlag">GeneralSettings!$F$22</definedName>
    <definedName name="DomesticPaymentBDC">GeneralSettings!$F$14</definedName>
    <definedName name="DomesticPaymentCalendar">GeneralSettings!$F$5</definedName>
    <definedName name="DomesticRenotioningFlag">GeneralSettings!$F$16</definedName>
    <definedName name="DomesticTDC">GeneralSettings!$F$11</definedName>
    <definedName name="DomesticTenor">GeneralSettings!$F$9</definedName>
    <definedName name="DomesticUnitFx">GeneralSettings!$C$16</definedName>
    <definedName name="EffectiveDate">GeneralSettings!$F$8</definedName>
    <definedName name="EvaluationDate">GeneralSettings!$C$5</definedName>
    <definedName name="Fields">CCSPricing!$W$3:$X$3</definedName>
    <definedName name="ForeignArrearFlag">GeneralSettings!$G$18</definedName>
    <definedName name="ForeignBDC">GeneralSettings!$G$10</definedName>
    <definedName name="ForeignCalendar">GeneralSettings!$C$22</definedName>
    <definedName name="ForeignCurrency">GeneralSettings!$C$18</definedName>
    <definedName name="ForeignDateGeneration">GeneralSettings!$G$12</definedName>
    <definedName name="ForeignDayCounter">GeneralSettings!$G$19</definedName>
    <definedName name="ForeignDiscountCurve">GeneralSettings!$C$21</definedName>
    <definedName name="ForeignDiscountMid">FxPoints!$V$4:$V$35</definedName>
    <definedName name="ForeignEOM">GeneralSettings!$G$13</definedName>
    <definedName name="ForeignFixingCalendar">GeneralSettings!$G$6</definedName>
    <definedName name="ForeignFixingDays">GeneralSettings!$G$17</definedName>
    <definedName name="ForeignGearing">GeneralSettings!$G$20</definedName>
    <definedName name="ForeignIndex">GeneralSettings!$G$21</definedName>
    <definedName name="ForeignNotional">GeneralSettings!$G$15</definedName>
    <definedName name="ForeignPayFlag">GeneralSettings!$G$22</definedName>
    <definedName name="ForeignPaymentBDC">GeneralSettings!$G$14</definedName>
    <definedName name="ForeignPaymentCalendar">GeneralSettings!$G$5</definedName>
    <definedName name="ForeignTDC">GeneralSettings!$G$11</definedName>
    <definedName name="ForeignTenor">GeneralSettings!$G$9</definedName>
    <definedName name="FxPointsContributor">FxPoints!$E$2</definedName>
    <definedName name="IncludeFlag">FxPoints!$L$4:$L$35</definedName>
    <definedName name="Instruments">CCSPricing!$U$4:$U$24</definedName>
    <definedName name="Interpolation">GeneralSettings!$C$21</definedName>
    <definedName name="InterpolatorID">GeneralSettings!$C$20</definedName>
    <definedName name="JoinedCalendar">GeneralSettings!$C$7</definedName>
    <definedName name="JoinedCalendarRule">GeneralSettings!$C$6</definedName>
    <definedName name="NPVDate">GeneralSettings!$G$7</definedName>
    <definedName name="PaymentDates">DomesticLegRenotioning!$B$2:$B$202</definedName>
    <definedName name="ScheduleDates">DomesticLegRenotioning!$A$2:$A$202</definedName>
    <definedName name="SettlementDate">GeneralSettings!$C$9</definedName>
    <definedName name="SettlementDays">GeneralSettings!$C$8</definedName>
    <definedName name="SpotExchangeValue">FxPoints!$J$4</definedName>
    <definedName name="TraitsID">GeneralSettings!$C$19</definedName>
    <definedName name="Trigger">GeneralSettings!$C$2</definedName>
  </definedNames>
  <calcPr calcId="145621"/>
</workbook>
</file>

<file path=xl/calcChain.xml><?xml version="1.0" encoding="utf-8"?>
<calcChain xmlns="http://schemas.openxmlformats.org/spreadsheetml/2006/main">
  <c r="AA15" i="11" l="1"/>
  <c r="U24" i="11"/>
  <c r="U23" i="11"/>
  <c r="U22" i="11"/>
  <c r="U21" i="11"/>
  <c r="U20" i="11"/>
  <c r="U19" i="11"/>
  <c r="U18" i="11"/>
  <c r="U17" i="11"/>
  <c r="U16" i="11"/>
  <c r="U15" i="11"/>
  <c r="U14" i="11"/>
  <c r="U13" i="11"/>
  <c r="U12" i="11"/>
  <c r="U11" i="11"/>
  <c r="U10" i="11"/>
  <c r="U9" i="11"/>
  <c r="U8" i="11"/>
  <c r="U7" i="11"/>
  <c r="U6" i="11"/>
  <c r="U5" i="11"/>
  <c r="U4" i="11"/>
  <c r="G21" i="5"/>
  <c r="R3" i="11" l="1"/>
  <c r="Q3" i="11"/>
  <c r="P3" i="11"/>
  <c r="AB24" i="11" l="1"/>
  <c r="AB23" i="11"/>
  <c r="AB22" i="11"/>
  <c r="AB21" i="11"/>
  <c r="AB20" i="11"/>
  <c r="AB19" i="11"/>
  <c r="AB18" i="11"/>
  <c r="AB17" i="11"/>
  <c r="AB16" i="11"/>
  <c r="AB15" i="11"/>
  <c r="AB14" i="11"/>
  <c r="AB13" i="11"/>
  <c r="AB12" i="11"/>
  <c r="AB11" i="11"/>
  <c r="AB10" i="11"/>
  <c r="AB9" i="11"/>
  <c r="AB8" i="11"/>
  <c r="AB7" i="11"/>
  <c r="AB6" i="11"/>
  <c r="AB5" i="11"/>
  <c r="AB4" i="11"/>
  <c r="V4" i="11" a="1"/>
  <c r="V24" i="11" s="1"/>
  <c r="V17" i="11" l="1"/>
  <c r="V18" i="11"/>
  <c r="V9" i="11"/>
  <c r="V10" i="11"/>
  <c r="V11" i="11"/>
  <c r="V19" i="11"/>
  <c r="V4" i="11"/>
  <c r="V12" i="11"/>
  <c r="V20" i="11"/>
  <c r="V5" i="11"/>
  <c r="V13" i="11"/>
  <c r="V21" i="11"/>
  <c r="V6" i="11"/>
  <c r="V14" i="11"/>
  <c r="V22" i="11"/>
  <c r="V7" i="11"/>
  <c r="V15" i="11"/>
  <c r="V23" i="11"/>
  <c r="V8" i="11"/>
  <c r="V16" i="11"/>
  <c r="V3" i="11"/>
  <c r="N35" i="7" l="1"/>
  <c r="O35" i="7" s="1"/>
  <c r="N33" i="7"/>
  <c r="O33" i="7" s="1"/>
  <c r="P33" i="7"/>
  <c r="Q33" i="7" s="1"/>
  <c r="N34" i="7"/>
  <c r="O34" i="7" s="1"/>
  <c r="P34" i="7"/>
  <c r="Q34" i="7" s="1"/>
  <c r="P35" i="7"/>
  <c r="Q35" i="7" s="1"/>
  <c r="J33" i="7"/>
  <c r="L33" i="7" s="1"/>
  <c r="K33" i="7"/>
  <c r="J34" i="7"/>
  <c r="L34" i="7" s="1"/>
  <c r="K34" i="7"/>
  <c r="J35" i="7"/>
  <c r="L35" i="7" s="1"/>
  <c r="K35" i="7"/>
  <c r="E33" i="7"/>
  <c r="E34" i="7"/>
  <c r="E35" i="7"/>
  <c r="A1" i="18"/>
  <c r="C7" i="5" l="1"/>
  <c r="F5" i="5" s="1"/>
  <c r="K4" i="7" l="1"/>
  <c r="N5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G7" i="5"/>
  <c r="E3" i="7"/>
  <c r="J3" i="11" l="1"/>
  <c r="I3" i="11"/>
  <c r="P5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N8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7" i="7"/>
  <c r="N6" i="7"/>
  <c r="C13" i="5"/>
  <c r="C5" i="5"/>
  <c r="K32" i="7" l="1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J5" i="7"/>
  <c r="L5" i="7" s="1"/>
  <c r="J4" i="7"/>
  <c r="G5" i="5"/>
  <c r="C9" i="5"/>
  <c r="C33" i="7" l="1"/>
  <c r="C35" i="7"/>
  <c r="C34" i="7"/>
  <c r="R35" i="7"/>
  <c r="S35" i="7" s="1"/>
  <c r="R34" i="7"/>
  <c r="S34" i="7" s="1"/>
  <c r="R33" i="7"/>
  <c r="S33" i="7" s="1"/>
  <c r="Q31" i="7"/>
  <c r="O5" i="7"/>
  <c r="R5" i="7"/>
  <c r="O10" i="7"/>
  <c r="O13" i="7"/>
  <c r="O21" i="7"/>
  <c r="Q22" i="7"/>
  <c r="Q14" i="7"/>
  <c r="O23" i="7"/>
  <c r="O15" i="7"/>
  <c r="O26" i="7"/>
  <c r="O7" i="7"/>
  <c r="Q15" i="7"/>
  <c r="Q26" i="7"/>
  <c r="Q7" i="7"/>
  <c r="O17" i="7"/>
  <c r="O28" i="7"/>
  <c r="O9" i="7"/>
  <c r="O20" i="7"/>
  <c r="Q28" i="7"/>
  <c r="Q9" i="7"/>
  <c r="Q20" i="7"/>
  <c r="O29" i="7"/>
  <c r="Q10" i="7"/>
  <c r="Q17" i="7"/>
  <c r="Q23" i="7"/>
  <c r="Q30" i="7"/>
  <c r="O12" i="7"/>
  <c r="O18" i="7"/>
  <c r="O25" i="7"/>
  <c r="O31" i="7"/>
  <c r="Q6" i="7"/>
  <c r="Q12" i="7"/>
  <c r="Q18" i="7"/>
  <c r="Q25" i="7"/>
  <c r="O8" i="7"/>
  <c r="Q13" i="7"/>
  <c r="O16" i="7"/>
  <c r="Q21" i="7"/>
  <c r="O24" i="7"/>
  <c r="Q29" i="7"/>
  <c r="O32" i="7"/>
  <c r="Q8" i="7"/>
  <c r="O11" i="7"/>
  <c r="Q16" i="7"/>
  <c r="O19" i="7"/>
  <c r="Q24" i="7"/>
  <c r="O27" i="7"/>
  <c r="Q32" i="7"/>
  <c r="O6" i="7"/>
  <c r="Q11" i="7"/>
  <c r="O14" i="7"/>
  <c r="Q19" i="7"/>
  <c r="O22" i="7"/>
  <c r="Q27" i="7"/>
  <c r="O30" i="7"/>
  <c r="J32" i="7"/>
  <c r="R32" i="7" s="1"/>
  <c r="J31" i="7"/>
  <c r="R31" i="7" s="1"/>
  <c r="J30" i="7"/>
  <c r="R30" i="7" s="1"/>
  <c r="J29" i="7"/>
  <c r="R29" i="7" s="1"/>
  <c r="J28" i="7"/>
  <c r="R28" i="7" s="1"/>
  <c r="J27" i="7"/>
  <c r="R27" i="7" s="1"/>
  <c r="J26" i="7"/>
  <c r="R26" i="7" s="1"/>
  <c r="J25" i="7"/>
  <c r="R25" i="7" s="1"/>
  <c r="J24" i="7"/>
  <c r="R24" i="7" s="1"/>
  <c r="J23" i="7"/>
  <c r="R23" i="7" s="1"/>
  <c r="J22" i="7"/>
  <c r="R22" i="7" s="1"/>
  <c r="J21" i="7"/>
  <c r="R21" i="7" s="1"/>
  <c r="J20" i="7"/>
  <c r="R20" i="7" s="1"/>
  <c r="J19" i="7"/>
  <c r="R19" i="7" s="1"/>
  <c r="J18" i="7"/>
  <c r="R18" i="7" s="1"/>
  <c r="J17" i="7"/>
  <c r="R17" i="7" s="1"/>
  <c r="J16" i="7"/>
  <c r="R16" i="7" s="1"/>
  <c r="J15" i="7"/>
  <c r="R15" i="7" s="1"/>
  <c r="J14" i="7"/>
  <c r="R14" i="7" s="1"/>
  <c r="J13" i="7"/>
  <c r="R13" i="7" s="1"/>
  <c r="J12" i="7"/>
  <c r="R12" i="7" s="1"/>
  <c r="J11" i="7"/>
  <c r="R11" i="7" s="1"/>
  <c r="J10" i="7"/>
  <c r="R10" i="7" s="1"/>
  <c r="J9" i="7"/>
  <c r="R9" i="7" s="1"/>
  <c r="J8" i="7"/>
  <c r="R8" i="7" s="1"/>
  <c r="J7" i="7"/>
  <c r="R7" i="7" s="1"/>
  <c r="J6" i="7"/>
  <c r="C14" i="5"/>
  <c r="D33" i="7"/>
  <c r="D35" i="7"/>
  <c r="U35" i="7" s="1"/>
  <c r="F8" i="5"/>
  <c r="N21" i="11"/>
  <c r="U33" i="7"/>
  <c r="C21" i="11"/>
  <c r="K21" i="11"/>
  <c r="C10" i="11"/>
  <c r="D10" i="11" s="1"/>
  <c r="N17" i="11"/>
  <c r="M21" i="11"/>
  <c r="N14" i="11"/>
  <c r="C19" i="11"/>
  <c r="C15" i="11"/>
  <c r="C11" i="11"/>
  <c r="M11" i="11"/>
  <c r="N10" i="11"/>
  <c r="N18" i="11"/>
  <c r="M10" i="11"/>
  <c r="C23" i="11"/>
  <c r="D34" i="7"/>
  <c r="D11" i="11"/>
  <c r="C17" i="11"/>
  <c r="C20" i="11"/>
  <c r="M20" i="11" s="1"/>
  <c r="K17" i="11"/>
  <c r="N9" i="11"/>
  <c r="C14" i="11"/>
  <c r="C6" i="11"/>
  <c r="N7" i="11"/>
  <c r="C18" i="11"/>
  <c r="N6" i="11"/>
  <c r="N23" i="11"/>
  <c r="C9" i="11"/>
  <c r="C16" i="11"/>
  <c r="N12" i="11"/>
  <c r="K10" i="11"/>
  <c r="D14" i="11"/>
  <c r="N22" i="11"/>
  <c r="C5" i="11"/>
  <c r="K20" i="11"/>
  <c r="N20" i="11"/>
  <c r="N24" i="11"/>
  <c r="C12" i="11"/>
  <c r="N19" i="11"/>
  <c r="D15" i="11"/>
  <c r="N8" i="11"/>
  <c r="C7" i="11"/>
  <c r="D7" i="11" s="1"/>
  <c r="N5" i="11"/>
  <c r="K11" i="11"/>
  <c r="K9" i="11"/>
  <c r="N16" i="11"/>
  <c r="C8" i="11"/>
  <c r="C22" i="11"/>
  <c r="N11" i="11"/>
  <c r="K7" i="11"/>
  <c r="C24" i="11"/>
  <c r="C4" i="11"/>
  <c r="N15" i="11"/>
  <c r="N4" i="11"/>
  <c r="N13" i="11"/>
  <c r="C13" i="11"/>
  <c r="K19" i="11"/>
  <c r="K15" i="11"/>
  <c r="M15" i="11"/>
  <c r="M23" i="11"/>
  <c r="D17" i="11"/>
  <c r="M17" i="11"/>
  <c r="K14" i="11"/>
  <c r="K18" i="11"/>
  <c r="M9" i="11"/>
  <c r="K16" i="11"/>
  <c r="D16" i="11"/>
  <c r="M16" i="11"/>
  <c r="K5" i="11"/>
  <c r="D5" i="11"/>
  <c r="D12" i="11"/>
  <c r="K12" i="11"/>
  <c r="D8" i="11"/>
  <c r="K8" i="11"/>
  <c r="M8" i="11"/>
  <c r="K22" i="11"/>
  <c r="K24" i="11"/>
  <c r="M24" i="11"/>
  <c r="D4" i="11"/>
  <c r="K4" i="11"/>
  <c r="K13" i="11"/>
  <c r="D13" i="11"/>
  <c r="M13" i="11"/>
  <c r="V33" i="7" l="1"/>
  <c r="V35" i="7"/>
  <c r="R6" i="7"/>
  <c r="S6" i="7" s="1"/>
  <c r="G8" i="5"/>
  <c r="S18" i="7"/>
  <c r="L18" i="7"/>
  <c r="S10" i="7"/>
  <c r="L10" i="7"/>
  <c r="S26" i="7"/>
  <c r="L26" i="7"/>
  <c r="S11" i="7"/>
  <c r="L11" i="7"/>
  <c r="S19" i="7"/>
  <c r="L19" i="7"/>
  <c r="S27" i="7"/>
  <c r="L27" i="7"/>
  <c r="S12" i="7"/>
  <c r="L12" i="7"/>
  <c r="S20" i="7"/>
  <c r="L20" i="7"/>
  <c r="S28" i="7"/>
  <c r="L28" i="7"/>
  <c r="S13" i="7"/>
  <c r="L13" i="7"/>
  <c r="S21" i="7"/>
  <c r="L21" i="7"/>
  <c r="S29" i="7"/>
  <c r="L29" i="7"/>
  <c r="L6" i="7"/>
  <c r="S14" i="7"/>
  <c r="L14" i="7"/>
  <c r="S22" i="7"/>
  <c r="L22" i="7"/>
  <c r="S30" i="7"/>
  <c r="L30" i="7"/>
  <c r="S7" i="7"/>
  <c r="L7" i="7"/>
  <c r="S15" i="7"/>
  <c r="L15" i="7"/>
  <c r="S23" i="7"/>
  <c r="L23" i="7"/>
  <c r="S31" i="7"/>
  <c r="L31" i="7"/>
  <c r="S8" i="7"/>
  <c r="L8" i="7"/>
  <c r="S16" i="7"/>
  <c r="L16" i="7"/>
  <c r="S24" i="7"/>
  <c r="L24" i="7"/>
  <c r="S32" i="7"/>
  <c r="L32" i="7"/>
  <c r="S9" i="7"/>
  <c r="L9" i="7"/>
  <c r="S17" i="7"/>
  <c r="L17" i="7"/>
  <c r="S25" i="7"/>
  <c r="L25" i="7"/>
  <c r="M22" i="11"/>
  <c r="L22" i="11"/>
  <c r="M7" i="11"/>
  <c r="L5" i="11"/>
  <c r="M12" i="11"/>
  <c r="L24" i="11"/>
  <c r="M5" i="11"/>
  <c r="M6" i="11"/>
  <c r="L4" i="11"/>
  <c r="D9" i="11"/>
  <c r="D6" i="11"/>
  <c r="L20" i="11"/>
  <c r="D18" i="11"/>
  <c r="L15" i="11"/>
  <c r="U34" i="7"/>
  <c r="M18" i="11"/>
  <c r="L17" i="11"/>
  <c r="L13" i="11"/>
  <c r="L19" i="11"/>
  <c r="K6" i="11"/>
  <c r="L6" i="11" s="1"/>
  <c r="L9" i="11"/>
  <c r="O9" i="11" s="1"/>
  <c r="D24" i="11"/>
  <c r="M14" i="11"/>
  <c r="D19" i="11"/>
  <c r="X33" i="7"/>
  <c r="X35" i="7"/>
  <c r="L11" i="11"/>
  <c r="L7" i="11"/>
  <c r="X34" i="7"/>
  <c r="D20" i="11"/>
  <c r="L16" i="11"/>
  <c r="L8" i="11"/>
  <c r="O8" i="11" s="1"/>
  <c r="L12" i="11"/>
  <c r="D21" i="11"/>
  <c r="L14" i="11"/>
  <c r="D23" i="11"/>
  <c r="L10" i="11"/>
  <c r="K23" i="11"/>
  <c r="L23" i="11" s="1"/>
  <c r="L21" i="11"/>
  <c r="M4" i="11"/>
  <c r="M19" i="11"/>
  <c r="D22" i="11"/>
  <c r="L18" i="11"/>
  <c r="V34" i="7" l="1"/>
  <c r="Y34" i="7" s="1"/>
  <c r="Y35" i="7"/>
  <c r="Y33" i="7"/>
  <c r="S5" i="7"/>
  <c r="Q5" i="7"/>
  <c r="O10" i="11"/>
  <c r="O7" i="11"/>
  <c r="O12" i="11"/>
  <c r="O13" i="11"/>
  <c r="A2" i="19" a="1"/>
  <c r="O15" i="11"/>
  <c r="O14" i="11"/>
  <c r="O11" i="11"/>
  <c r="O5" i="11"/>
  <c r="O6" i="11"/>
  <c r="O16" i="11"/>
  <c r="O17" i="11"/>
  <c r="B1" i="18" a="1"/>
  <c r="A9" i="19" l="1"/>
  <c r="A119" i="19"/>
  <c r="A106" i="19"/>
  <c r="A78" i="19"/>
  <c r="A180" i="19"/>
  <c r="A49" i="19"/>
  <c r="A42" i="19"/>
  <c r="A8" i="19"/>
  <c r="A22" i="19"/>
  <c r="A132" i="19"/>
  <c r="A179" i="19"/>
  <c r="A97" i="19"/>
  <c r="A118" i="19"/>
  <c r="A61" i="19"/>
  <c r="A159" i="19"/>
  <c r="A187" i="19"/>
  <c r="A157" i="19"/>
  <c r="A117" i="19"/>
  <c r="A50" i="19"/>
  <c r="A116" i="19"/>
  <c r="A2" i="19"/>
  <c r="A193" i="19"/>
  <c r="A104" i="19"/>
  <c r="A34" i="19"/>
  <c r="A135" i="19"/>
  <c r="A20" i="19"/>
  <c r="A198" i="19"/>
  <c r="A138" i="19"/>
  <c r="A53" i="19"/>
  <c r="A73" i="19"/>
  <c r="A23" i="19"/>
  <c r="A27" i="19"/>
  <c r="A121" i="19"/>
  <c r="A86" i="19"/>
  <c r="A28" i="19"/>
  <c r="A33" i="19"/>
  <c r="A64" i="19"/>
  <c r="A150" i="19"/>
  <c r="A173" i="19"/>
  <c r="A43" i="19"/>
  <c r="A145" i="19"/>
  <c r="A60" i="19"/>
  <c r="A24" i="19"/>
  <c r="A147" i="19"/>
  <c r="A107" i="19"/>
  <c r="A176" i="19"/>
  <c r="A112" i="19"/>
  <c r="A14" i="19"/>
  <c r="A3" i="19"/>
  <c r="A71" i="19"/>
  <c r="A99" i="19"/>
  <c r="A103" i="19"/>
  <c r="A177" i="19"/>
  <c r="A91" i="19"/>
  <c r="A124" i="19"/>
  <c r="A149" i="19"/>
  <c r="A144" i="19"/>
  <c r="A123" i="19"/>
  <c r="A129" i="19"/>
  <c r="A62" i="19"/>
  <c r="A31" i="19"/>
  <c r="A87" i="19"/>
  <c r="A168" i="19"/>
  <c r="A142" i="19"/>
  <c r="A136" i="19"/>
  <c r="A167" i="19"/>
  <c r="A153" i="19"/>
  <c r="A188" i="19"/>
  <c r="A11" i="19"/>
  <c r="A67" i="19"/>
  <c r="A74" i="19"/>
  <c r="A72" i="19"/>
  <c r="A127" i="19"/>
  <c r="A65" i="19"/>
  <c r="A113" i="19"/>
  <c r="A47" i="19"/>
  <c r="A194" i="19"/>
  <c r="A55" i="19"/>
  <c r="A192" i="19"/>
  <c r="A141" i="19"/>
  <c r="A17" i="19"/>
  <c r="A156" i="19"/>
  <c r="A81" i="19"/>
  <c r="A21" i="19"/>
  <c r="A56" i="19"/>
  <c r="A18" i="19"/>
  <c r="A94" i="19"/>
  <c r="A172" i="19"/>
  <c r="A15" i="19"/>
  <c r="A143" i="19"/>
  <c r="A114" i="19"/>
  <c r="A35" i="19"/>
  <c r="A197" i="19"/>
  <c r="A105" i="19"/>
  <c r="A51" i="19"/>
  <c r="A69" i="19"/>
  <c r="A115" i="19"/>
  <c r="A84" i="19"/>
  <c r="A131" i="19"/>
  <c r="A54" i="19"/>
  <c r="A38" i="19"/>
  <c r="A164" i="19"/>
  <c r="A82" i="19"/>
  <c r="A29" i="19"/>
  <c r="A184" i="19"/>
  <c r="A199" i="19"/>
  <c r="A75" i="19"/>
  <c r="A4" i="19"/>
  <c r="A77" i="19"/>
  <c r="A160" i="19"/>
  <c r="A109" i="19"/>
  <c r="A26" i="19"/>
  <c r="A134" i="19"/>
  <c r="A154" i="19"/>
  <c r="A40" i="19"/>
  <c r="A163" i="19"/>
  <c r="A70" i="19"/>
  <c r="A101" i="19"/>
  <c r="A76" i="19"/>
  <c r="A195" i="19"/>
  <c r="A80" i="19"/>
  <c r="A183" i="19"/>
  <c r="A95" i="19"/>
  <c r="A162" i="19"/>
  <c r="A146" i="19"/>
  <c r="A83" i="19"/>
  <c r="A102" i="19"/>
  <c r="A175" i="19"/>
  <c r="A16" i="19"/>
  <c r="A190" i="19"/>
  <c r="A158" i="19"/>
  <c r="A96" i="19"/>
  <c r="A85" i="19"/>
  <c r="A52" i="19"/>
  <c r="A89" i="19"/>
  <c r="A66" i="19"/>
  <c r="A200" i="19"/>
  <c r="A108" i="19"/>
  <c r="A48" i="19"/>
  <c r="A202" i="19"/>
  <c r="A12" i="19"/>
  <c r="A59" i="19"/>
  <c r="A170" i="19"/>
  <c r="A30" i="19"/>
  <c r="A122" i="19"/>
  <c r="A133" i="19"/>
  <c r="A111" i="19"/>
  <c r="A100" i="19"/>
  <c r="A93" i="19"/>
  <c r="A196" i="19"/>
  <c r="A46" i="19"/>
  <c r="A151" i="19"/>
  <c r="A178" i="19"/>
  <c r="A7" i="19"/>
  <c r="A137" i="19"/>
  <c r="A120" i="19"/>
  <c r="A201" i="19"/>
  <c r="A44" i="19"/>
  <c r="A148" i="19"/>
  <c r="A126" i="19"/>
  <c r="A90" i="19"/>
  <c r="A79" i="19"/>
  <c r="A152" i="19"/>
  <c r="A19" i="19"/>
  <c r="A181" i="19"/>
  <c r="A58" i="19"/>
  <c r="A25" i="19"/>
  <c r="A130" i="19"/>
  <c r="A140" i="19"/>
  <c r="A169" i="19"/>
  <c r="A139" i="19"/>
  <c r="A171" i="19"/>
  <c r="A88" i="19"/>
  <c r="A36" i="19"/>
  <c r="A191" i="19"/>
  <c r="A68" i="19"/>
  <c r="A45" i="19"/>
  <c r="A63" i="19"/>
  <c r="A174" i="19"/>
  <c r="A32" i="19"/>
  <c r="A98" i="19"/>
  <c r="A92" i="19"/>
  <c r="A110" i="19"/>
  <c r="A5" i="19"/>
  <c r="A13" i="19"/>
  <c r="A155" i="19"/>
  <c r="A39" i="19"/>
  <c r="A161" i="19"/>
  <c r="A166" i="19"/>
  <c r="A57" i="19"/>
  <c r="A37" i="19"/>
  <c r="A165" i="19"/>
  <c r="A186" i="19"/>
  <c r="A41" i="19"/>
  <c r="A6" i="19"/>
  <c r="A10" i="19"/>
  <c r="A128" i="19"/>
  <c r="A125" i="19"/>
  <c r="A182" i="19"/>
  <c r="A189" i="19"/>
  <c r="A185" i="19"/>
  <c r="E20" i="18"/>
  <c r="H13" i="18"/>
  <c r="N41" i="18"/>
  <c r="M27" i="18"/>
  <c r="T30" i="18"/>
  <c r="O23" i="18"/>
  <c r="J16" i="18"/>
  <c r="E9" i="18"/>
  <c r="B2" i="18"/>
  <c r="J39" i="18"/>
  <c r="I25" i="18"/>
  <c r="J23" i="18"/>
  <c r="K12" i="18"/>
  <c r="S16" i="18"/>
  <c r="D15" i="18"/>
  <c r="K13" i="18"/>
  <c r="O11" i="18"/>
  <c r="T9" i="18"/>
  <c r="H25" i="18"/>
  <c r="S22" i="18"/>
  <c r="I20" i="18"/>
  <c r="H17" i="18"/>
  <c r="E22" i="18"/>
  <c r="P19" i="18"/>
  <c r="R8" i="18"/>
  <c r="C12" i="18"/>
  <c r="R15" i="18"/>
  <c r="B14" i="18"/>
  <c r="G12" i="18"/>
  <c r="K10" i="18"/>
  <c r="M34" i="18"/>
  <c r="C1" i="18"/>
  <c r="C15" i="18"/>
  <c r="T27" i="18"/>
  <c r="Q38" i="18"/>
  <c r="C8" i="18"/>
  <c r="R35" i="18"/>
  <c r="M42" i="18"/>
  <c r="P10" i="18"/>
  <c r="E10" i="18"/>
  <c r="T22" i="18"/>
  <c r="T28" i="18"/>
  <c r="O6" i="18"/>
  <c r="C20" i="18"/>
  <c r="H39" i="18"/>
  <c r="G11" i="18"/>
  <c r="L24" i="18"/>
  <c r="F33" i="18"/>
  <c r="Q1" i="18"/>
  <c r="S7" i="18"/>
  <c r="K7" i="18"/>
  <c r="S24" i="18"/>
  <c r="U35" i="18"/>
  <c r="O3" i="18"/>
  <c r="J1" i="18"/>
  <c r="K31" i="18"/>
  <c r="U38" i="18"/>
  <c r="J32" i="18"/>
  <c r="R40" i="18"/>
  <c r="J30" i="18"/>
  <c r="E11" i="18"/>
  <c r="T3" i="18"/>
  <c r="I17" i="18"/>
  <c r="R19" i="18"/>
  <c r="G7" i="18"/>
  <c r="L4" i="18"/>
  <c r="Q5" i="18"/>
  <c r="S5" i="18"/>
  <c r="N35" i="18"/>
  <c r="R7" i="18"/>
  <c r="E35" i="18"/>
  <c r="E13" i="18"/>
  <c r="N7" i="18"/>
  <c r="P30" i="18"/>
  <c r="T16" i="18"/>
  <c r="S3" i="18"/>
  <c r="Q27" i="18"/>
  <c r="U40" i="18"/>
  <c r="D14" i="18"/>
  <c r="O13" i="18"/>
  <c r="E28" i="18"/>
  <c r="J41" i="18"/>
  <c r="N19" i="18"/>
  <c r="K15" i="18"/>
  <c r="D10" i="18"/>
  <c r="K19" i="18"/>
  <c r="O36" i="18"/>
  <c r="T39" i="18"/>
  <c r="N26" i="18"/>
  <c r="O39" i="18"/>
  <c r="J31" i="18"/>
  <c r="S30" i="18"/>
  <c r="J42" i="18"/>
  <c r="O17" i="18"/>
  <c r="J25" i="18"/>
  <c r="Q10" i="18"/>
  <c r="O15" i="18"/>
  <c r="H38" i="18"/>
  <c r="P16" i="18"/>
  <c r="N36" i="18"/>
  <c r="N32" i="18"/>
  <c r="T15" i="18"/>
  <c r="O41" i="18"/>
  <c r="U12" i="18"/>
  <c r="L20" i="18"/>
  <c r="B37" i="18"/>
  <c r="E33" i="18"/>
  <c r="I23" i="18"/>
  <c r="B17" i="18"/>
  <c r="U1" i="18"/>
  <c r="F31" i="18"/>
  <c r="K35" i="18"/>
  <c r="N28" i="18"/>
  <c r="H21" i="18"/>
  <c r="C14" i="18"/>
  <c r="R6" i="18"/>
  <c r="N4" i="18"/>
  <c r="U28" i="18"/>
  <c r="L27" i="18"/>
  <c r="C17" i="18"/>
  <c r="I22" i="18"/>
  <c r="N20" i="18"/>
  <c r="T18" i="18"/>
  <c r="E17" i="18"/>
  <c r="J15" i="18"/>
  <c r="T34" i="18"/>
  <c r="D33" i="18"/>
  <c r="R30" i="18"/>
  <c r="Q28" i="18"/>
  <c r="Q25" i="18"/>
  <c r="S23" i="18"/>
  <c r="J13" i="18"/>
  <c r="M17" i="18"/>
  <c r="G21" i="18"/>
  <c r="L19" i="18"/>
  <c r="P17" i="18"/>
  <c r="U15" i="18"/>
  <c r="M5" i="18"/>
  <c r="L6" i="18"/>
  <c r="N23" i="18"/>
  <c r="C35" i="18"/>
  <c r="L2" i="18"/>
  <c r="R14" i="18"/>
  <c r="N1" i="18"/>
  <c r="N13" i="18"/>
  <c r="P24" i="18"/>
  <c r="Q15" i="18"/>
  <c r="H29" i="18"/>
  <c r="G2" i="18"/>
  <c r="G13" i="18"/>
  <c r="J27" i="18"/>
  <c r="H1" i="18"/>
  <c r="K26" i="18"/>
  <c r="G35" i="18"/>
  <c r="Q41" i="18"/>
  <c r="E6" i="18"/>
  <c r="S12" i="18"/>
  <c r="S13" i="18"/>
  <c r="F32" i="18"/>
  <c r="I42" i="18"/>
  <c r="B11" i="18"/>
  <c r="J17" i="18"/>
  <c r="K40" i="18"/>
  <c r="M26" i="18"/>
  <c r="U27" i="18"/>
  <c r="G20" i="18"/>
  <c r="D39" i="18"/>
  <c r="B41" i="18"/>
  <c r="T42" i="18"/>
  <c r="P11" i="18"/>
  <c r="U10" i="18"/>
  <c r="E15" i="18"/>
  <c r="E21" i="18"/>
  <c r="Q37" i="18"/>
  <c r="K2" i="18"/>
  <c r="O22" i="18"/>
  <c r="B24" i="18"/>
  <c r="I41" i="18"/>
  <c r="B39" i="18"/>
  <c r="Q7" i="18"/>
  <c r="L11" i="18"/>
  <c r="L17" i="18"/>
  <c r="B34" i="18"/>
  <c r="C3" i="18"/>
  <c r="F23" i="18"/>
  <c r="I15" i="18"/>
  <c r="T33" i="18"/>
  <c r="I30" i="18"/>
  <c r="T10" i="18"/>
  <c r="T37" i="18"/>
  <c r="G16" i="18"/>
  <c r="U3" i="18"/>
  <c r="I39" i="18"/>
  <c r="I34" i="18"/>
  <c r="F24" i="18"/>
  <c r="S4" i="18"/>
  <c r="O8" i="18"/>
  <c r="B18" i="18"/>
  <c r="P5" i="18"/>
  <c r="Q11" i="18"/>
  <c r="R29" i="18"/>
  <c r="M9" i="18"/>
  <c r="K5" i="18"/>
  <c r="Q39" i="18"/>
  <c r="O37" i="18"/>
  <c r="L23" i="18"/>
  <c r="M6" i="18"/>
  <c r="Q30" i="18"/>
  <c r="L41" i="18"/>
  <c r="C21" i="18"/>
  <c r="M2" i="18"/>
  <c r="Q14" i="18"/>
  <c r="N22" i="18"/>
  <c r="M1" i="18"/>
  <c r="I32" i="18"/>
  <c r="U26" i="18"/>
  <c r="P18" i="18"/>
  <c r="T4" i="18"/>
  <c r="P32" i="18"/>
  <c r="O33" i="18"/>
  <c r="P9" i="18"/>
  <c r="G15" i="18"/>
  <c r="K39" i="18"/>
  <c r="C22" i="18"/>
  <c r="U21" i="18"/>
  <c r="H34" i="18"/>
  <c r="F9" i="18"/>
  <c r="P38" i="18"/>
  <c r="U9" i="18"/>
  <c r="I26" i="18"/>
  <c r="P7" i="18"/>
  <c r="J43" i="18"/>
  <c r="R16" i="18"/>
  <c r="Q29" i="18"/>
  <c r="N31" i="18"/>
  <c r="T23" i="18"/>
  <c r="Q42" i="18"/>
  <c r="R1" i="18"/>
  <c r="I4" i="18"/>
  <c r="O16" i="18"/>
  <c r="M14" i="18"/>
  <c r="G19" i="18"/>
  <c r="G25" i="18"/>
  <c r="S41" i="18"/>
  <c r="U7" i="18"/>
  <c r="D28" i="18"/>
  <c r="S34" i="18"/>
  <c r="B10" i="18"/>
  <c r="R5" i="18"/>
  <c r="I11" i="18"/>
  <c r="N15" i="18"/>
  <c r="N21" i="18"/>
  <c r="F38" i="18"/>
  <c r="L8" i="18"/>
  <c r="G29" i="18"/>
  <c r="Q19" i="18"/>
  <c r="R38" i="18"/>
  <c r="S36" i="18"/>
  <c r="G18" i="18"/>
  <c r="S43" i="18"/>
  <c r="C29" i="18"/>
  <c r="N18" i="18"/>
  <c r="I1" i="18"/>
  <c r="F39" i="18"/>
  <c r="L31" i="18"/>
  <c r="F12" i="18"/>
  <c r="F17" i="18"/>
  <c r="F30" i="18"/>
  <c r="P21" i="18"/>
  <c r="E16" i="18"/>
  <c r="R34" i="18"/>
  <c r="D18" i="18"/>
  <c r="Q12" i="18"/>
  <c r="N2" i="18"/>
  <c r="O19" i="18"/>
  <c r="J34" i="18"/>
  <c r="I21" i="18"/>
  <c r="G10" i="18"/>
  <c r="R12" i="18"/>
  <c r="G42" i="18"/>
  <c r="M12" i="18"/>
  <c r="O31" i="18"/>
  <c r="U36" i="18"/>
  <c r="D30" i="18"/>
  <c r="U25" i="18"/>
  <c r="T1" i="18"/>
  <c r="Q32" i="18"/>
  <c r="D20" i="18"/>
  <c r="C37" i="18"/>
  <c r="D42" i="18"/>
  <c r="F26" i="18"/>
  <c r="F29" i="18"/>
  <c r="U34" i="18"/>
  <c r="Q4" i="18"/>
  <c r="M41" i="18"/>
  <c r="E37" i="18"/>
  <c r="B22" i="18"/>
  <c r="I10" i="18"/>
  <c r="P37" i="18"/>
  <c r="M4" i="18"/>
  <c r="D29" i="18"/>
  <c r="H20" i="18"/>
  <c r="M23" i="18"/>
  <c r="D11" i="18"/>
  <c r="N8" i="18"/>
  <c r="T19" i="18"/>
  <c r="Q33" i="18"/>
  <c r="L25" i="18"/>
  <c r="O32" i="18"/>
  <c r="P35" i="18"/>
  <c r="K14" i="18"/>
  <c r="L7" i="18"/>
  <c r="H28" i="18"/>
  <c r="B33" i="18"/>
  <c r="P23" i="18"/>
  <c r="C18" i="18"/>
  <c r="M10" i="18"/>
  <c r="H24" i="18"/>
  <c r="N6" i="18"/>
  <c r="Q18" i="18"/>
  <c r="G39" i="18"/>
  <c r="O7" i="18"/>
  <c r="R2" i="18"/>
  <c r="I8" i="18"/>
  <c r="N9" i="18"/>
  <c r="P39" i="18"/>
  <c r="K9" i="18"/>
  <c r="P8" i="18"/>
  <c r="K4" i="18"/>
  <c r="J7" i="18"/>
  <c r="S29" i="18"/>
  <c r="G32" i="18"/>
  <c r="Q6" i="18"/>
  <c r="E30" i="18"/>
  <c r="K28" i="18"/>
  <c r="H4" i="18"/>
  <c r="I14" i="18"/>
  <c r="G34" i="18"/>
  <c r="B30" i="18"/>
  <c r="B7" i="18"/>
  <c r="E29" i="18"/>
  <c r="N25" i="18"/>
  <c r="G8" i="18"/>
  <c r="D19" i="18"/>
  <c r="Q24" i="18"/>
  <c r="E1" i="18"/>
  <c r="C41" i="18"/>
  <c r="P27" i="18"/>
  <c r="P13" i="18"/>
  <c r="G30" i="18"/>
  <c r="O28" i="18"/>
  <c r="O30" i="18"/>
  <c r="O25" i="18"/>
  <c r="G38" i="18"/>
  <c r="R22" i="18"/>
  <c r="E2" i="18"/>
  <c r="L3" i="18"/>
  <c r="K18" i="18"/>
  <c r="I35" i="18"/>
  <c r="F41" i="18"/>
  <c r="R20" i="18"/>
  <c r="M21" i="18"/>
  <c r="S1" i="18"/>
  <c r="T40" i="18"/>
  <c r="E7" i="18"/>
  <c r="B21" i="18"/>
  <c r="M28" i="18"/>
  <c r="S32" i="18"/>
  <c r="F36" i="18"/>
  <c r="D27" i="18"/>
  <c r="O5" i="18"/>
  <c r="O2" i="18"/>
  <c r="B28" i="18"/>
  <c r="G6" i="18"/>
  <c r="B4" i="18"/>
  <c r="D32" i="18"/>
  <c r="F11" i="18"/>
  <c r="G33" i="18"/>
  <c r="U19" i="18"/>
  <c r="N12" i="18"/>
  <c r="K34" i="18"/>
  <c r="P20" i="18"/>
  <c r="J21" i="18"/>
  <c r="T11" i="18"/>
  <c r="L13" i="18"/>
  <c r="U29" i="18"/>
  <c r="K11" i="18"/>
  <c r="D34" i="18"/>
  <c r="Q2" i="18"/>
  <c r="Q13" i="18"/>
  <c r="F35" i="18"/>
  <c r="J11" i="18"/>
  <c r="J33" i="18"/>
  <c r="B19" i="18"/>
  <c r="T20" i="18"/>
  <c r="T6" i="18"/>
  <c r="J29" i="18"/>
  <c r="C26" i="18"/>
  <c r="R43" i="18"/>
  <c r="C43" i="18"/>
  <c r="O21" i="18"/>
  <c r="L37" i="18"/>
  <c r="J28" i="18"/>
  <c r="U33" i="18"/>
  <c r="T36" i="18"/>
  <c r="P34" i="18"/>
  <c r="U11" i="18"/>
  <c r="D1" i="18"/>
  <c r="R26" i="18"/>
  <c r="R28" i="18"/>
  <c r="B27" i="18"/>
  <c r="M20" i="18"/>
  <c r="B12" i="18"/>
  <c r="L35" i="18"/>
  <c r="G23" i="18"/>
  <c r="K43" i="18"/>
  <c r="G31" i="18"/>
  <c r="J40" i="18"/>
  <c r="F7" i="18"/>
  <c r="H26" i="18"/>
  <c r="R11" i="18"/>
  <c r="F27" i="18"/>
  <c r="T7" i="18"/>
  <c r="S26" i="18"/>
  <c r="L10" i="18"/>
  <c r="R36" i="18"/>
  <c r="U41" i="18"/>
  <c r="E43" i="18"/>
  <c r="E12" i="18"/>
  <c r="P1" i="18"/>
  <c r="E19" i="18"/>
  <c r="L15" i="18"/>
  <c r="C4" i="18"/>
  <c r="O35" i="18"/>
  <c r="F37" i="18"/>
  <c r="J26" i="18"/>
  <c r="D25" i="18"/>
  <c r="G27" i="18"/>
  <c r="N30" i="18"/>
  <c r="D26" i="18"/>
  <c r="B8" i="18"/>
  <c r="P42" i="18"/>
  <c r="F13" i="18"/>
  <c r="D22" i="18"/>
  <c r="J9" i="18"/>
  <c r="T13" i="18"/>
  <c r="H6" i="18"/>
  <c r="B32" i="18"/>
  <c r="T35" i="18"/>
  <c r="F3" i="18"/>
  <c r="L12" i="18"/>
  <c r="I36" i="18"/>
  <c r="I6" i="18"/>
  <c r="F14" i="18"/>
  <c r="C33" i="18"/>
  <c r="M13" i="18"/>
  <c r="G36" i="18"/>
  <c r="U16" i="18"/>
  <c r="J38" i="18"/>
  <c r="H16" i="18"/>
  <c r="I37" i="18"/>
  <c r="R23" i="18"/>
  <c r="H31" i="18"/>
  <c r="C11" i="18"/>
  <c r="L33" i="18"/>
  <c r="M31" i="18"/>
  <c r="F6" i="18"/>
  <c r="C13" i="18"/>
  <c r="T31" i="18"/>
  <c r="Q3" i="18"/>
  <c r="L32" i="18"/>
  <c r="T5" i="18"/>
  <c r="K41" i="18"/>
  <c r="S38" i="18"/>
  <c r="K17" i="18"/>
  <c r="J8" i="18"/>
  <c r="M33" i="18"/>
  <c r="H40" i="18"/>
  <c r="D37" i="18"/>
  <c r="U24" i="18"/>
  <c r="J18" i="18"/>
  <c r="T41" i="18"/>
  <c r="B16" i="18"/>
  <c r="B15" i="18"/>
  <c r="G40" i="18"/>
  <c r="J2" i="18"/>
  <c r="L14" i="18"/>
  <c r="T32" i="18"/>
  <c r="R25" i="18"/>
  <c r="G37" i="18"/>
  <c r="H19" i="18"/>
  <c r="F40" i="18"/>
  <c r="M43" i="18"/>
  <c r="H3" i="18"/>
  <c r="F28" i="18"/>
  <c r="M16" i="18"/>
  <c r="D23" i="18"/>
  <c r="U43" i="18"/>
  <c r="I28" i="18"/>
  <c r="J19" i="18"/>
  <c r="C19" i="18"/>
  <c r="C6" i="18"/>
  <c r="F19" i="18"/>
  <c r="T43" i="18"/>
  <c r="F18" i="18"/>
  <c r="C10" i="18"/>
  <c r="B38" i="18"/>
  <c r="N27" i="18"/>
  <c r="O29" i="18"/>
  <c r="M37" i="18"/>
  <c r="Q34" i="18"/>
  <c r="B35" i="18"/>
  <c r="L38" i="18"/>
  <c r="U8" i="18"/>
  <c r="S10" i="18"/>
  <c r="R33" i="18"/>
  <c r="I9" i="18"/>
  <c r="I40" i="18"/>
  <c r="K38" i="18"/>
  <c r="L40" i="18"/>
  <c r="E25" i="18"/>
  <c r="G17" i="18"/>
  <c r="U32" i="18"/>
  <c r="N5" i="18"/>
  <c r="F21" i="18"/>
  <c r="P6" i="18"/>
  <c r="P28" i="18"/>
  <c r="I3" i="18"/>
  <c r="C32" i="18"/>
  <c r="H5" i="18"/>
  <c r="K36" i="18"/>
  <c r="F34" i="18"/>
  <c r="F42" i="18"/>
  <c r="S39" i="18"/>
  <c r="U14" i="18"/>
  <c r="J36" i="18"/>
  <c r="C23" i="18"/>
  <c r="B25" i="18"/>
  <c r="U42" i="18"/>
  <c r="K22" i="18"/>
  <c r="G43" i="18"/>
  <c r="S9" i="18"/>
  <c r="L9" i="18"/>
  <c r="U31" i="18"/>
  <c r="M30" i="18"/>
  <c r="B9" i="18"/>
  <c r="C30" i="18"/>
  <c r="G28" i="18"/>
  <c r="U20" i="18"/>
  <c r="S18" i="18"/>
  <c r="J22" i="18"/>
  <c r="H9" i="18"/>
  <c r="E36" i="18"/>
  <c r="K20" i="18"/>
  <c r="K25" i="18"/>
  <c r="C39" i="18"/>
  <c r="O12" i="18"/>
  <c r="T12" i="18"/>
  <c r="G26" i="18"/>
  <c r="E18" i="18"/>
  <c r="S27" i="18"/>
  <c r="L42" i="18"/>
  <c r="O18" i="18"/>
  <c r="N43" i="18"/>
  <c r="C36" i="18"/>
  <c r="M11" i="18"/>
  <c r="C25" i="18"/>
  <c r="J35" i="18"/>
  <c r="H37" i="18"/>
  <c r="P36" i="18"/>
  <c r="U30" i="18"/>
  <c r="Q20" i="18"/>
  <c r="Q16" i="18"/>
  <c r="I16" i="18"/>
  <c r="I27" i="18"/>
  <c r="O40" i="18"/>
  <c r="S8" i="18"/>
  <c r="T21" i="18"/>
  <c r="E8" i="18"/>
  <c r="H43" i="18"/>
  <c r="N17" i="18"/>
  <c r="J20" i="18"/>
  <c r="K24" i="18"/>
  <c r="O10" i="18"/>
  <c r="S31" i="18"/>
  <c r="T24" i="18"/>
  <c r="T25" i="18"/>
  <c r="S37" i="18"/>
  <c r="U22" i="18"/>
  <c r="H15" i="18"/>
  <c r="F4" i="18"/>
  <c r="B13" i="18"/>
  <c r="D21" i="18"/>
  <c r="D8" i="18"/>
  <c r="P22" i="18"/>
  <c r="F25" i="18"/>
  <c r="R9" i="18"/>
  <c r="B3" i="18"/>
  <c r="J37" i="18"/>
  <c r="D31" i="18"/>
  <c r="L26" i="18"/>
  <c r="R3" i="18"/>
  <c r="S25" i="18"/>
  <c r="S35" i="18"/>
  <c r="I2" i="18"/>
  <c r="N33" i="18"/>
  <c r="M40" i="18"/>
  <c r="M18" i="18"/>
  <c r="B5" i="18"/>
  <c r="C24" i="18"/>
  <c r="N40" i="18"/>
  <c r="I24" i="18"/>
  <c r="E41" i="18"/>
  <c r="P33" i="18"/>
  <c r="F8" i="18"/>
  <c r="S2" i="18"/>
  <c r="Q8" i="18"/>
  <c r="P31" i="18"/>
  <c r="H35" i="18"/>
  <c r="U18" i="18"/>
  <c r="P14" i="18"/>
  <c r="F5" i="18"/>
  <c r="R39" i="18"/>
  <c r="F2" i="18"/>
  <c r="S19" i="18"/>
  <c r="B6" i="18"/>
  <c r="D4" i="18"/>
  <c r="N39" i="18"/>
  <c r="J24" i="18"/>
  <c r="I29" i="18"/>
  <c r="I5" i="18"/>
  <c r="N38" i="18"/>
  <c r="D3" i="18"/>
  <c r="H30" i="18"/>
  <c r="K32" i="18"/>
  <c r="F16" i="18"/>
  <c r="B1" i="18"/>
  <c r="J6" i="18"/>
  <c r="T14" i="18"/>
  <c r="F10" i="18"/>
  <c r="S15" i="18"/>
  <c r="E32" i="18"/>
  <c r="C27" i="18"/>
  <c r="R42" i="18"/>
  <c r="R32" i="18"/>
  <c r="C34" i="18"/>
  <c r="H10" i="18"/>
  <c r="T17" i="18"/>
  <c r="H36" i="18"/>
  <c r="T2" i="18"/>
  <c r="H8" i="18"/>
  <c r="K8" i="18"/>
  <c r="R24" i="18"/>
  <c r="L34" i="18"/>
  <c r="Q36" i="18"/>
  <c r="F22" i="18"/>
  <c r="N10" i="18"/>
  <c r="F15" i="18"/>
  <c r="H27" i="18"/>
  <c r="N3" i="18"/>
  <c r="D9" i="18"/>
  <c r="O20" i="18"/>
  <c r="U13" i="18"/>
  <c r="K21" i="18"/>
  <c r="D35" i="18"/>
  <c r="G3" i="18"/>
  <c r="M24" i="18"/>
  <c r="D40" i="18"/>
  <c r="L1" i="18"/>
  <c r="P2" i="18"/>
  <c r="J14" i="18"/>
  <c r="T26" i="18"/>
  <c r="M19" i="18"/>
  <c r="Q40" i="18"/>
  <c r="D5" i="18"/>
  <c r="H32" i="18"/>
  <c r="D13" i="18"/>
  <c r="U37" i="18"/>
  <c r="N42" i="18"/>
  <c r="M7" i="18"/>
  <c r="E24" i="18"/>
  <c r="U23" i="18"/>
  <c r="G9" i="18"/>
  <c r="U6" i="18"/>
  <c r="I38" i="18"/>
  <c r="B40" i="18"/>
  <c r="S28" i="18"/>
  <c r="S40" i="18"/>
  <c r="G41" i="18"/>
  <c r="P29" i="18"/>
  <c r="M39" i="18"/>
  <c r="K27" i="18"/>
  <c r="D6" i="18"/>
  <c r="B31" i="18"/>
  <c r="H7" i="18"/>
  <c r="R4" i="18"/>
  <c r="Q43" i="18"/>
  <c r="E23" i="18"/>
  <c r="Q23" i="18"/>
  <c r="O4" i="18"/>
  <c r="E4" i="18"/>
  <c r="N16" i="18"/>
  <c r="C31" i="18"/>
  <c r="Q21" i="18"/>
  <c r="H33" i="18"/>
  <c r="J4" i="18"/>
  <c r="N29" i="18"/>
  <c r="P4" i="18"/>
  <c r="E40" i="18"/>
  <c r="U17" i="18"/>
  <c r="R31" i="18"/>
  <c r="O43" i="18"/>
  <c r="P43" i="18"/>
  <c r="J3" i="18"/>
  <c r="K1" i="18"/>
  <c r="C28" i="18"/>
  <c r="L29" i="18"/>
  <c r="S42" i="18"/>
  <c r="P3" i="18"/>
  <c r="H12" i="18"/>
  <c r="R13" i="18"/>
  <c r="L36" i="18"/>
  <c r="M22" i="18"/>
  <c r="L5" i="18"/>
  <c r="N34" i="18"/>
  <c r="U2" i="18"/>
  <c r="C42" i="18"/>
  <c r="O26" i="18"/>
  <c r="S11" i="18"/>
  <c r="D17" i="18"/>
  <c r="M8" i="18"/>
  <c r="O14" i="18"/>
  <c r="E34" i="18"/>
  <c r="D36" i="18"/>
  <c r="L16" i="18"/>
  <c r="R27" i="18"/>
  <c r="K33" i="18"/>
  <c r="H41" i="18"/>
  <c r="I7" i="18"/>
  <c r="O1" i="18"/>
  <c r="M35" i="18"/>
  <c r="M32" i="18"/>
  <c r="M3" i="18"/>
  <c r="S20" i="18"/>
  <c r="E38" i="18"/>
  <c r="P25" i="18"/>
  <c r="G1" i="18"/>
  <c r="B23" i="18"/>
  <c r="M15" i="18"/>
  <c r="S21" i="18"/>
  <c r="L39" i="18"/>
  <c r="I18" i="18"/>
  <c r="O34" i="18"/>
  <c r="O42" i="18"/>
  <c r="N14" i="18"/>
  <c r="G14" i="18"/>
  <c r="Q35" i="18"/>
  <c r="E3" i="18"/>
  <c r="Q31" i="18"/>
  <c r="H22" i="18"/>
  <c r="E14" i="18"/>
  <c r="O27" i="18"/>
  <c r="U4" i="18"/>
  <c r="I19" i="18"/>
  <c r="C16" i="18"/>
  <c r="E5" i="18"/>
  <c r="B26" i="18"/>
  <c r="B36" i="18"/>
  <c r="H11" i="18"/>
  <c r="L28" i="18"/>
  <c r="U5" i="18"/>
  <c r="K6" i="18"/>
  <c r="C38" i="18"/>
  <c r="R17" i="18"/>
  <c r="P26" i="18"/>
  <c r="B29" i="18"/>
  <c r="S17" i="18"/>
  <c r="N37" i="18"/>
  <c r="E39" i="18"/>
  <c r="L30" i="18"/>
  <c r="E31" i="18"/>
  <c r="D16" i="18"/>
  <c r="D12" i="18"/>
  <c r="K37" i="18"/>
  <c r="D24" i="18"/>
  <c r="H42" i="18"/>
  <c r="P12" i="18"/>
  <c r="J12" i="18"/>
  <c r="I12" i="18"/>
  <c r="I31" i="18"/>
  <c r="C40" i="18"/>
  <c r="H14" i="18"/>
  <c r="F20" i="18"/>
  <c r="D43" i="18"/>
  <c r="D38" i="18"/>
  <c r="S14" i="18"/>
  <c r="T38" i="18"/>
  <c r="N24" i="18"/>
  <c r="M29" i="18"/>
  <c r="G5" i="18"/>
  <c r="O9" i="18"/>
  <c r="C9" i="18"/>
  <c r="D41" i="18"/>
  <c r="F43" i="18"/>
  <c r="T29" i="18"/>
  <c r="S33" i="18"/>
  <c r="I33" i="18"/>
  <c r="Q9" i="18"/>
  <c r="B20" i="18"/>
  <c r="S6" i="18"/>
  <c r="J10" i="18"/>
  <c r="E42" i="18"/>
  <c r="M38" i="18"/>
  <c r="K23" i="18"/>
  <c r="L18" i="18"/>
  <c r="I13" i="18"/>
  <c r="L22" i="18"/>
  <c r="Q22" i="18"/>
  <c r="K3" i="18"/>
  <c r="H23" i="18"/>
  <c r="L43" i="18"/>
  <c r="T8" i="18"/>
  <c r="U39" i="18"/>
  <c r="G4" i="18"/>
  <c r="P40" i="18"/>
  <c r="Q26" i="18"/>
  <c r="L21" i="18"/>
  <c r="H18" i="18"/>
  <c r="O38" i="18"/>
  <c r="R18" i="18"/>
  <c r="G24" i="18"/>
  <c r="R37" i="18"/>
  <c r="H2" i="18"/>
  <c r="K29" i="18"/>
  <c r="R41" i="18"/>
  <c r="B42" i="18"/>
  <c r="J5" i="18"/>
  <c r="F1" i="18"/>
  <c r="K42" i="18"/>
  <c r="M25" i="18"/>
  <c r="N11" i="18"/>
  <c r="R10" i="18"/>
  <c r="D7" i="18"/>
  <c r="K30" i="18"/>
  <c r="K16" i="18"/>
  <c r="P15" i="18"/>
  <c r="E26" i="18"/>
  <c r="D2" i="18"/>
  <c r="G22" i="18"/>
  <c r="C5" i="18"/>
  <c r="O24" i="18"/>
  <c r="R21" i="18"/>
  <c r="C7" i="18"/>
  <c r="Q17" i="18"/>
  <c r="C2" i="18"/>
  <c r="P41" i="18"/>
  <c r="E27" i="18"/>
  <c r="M36" i="18"/>
  <c r="I43" i="18"/>
  <c r="B43" i="18"/>
  <c r="C20" i="7"/>
  <c r="C6" i="7"/>
  <c r="C14" i="7"/>
  <c r="D4" i="7"/>
  <c r="C5" i="7"/>
  <c r="C13" i="7"/>
  <c r="C25" i="7"/>
  <c r="C8" i="7"/>
  <c r="C27" i="7"/>
  <c r="C32" i="7"/>
  <c r="C23" i="7"/>
  <c r="C29" i="7"/>
  <c r="C17" i="7"/>
  <c r="C21" i="7"/>
  <c r="C28" i="7"/>
  <c r="C10" i="7"/>
  <c r="C11" i="7"/>
  <c r="C16" i="7"/>
  <c r="C12" i="7"/>
  <c r="C9" i="7"/>
  <c r="C22" i="7"/>
  <c r="C19" i="7"/>
  <c r="C30" i="7"/>
  <c r="C24" i="7"/>
  <c r="C31" i="7"/>
  <c r="C15" i="7"/>
  <c r="C7" i="7"/>
  <c r="C26" i="7"/>
  <c r="C18" i="7"/>
  <c r="B150" i="19"/>
  <c r="B7" i="19"/>
  <c r="B21" i="19"/>
  <c r="D8" i="7"/>
  <c r="B175" i="19"/>
  <c r="B185" i="19"/>
  <c r="D16" i="7"/>
  <c r="B9" i="19"/>
  <c r="B183" i="19"/>
  <c r="D18" i="7"/>
  <c r="B131" i="19"/>
  <c r="B73" i="19"/>
  <c r="B148" i="19"/>
  <c r="B125" i="19"/>
  <c r="D22" i="7"/>
  <c r="B197" i="19"/>
  <c r="B144" i="19"/>
  <c r="D20" i="7"/>
  <c r="B34" i="19"/>
  <c r="B2" i="19"/>
  <c r="B79" i="19"/>
  <c r="B92" i="19"/>
  <c r="B187" i="19"/>
  <c r="B192" i="19"/>
  <c r="B113" i="19"/>
  <c r="B87" i="19"/>
  <c r="B163" i="19"/>
  <c r="B65" i="19"/>
  <c r="B81" i="19"/>
  <c r="D32" i="7"/>
  <c r="D31" i="7"/>
  <c r="B15" i="19"/>
  <c r="B196" i="19"/>
  <c r="B83" i="19"/>
  <c r="B41" i="19"/>
  <c r="B42" i="19"/>
  <c r="B6" i="19"/>
  <c r="B53" i="19"/>
  <c r="D13" i="7"/>
  <c r="D7" i="7"/>
  <c r="B106" i="19"/>
  <c r="B63" i="19"/>
  <c r="B135" i="19"/>
  <c r="B147" i="19"/>
  <c r="B13" i="19"/>
  <c r="B200" i="19"/>
  <c r="B126" i="19"/>
  <c r="D26" i="7"/>
  <c r="B124" i="19"/>
  <c r="D6" i="7"/>
  <c r="B55" i="19"/>
  <c r="B154" i="19"/>
  <c r="D11" i="7"/>
  <c r="B116" i="19"/>
  <c r="B110" i="19"/>
  <c r="B86" i="19"/>
  <c r="B123" i="19"/>
  <c r="B162" i="19"/>
  <c r="B160" i="19"/>
  <c r="B99" i="19"/>
  <c r="B69" i="19"/>
  <c r="B16" i="19"/>
  <c r="D25" i="7"/>
  <c r="B23" i="19"/>
  <c r="B84" i="19"/>
  <c r="B118" i="19"/>
  <c r="B37" i="19"/>
  <c r="B199" i="19"/>
  <c r="D23" i="7"/>
  <c r="B11" i="19"/>
  <c r="B193" i="19"/>
  <c r="B105" i="19"/>
  <c r="B18" i="19"/>
  <c r="B190" i="19"/>
  <c r="B58" i="19"/>
  <c r="B121" i="19"/>
  <c r="B82" i="19"/>
  <c r="B168" i="19"/>
  <c r="B30" i="19"/>
  <c r="B146" i="19"/>
  <c r="B14" i="19"/>
  <c r="B27" i="19"/>
  <c r="B59" i="19"/>
  <c r="B198" i="19"/>
  <c r="B102" i="19"/>
  <c r="B132" i="19"/>
  <c r="B64" i="19"/>
  <c r="B32" i="19"/>
  <c r="B179" i="19"/>
  <c r="B89" i="19"/>
  <c r="B111" i="19"/>
  <c r="B71" i="19"/>
  <c r="D30" i="7"/>
  <c r="D17" i="7"/>
  <c r="B44" i="19"/>
  <c r="B143" i="19"/>
  <c r="D10" i="7"/>
  <c r="B36" i="19"/>
  <c r="B95" i="19"/>
  <c r="B76" i="19"/>
  <c r="B129" i="19"/>
  <c r="B184" i="19"/>
  <c r="B78" i="19"/>
  <c r="B52" i="19"/>
  <c r="B153" i="19"/>
  <c r="B188" i="19"/>
  <c r="B54" i="19"/>
  <c r="B51" i="19"/>
  <c r="B49" i="19"/>
  <c r="B46" i="19"/>
  <c r="B26" i="19"/>
  <c r="B157" i="19"/>
  <c r="B17" i="19"/>
  <c r="B94" i="19"/>
  <c r="B10" i="19"/>
  <c r="B128" i="19"/>
  <c r="B136" i="19"/>
  <c r="B164" i="19"/>
  <c r="B149" i="19"/>
  <c r="B100" i="19"/>
  <c r="B35" i="19"/>
  <c r="B50" i="19"/>
  <c r="B60" i="19"/>
  <c r="B151" i="19"/>
  <c r="D14" i="7"/>
  <c r="B182" i="19"/>
  <c r="B8" i="19"/>
  <c r="B85" i="19"/>
  <c r="B40" i="19"/>
  <c r="B202" i="19"/>
  <c r="B201" i="19"/>
  <c r="B101" i="19"/>
  <c r="B43" i="19"/>
  <c r="B166" i="19"/>
  <c r="B120" i="19"/>
  <c r="U4" i="7"/>
  <c r="B90" i="19"/>
  <c r="B108" i="19"/>
  <c r="B186" i="19"/>
  <c r="B119" i="19"/>
  <c r="B167" i="19"/>
  <c r="B176" i="19"/>
  <c r="B48" i="19"/>
  <c r="B20" i="19"/>
  <c r="B93" i="19"/>
  <c r="B191" i="19"/>
  <c r="B70" i="19"/>
  <c r="D5" i="7"/>
  <c r="B67" i="19"/>
  <c r="D15" i="7"/>
  <c r="B98" i="19"/>
  <c r="B107" i="19"/>
  <c r="B29" i="19"/>
  <c r="D24" i="7"/>
  <c r="B22" i="19"/>
  <c r="B145" i="19"/>
  <c r="B103" i="19"/>
  <c r="B39" i="19"/>
  <c r="D9" i="7"/>
  <c r="B177" i="19"/>
  <c r="B47" i="19"/>
  <c r="B195" i="19"/>
  <c r="B61" i="19"/>
  <c r="D21" i="7"/>
  <c r="B96" i="19"/>
  <c r="B122" i="19"/>
  <c r="B104" i="19"/>
  <c r="B88" i="19"/>
  <c r="B80" i="19"/>
  <c r="B12" i="19"/>
  <c r="D29" i="7"/>
  <c r="B161" i="19"/>
  <c r="B97" i="19"/>
  <c r="B178" i="19"/>
  <c r="D28" i="7"/>
  <c r="B19" i="19"/>
  <c r="B134" i="19"/>
  <c r="B72" i="19"/>
  <c r="B75" i="19"/>
  <c r="B169" i="19"/>
  <c r="B133" i="19"/>
  <c r="B38" i="19"/>
  <c r="B173" i="19"/>
  <c r="B138" i="19"/>
  <c r="B115" i="19"/>
  <c r="B137" i="19"/>
  <c r="B130" i="19"/>
  <c r="B180" i="19"/>
  <c r="B25" i="19"/>
  <c r="B112" i="19"/>
  <c r="D27" i="7"/>
  <c r="B74" i="19"/>
  <c r="B109" i="19"/>
  <c r="B62" i="19"/>
  <c r="D12" i="7"/>
  <c r="B172" i="19"/>
  <c r="B4" i="19"/>
  <c r="B189" i="19"/>
  <c r="B31" i="19"/>
  <c r="B33" i="19"/>
  <c r="B158" i="19"/>
  <c r="B194" i="19"/>
  <c r="B155" i="19"/>
  <c r="B152" i="19"/>
  <c r="B140" i="19"/>
  <c r="U27" i="7"/>
  <c r="B77" i="19"/>
  <c r="B142" i="19"/>
  <c r="B45" i="19"/>
  <c r="B127" i="19"/>
  <c r="B3" i="19"/>
  <c r="B91" i="19"/>
  <c r="B117" i="19"/>
  <c r="B114" i="19"/>
  <c r="X17" i="7"/>
  <c r="B68" i="19"/>
  <c r="B56" i="19"/>
  <c r="B139" i="19"/>
  <c r="B174" i="19"/>
  <c r="B24" i="19"/>
  <c r="B159" i="19"/>
  <c r="B141" i="19"/>
  <c r="D19" i="7"/>
  <c r="B171" i="19"/>
  <c r="B181" i="19"/>
  <c r="B156" i="19"/>
  <c r="B57" i="19"/>
  <c r="B28" i="19"/>
  <c r="B165" i="19"/>
  <c r="B170" i="19"/>
  <c r="B66" i="19"/>
  <c r="B5" i="19"/>
  <c r="U17" i="7"/>
  <c r="X10" i="7"/>
  <c r="U21" i="7"/>
  <c r="U24" i="7"/>
  <c r="U23" i="7"/>
  <c r="U25" i="7"/>
  <c r="X6" i="7"/>
  <c r="X27" i="7"/>
  <c r="X16" i="7"/>
  <c r="X32" i="7"/>
  <c r="U11" i="7"/>
  <c r="U19" i="7"/>
  <c r="X12" i="7"/>
  <c r="X14" i="7"/>
  <c r="X23" i="7"/>
  <c r="X19" i="7"/>
  <c r="U20" i="7"/>
  <c r="U9" i="7"/>
  <c r="U6" i="7"/>
  <c r="U7" i="7"/>
  <c r="X5" i="7"/>
  <c r="X7" i="7"/>
  <c r="U5" i="7"/>
  <c r="X8" i="7"/>
  <c r="X9" i="7"/>
  <c r="U30" i="7"/>
  <c r="X30" i="7"/>
  <c r="U32" i="7"/>
  <c r="X18" i="7"/>
  <c r="X31" i="7"/>
  <c r="X21" i="7"/>
  <c r="U12" i="7"/>
  <c r="U29" i="7"/>
  <c r="X13" i="7"/>
  <c r="X26" i="7"/>
  <c r="X11" i="7"/>
  <c r="U16" i="7"/>
  <c r="U14" i="7"/>
  <c r="U28" i="7"/>
  <c r="U26" i="7"/>
  <c r="U10" i="7"/>
  <c r="U31" i="7"/>
  <c r="U13" i="7"/>
  <c r="U8" i="7"/>
  <c r="U18" i="7"/>
  <c r="X20" i="7"/>
  <c r="U22" i="7"/>
  <c r="X29" i="7"/>
  <c r="X28" i="7"/>
  <c r="X15" i="7"/>
  <c r="X25" i="7"/>
  <c r="X22" i="7"/>
  <c r="X24" i="7"/>
  <c r="U15" i="7"/>
  <c r="D2" i="19" a="1"/>
  <c r="O23" i="11"/>
  <c r="O24" i="11"/>
  <c r="O20" i="11"/>
  <c r="O21" i="11"/>
  <c r="O18" i="11"/>
  <c r="O19" i="11"/>
  <c r="O22" i="11"/>
  <c r="A6" i="11"/>
  <c r="A17" i="11"/>
  <c r="A21" i="11"/>
  <c r="A15" i="11"/>
  <c r="A13" i="11"/>
  <c r="A5" i="11"/>
  <c r="A7" i="11"/>
  <c r="A16" i="11"/>
  <c r="A19" i="11"/>
  <c r="A10" i="11"/>
  <c r="A11" i="11"/>
  <c r="A4" i="11"/>
  <c r="A12" i="11"/>
  <c r="A24" i="11"/>
  <c r="A9" i="11"/>
  <c r="A18" i="11"/>
  <c r="A8" i="11"/>
  <c r="A20" i="11"/>
  <c r="A22" i="11"/>
  <c r="A14" i="11"/>
  <c r="A23" i="11"/>
  <c r="D58" i="19" l="1"/>
  <c r="D133" i="19"/>
  <c r="D192" i="19"/>
  <c r="D130" i="19"/>
  <c r="D143" i="19"/>
  <c r="D128" i="19"/>
  <c r="D163" i="19"/>
  <c r="D83" i="19"/>
  <c r="D191" i="19"/>
  <c r="D94" i="19"/>
  <c r="D146" i="19"/>
  <c r="D200" i="19"/>
  <c r="D38" i="19"/>
  <c r="D74" i="19"/>
  <c r="D12" i="19"/>
  <c r="D182" i="19"/>
  <c r="D69" i="19"/>
  <c r="D67" i="19"/>
  <c r="D137" i="19"/>
  <c r="D118" i="19"/>
  <c r="D202" i="19"/>
  <c r="D132" i="19"/>
  <c r="D194" i="19"/>
  <c r="D126" i="19"/>
  <c r="D97" i="19"/>
  <c r="D188" i="19"/>
  <c r="D88" i="19"/>
  <c r="D151" i="19"/>
  <c r="D185" i="19"/>
  <c r="D32" i="19"/>
  <c r="D156" i="19"/>
  <c r="D164" i="19"/>
  <c r="D107" i="19"/>
  <c r="D62" i="19"/>
  <c r="D70" i="19"/>
  <c r="D13" i="19"/>
  <c r="D11" i="19"/>
  <c r="D63" i="19"/>
  <c r="D5" i="19"/>
  <c r="D111" i="19"/>
  <c r="D85" i="19"/>
  <c r="D181" i="19"/>
  <c r="D105" i="19"/>
  <c r="D19" i="19"/>
  <c r="D167" i="19"/>
  <c r="D41" i="19"/>
  <c r="D147" i="19"/>
  <c r="D169" i="19"/>
  <c r="D64" i="19"/>
  <c r="D138" i="19"/>
  <c r="D187" i="19"/>
  <c r="D57" i="19"/>
  <c r="D92" i="19"/>
  <c r="D87" i="19"/>
  <c r="D153" i="19"/>
  <c r="D122" i="19"/>
  <c r="D39" i="19"/>
  <c r="D135" i="19"/>
  <c r="D55" i="19"/>
  <c r="D20" i="19"/>
  <c r="D197" i="19"/>
  <c r="D28" i="19"/>
  <c r="D195" i="19"/>
  <c r="D152" i="19"/>
  <c r="D115" i="19"/>
  <c r="D193" i="19"/>
  <c r="D101" i="19"/>
  <c r="D186" i="19"/>
  <c r="D75" i="19"/>
  <c r="D37" i="19"/>
  <c r="D159" i="19"/>
  <c r="D145" i="19"/>
  <c r="D18" i="19"/>
  <c r="D119" i="19"/>
  <c r="D9" i="19"/>
  <c r="D14" i="19"/>
  <c r="D196" i="19"/>
  <c r="D174" i="19"/>
  <c r="D46" i="19"/>
  <c r="D31" i="19"/>
  <c r="D134" i="19"/>
  <c r="D36" i="19"/>
  <c r="D175" i="19"/>
  <c r="D7" i="19"/>
  <c r="D189" i="19"/>
  <c r="D170" i="19"/>
  <c r="D184" i="19"/>
  <c r="D168" i="19"/>
  <c r="D190" i="19"/>
  <c r="D123" i="19"/>
  <c r="D8" i="19"/>
  <c r="D199" i="19"/>
  <c r="D183" i="19"/>
  <c r="D148" i="19"/>
  <c r="D44" i="19"/>
  <c r="D176" i="19"/>
  <c r="D158" i="19"/>
  <c r="D35" i="19"/>
  <c r="D161" i="19"/>
  <c r="D16" i="19"/>
  <c r="D178" i="19"/>
  <c r="D89" i="19"/>
  <c r="D77" i="19"/>
  <c r="D141" i="19"/>
  <c r="D149" i="19"/>
  <c r="D30" i="19"/>
  <c r="D49" i="19"/>
  <c r="D24" i="19"/>
  <c r="D104" i="19"/>
  <c r="D103" i="19"/>
  <c r="D53" i="19"/>
  <c r="D50" i="19"/>
  <c r="D177" i="19"/>
  <c r="D142" i="19"/>
  <c r="D99" i="19"/>
  <c r="D29" i="19"/>
  <c r="D90" i="19"/>
  <c r="D198" i="19"/>
  <c r="D155" i="19"/>
  <c r="D60" i="19"/>
  <c r="D51" i="19"/>
  <c r="D81" i="19"/>
  <c r="D82" i="19"/>
  <c r="D173" i="19"/>
  <c r="D10" i="19"/>
  <c r="D117" i="19"/>
  <c r="D3" i="19"/>
  <c r="D201" i="19"/>
  <c r="D21" i="19"/>
  <c r="D96" i="19"/>
  <c r="D33" i="19"/>
  <c r="D22" i="19"/>
  <c r="D68" i="19"/>
  <c r="D59" i="19"/>
  <c r="D179" i="19"/>
  <c r="D100" i="19"/>
  <c r="D172" i="19"/>
  <c r="D121" i="19"/>
  <c r="D139" i="19"/>
  <c r="D25" i="19"/>
  <c r="D65" i="19"/>
  <c r="D108" i="19"/>
  <c r="D15" i="19"/>
  <c r="D160" i="19"/>
  <c r="D17" i="19"/>
  <c r="D120" i="19"/>
  <c r="D127" i="19"/>
  <c r="D47" i="19"/>
  <c r="D2" i="19"/>
  <c r="D166" i="19"/>
  <c r="D102" i="19"/>
  <c r="D42" i="19"/>
  <c r="D45" i="19"/>
  <c r="D40" i="19"/>
  <c r="D4" i="19"/>
  <c r="D6" i="19"/>
  <c r="D66" i="19"/>
  <c r="D56" i="19"/>
  <c r="D73" i="19"/>
  <c r="D54" i="19"/>
  <c r="D165" i="19"/>
  <c r="D112" i="19"/>
  <c r="D106" i="19"/>
  <c r="D48" i="19"/>
  <c r="D93" i="19"/>
  <c r="D84" i="19"/>
  <c r="D79" i="19"/>
  <c r="D86" i="19"/>
  <c r="D154" i="19"/>
  <c r="D78" i="19"/>
  <c r="D80" i="19"/>
  <c r="D140" i="19"/>
  <c r="D76" i="19"/>
  <c r="D72" i="19"/>
  <c r="D34" i="19"/>
  <c r="D171" i="19"/>
  <c r="D131" i="19"/>
  <c r="D98" i="19"/>
  <c r="D180" i="19"/>
  <c r="D43" i="19"/>
  <c r="D129" i="19"/>
  <c r="D150" i="19"/>
  <c r="D125" i="19"/>
  <c r="D136" i="19"/>
  <c r="D157" i="19"/>
  <c r="D109" i="19"/>
  <c r="D116" i="19"/>
  <c r="D124" i="19"/>
  <c r="D71" i="19"/>
  <c r="D26" i="19"/>
  <c r="D162" i="19"/>
  <c r="D61" i="19"/>
  <c r="D110" i="19"/>
  <c r="D91" i="19"/>
  <c r="D114" i="19"/>
  <c r="D113" i="19"/>
  <c r="D95" i="19"/>
  <c r="D23" i="19"/>
  <c r="D27" i="19"/>
  <c r="D52" i="19"/>
  <c r="D144" i="19"/>
  <c r="V15" i="7"/>
  <c r="Y15" i="7" s="1"/>
  <c r="V22" i="7"/>
  <c r="Y22" i="7" s="1"/>
  <c r="V18" i="7"/>
  <c r="Y18" i="7" s="1"/>
  <c r="V8" i="7"/>
  <c r="Y8" i="7" s="1"/>
  <c r="V13" i="7"/>
  <c r="Y13" i="7" s="1"/>
  <c r="V31" i="7"/>
  <c r="Y31" i="7" s="1"/>
  <c r="V10" i="7"/>
  <c r="Y10" i="7" s="1"/>
  <c r="V26" i="7"/>
  <c r="Y26" i="7" s="1"/>
  <c r="V28" i="7"/>
  <c r="Y28" i="7" s="1"/>
  <c r="V14" i="7"/>
  <c r="Y14" i="7" s="1"/>
  <c r="V16" i="7"/>
  <c r="Y16" i="7" s="1"/>
  <c r="V29" i="7"/>
  <c r="Y29" i="7" s="1"/>
  <c r="V12" i="7"/>
  <c r="Y12" i="7" s="1"/>
  <c r="V32" i="7"/>
  <c r="Y32" i="7" s="1"/>
  <c r="V30" i="7"/>
  <c r="Y30" i="7" s="1"/>
  <c r="V5" i="7"/>
  <c r="V7" i="7"/>
  <c r="Y7" i="7" s="1"/>
  <c r="V6" i="7"/>
  <c r="Y6" i="7" s="1"/>
  <c r="V9" i="7"/>
  <c r="Y9" i="7" s="1"/>
  <c r="V20" i="7"/>
  <c r="Y20" i="7" s="1"/>
  <c r="V19" i="7"/>
  <c r="Y19" i="7" s="1"/>
  <c r="V11" i="7"/>
  <c r="Y11" i="7" s="1"/>
  <c r="V25" i="7"/>
  <c r="Y25" i="7" s="1"/>
  <c r="V23" i="7"/>
  <c r="Y23" i="7" s="1"/>
  <c r="V24" i="7"/>
  <c r="Y24" i="7" s="1"/>
  <c r="V21" i="7"/>
  <c r="Y21" i="7" s="1"/>
  <c r="V17" i="7"/>
  <c r="Y17" i="7" s="1"/>
  <c r="V27" i="7"/>
  <c r="Y27" i="7" s="1"/>
  <c r="C21" i="5"/>
  <c r="P22" i="11"/>
  <c r="Q22" i="11"/>
  <c r="P19" i="11"/>
  <c r="Q19" i="11"/>
  <c r="P21" i="11"/>
  <c r="Q21" i="11"/>
  <c r="Q24" i="11"/>
  <c r="P24" i="11"/>
  <c r="A2" i="18" a="1"/>
  <c r="Q20" i="11"/>
  <c r="P16" i="11"/>
  <c r="Q12" i="11"/>
  <c r="Q9" i="11"/>
  <c r="P7" i="11"/>
  <c r="Q23" i="11"/>
  <c r="P20" i="11"/>
  <c r="P8" i="11"/>
  <c r="Q15" i="11"/>
  <c r="P18" i="11"/>
  <c r="Q18" i="11"/>
  <c r="Q7" i="11"/>
  <c r="P23" i="11"/>
  <c r="Q5" i="11"/>
  <c r="P5" i="11"/>
  <c r="P12" i="11"/>
  <c r="Q11" i="11"/>
  <c r="P17" i="11"/>
  <c r="P11" i="11"/>
  <c r="Q16" i="11"/>
  <c r="Q10" i="11"/>
  <c r="P6" i="11"/>
  <c r="P15" i="11"/>
  <c r="Q14" i="11"/>
  <c r="P14" i="11"/>
  <c r="Q6" i="11"/>
  <c r="P13" i="11"/>
  <c r="P9" i="11"/>
  <c r="Q8" i="11"/>
  <c r="Q13" i="11"/>
  <c r="Q17" i="11"/>
  <c r="C2" i="19" a="1"/>
  <c r="P10" i="11"/>
  <c r="C37" i="19" l="1"/>
  <c r="E37" i="19" s="1"/>
  <c r="C109" i="19"/>
  <c r="E109" i="19" s="1"/>
  <c r="C127" i="19"/>
  <c r="E127" i="19" s="1"/>
  <c r="C30" i="19"/>
  <c r="E30" i="19" s="1"/>
  <c r="C81" i="19"/>
  <c r="E81" i="19" s="1"/>
  <c r="C14" i="19"/>
  <c r="E14" i="19" s="1"/>
  <c r="C52" i="19"/>
  <c r="E52" i="19" s="1"/>
  <c r="C67" i="19"/>
  <c r="E67" i="19" s="1"/>
  <c r="C46" i="19"/>
  <c r="E46" i="19" s="1"/>
  <c r="C44" i="19"/>
  <c r="E44" i="19" s="1"/>
  <c r="C9" i="19"/>
  <c r="E9" i="19" s="1"/>
  <c r="C87" i="19"/>
  <c r="E87" i="19" s="1"/>
  <c r="C194" i="19"/>
  <c r="E194" i="19" s="1"/>
  <c r="C40" i="19"/>
  <c r="E40" i="19" s="1"/>
  <c r="C182" i="19"/>
  <c r="E182" i="19" s="1"/>
  <c r="C45" i="19"/>
  <c r="E45" i="19" s="1"/>
  <c r="C74" i="19"/>
  <c r="E74" i="19" s="1"/>
  <c r="C200" i="19"/>
  <c r="E200" i="19" s="1"/>
  <c r="C157" i="19"/>
  <c r="E157" i="19" s="1"/>
  <c r="C21" i="19"/>
  <c r="E21" i="19" s="1"/>
  <c r="C11" i="19"/>
  <c r="E11" i="19" s="1"/>
  <c r="C50" i="19"/>
  <c r="E50" i="19" s="1"/>
  <c r="C54" i="19"/>
  <c r="E54" i="19" s="1"/>
  <c r="C192" i="19"/>
  <c r="E192" i="19" s="1"/>
  <c r="C117" i="19"/>
  <c r="E117" i="19" s="1"/>
  <c r="C61" i="19"/>
  <c r="E61" i="19" s="1"/>
  <c r="C126" i="19"/>
  <c r="E126" i="19" s="1"/>
  <c r="C191" i="19"/>
  <c r="E191" i="19" s="1"/>
  <c r="C22" i="19"/>
  <c r="E22" i="19" s="1"/>
  <c r="C187" i="19"/>
  <c r="E187" i="19" s="1"/>
  <c r="C96" i="19"/>
  <c r="E96" i="19" s="1"/>
  <c r="C125" i="19"/>
  <c r="E125" i="19" s="1"/>
  <c r="C49" i="19"/>
  <c r="E49" i="19" s="1"/>
  <c r="C99" i="19"/>
  <c r="E99" i="19" s="1"/>
  <c r="C42" i="19"/>
  <c r="E42" i="19" s="1"/>
  <c r="C185" i="19"/>
  <c r="E185" i="19" s="1"/>
  <c r="C201" i="19"/>
  <c r="E201" i="19" s="1"/>
  <c r="C159" i="19"/>
  <c r="E159" i="19" s="1"/>
  <c r="C155" i="19"/>
  <c r="E155" i="19" s="1"/>
  <c r="C100" i="19"/>
  <c r="E100" i="19" s="1"/>
  <c r="C53" i="19"/>
  <c r="E53" i="19" s="1"/>
  <c r="C97" i="19"/>
  <c r="E97" i="19" s="1"/>
  <c r="C7" i="19"/>
  <c r="E7" i="19" s="1"/>
  <c r="C35" i="19"/>
  <c r="E35" i="19" s="1"/>
  <c r="C70" i="19"/>
  <c r="E70" i="19" s="1"/>
  <c r="C144" i="19"/>
  <c r="E144" i="19" s="1"/>
  <c r="C158" i="19"/>
  <c r="E158" i="19" s="1"/>
  <c r="C85" i="19"/>
  <c r="E85" i="19" s="1"/>
  <c r="C137" i="19"/>
  <c r="E137" i="19" s="1"/>
  <c r="C27" i="19"/>
  <c r="E27" i="19" s="1"/>
  <c r="C12" i="19"/>
  <c r="E12" i="19" s="1"/>
  <c r="C112" i="19"/>
  <c r="E112" i="19" s="1"/>
  <c r="C165" i="19"/>
  <c r="E165" i="19" s="1"/>
  <c r="C98" i="19"/>
  <c r="E98" i="19" s="1"/>
  <c r="C148" i="19"/>
  <c r="E148" i="19" s="1"/>
  <c r="C106" i="19"/>
  <c r="E106" i="19" s="1"/>
  <c r="C150" i="19"/>
  <c r="E150" i="19" s="1"/>
  <c r="C164" i="19"/>
  <c r="E164" i="19" s="1"/>
  <c r="C124" i="19"/>
  <c r="E124" i="19" s="1"/>
  <c r="C149" i="19"/>
  <c r="E149" i="19" s="1"/>
  <c r="C20" i="19"/>
  <c r="E20" i="19" s="1"/>
  <c r="C168" i="19"/>
  <c r="E168" i="19" s="1"/>
  <c r="C41" i="19"/>
  <c r="E41" i="19" s="1"/>
  <c r="C108" i="19"/>
  <c r="E108" i="19" s="1"/>
  <c r="C104" i="19"/>
  <c r="E104" i="19" s="1"/>
  <c r="C131" i="19"/>
  <c r="E131" i="19" s="1"/>
  <c r="C169" i="19"/>
  <c r="E169" i="19" s="1"/>
  <c r="C33" i="19"/>
  <c r="E33" i="19" s="1"/>
  <c r="C73" i="19"/>
  <c r="E73" i="19" s="1"/>
  <c r="C68" i="19"/>
  <c r="E68" i="19" s="1"/>
  <c r="C8" i="19"/>
  <c r="E8" i="19" s="1"/>
  <c r="C65" i="19"/>
  <c r="E65" i="19" s="1"/>
  <c r="C63" i="19"/>
  <c r="E63" i="19" s="1"/>
  <c r="C59" i="19"/>
  <c r="E59" i="19" s="1"/>
  <c r="C163" i="19"/>
  <c r="E163" i="19" s="1"/>
  <c r="C154" i="19"/>
  <c r="E154" i="19" s="1"/>
  <c r="C162" i="19"/>
  <c r="E162" i="19" s="1"/>
  <c r="C29" i="19"/>
  <c r="E29" i="19" s="1"/>
  <c r="C140" i="19"/>
  <c r="E140" i="19" s="1"/>
  <c r="C130" i="19"/>
  <c r="E130" i="19" s="1"/>
  <c r="C101" i="19"/>
  <c r="E101" i="19" s="1"/>
  <c r="C197" i="19"/>
  <c r="E197" i="19" s="1"/>
  <c r="C183" i="19"/>
  <c r="E183" i="19" s="1"/>
  <c r="C177" i="19"/>
  <c r="E177" i="19" s="1"/>
  <c r="C36" i="19"/>
  <c r="E36" i="19" s="1"/>
  <c r="C3" i="19"/>
  <c r="E3" i="19" s="1"/>
  <c r="F3" i="19" s="1"/>
  <c r="C5" i="19"/>
  <c r="E5" i="19" s="1"/>
  <c r="C34" i="19"/>
  <c r="E34" i="19" s="1"/>
  <c r="C135" i="19"/>
  <c r="E135" i="19" s="1"/>
  <c r="C51" i="19"/>
  <c r="E51" i="19" s="1"/>
  <c r="C113" i="19"/>
  <c r="E113" i="19" s="1"/>
  <c r="C77" i="19"/>
  <c r="E77" i="19" s="1"/>
  <c r="C167" i="19"/>
  <c r="E167" i="19" s="1"/>
  <c r="C76" i="19"/>
  <c r="E76" i="19" s="1"/>
  <c r="C178" i="19"/>
  <c r="E178" i="19" s="1"/>
  <c r="C128" i="19"/>
  <c r="E128" i="19" s="1"/>
  <c r="C64" i="19"/>
  <c r="E64" i="19" s="1"/>
  <c r="C47" i="19"/>
  <c r="E47" i="19" s="1"/>
  <c r="C118" i="19"/>
  <c r="E118" i="19" s="1"/>
  <c r="C38" i="19"/>
  <c r="E38" i="19" s="1"/>
  <c r="C143" i="19"/>
  <c r="E143" i="19" s="1"/>
  <c r="C13" i="19"/>
  <c r="E13" i="19" s="1"/>
  <c r="C16" i="19"/>
  <c r="E16" i="19" s="1"/>
  <c r="C120" i="19"/>
  <c r="E120" i="19" s="1"/>
  <c r="C133" i="19"/>
  <c r="E133" i="19" s="1"/>
  <c r="C2" i="19"/>
  <c r="E2" i="19" s="1"/>
  <c r="G3" i="19" s="1"/>
  <c r="G4" i="19" s="1"/>
  <c r="G5" i="19" s="1"/>
  <c r="G6" i="19" s="1"/>
  <c r="G7" i="19" s="1"/>
  <c r="G8" i="19" s="1"/>
  <c r="G9" i="19" s="1"/>
  <c r="G10" i="19" s="1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G26" i="19" s="1"/>
  <c r="G27" i="19" s="1"/>
  <c r="G28" i="19" s="1"/>
  <c r="G29" i="19" s="1"/>
  <c r="G30" i="19" s="1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G42" i="19" s="1"/>
  <c r="G43" i="19" s="1"/>
  <c r="G44" i="19" s="1"/>
  <c r="G45" i="19" s="1"/>
  <c r="G46" i="19" s="1"/>
  <c r="G47" i="19" s="1"/>
  <c r="G48" i="19" s="1"/>
  <c r="G49" i="19" s="1"/>
  <c r="G50" i="19" s="1"/>
  <c r="G51" i="19" s="1"/>
  <c r="G52" i="19" s="1"/>
  <c r="G53" i="19" s="1"/>
  <c r="G54" i="19" s="1"/>
  <c r="G55" i="19" s="1"/>
  <c r="G56" i="19" s="1"/>
  <c r="G57" i="19" s="1"/>
  <c r="G58" i="19" s="1"/>
  <c r="G59" i="19" s="1"/>
  <c r="G60" i="19" s="1"/>
  <c r="G61" i="19" s="1"/>
  <c r="G62" i="19" s="1"/>
  <c r="G63" i="19" s="1"/>
  <c r="G64" i="19" s="1"/>
  <c r="G65" i="19" s="1"/>
  <c r="G66" i="19" s="1"/>
  <c r="G67" i="19" s="1"/>
  <c r="G68" i="19" s="1"/>
  <c r="G69" i="19" s="1"/>
  <c r="G70" i="19" s="1"/>
  <c r="G71" i="19" s="1"/>
  <c r="G72" i="19" s="1"/>
  <c r="G73" i="19" s="1"/>
  <c r="G74" i="19" s="1"/>
  <c r="G75" i="19" s="1"/>
  <c r="G76" i="19" s="1"/>
  <c r="G77" i="19" s="1"/>
  <c r="G78" i="19" s="1"/>
  <c r="G79" i="19" s="1"/>
  <c r="G80" i="19" s="1"/>
  <c r="G81" i="19" s="1"/>
  <c r="G82" i="19" s="1"/>
  <c r="G83" i="19" s="1"/>
  <c r="G84" i="19" s="1"/>
  <c r="G85" i="19" s="1"/>
  <c r="G86" i="19" s="1"/>
  <c r="G87" i="19" s="1"/>
  <c r="G88" i="19" s="1"/>
  <c r="G89" i="19" s="1"/>
  <c r="G90" i="19" s="1"/>
  <c r="G91" i="19" s="1"/>
  <c r="G92" i="19" s="1"/>
  <c r="G93" i="19" s="1"/>
  <c r="G94" i="19" s="1"/>
  <c r="G95" i="19" s="1"/>
  <c r="G96" i="19" s="1"/>
  <c r="G97" i="19" s="1"/>
  <c r="G98" i="19" s="1"/>
  <c r="G99" i="19" s="1"/>
  <c r="G100" i="19" s="1"/>
  <c r="G101" i="19" s="1"/>
  <c r="G102" i="19" s="1"/>
  <c r="G103" i="19" s="1"/>
  <c r="G104" i="19" s="1"/>
  <c r="G105" i="19" s="1"/>
  <c r="G106" i="19" s="1"/>
  <c r="G107" i="19" s="1"/>
  <c r="G108" i="19" s="1"/>
  <c r="G109" i="19" s="1"/>
  <c r="G110" i="19" s="1"/>
  <c r="G111" i="19" s="1"/>
  <c r="G112" i="19" s="1"/>
  <c r="G113" i="19" s="1"/>
  <c r="G114" i="19" s="1"/>
  <c r="G115" i="19" s="1"/>
  <c r="G116" i="19" s="1"/>
  <c r="G117" i="19" s="1"/>
  <c r="G118" i="19" s="1"/>
  <c r="G119" i="19" s="1"/>
  <c r="G120" i="19" s="1"/>
  <c r="G121" i="19" s="1"/>
  <c r="G122" i="19" s="1"/>
  <c r="G123" i="19" s="1"/>
  <c r="G124" i="19" s="1"/>
  <c r="G125" i="19" s="1"/>
  <c r="G126" i="19" s="1"/>
  <c r="G127" i="19" s="1"/>
  <c r="G128" i="19" s="1"/>
  <c r="G129" i="19" s="1"/>
  <c r="G130" i="19" s="1"/>
  <c r="G131" i="19" s="1"/>
  <c r="G132" i="19" s="1"/>
  <c r="G133" i="19" s="1"/>
  <c r="G134" i="19" s="1"/>
  <c r="G135" i="19" s="1"/>
  <c r="G136" i="19" s="1"/>
  <c r="G137" i="19" s="1"/>
  <c r="G138" i="19" s="1"/>
  <c r="G139" i="19" s="1"/>
  <c r="G140" i="19" s="1"/>
  <c r="G141" i="19" s="1"/>
  <c r="G142" i="19" s="1"/>
  <c r="G143" i="19" s="1"/>
  <c r="G144" i="19" s="1"/>
  <c r="G145" i="19" s="1"/>
  <c r="G146" i="19" s="1"/>
  <c r="G147" i="19" s="1"/>
  <c r="G148" i="19" s="1"/>
  <c r="G149" i="19" s="1"/>
  <c r="G150" i="19" s="1"/>
  <c r="G151" i="19" s="1"/>
  <c r="G152" i="19" s="1"/>
  <c r="G153" i="19" s="1"/>
  <c r="G154" i="19" s="1"/>
  <c r="G155" i="19" s="1"/>
  <c r="G156" i="19" s="1"/>
  <c r="G157" i="19" s="1"/>
  <c r="G158" i="19" s="1"/>
  <c r="G159" i="19" s="1"/>
  <c r="G160" i="19" s="1"/>
  <c r="G161" i="19" s="1"/>
  <c r="G162" i="19" s="1"/>
  <c r="G163" i="19" s="1"/>
  <c r="G164" i="19" s="1"/>
  <c r="G165" i="19" s="1"/>
  <c r="G166" i="19" s="1"/>
  <c r="G167" i="19" s="1"/>
  <c r="G168" i="19" s="1"/>
  <c r="G169" i="19" s="1"/>
  <c r="G170" i="19" s="1"/>
  <c r="G171" i="19" s="1"/>
  <c r="G172" i="19" s="1"/>
  <c r="G173" i="19" s="1"/>
  <c r="G174" i="19" s="1"/>
  <c r="G175" i="19" s="1"/>
  <c r="G176" i="19" s="1"/>
  <c r="G177" i="19" s="1"/>
  <c r="G178" i="19" s="1"/>
  <c r="G179" i="19" s="1"/>
  <c r="G180" i="19" s="1"/>
  <c r="G181" i="19" s="1"/>
  <c r="G182" i="19" s="1"/>
  <c r="G183" i="19" s="1"/>
  <c r="G184" i="19" s="1"/>
  <c r="G185" i="19" s="1"/>
  <c r="G186" i="19" s="1"/>
  <c r="G187" i="19" s="1"/>
  <c r="G188" i="19" s="1"/>
  <c r="G189" i="19" s="1"/>
  <c r="G190" i="19" s="1"/>
  <c r="G191" i="19" s="1"/>
  <c r="G192" i="19" s="1"/>
  <c r="G193" i="19" s="1"/>
  <c r="G194" i="19" s="1"/>
  <c r="G195" i="19" s="1"/>
  <c r="G196" i="19" s="1"/>
  <c r="G197" i="19" s="1"/>
  <c r="G198" i="19" s="1"/>
  <c r="G199" i="19" s="1"/>
  <c r="G200" i="19" s="1"/>
  <c r="G201" i="19" s="1"/>
  <c r="G202" i="19" s="1"/>
  <c r="C92" i="19"/>
  <c r="E92" i="19" s="1"/>
  <c r="C193" i="19"/>
  <c r="E193" i="19" s="1"/>
  <c r="C175" i="19"/>
  <c r="E175" i="19" s="1"/>
  <c r="C66" i="19"/>
  <c r="E66" i="19" s="1"/>
  <c r="C115" i="19"/>
  <c r="E115" i="19" s="1"/>
  <c r="C136" i="19"/>
  <c r="E136" i="19" s="1"/>
  <c r="C122" i="19"/>
  <c r="E122" i="19" s="1"/>
  <c r="C32" i="19"/>
  <c r="E32" i="19" s="1"/>
  <c r="C72" i="19"/>
  <c r="E72" i="19" s="1"/>
  <c r="C134" i="19"/>
  <c r="E134" i="19" s="1"/>
  <c r="C174" i="19"/>
  <c r="E174" i="19" s="1"/>
  <c r="C17" i="19"/>
  <c r="E17" i="19" s="1"/>
  <c r="C142" i="19"/>
  <c r="E142" i="19" s="1"/>
  <c r="C39" i="19"/>
  <c r="E39" i="19" s="1"/>
  <c r="C199" i="19"/>
  <c r="E199" i="19" s="1"/>
  <c r="C160" i="19"/>
  <c r="E160" i="19" s="1"/>
  <c r="C141" i="19"/>
  <c r="E141" i="19" s="1"/>
  <c r="C139" i="19"/>
  <c r="E139" i="19" s="1"/>
  <c r="C146" i="19"/>
  <c r="E146" i="19" s="1"/>
  <c r="C129" i="19"/>
  <c r="E129" i="19" s="1"/>
  <c r="C82" i="19"/>
  <c r="E82" i="19" s="1"/>
  <c r="C176" i="19"/>
  <c r="E176" i="19" s="1"/>
  <c r="C132" i="19"/>
  <c r="E132" i="19" s="1"/>
  <c r="C78" i="19"/>
  <c r="E78" i="19" s="1"/>
  <c r="C95" i="19"/>
  <c r="E95" i="19" s="1"/>
  <c r="C111" i="19"/>
  <c r="E111" i="19" s="1"/>
  <c r="C179" i="19"/>
  <c r="E179" i="19" s="1"/>
  <c r="C102" i="19"/>
  <c r="E102" i="19" s="1"/>
  <c r="C147" i="19"/>
  <c r="E147" i="19" s="1"/>
  <c r="C152" i="19"/>
  <c r="E152" i="19" s="1"/>
  <c r="C114" i="19"/>
  <c r="E114" i="19" s="1"/>
  <c r="C123" i="19"/>
  <c r="E123" i="19" s="1"/>
  <c r="C103" i="19"/>
  <c r="E103" i="19" s="1"/>
  <c r="C25" i="19"/>
  <c r="E25" i="19" s="1"/>
  <c r="C89" i="19"/>
  <c r="E89" i="19" s="1"/>
  <c r="C18" i="19"/>
  <c r="E18" i="19" s="1"/>
  <c r="C26" i="19"/>
  <c r="E26" i="19" s="1"/>
  <c r="C62" i="19"/>
  <c r="E62" i="19" s="1"/>
  <c r="C58" i="19"/>
  <c r="E58" i="19" s="1"/>
  <c r="C186" i="19"/>
  <c r="E186" i="19" s="1"/>
  <c r="C105" i="19"/>
  <c r="E105" i="19" s="1"/>
  <c r="C83" i="19"/>
  <c r="E83" i="19" s="1"/>
  <c r="C75" i="19"/>
  <c r="E75" i="19" s="1"/>
  <c r="C19" i="19"/>
  <c r="E19" i="19" s="1"/>
  <c r="C116" i="19"/>
  <c r="E116" i="19" s="1"/>
  <c r="C195" i="19"/>
  <c r="E195" i="19" s="1"/>
  <c r="C172" i="19"/>
  <c r="E172" i="19" s="1"/>
  <c r="C107" i="19"/>
  <c r="E107" i="19" s="1"/>
  <c r="C170" i="19"/>
  <c r="E170" i="19" s="1"/>
  <c r="C79" i="19"/>
  <c r="E79" i="19" s="1"/>
  <c r="C181" i="19"/>
  <c r="E181" i="19" s="1"/>
  <c r="C24" i="19"/>
  <c r="E24" i="19" s="1"/>
  <c r="C93" i="19"/>
  <c r="E93" i="19" s="1"/>
  <c r="C151" i="19"/>
  <c r="E151" i="19" s="1"/>
  <c r="C138" i="19"/>
  <c r="E138" i="19" s="1"/>
  <c r="C28" i="19"/>
  <c r="E28" i="19" s="1"/>
  <c r="C110" i="19"/>
  <c r="E110" i="19" s="1"/>
  <c r="C56" i="19"/>
  <c r="E56" i="19" s="1"/>
  <c r="C173" i="19"/>
  <c r="E173" i="19" s="1"/>
  <c r="C15" i="19"/>
  <c r="E15" i="19" s="1"/>
  <c r="C80" i="19"/>
  <c r="E80" i="19" s="1"/>
  <c r="C23" i="19"/>
  <c r="E23" i="19" s="1"/>
  <c r="C6" i="19"/>
  <c r="E6" i="19" s="1"/>
  <c r="C171" i="19"/>
  <c r="E171" i="19" s="1"/>
  <c r="C190" i="19"/>
  <c r="E190" i="19" s="1"/>
  <c r="C31" i="19"/>
  <c r="E31" i="19" s="1"/>
  <c r="C156" i="19"/>
  <c r="E156" i="19" s="1"/>
  <c r="C69" i="19"/>
  <c r="E69" i="19" s="1"/>
  <c r="C88" i="19"/>
  <c r="E88" i="19" s="1"/>
  <c r="C43" i="19"/>
  <c r="E43" i="19" s="1"/>
  <c r="C55" i="19"/>
  <c r="E55" i="19" s="1"/>
  <c r="C86" i="19"/>
  <c r="E86" i="19" s="1"/>
  <c r="C90" i="19"/>
  <c r="E90" i="19" s="1"/>
  <c r="C161" i="19"/>
  <c r="E161" i="19" s="1"/>
  <c r="C71" i="19"/>
  <c r="E71" i="19" s="1"/>
  <c r="C196" i="19"/>
  <c r="E196" i="19" s="1"/>
  <c r="C189" i="19"/>
  <c r="E189" i="19" s="1"/>
  <c r="C180" i="19"/>
  <c r="E180" i="19" s="1"/>
  <c r="C84" i="19"/>
  <c r="E84" i="19" s="1"/>
  <c r="C145" i="19"/>
  <c r="E145" i="19" s="1"/>
  <c r="C184" i="19"/>
  <c r="E184" i="19" s="1"/>
  <c r="C60" i="19"/>
  <c r="E60" i="19" s="1"/>
  <c r="C57" i="19"/>
  <c r="E57" i="19" s="1"/>
  <c r="C94" i="19"/>
  <c r="E94" i="19" s="1"/>
  <c r="C4" i="19"/>
  <c r="E4" i="19" s="1"/>
  <c r="F4" i="19" s="1"/>
  <c r="C119" i="19"/>
  <c r="E119" i="19" s="1"/>
  <c r="C153" i="19"/>
  <c r="E153" i="19" s="1"/>
  <c r="C166" i="19"/>
  <c r="E166" i="19" s="1"/>
  <c r="C188" i="19"/>
  <c r="E188" i="19" s="1"/>
  <c r="C48" i="19"/>
  <c r="E48" i="19" s="1"/>
  <c r="C202" i="19"/>
  <c r="E202" i="19" s="1"/>
  <c r="C198" i="19"/>
  <c r="E198" i="19" s="1"/>
  <c r="C121" i="19"/>
  <c r="E121" i="19" s="1"/>
  <c r="C10" i="19"/>
  <c r="E10" i="19" s="1"/>
  <c r="C91" i="19"/>
  <c r="E91" i="19" s="1"/>
  <c r="A4" i="18"/>
  <c r="A14" i="18"/>
  <c r="A6" i="18"/>
  <c r="A16" i="18"/>
  <c r="A7" i="18"/>
  <c r="A5" i="18"/>
  <c r="A29" i="18"/>
  <c r="A15" i="18"/>
  <c r="A21" i="18"/>
  <c r="A12" i="18"/>
  <c r="A43" i="18"/>
  <c r="A35" i="18"/>
  <c r="A40" i="18"/>
  <c r="A30" i="18"/>
  <c r="A26" i="18"/>
  <c r="A24" i="18"/>
  <c r="A41" i="18"/>
  <c r="A25" i="18"/>
  <c r="A28" i="18"/>
  <c r="A20" i="18"/>
  <c r="A39" i="18"/>
  <c r="A2" i="18"/>
  <c r="A33" i="18"/>
  <c r="A42" i="18"/>
  <c r="A31" i="18"/>
  <c r="A23" i="18"/>
  <c r="A37" i="18"/>
  <c r="A36" i="18"/>
  <c r="A13" i="18"/>
  <c r="A34" i="18"/>
  <c r="A38" i="18"/>
  <c r="A19" i="18"/>
  <c r="A18" i="18"/>
  <c r="A17" i="18"/>
  <c r="A11" i="18"/>
  <c r="A27" i="18"/>
  <c r="A9" i="18"/>
  <c r="A8" i="18"/>
  <c r="A32" i="18"/>
  <c r="A22" i="18"/>
  <c r="A10" i="18"/>
  <c r="A3" i="18"/>
  <c r="Y5" i="7"/>
  <c r="F2" i="19"/>
  <c r="E4" i="11"/>
  <c r="F4" i="11"/>
  <c r="G4" i="11"/>
  <c r="F5" i="19" l="1"/>
  <c r="G5" i="11"/>
  <c r="F6" i="11"/>
  <c r="G7" i="11"/>
  <c r="F7" i="11"/>
  <c r="E6" i="11"/>
  <c r="F5" i="11"/>
  <c r="E7" i="11"/>
  <c r="G6" i="11"/>
  <c r="E5" i="11"/>
  <c r="H5" i="11"/>
  <c r="I5" i="11" s="1"/>
  <c r="H7" i="11"/>
  <c r="I7" i="11" s="1"/>
  <c r="H6" i="11"/>
  <c r="I6" i="11"/>
  <c r="H4" i="11"/>
  <c r="I4" i="11"/>
  <c r="J4" i="11" l="1"/>
  <c r="J6" i="11"/>
  <c r="R6" i="11" s="1"/>
  <c r="J7" i="11"/>
  <c r="R7" i="11" s="1"/>
  <c r="J5" i="11"/>
  <c r="R5" i="11" s="1"/>
  <c r="E8" i="11"/>
  <c r="F8" i="11"/>
  <c r="F6" i="19" l="1"/>
  <c r="S5" i="11"/>
  <c r="Y5" i="11" s="1"/>
  <c r="S7" i="11"/>
  <c r="Y7" i="11" s="1"/>
  <c r="S6" i="11"/>
  <c r="Y6" i="11" s="1"/>
  <c r="F7" i="19"/>
  <c r="G8" i="11"/>
  <c r="Z6" i="11" l="1"/>
  <c r="AA6" i="11"/>
  <c r="Z7" i="11"/>
  <c r="AA7" i="11"/>
  <c r="Z5" i="11"/>
  <c r="AA5" i="11"/>
  <c r="F8" i="19"/>
  <c r="F9" i="11"/>
  <c r="E9" i="11"/>
  <c r="F9" i="19" l="1"/>
  <c r="G9" i="11"/>
  <c r="H9" i="11" s="1"/>
  <c r="I9" i="11" s="1"/>
  <c r="J9" i="11" l="1"/>
  <c r="R9" i="11" s="1"/>
  <c r="F10" i="19"/>
  <c r="S9" i="11" l="1"/>
  <c r="Y9" i="11" s="1"/>
  <c r="F11" i="19"/>
  <c r="Z9" i="11" l="1"/>
  <c r="AA9" i="11"/>
  <c r="F12" i="19"/>
  <c r="F10" i="11"/>
  <c r="E10" i="11"/>
  <c r="F13" i="19" l="1"/>
  <c r="G10" i="11"/>
  <c r="F14" i="19" l="1"/>
  <c r="F15" i="19" l="1"/>
  <c r="F16" i="19" l="1"/>
  <c r="E11" i="11"/>
  <c r="F11" i="11"/>
  <c r="F17" i="19" l="1"/>
  <c r="G11" i="11"/>
  <c r="F18" i="19" l="1"/>
  <c r="F19" i="19" l="1"/>
  <c r="F20" i="19" l="1"/>
  <c r="F12" i="11"/>
  <c r="E12" i="11"/>
  <c r="F21" i="19" l="1"/>
  <c r="G12" i="11"/>
  <c r="H12" i="11" s="1"/>
  <c r="I12" i="11" s="1"/>
  <c r="J12" i="11" l="1"/>
  <c r="R12" i="11" s="1"/>
  <c r="F22" i="19"/>
  <c r="S12" i="11" l="1"/>
  <c r="Y12" i="11" s="1"/>
  <c r="F23" i="19"/>
  <c r="Z12" i="11" l="1"/>
  <c r="AA12" i="11"/>
  <c r="F24" i="19"/>
  <c r="F13" i="11"/>
  <c r="E13" i="11"/>
  <c r="F25" i="19" l="1"/>
  <c r="G13" i="11"/>
  <c r="F26" i="19" l="1"/>
  <c r="F27" i="19" l="1"/>
  <c r="F28" i="19" l="1"/>
  <c r="E14" i="11"/>
  <c r="F14" i="11"/>
  <c r="F29" i="19" l="1"/>
  <c r="G14" i="11"/>
  <c r="F30" i="19" l="1"/>
  <c r="F31" i="19" l="1"/>
  <c r="F32" i="19" l="1"/>
  <c r="E15" i="11"/>
  <c r="F15" i="11"/>
  <c r="F33" i="19" l="1"/>
  <c r="G15" i="11"/>
  <c r="F34" i="19" l="1"/>
  <c r="F35" i="19" l="1"/>
  <c r="F36" i="19" l="1"/>
  <c r="E16" i="11"/>
  <c r="F16" i="11"/>
  <c r="F37" i="19" l="1"/>
  <c r="G16" i="11"/>
  <c r="H16" i="11" s="1"/>
  <c r="I16" i="11" s="1"/>
  <c r="J16" i="11" l="1"/>
  <c r="R16" i="11" s="1"/>
  <c r="F38" i="19"/>
  <c r="S16" i="11" l="1"/>
  <c r="Y16" i="11" s="1"/>
  <c r="F39" i="19"/>
  <c r="Z16" i="11" l="1"/>
  <c r="AA16" i="11"/>
  <c r="F40" i="19"/>
  <c r="E17" i="11"/>
  <c r="F17" i="11"/>
  <c r="F41" i="19" l="1"/>
  <c r="G17" i="11"/>
  <c r="H17" i="11" s="1"/>
  <c r="B1" i="15" a="1"/>
  <c r="I17" i="11"/>
  <c r="J17" i="11" l="1"/>
  <c r="R17" i="11" s="1"/>
  <c r="D62" i="15"/>
  <c r="P41" i="15"/>
  <c r="T25" i="15"/>
  <c r="U52" i="15"/>
  <c r="H89" i="15"/>
  <c r="U37" i="15"/>
  <c r="I57" i="15"/>
  <c r="T117" i="15"/>
  <c r="D17" i="15"/>
  <c r="Q34" i="15"/>
  <c r="T71" i="15"/>
  <c r="L87" i="15"/>
  <c r="N49" i="15"/>
  <c r="J104" i="15"/>
  <c r="C67" i="15"/>
  <c r="L9" i="15"/>
  <c r="K45" i="15"/>
  <c r="M16" i="15"/>
  <c r="B62" i="15"/>
  <c r="C35" i="15"/>
  <c r="M49" i="15"/>
  <c r="C46" i="15"/>
  <c r="N36" i="15"/>
  <c r="U109" i="15"/>
  <c r="C28" i="15"/>
  <c r="G114" i="15"/>
  <c r="H52" i="15"/>
  <c r="Q49" i="15"/>
  <c r="L5" i="15"/>
  <c r="D61" i="15"/>
  <c r="N94" i="15"/>
  <c r="J28" i="15"/>
  <c r="S28" i="15"/>
  <c r="Q113" i="15"/>
  <c r="F13" i="15"/>
  <c r="H32" i="15"/>
  <c r="T8" i="15"/>
  <c r="P111" i="15"/>
  <c r="S68" i="15"/>
  <c r="P106" i="15"/>
  <c r="B39" i="15"/>
  <c r="J72" i="15"/>
  <c r="T104" i="15"/>
  <c r="O82" i="15"/>
  <c r="F45" i="15"/>
  <c r="O109" i="15"/>
  <c r="L75" i="15"/>
  <c r="L52" i="15"/>
  <c r="K11" i="15"/>
  <c r="R62" i="15"/>
  <c r="D115" i="15"/>
  <c r="L56" i="15"/>
  <c r="I75" i="15"/>
  <c r="G13" i="15"/>
  <c r="L19" i="15"/>
  <c r="B67" i="15"/>
  <c r="R104" i="15"/>
  <c r="M51" i="15"/>
  <c r="O105" i="15"/>
  <c r="F109" i="15"/>
  <c r="J119" i="15"/>
  <c r="B70" i="15"/>
  <c r="N28" i="15"/>
  <c r="N58" i="15"/>
  <c r="N87" i="15"/>
  <c r="G69" i="15"/>
  <c r="D47" i="15"/>
  <c r="L67" i="15"/>
  <c r="U85" i="15"/>
  <c r="N13" i="15"/>
  <c r="F98" i="15"/>
  <c r="K109" i="15"/>
  <c r="D102" i="15"/>
  <c r="C27" i="15"/>
  <c r="U32" i="15"/>
  <c r="U113" i="15"/>
  <c r="E24" i="15"/>
  <c r="U53" i="15"/>
  <c r="U44" i="15"/>
  <c r="G34" i="15"/>
  <c r="H10" i="15"/>
  <c r="K91" i="15"/>
  <c r="N30" i="15"/>
  <c r="E81" i="15"/>
  <c r="P18" i="15"/>
  <c r="C14" i="15"/>
  <c r="K73" i="15"/>
  <c r="K25" i="15"/>
  <c r="N51" i="15"/>
  <c r="C95" i="15"/>
  <c r="U34" i="15"/>
  <c r="K65" i="15"/>
  <c r="B4" i="15"/>
  <c r="B1" i="15"/>
  <c r="E45" i="15"/>
  <c r="D9" i="15"/>
  <c r="J40" i="15"/>
  <c r="U41" i="15"/>
  <c r="T50" i="15"/>
  <c r="O110" i="15"/>
  <c r="U94" i="15"/>
  <c r="J31" i="15"/>
  <c r="T14" i="15"/>
  <c r="O80" i="15"/>
  <c r="R95" i="15"/>
  <c r="M68" i="15"/>
  <c r="F72" i="15"/>
  <c r="R50" i="15"/>
  <c r="J45" i="15"/>
  <c r="B35" i="15"/>
  <c r="D118" i="15"/>
  <c r="Q26" i="15"/>
  <c r="U68" i="15"/>
  <c r="J46" i="15"/>
  <c r="R110" i="15"/>
  <c r="E48" i="15"/>
  <c r="L78" i="15"/>
  <c r="F119" i="15"/>
  <c r="Q42" i="15"/>
  <c r="H54" i="15"/>
  <c r="T41" i="15"/>
  <c r="R113" i="15"/>
  <c r="Q96" i="15"/>
  <c r="J21" i="15"/>
  <c r="T44" i="15"/>
  <c r="N120" i="15"/>
  <c r="H113" i="15"/>
  <c r="I30" i="15"/>
  <c r="K68" i="15"/>
  <c r="T48" i="15"/>
  <c r="J64" i="15"/>
  <c r="P9" i="15"/>
  <c r="Q3" i="15"/>
  <c r="F28" i="15"/>
  <c r="U95" i="15"/>
  <c r="D21" i="15"/>
  <c r="H102" i="15"/>
  <c r="U69" i="15"/>
  <c r="Q85" i="15"/>
  <c r="F36" i="15"/>
  <c r="L53" i="15"/>
  <c r="N43" i="15"/>
  <c r="F3" i="15"/>
  <c r="D75" i="15"/>
  <c r="M20" i="15"/>
  <c r="F61" i="15"/>
  <c r="G109" i="15"/>
  <c r="B16" i="15"/>
  <c r="O5" i="15"/>
  <c r="R117" i="15"/>
  <c r="K92" i="15"/>
  <c r="Q98" i="15"/>
  <c r="Q80" i="15"/>
  <c r="J112" i="15"/>
  <c r="S59" i="15"/>
  <c r="D8" i="15"/>
  <c r="E101" i="15"/>
  <c r="L64" i="15"/>
  <c r="N50" i="15"/>
  <c r="S19" i="15"/>
  <c r="L106" i="15"/>
  <c r="T31" i="15"/>
  <c r="I7" i="15"/>
  <c r="O36" i="15"/>
  <c r="H50" i="15"/>
  <c r="R120" i="15"/>
  <c r="Q115" i="15"/>
  <c r="O22" i="15"/>
  <c r="K38" i="15"/>
  <c r="K102" i="15"/>
  <c r="R77" i="15"/>
  <c r="D90" i="15"/>
  <c r="O51" i="15"/>
  <c r="F87" i="15"/>
  <c r="K51" i="15"/>
  <c r="I59" i="15"/>
  <c r="B22" i="15"/>
  <c r="S79" i="15"/>
  <c r="L57" i="15"/>
  <c r="F8" i="15"/>
  <c r="M118" i="15"/>
  <c r="T46" i="15"/>
  <c r="K53" i="15"/>
  <c r="F78" i="15"/>
  <c r="T96" i="15"/>
  <c r="E17" i="15"/>
  <c r="L109" i="15"/>
  <c r="H49" i="15"/>
  <c r="F114" i="15"/>
  <c r="T109" i="15"/>
  <c r="U99" i="15"/>
  <c r="E10" i="15"/>
  <c r="S24" i="15"/>
  <c r="I48" i="15"/>
  <c r="D40" i="15"/>
  <c r="H60" i="15"/>
  <c r="C101" i="15"/>
  <c r="Q68" i="15"/>
  <c r="L20" i="15"/>
  <c r="J26" i="15"/>
  <c r="C76" i="15"/>
  <c r="F24" i="15"/>
  <c r="G98" i="15"/>
  <c r="H76" i="15"/>
  <c r="Q95" i="15"/>
  <c r="H22" i="15"/>
  <c r="D79" i="15"/>
  <c r="H8" i="15"/>
  <c r="L16" i="15"/>
  <c r="D121" i="15"/>
  <c r="O40" i="15"/>
  <c r="Q7" i="15"/>
  <c r="B33" i="15"/>
  <c r="C110" i="15"/>
  <c r="O56" i="15"/>
  <c r="H31" i="15"/>
  <c r="Q78" i="15"/>
  <c r="F104" i="15"/>
  <c r="R22" i="15"/>
  <c r="I100" i="15"/>
  <c r="T113" i="15"/>
  <c r="U110" i="15"/>
  <c r="P63" i="15"/>
  <c r="D99" i="15"/>
  <c r="J39" i="15"/>
  <c r="B106" i="15"/>
  <c r="H117" i="15"/>
  <c r="S113" i="15"/>
  <c r="O28" i="15"/>
  <c r="Q73" i="15"/>
  <c r="I117" i="15"/>
  <c r="C91" i="15"/>
  <c r="N121" i="15"/>
  <c r="E109" i="15"/>
  <c r="F6" i="15"/>
  <c r="I45" i="15"/>
  <c r="I13" i="15"/>
  <c r="K111" i="15"/>
  <c r="G37" i="15"/>
  <c r="M23" i="15"/>
  <c r="I56" i="15"/>
  <c r="R64" i="15"/>
  <c r="T17" i="15"/>
  <c r="G68" i="15"/>
  <c r="F53" i="15"/>
  <c r="O65" i="15"/>
  <c r="P47" i="15"/>
  <c r="U115" i="15"/>
  <c r="D33" i="15"/>
  <c r="B2" i="15"/>
  <c r="U108" i="15"/>
  <c r="U107" i="15"/>
  <c r="L27" i="15"/>
  <c r="P45" i="15"/>
  <c r="D80" i="15"/>
  <c r="B64" i="15"/>
  <c r="F59" i="15"/>
  <c r="I17" i="15"/>
  <c r="F14" i="15"/>
  <c r="B105" i="15"/>
  <c r="P37" i="15"/>
  <c r="K5" i="15"/>
  <c r="J50" i="15"/>
  <c r="H57" i="15"/>
  <c r="R116" i="15"/>
  <c r="Q63" i="15"/>
  <c r="U90" i="15"/>
  <c r="S9" i="15"/>
  <c r="B103" i="15"/>
  <c r="E112" i="15"/>
  <c r="C55" i="15"/>
  <c r="R68" i="15"/>
  <c r="O25" i="15"/>
  <c r="I20" i="15"/>
  <c r="E107" i="15"/>
  <c r="Q101" i="15"/>
  <c r="E22" i="15"/>
  <c r="F15" i="15"/>
  <c r="S38" i="15"/>
  <c r="S108" i="15"/>
  <c r="Q114" i="15"/>
  <c r="P86" i="15"/>
  <c r="L46" i="15"/>
  <c r="G47" i="15"/>
  <c r="N2" i="15"/>
  <c r="D72" i="15"/>
  <c r="N17" i="15"/>
  <c r="O76" i="15"/>
  <c r="L55" i="15"/>
  <c r="K59" i="15"/>
  <c r="Q107" i="15"/>
  <c r="M88" i="15"/>
  <c r="P22" i="15"/>
  <c r="J82" i="15"/>
  <c r="E99" i="15"/>
  <c r="N35" i="15"/>
  <c r="M5" i="15"/>
  <c r="E114" i="15"/>
  <c r="Q64" i="15"/>
  <c r="I103" i="15"/>
  <c r="T19" i="15"/>
  <c r="T47" i="15"/>
  <c r="P26" i="15"/>
  <c r="E36" i="15"/>
  <c r="O13" i="15"/>
  <c r="S20" i="15"/>
  <c r="F56" i="15"/>
  <c r="G61" i="15"/>
  <c r="I49" i="15"/>
  <c r="N34" i="15"/>
  <c r="Q44" i="15"/>
  <c r="B69" i="15"/>
  <c r="F4" i="15"/>
  <c r="R73" i="15"/>
  <c r="L60" i="15"/>
  <c r="G108" i="15"/>
  <c r="P38" i="15"/>
  <c r="I61" i="15"/>
  <c r="R69" i="15"/>
  <c r="U46" i="15"/>
  <c r="L85" i="15"/>
  <c r="Q15" i="15"/>
  <c r="O29" i="15"/>
  <c r="J20" i="15"/>
  <c r="B3" i="15"/>
  <c r="E1" i="15"/>
  <c r="Q77" i="15"/>
  <c r="J114" i="15"/>
  <c r="O18" i="15"/>
  <c r="T95" i="15"/>
  <c r="K31" i="15"/>
  <c r="D69" i="15"/>
  <c r="I19" i="15"/>
  <c r="J74" i="15"/>
  <c r="J63" i="15"/>
  <c r="T33" i="15"/>
  <c r="C113" i="15"/>
  <c r="J107" i="15"/>
  <c r="F48" i="15"/>
  <c r="M67" i="15"/>
  <c r="E121" i="15"/>
  <c r="I120" i="15"/>
  <c r="J71" i="15"/>
  <c r="P16" i="15"/>
  <c r="Q14" i="15"/>
  <c r="O24" i="15"/>
  <c r="B119" i="15"/>
  <c r="C104" i="15"/>
  <c r="J84" i="15"/>
  <c r="T3" i="15"/>
  <c r="R53" i="15"/>
  <c r="R93" i="15"/>
  <c r="N118" i="15"/>
  <c r="C1" i="15"/>
  <c r="C65" i="15"/>
  <c r="E73" i="15"/>
  <c r="O111" i="15"/>
  <c r="D94" i="15"/>
  <c r="P48" i="15"/>
  <c r="Q45" i="15"/>
  <c r="J8" i="15"/>
  <c r="K71" i="15"/>
  <c r="D18" i="15"/>
  <c r="Q43" i="15"/>
  <c r="O121" i="15"/>
  <c r="E108" i="15"/>
  <c r="D91" i="15"/>
  <c r="E80" i="15"/>
  <c r="S4" i="15"/>
  <c r="S39" i="15"/>
  <c r="P36" i="15"/>
  <c r="M8" i="15"/>
  <c r="N117" i="15"/>
  <c r="B50" i="15"/>
  <c r="P101" i="15"/>
  <c r="M92" i="15"/>
  <c r="U83" i="15"/>
  <c r="B79" i="15"/>
  <c r="R75" i="15"/>
  <c r="G24" i="15"/>
  <c r="B49" i="15"/>
  <c r="F121" i="15"/>
  <c r="H87" i="15"/>
  <c r="U104" i="15"/>
  <c r="I47" i="15"/>
  <c r="U119" i="15"/>
  <c r="U118" i="15"/>
  <c r="Q82" i="15"/>
  <c r="B37" i="15"/>
  <c r="Q58" i="15"/>
  <c r="F7" i="15"/>
  <c r="I89" i="15"/>
  <c r="P75" i="15"/>
  <c r="D26" i="15"/>
  <c r="I44" i="15"/>
  <c r="S22" i="15"/>
  <c r="O31" i="15"/>
  <c r="J35" i="15"/>
  <c r="S37" i="15"/>
  <c r="F1" i="15"/>
  <c r="U48" i="15"/>
  <c r="B120" i="15"/>
  <c r="T102" i="15"/>
  <c r="H9" i="15"/>
  <c r="L114" i="15"/>
  <c r="G111" i="15"/>
  <c r="F33" i="15"/>
  <c r="N4" i="15"/>
  <c r="S114" i="15"/>
  <c r="Q84" i="15"/>
  <c r="Q70" i="15"/>
  <c r="P13" i="15"/>
  <c r="C106" i="15"/>
  <c r="N78" i="15"/>
  <c r="M24" i="15"/>
  <c r="G112" i="15"/>
  <c r="E27" i="15"/>
  <c r="C74" i="15"/>
  <c r="B48" i="15"/>
  <c r="K8" i="15"/>
  <c r="H84" i="15"/>
  <c r="M114" i="15"/>
  <c r="N116" i="15"/>
  <c r="I34" i="15"/>
  <c r="D95" i="15"/>
  <c r="I66" i="15"/>
  <c r="C51" i="15"/>
  <c r="K9" i="15"/>
  <c r="R86" i="15"/>
  <c r="B31" i="15"/>
  <c r="I84" i="15"/>
  <c r="E9" i="15"/>
  <c r="L95" i="15"/>
  <c r="F18" i="15"/>
  <c r="Q23" i="15"/>
  <c r="L54" i="15"/>
  <c r="I60" i="15"/>
  <c r="J89" i="15"/>
  <c r="C31" i="15"/>
  <c r="U58" i="15"/>
  <c r="Q88" i="15"/>
  <c r="B18" i="15"/>
  <c r="R65" i="15"/>
  <c r="D39" i="15"/>
  <c r="N22" i="15"/>
  <c r="R4" i="15"/>
  <c r="B111" i="15"/>
  <c r="J102" i="15"/>
  <c r="I14" i="15"/>
  <c r="S33" i="15"/>
  <c r="S51" i="15"/>
  <c r="P84" i="15"/>
  <c r="T116" i="15"/>
  <c r="Q31" i="15"/>
  <c r="E59" i="15"/>
  <c r="H69" i="15"/>
  <c r="T26" i="15"/>
  <c r="T34" i="15"/>
  <c r="Q92" i="15"/>
  <c r="U76" i="15"/>
  <c r="B81" i="15"/>
  <c r="M40" i="15"/>
  <c r="S8" i="15"/>
  <c r="K27" i="15"/>
  <c r="K19" i="15"/>
  <c r="Q36" i="15"/>
  <c r="D24" i="15"/>
  <c r="P23" i="15"/>
  <c r="B74" i="15"/>
  <c r="N70" i="15"/>
  <c r="K7" i="15"/>
  <c r="N25" i="15"/>
  <c r="C12" i="15"/>
  <c r="L96" i="15"/>
  <c r="K50" i="15"/>
  <c r="D37" i="15"/>
  <c r="G4" i="15"/>
  <c r="I2" i="15"/>
  <c r="P66" i="15"/>
  <c r="T5" i="15"/>
  <c r="E65" i="15"/>
  <c r="K105" i="15"/>
  <c r="K17" i="15"/>
  <c r="T99" i="15"/>
  <c r="L69" i="15"/>
  <c r="M33" i="15"/>
  <c r="I81" i="15"/>
  <c r="R45" i="15"/>
  <c r="N53" i="15"/>
  <c r="R44" i="15"/>
  <c r="B71" i="15"/>
  <c r="T94" i="15"/>
  <c r="H3" i="15"/>
  <c r="H86" i="15"/>
  <c r="I16" i="15"/>
  <c r="T105" i="15"/>
  <c r="C107" i="15"/>
  <c r="S96" i="15"/>
  <c r="N14" i="15"/>
  <c r="F71" i="15"/>
  <c r="B75" i="15"/>
  <c r="C9" i="15"/>
  <c r="G20" i="15"/>
  <c r="C80" i="15"/>
  <c r="N107" i="15"/>
  <c r="D114" i="15"/>
  <c r="T62" i="15"/>
  <c r="T63" i="15"/>
  <c r="F50" i="15"/>
  <c r="U40" i="15"/>
  <c r="M66" i="15"/>
  <c r="M38" i="15"/>
  <c r="G50" i="15"/>
  <c r="R92" i="15"/>
  <c r="D78" i="15"/>
  <c r="E70" i="15"/>
  <c r="H42" i="15"/>
  <c r="G92" i="15"/>
  <c r="N89" i="15"/>
  <c r="J62" i="15"/>
  <c r="K37" i="15"/>
  <c r="O99" i="15"/>
  <c r="K115" i="15"/>
  <c r="M70" i="15"/>
  <c r="O117" i="15"/>
  <c r="R97" i="15"/>
  <c r="K26" i="15"/>
  <c r="F30" i="15"/>
  <c r="L108" i="15"/>
  <c r="R108" i="15"/>
  <c r="B13" i="15"/>
  <c r="E52" i="15"/>
  <c r="N8" i="15"/>
  <c r="C96" i="15"/>
  <c r="U65" i="15"/>
  <c r="B110" i="15"/>
  <c r="R89" i="15"/>
  <c r="D97" i="15"/>
  <c r="I51" i="15"/>
  <c r="Q53" i="15"/>
  <c r="H46" i="15"/>
  <c r="M83" i="15"/>
  <c r="R48" i="15"/>
  <c r="S110" i="15"/>
  <c r="C54" i="15"/>
  <c r="Q75" i="15"/>
  <c r="C29" i="15"/>
  <c r="H114" i="15"/>
  <c r="I74" i="15"/>
  <c r="O106" i="15"/>
  <c r="L28" i="15"/>
  <c r="U120" i="15"/>
  <c r="I95" i="15"/>
  <c r="D27" i="15"/>
  <c r="U100" i="15"/>
  <c r="E72" i="15"/>
  <c r="O23" i="15"/>
  <c r="G80" i="15"/>
  <c r="C94" i="15"/>
  <c r="F21" i="15"/>
  <c r="Q103" i="15"/>
  <c r="G83" i="15"/>
  <c r="T61" i="15"/>
  <c r="D96" i="15"/>
  <c r="O96" i="15"/>
  <c r="M22" i="15"/>
  <c r="M1" i="15"/>
  <c r="G48" i="15"/>
  <c r="B19" i="15"/>
  <c r="O84" i="15"/>
  <c r="N47" i="15"/>
  <c r="I63" i="15"/>
  <c r="H112" i="15"/>
  <c r="Q112" i="15"/>
  <c r="L94" i="15"/>
  <c r="P35" i="15"/>
  <c r="P116" i="15"/>
  <c r="U12" i="15"/>
  <c r="T88" i="15"/>
  <c r="F23" i="15"/>
  <c r="H66" i="15"/>
  <c r="K40" i="15"/>
  <c r="D89" i="15"/>
  <c r="E19" i="15"/>
  <c r="I43" i="15"/>
  <c r="M85" i="15"/>
  <c r="P8" i="15"/>
  <c r="G107" i="15"/>
  <c r="G115" i="15"/>
  <c r="B60" i="15"/>
  <c r="P83" i="15"/>
  <c r="S18" i="15"/>
  <c r="Q93" i="15"/>
  <c r="H106" i="15"/>
  <c r="O69" i="15"/>
  <c r="Q94" i="15"/>
  <c r="F84" i="15"/>
  <c r="G9" i="15"/>
  <c r="C88" i="15"/>
  <c r="U86" i="15"/>
  <c r="Q69" i="15"/>
  <c r="K76" i="15"/>
  <c r="L119" i="15"/>
  <c r="I79" i="15"/>
  <c r="J110" i="15"/>
  <c r="H1" i="15"/>
  <c r="D92" i="15"/>
  <c r="T67" i="15"/>
  <c r="M47" i="15"/>
  <c r="O43" i="15"/>
  <c r="G77" i="15"/>
  <c r="D36" i="15"/>
  <c r="C62" i="15"/>
  <c r="J78" i="15"/>
  <c r="B24" i="15"/>
  <c r="K67" i="15"/>
  <c r="B101" i="15"/>
  <c r="U43" i="15"/>
  <c r="H115" i="15"/>
  <c r="M78" i="15"/>
  <c r="M103" i="15"/>
  <c r="S84" i="15"/>
  <c r="N96" i="15"/>
  <c r="P29" i="15"/>
  <c r="P64" i="15"/>
  <c r="T68" i="15"/>
  <c r="L74" i="15"/>
  <c r="I9" i="15"/>
  <c r="O12" i="15"/>
  <c r="T86" i="15"/>
  <c r="O27" i="15"/>
  <c r="P120" i="15"/>
  <c r="H119" i="15"/>
  <c r="P55" i="15"/>
  <c r="F42" i="15"/>
  <c r="G79" i="15"/>
  <c r="R91" i="15"/>
  <c r="U82" i="15"/>
  <c r="H41" i="15"/>
  <c r="I37" i="15"/>
  <c r="C86" i="15"/>
  <c r="J43" i="15"/>
  <c r="L29" i="15"/>
  <c r="Q27" i="15"/>
  <c r="K114" i="15"/>
  <c r="R10" i="15"/>
  <c r="G82" i="15"/>
  <c r="B89" i="15"/>
  <c r="S106" i="15"/>
  <c r="K34" i="15"/>
  <c r="R78" i="15"/>
  <c r="B115" i="15"/>
  <c r="N95" i="15"/>
  <c r="H23" i="15"/>
  <c r="B98" i="15"/>
  <c r="P31" i="15"/>
  <c r="F5" i="15"/>
  <c r="K80" i="15"/>
  <c r="C19" i="15"/>
  <c r="H37" i="15"/>
  <c r="T89" i="15"/>
  <c r="R15" i="15"/>
  <c r="B23" i="15"/>
  <c r="G105" i="15"/>
  <c r="P118" i="15"/>
  <c r="D77" i="15"/>
  <c r="Q10" i="15"/>
  <c r="N32" i="15"/>
  <c r="G7" i="15"/>
  <c r="P44" i="15"/>
  <c r="D68" i="15"/>
  <c r="H97" i="15"/>
  <c r="T90" i="15"/>
  <c r="D6" i="15"/>
  <c r="Q59" i="15"/>
  <c r="S98" i="15"/>
  <c r="B91" i="15"/>
  <c r="P77" i="15"/>
  <c r="O67" i="15"/>
  <c r="M65" i="15"/>
  <c r="L70" i="15"/>
  <c r="B97" i="15"/>
  <c r="F63" i="15"/>
  <c r="Q110" i="15"/>
  <c r="F39" i="15"/>
  <c r="J58" i="15"/>
  <c r="E100" i="15"/>
  <c r="R70" i="15"/>
  <c r="M6" i="15"/>
  <c r="G64" i="15"/>
  <c r="K56" i="15"/>
  <c r="T87" i="15"/>
  <c r="R6" i="15"/>
  <c r="H12" i="15"/>
  <c r="D46" i="15"/>
  <c r="P99" i="15"/>
  <c r="F32" i="15"/>
  <c r="I80" i="15"/>
  <c r="H110" i="15"/>
  <c r="H14" i="15"/>
  <c r="Q25" i="15"/>
  <c r="B66" i="15"/>
  <c r="T101" i="15"/>
  <c r="S2" i="15"/>
  <c r="H34" i="15"/>
  <c r="I70" i="15"/>
  <c r="U22" i="15"/>
  <c r="T72" i="15"/>
  <c r="P79" i="15"/>
  <c r="B117" i="15"/>
  <c r="C105" i="15"/>
  <c r="H55" i="15"/>
  <c r="O92" i="15"/>
  <c r="G22" i="15"/>
  <c r="B58" i="15"/>
  <c r="S112" i="15"/>
  <c r="R109" i="15"/>
  <c r="B100" i="15"/>
  <c r="M21" i="15"/>
  <c r="B47" i="15"/>
  <c r="J18" i="15"/>
  <c r="F80" i="15"/>
  <c r="M29" i="15"/>
  <c r="G3" i="15"/>
  <c r="O93" i="15"/>
  <c r="Q48" i="15"/>
  <c r="N60" i="15"/>
  <c r="M42" i="15"/>
  <c r="F29" i="15"/>
  <c r="P68" i="15"/>
  <c r="E91" i="15"/>
  <c r="C75" i="15"/>
  <c r="M116" i="15"/>
  <c r="I10" i="15"/>
  <c r="D32" i="15"/>
  <c r="I90" i="15"/>
  <c r="G15" i="15"/>
  <c r="Q57" i="15"/>
  <c r="B5" i="15"/>
  <c r="I38" i="15"/>
  <c r="S99" i="15"/>
  <c r="R85" i="15"/>
  <c r="G12" i="15"/>
  <c r="S15" i="15"/>
  <c r="E118" i="15"/>
  <c r="M77" i="15"/>
  <c r="C47" i="15"/>
  <c r="E34" i="15"/>
  <c r="R28" i="15"/>
  <c r="L63" i="15"/>
  <c r="H45" i="15"/>
  <c r="Q118" i="15"/>
  <c r="K52" i="15"/>
  <c r="B43" i="15"/>
  <c r="G5" i="15"/>
  <c r="C4" i="15"/>
  <c r="T45" i="15"/>
  <c r="U87" i="15"/>
  <c r="O88" i="15"/>
  <c r="B86" i="15"/>
  <c r="I93" i="15"/>
  <c r="L72" i="15"/>
  <c r="L41" i="15"/>
  <c r="I88" i="15"/>
  <c r="R9" i="15"/>
  <c r="P67" i="15"/>
  <c r="S45" i="15"/>
  <c r="M97" i="15"/>
  <c r="J66" i="15"/>
  <c r="F58" i="15"/>
  <c r="H27" i="15"/>
  <c r="C78" i="15"/>
  <c r="I72" i="15"/>
  <c r="R49" i="15"/>
  <c r="U97" i="15"/>
  <c r="C103" i="15"/>
  <c r="B36" i="15"/>
  <c r="B78" i="15"/>
  <c r="C92" i="15"/>
  <c r="R103" i="15"/>
  <c r="F115" i="15"/>
  <c r="H28" i="15"/>
  <c r="T75" i="15"/>
  <c r="J5" i="15"/>
  <c r="J44" i="15"/>
  <c r="F19" i="15"/>
  <c r="P80" i="15"/>
  <c r="M99" i="15"/>
  <c r="M44" i="15"/>
  <c r="O30" i="15"/>
  <c r="T82" i="15"/>
  <c r="K99" i="15"/>
  <c r="C53" i="15"/>
  <c r="L34" i="15"/>
  <c r="E54" i="15"/>
  <c r="D56" i="15"/>
  <c r="N82" i="15"/>
  <c r="C69" i="15"/>
  <c r="T66" i="15"/>
  <c r="U101" i="15"/>
  <c r="E110" i="15"/>
  <c r="R35" i="15"/>
  <c r="R36" i="15"/>
  <c r="Q30" i="15"/>
  <c r="G120" i="15"/>
  <c r="E105" i="15"/>
  <c r="E111" i="15"/>
  <c r="E6" i="15"/>
  <c r="D110" i="15"/>
  <c r="F89" i="15"/>
  <c r="U80" i="15"/>
  <c r="H17" i="15"/>
  <c r="Q105" i="15"/>
  <c r="F102" i="15"/>
  <c r="O86" i="15"/>
  <c r="P114" i="15"/>
  <c r="I53" i="15"/>
  <c r="H81" i="15"/>
  <c r="O8" i="15"/>
  <c r="I52" i="15"/>
  <c r="I71" i="15"/>
  <c r="P32" i="15"/>
  <c r="T40" i="15"/>
  <c r="G58" i="15"/>
  <c r="H72" i="15"/>
  <c r="O75" i="15"/>
  <c r="I115" i="15"/>
  <c r="S1" i="15"/>
  <c r="E33" i="15"/>
  <c r="D52" i="15"/>
  <c r="O14" i="15"/>
  <c r="G8" i="15"/>
  <c r="B113" i="15"/>
  <c r="T23" i="15"/>
  <c r="D116" i="15"/>
  <c r="R24" i="15"/>
  <c r="O45" i="15"/>
  <c r="U116" i="15"/>
  <c r="S54" i="15"/>
  <c r="H26" i="15"/>
  <c r="O120" i="15"/>
  <c r="F46" i="15"/>
  <c r="J57" i="15"/>
  <c r="I35" i="15"/>
  <c r="U61" i="15"/>
  <c r="C13" i="15"/>
  <c r="F112" i="15"/>
  <c r="E89" i="15"/>
  <c r="S23" i="15"/>
  <c r="J68" i="15"/>
  <c r="H107" i="15"/>
  <c r="I5" i="15"/>
  <c r="K96" i="15"/>
  <c r="D43" i="15"/>
  <c r="S58" i="15"/>
  <c r="M81" i="15"/>
  <c r="L36" i="15"/>
  <c r="R20" i="15"/>
  <c r="S87" i="15"/>
  <c r="N9" i="15"/>
  <c r="Q50" i="15"/>
  <c r="R83" i="15"/>
  <c r="N11" i="15"/>
  <c r="E21" i="15"/>
  <c r="G2" i="15"/>
  <c r="N71" i="15"/>
  <c r="R55" i="15"/>
  <c r="O85" i="15"/>
  <c r="G59" i="15"/>
  <c r="G35" i="15"/>
  <c r="D93" i="15"/>
  <c r="N1" i="15"/>
  <c r="C11" i="15"/>
  <c r="O50" i="15"/>
  <c r="M74" i="15"/>
  <c r="I98" i="15"/>
  <c r="H92" i="15"/>
  <c r="I21" i="15"/>
  <c r="Q56" i="15"/>
  <c r="S60" i="15"/>
  <c r="O55" i="15"/>
  <c r="C42" i="15"/>
  <c r="O37" i="15"/>
  <c r="L12" i="15"/>
  <c r="U54" i="15"/>
  <c r="Q65" i="15"/>
  <c r="D48" i="15"/>
  <c r="U98" i="15"/>
  <c r="K110" i="15"/>
  <c r="D55" i="15"/>
  <c r="E53" i="15"/>
  <c r="J90" i="15"/>
  <c r="S50" i="15"/>
  <c r="S97" i="15"/>
  <c r="S62" i="15"/>
  <c r="J51" i="15"/>
  <c r="N79" i="15"/>
  <c r="J53" i="15"/>
  <c r="M54" i="15"/>
  <c r="U96" i="15"/>
  <c r="N39" i="15"/>
  <c r="M55" i="15"/>
  <c r="B96" i="15"/>
  <c r="N77" i="15"/>
  <c r="S94" i="15"/>
  <c r="I65" i="15"/>
  <c r="O47" i="15"/>
  <c r="I116" i="15"/>
  <c r="B104" i="15"/>
  <c r="C7" i="15"/>
  <c r="J23" i="15"/>
  <c r="Q24" i="15"/>
  <c r="F105" i="15"/>
  <c r="S11" i="15"/>
  <c r="E84" i="15"/>
  <c r="M27" i="15"/>
  <c r="E3" i="15"/>
  <c r="M96" i="15"/>
  <c r="D29" i="15"/>
  <c r="T29" i="15"/>
  <c r="H105" i="15"/>
  <c r="I101" i="15"/>
  <c r="U81" i="15"/>
  <c r="G27" i="15"/>
  <c r="Q74" i="15"/>
  <c r="N64" i="15"/>
  <c r="K20" i="15"/>
  <c r="T43" i="15"/>
  <c r="O34" i="15"/>
  <c r="S107" i="15"/>
  <c r="K29" i="15"/>
  <c r="G78" i="15"/>
  <c r="E29" i="15"/>
  <c r="B82" i="15"/>
  <c r="S25" i="15"/>
  <c r="K101" i="15"/>
  <c r="M41" i="15"/>
  <c r="S29" i="15"/>
  <c r="C8" i="15"/>
  <c r="D70" i="15"/>
  <c r="N20" i="15"/>
  <c r="P3" i="15"/>
  <c r="B61" i="15"/>
  <c r="P7" i="15"/>
  <c r="R14" i="15"/>
  <c r="R42" i="15"/>
  <c r="G86" i="15"/>
  <c r="E56" i="15"/>
  <c r="M60" i="15"/>
  <c r="M119" i="15"/>
  <c r="S83" i="15"/>
  <c r="N54" i="15"/>
  <c r="D50" i="15"/>
  <c r="J121" i="15"/>
  <c r="E117" i="15"/>
  <c r="L30" i="15"/>
  <c r="J49" i="15"/>
  <c r="S100" i="15"/>
  <c r="U20" i="15"/>
  <c r="C111" i="15"/>
  <c r="C22" i="15"/>
  <c r="B17" i="15"/>
  <c r="S42" i="15"/>
  <c r="L121" i="15"/>
  <c r="U10" i="15"/>
  <c r="S56" i="15"/>
  <c r="G30" i="15"/>
  <c r="E113" i="15"/>
  <c r="M30" i="15"/>
  <c r="E68" i="15"/>
  <c r="S95" i="15"/>
  <c r="G36" i="15"/>
  <c r="H61" i="15"/>
  <c r="M34" i="15"/>
  <c r="S47" i="15"/>
  <c r="J81" i="15"/>
  <c r="T103" i="15"/>
  <c r="N23" i="15"/>
  <c r="S85" i="15"/>
  <c r="H83" i="15"/>
  <c r="C102" i="15"/>
  <c r="R82" i="15"/>
  <c r="N63" i="15"/>
  <c r="S89" i="15"/>
  <c r="E98" i="15"/>
  <c r="J95" i="15"/>
  <c r="O114" i="15"/>
  <c r="C115" i="15"/>
  <c r="J61" i="15"/>
  <c r="K86" i="15"/>
  <c r="G49" i="15"/>
  <c r="C57" i="15"/>
  <c r="P69" i="15"/>
  <c r="D10" i="15"/>
  <c r="D76" i="15"/>
  <c r="E46" i="15"/>
  <c r="N10" i="15"/>
  <c r="B56" i="15"/>
  <c r="T73" i="15"/>
  <c r="P15" i="15"/>
  <c r="G118" i="15"/>
  <c r="I11" i="15"/>
  <c r="R105" i="15"/>
  <c r="S35" i="15"/>
  <c r="B45" i="15"/>
  <c r="R79" i="15"/>
  <c r="L37" i="15"/>
  <c r="K87" i="15"/>
  <c r="Q117" i="15"/>
  <c r="K95" i="15"/>
  <c r="O108" i="15"/>
  <c r="F103" i="15"/>
  <c r="F93" i="15"/>
  <c r="E40" i="15"/>
  <c r="M100" i="15"/>
  <c r="S16" i="15"/>
  <c r="K61" i="15"/>
  <c r="Q61" i="15"/>
  <c r="U45" i="15"/>
  <c r="E79" i="15"/>
  <c r="O46" i="15"/>
  <c r="N67" i="15"/>
  <c r="P112" i="15"/>
  <c r="E30" i="15"/>
  <c r="G19" i="15"/>
  <c r="R121" i="15"/>
  <c r="U29" i="15"/>
  <c r="E32" i="15"/>
  <c r="G14" i="15"/>
  <c r="M2" i="15"/>
  <c r="T121" i="15"/>
  <c r="K43" i="15"/>
  <c r="B59" i="15"/>
  <c r="I69" i="15"/>
  <c r="S104" i="15"/>
  <c r="C40" i="15"/>
  <c r="G71" i="15"/>
  <c r="T7" i="15"/>
  <c r="T60" i="15"/>
  <c r="G106" i="15"/>
  <c r="T112" i="15"/>
  <c r="D60" i="15"/>
  <c r="G44" i="15"/>
  <c r="O115" i="15"/>
  <c r="J10" i="15"/>
  <c r="P11" i="15"/>
  <c r="I110" i="15"/>
  <c r="U21" i="15"/>
  <c r="O89" i="15"/>
  <c r="B68" i="15"/>
  <c r="N59" i="15"/>
  <c r="L83" i="15"/>
  <c r="F96" i="15"/>
  <c r="F60" i="15"/>
  <c r="J25" i="15"/>
  <c r="S66" i="15"/>
  <c r="B20" i="15"/>
  <c r="J7" i="15"/>
  <c r="P12" i="15"/>
  <c r="M111" i="15"/>
  <c r="D63" i="15"/>
  <c r="F116" i="15"/>
  <c r="S57" i="15"/>
  <c r="R51" i="15"/>
  <c r="S75" i="15"/>
  <c r="U27" i="15"/>
  <c r="G32" i="15"/>
  <c r="I118" i="15"/>
  <c r="Q89" i="15"/>
  <c r="T65" i="15"/>
  <c r="S76" i="15"/>
  <c r="I3" i="15"/>
  <c r="E96" i="15"/>
  <c r="S10" i="15"/>
  <c r="L92" i="15"/>
  <c r="I111" i="15"/>
  <c r="T24" i="15"/>
  <c r="K14" i="15"/>
  <c r="I121" i="15"/>
  <c r="I28" i="15"/>
  <c r="J117" i="15"/>
  <c r="F65" i="15"/>
  <c r="D22" i="15"/>
  <c r="M98" i="15"/>
  <c r="B112" i="15"/>
  <c r="E78" i="15"/>
  <c r="G38" i="15"/>
  <c r="J33" i="15"/>
  <c r="H63" i="15"/>
  <c r="M112" i="15"/>
  <c r="D12" i="15"/>
  <c r="F9" i="15"/>
  <c r="B114" i="15"/>
  <c r="N15" i="15"/>
  <c r="B26" i="15"/>
  <c r="G101" i="15"/>
  <c r="N19" i="15"/>
  <c r="D103" i="15"/>
  <c r="E97" i="15"/>
  <c r="K54" i="15"/>
  <c r="M58" i="15"/>
  <c r="L45" i="15"/>
  <c r="S13" i="15"/>
  <c r="U57" i="15"/>
  <c r="L73" i="15"/>
  <c r="G21" i="15"/>
  <c r="F90" i="15"/>
  <c r="U78" i="15"/>
  <c r="F67" i="15"/>
  <c r="R17" i="15"/>
  <c r="B109" i="15"/>
  <c r="P98" i="15"/>
  <c r="L71" i="15"/>
  <c r="O3" i="15"/>
  <c r="U112" i="15"/>
  <c r="Q106" i="15"/>
  <c r="M52" i="15"/>
  <c r="B121" i="15"/>
  <c r="E49" i="15"/>
  <c r="S74" i="15"/>
  <c r="O60" i="15"/>
  <c r="Q52" i="15"/>
  <c r="K39" i="15"/>
  <c r="I94" i="15"/>
  <c r="G97" i="15"/>
  <c r="Q83" i="15"/>
  <c r="F20" i="15"/>
  <c r="T35" i="15"/>
  <c r="Q6" i="15"/>
  <c r="L49" i="15"/>
  <c r="G60" i="15"/>
  <c r="C39" i="15"/>
  <c r="M11" i="15"/>
  <c r="B27" i="15"/>
  <c r="R27" i="15"/>
  <c r="G110" i="15"/>
  <c r="F118" i="15"/>
  <c r="N41" i="15"/>
  <c r="F88" i="15"/>
  <c r="L89" i="15"/>
  <c r="J11" i="15"/>
  <c r="S90" i="15"/>
  <c r="L82" i="15"/>
  <c r="U92" i="15"/>
  <c r="G41" i="15"/>
  <c r="Q2" i="15"/>
  <c r="O91" i="15"/>
  <c r="P40" i="15"/>
  <c r="Q54" i="15"/>
  <c r="Q13" i="15"/>
  <c r="P81" i="15"/>
  <c r="Q90" i="15"/>
  <c r="E37" i="15"/>
  <c r="G104" i="15"/>
  <c r="S40" i="15"/>
  <c r="C83" i="15"/>
  <c r="N102" i="15"/>
  <c r="D83" i="15"/>
  <c r="F27" i="15"/>
  <c r="Q39" i="15"/>
  <c r="O6" i="15"/>
  <c r="C15" i="15"/>
  <c r="F43" i="15"/>
  <c r="G29" i="15"/>
  <c r="N106" i="15"/>
  <c r="L116" i="15"/>
  <c r="H33" i="15"/>
  <c r="C64" i="15"/>
  <c r="K13" i="15"/>
  <c r="O2" i="15"/>
  <c r="I99" i="15"/>
  <c r="M31" i="15"/>
  <c r="L62" i="15"/>
  <c r="N27" i="15"/>
  <c r="E86" i="15"/>
  <c r="I58" i="15"/>
  <c r="E116" i="15"/>
  <c r="J15" i="15"/>
  <c r="I92" i="15"/>
  <c r="G16" i="15"/>
  <c r="M105" i="15"/>
  <c r="P46" i="15"/>
  <c r="R37" i="15"/>
  <c r="P53" i="15"/>
  <c r="K42" i="15"/>
  <c r="H19" i="15"/>
  <c r="H109" i="15"/>
  <c r="G102" i="15"/>
  <c r="T107" i="15"/>
  <c r="C98" i="15"/>
  <c r="K113" i="15"/>
  <c r="B53" i="15"/>
  <c r="Q20" i="15"/>
  <c r="G84" i="15"/>
  <c r="I46" i="15"/>
  <c r="B93" i="15"/>
  <c r="H40" i="15"/>
  <c r="U67" i="15"/>
  <c r="F117" i="15"/>
  <c r="I107" i="15"/>
  <c r="P73" i="15"/>
  <c r="E106" i="15"/>
  <c r="U18" i="15"/>
  <c r="L112" i="15"/>
  <c r="Q100" i="15"/>
  <c r="G26" i="15"/>
  <c r="P6" i="15"/>
  <c r="H79" i="15"/>
  <c r="L98" i="15"/>
  <c r="F51" i="15"/>
  <c r="G85" i="15"/>
  <c r="H25" i="15"/>
  <c r="H98" i="15"/>
  <c r="Q67" i="15"/>
  <c r="F120" i="15"/>
  <c r="G81" i="15"/>
  <c r="L48" i="15"/>
  <c r="S117" i="15"/>
  <c r="C33" i="15"/>
  <c r="I119" i="15"/>
  <c r="O57" i="15"/>
  <c r="J73" i="15"/>
  <c r="O64" i="15"/>
  <c r="D67" i="15"/>
  <c r="S101" i="15"/>
  <c r="P107" i="15"/>
  <c r="M72" i="15"/>
  <c r="T79" i="15"/>
  <c r="H96" i="15"/>
  <c r="E35" i="15"/>
  <c r="S77" i="15"/>
  <c r="L6" i="15"/>
  <c r="H2" i="15"/>
  <c r="R21" i="15"/>
  <c r="O87" i="15"/>
  <c r="C114" i="15"/>
  <c r="G11" i="15"/>
  <c r="O97" i="15"/>
  <c r="E58" i="15"/>
  <c r="P95" i="15"/>
  <c r="U8" i="15"/>
  <c r="M4" i="15"/>
  <c r="T30" i="15"/>
  <c r="B107" i="15"/>
  <c r="L88" i="15"/>
  <c r="Q102" i="15"/>
  <c r="U31" i="15"/>
  <c r="J29" i="15"/>
  <c r="P61" i="15"/>
  <c r="H77" i="15"/>
  <c r="R67" i="15"/>
  <c r="T114" i="15"/>
  <c r="R107" i="15"/>
  <c r="C32" i="15"/>
  <c r="P65" i="15"/>
  <c r="B95" i="15"/>
  <c r="F108" i="15"/>
  <c r="C50" i="15"/>
  <c r="Q33" i="15"/>
  <c r="S118" i="15"/>
  <c r="G33" i="15"/>
  <c r="O52" i="15"/>
  <c r="S82" i="15"/>
  <c r="N112" i="15"/>
  <c r="T85" i="15"/>
  <c r="T80" i="15"/>
  <c r="T118" i="15"/>
  <c r="S81" i="15"/>
  <c r="L31" i="15"/>
  <c r="E23" i="15"/>
  <c r="S53" i="15"/>
  <c r="E5" i="15"/>
  <c r="T32" i="15"/>
  <c r="G42" i="15"/>
  <c r="E94" i="15"/>
  <c r="B34" i="15"/>
  <c r="J17" i="15"/>
  <c r="P91" i="15"/>
  <c r="U70" i="15"/>
  <c r="L104" i="15"/>
  <c r="L11" i="15"/>
  <c r="G31" i="15"/>
  <c r="D15" i="15"/>
  <c r="Q41" i="15"/>
  <c r="J70" i="15"/>
  <c r="C120" i="15"/>
  <c r="D107" i="15"/>
  <c r="D7" i="15"/>
  <c r="U121" i="15"/>
  <c r="D13" i="15"/>
  <c r="H99" i="15"/>
  <c r="I22" i="15"/>
  <c r="P20" i="15"/>
  <c r="M36" i="15"/>
  <c r="R56" i="15"/>
  <c r="F79" i="15"/>
  <c r="N101" i="15"/>
  <c r="M79" i="15"/>
  <c r="I36" i="15"/>
  <c r="B85" i="15"/>
  <c r="L97" i="15"/>
  <c r="I109" i="15"/>
  <c r="C66" i="15"/>
  <c r="T53" i="15"/>
  <c r="S52" i="15"/>
  <c r="D20" i="15"/>
  <c r="K44" i="15"/>
  <c r="J22" i="15"/>
  <c r="M10" i="15"/>
  <c r="P25" i="15"/>
  <c r="L81" i="15"/>
  <c r="F69" i="15"/>
  <c r="D59" i="15"/>
  <c r="H68" i="15"/>
  <c r="F31" i="15"/>
  <c r="H38" i="15"/>
  <c r="O1" i="15"/>
  <c r="L42" i="15"/>
  <c r="D35" i="15"/>
  <c r="K89" i="15"/>
  <c r="M39" i="15"/>
  <c r="D105" i="15"/>
  <c r="I83" i="15"/>
  <c r="K90" i="15"/>
  <c r="N119" i="15"/>
  <c r="I54" i="15"/>
  <c r="Q17" i="15"/>
  <c r="D64" i="15"/>
  <c r="T58" i="15"/>
  <c r="D98" i="15"/>
  <c r="O61" i="15"/>
  <c r="T55" i="15"/>
  <c r="I29" i="15"/>
  <c r="H108" i="15"/>
  <c r="L4" i="15"/>
  <c r="O33" i="15"/>
  <c r="U38" i="15"/>
  <c r="N72" i="15"/>
  <c r="H103" i="15"/>
  <c r="E43" i="15"/>
  <c r="E67" i="15"/>
  <c r="H95" i="15"/>
  <c r="K6" i="15"/>
  <c r="U7" i="15"/>
  <c r="G46" i="15"/>
  <c r="S91" i="15"/>
  <c r="E8" i="15"/>
  <c r="I77" i="15"/>
  <c r="N105" i="15"/>
  <c r="R119" i="15"/>
  <c r="B92" i="15"/>
  <c r="S86" i="15"/>
  <c r="S43" i="15"/>
  <c r="H16" i="15"/>
  <c r="U93" i="15"/>
  <c r="G72" i="15"/>
  <c r="F64" i="15"/>
  <c r="O38" i="15"/>
  <c r="H11" i="15"/>
  <c r="G74" i="15"/>
  <c r="L99" i="15"/>
  <c r="G89" i="15"/>
  <c r="I96" i="15"/>
  <c r="D112" i="15"/>
  <c r="S88" i="15"/>
  <c r="Q79" i="15"/>
  <c r="J113" i="15"/>
  <c r="U39" i="15"/>
  <c r="O98" i="15"/>
  <c r="U2" i="15"/>
  <c r="P85" i="15"/>
  <c r="E26" i="15"/>
  <c r="J80" i="15"/>
  <c r="B41" i="15"/>
  <c r="T83" i="15"/>
  <c r="I91" i="15"/>
  <c r="R40" i="15"/>
  <c r="L86" i="15"/>
  <c r="Q87" i="15"/>
  <c r="B102" i="15"/>
  <c r="S64" i="15"/>
  <c r="O19" i="15"/>
  <c r="H21" i="15"/>
  <c r="U91" i="15"/>
  <c r="Q21" i="15"/>
  <c r="J83" i="15"/>
  <c r="D25" i="15"/>
  <c r="M56" i="15"/>
  <c r="U17" i="15"/>
  <c r="O54" i="15"/>
  <c r="N88" i="15"/>
  <c r="R57" i="15"/>
  <c r="M89" i="15"/>
  <c r="I114" i="15"/>
  <c r="L44" i="15"/>
  <c r="O116" i="15"/>
  <c r="O79" i="15"/>
  <c r="L91" i="15"/>
  <c r="M117" i="15"/>
  <c r="H53" i="15"/>
  <c r="S3" i="15"/>
  <c r="L26" i="15"/>
  <c r="B21" i="15"/>
  <c r="T119" i="15"/>
  <c r="J105" i="15"/>
  <c r="T15" i="15"/>
  <c r="H67" i="15"/>
  <c r="D66" i="15"/>
  <c r="C81" i="15"/>
  <c r="E87" i="15"/>
  <c r="S55" i="15"/>
  <c r="E88" i="15"/>
  <c r="H104" i="15"/>
  <c r="D30" i="15"/>
  <c r="L43" i="15"/>
  <c r="I12" i="15"/>
  <c r="T2" i="15"/>
  <c r="B15" i="15"/>
  <c r="C117" i="15"/>
  <c r="S103" i="15"/>
  <c r="L51" i="15"/>
  <c r="P42" i="15"/>
  <c r="M69" i="15"/>
  <c r="U111" i="15"/>
  <c r="P93" i="15"/>
  <c r="M108" i="15"/>
  <c r="L68" i="15"/>
  <c r="F52" i="15"/>
  <c r="D4" i="15"/>
  <c r="B28" i="15"/>
  <c r="L1" i="15"/>
  <c r="M87" i="15"/>
  <c r="K49" i="15"/>
  <c r="K106" i="15"/>
  <c r="M19" i="15"/>
  <c r="K100" i="15"/>
  <c r="R46" i="15"/>
  <c r="I104" i="15"/>
  <c r="D82" i="15"/>
  <c r="J34" i="15"/>
  <c r="E93" i="15"/>
  <c r="O49" i="15"/>
  <c r="I78" i="15"/>
  <c r="O104" i="15"/>
  <c r="S30" i="15"/>
  <c r="F107" i="15"/>
  <c r="F86" i="15"/>
  <c r="E31" i="15"/>
  <c r="M62" i="15"/>
  <c r="P72" i="15"/>
  <c r="M82" i="15"/>
  <c r="G93" i="15"/>
  <c r="D113" i="15"/>
  <c r="S80" i="15"/>
  <c r="H29" i="15"/>
  <c r="R7" i="15"/>
  <c r="U5" i="15"/>
  <c r="D11" i="15"/>
  <c r="I64" i="15"/>
  <c r="L107" i="15"/>
  <c r="U105" i="15"/>
  <c r="I18" i="15"/>
  <c r="Q18" i="15"/>
  <c r="S92" i="15"/>
  <c r="O42" i="15"/>
  <c r="H4" i="15"/>
  <c r="D45" i="15"/>
  <c r="F22" i="15"/>
  <c r="G121" i="15"/>
  <c r="B99" i="15"/>
  <c r="B80" i="15"/>
  <c r="U59" i="15"/>
  <c r="F16" i="15"/>
  <c r="G43" i="15"/>
  <c r="J38" i="15"/>
  <c r="F94" i="15"/>
  <c r="U66" i="15"/>
  <c r="H64" i="15"/>
  <c r="U4" i="15"/>
  <c r="N110" i="15"/>
  <c r="G53" i="15"/>
  <c r="C70" i="15"/>
  <c r="E28" i="15"/>
  <c r="P109" i="15"/>
  <c r="P87" i="15"/>
  <c r="I15" i="15"/>
  <c r="P60" i="15"/>
  <c r="R3" i="15"/>
  <c r="Q66" i="15"/>
  <c r="D53" i="15"/>
  <c r="K120" i="15"/>
  <c r="N31" i="15"/>
  <c r="F35" i="15"/>
  <c r="P50" i="15"/>
  <c r="K32" i="15"/>
  <c r="L77" i="15"/>
  <c r="K116" i="15"/>
  <c r="N6" i="15"/>
  <c r="U23" i="15"/>
  <c r="D108" i="15"/>
  <c r="O62" i="15"/>
  <c r="U3" i="15"/>
  <c r="H36" i="15"/>
  <c r="M107" i="15"/>
  <c r="U84" i="15"/>
  <c r="O10" i="15"/>
  <c r="N85" i="15"/>
  <c r="J12" i="15"/>
  <c r="P105" i="15"/>
  <c r="U47" i="15"/>
  <c r="K70" i="15"/>
  <c r="S121" i="15"/>
  <c r="C20" i="15"/>
  <c r="D38" i="15"/>
  <c r="R118" i="15"/>
  <c r="N74" i="15"/>
  <c r="F110" i="15"/>
  <c r="D31" i="15"/>
  <c r="J60" i="15"/>
  <c r="D49" i="15"/>
  <c r="L39" i="15"/>
  <c r="B40" i="15"/>
  <c r="J85" i="15"/>
  <c r="L15" i="15"/>
  <c r="H5" i="15"/>
  <c r="T10" i="15"/>
  <c r="R1" i="15"/>
  <c r="S5" i="15"/>
  <c r="P30" i="15"/>
  <c r="L93" i="15"/>
  <c r="M63" i="15"/>
  <c r="Q99" i="15"/>
  <c r="O72" i="15"/>
  <c r="P27" i="15"/>
  <c r="B6" i="15"/>
  <c r="H88" i="15"/>
  <c r="C100" i="15"/>
  <c r="K4" i="15"/>
  <c r="L113" i="15"/>
  <c r="K24" i="15"/>
  <c r="Q111" i="15"/>
  <c r="P103" i="15"/>
  <c r="H59" i="15"/>
  <c r="N38" i="15"/>
  <c r="P4" i="15"/>
  <c r="O35" i="15"/>
  <c r="H111" i="15"/>
  <c r="E15" i="15"/>
  <c r="C63" i="15"/>
  <c r="Q35" i="15"/>
  <c r="K48" i="15"/>
  <c r="N33" i="15"/>
  <c r="L115" i="15"/>
  <c r="R94" i="15"/>
  <c r="N56" i="15"/>
  <c r="H56" i="15"/>
  <c r="B73" i="15"/>
  <c r="L100" i="15"/>
  <c r="M109" i="15"/>
  <c r="Q1" i="15"/>
  <c r="B54" i="15"/>
  <c r="H85" i="15"/>
  <c r="P49" i="15"/>
  <c r="K78" i="15"/>
  <c r="F38" i="15"/>
  <c r="B38" i="15"/>
  <c r="L38" i="15"/>
  <c r="G62" i="15"/>
  <c r="D14" i="15"/>
  <c r="R32" i="15"/>
  <c r="P51" i="15"/>
  <c r="K35" i="15"/>
  <c r="J106" i="15"/>
  <c r="N83" i="15"/>
  <c r="H75" i="15"/>
  <c r="M9" i="15"/>
  <c r="M17" i="15"/>
  <c r="I23" i="15"/>
  <c r="G87" i="15"/>
  <c r="J30" i="15"/>
  <c r="E41" i="15"/>
  <c r="Q16" i="15"/>
  <c r="H93" i="15"/>
  <c r="R59" i="15"/>
  <c r="H78" i="15"/>
  <c r="D28" i="15"/>
  <c r="F75" i="15"/>
  <c r="Q72" i="15"/>
  <c r="L66" i="15"/>
  <c r="G99" i="15"/>
  <c r="R25" i="15"/>
  <c r="P59" i="15"/>
  <c r="T11" i="15"/>
  <c r="F62" i="15"/>
  <c r="I108" i="15"/>
  <c r="U89" i="15"/>
  <c r="Q12" i="15"/>
  <c r="B57" i="15"/>
  <c r="C21" i="15"/>
  <c r="Q86" i="15"/>
  <c r="D88" i="15"/>
  <c r="N90" i="15"/>
  <c r="R52" i="15"/>
  <c r="L79" i="15"/>
  <c r="G67" i="15"/>
  <c r="O77" i="15"/>
  <c r="H121" i="15"/>
  <c r="U117" i="15"/>
  <c r="N109" i="15"/>
  <c r="N114" i="15"/>
  <c r="C84" i="15"/>
  <c r="H91" i="15"/>
  <c r="C87" i="15"/>
  <c r="P94" i="15"/>
  <c r="D119" i="15"/>
  <c r="S93" i="15"/>
  <c r="S72" i="15"/>
  <c r="H73" i="15"/>
  <c r="U30" i="15"/>
  <c r="C121" i="15"/>
  <c r="O113" i="15"/>
  <c r="O20" i="15"/>
  <c r="D74" i="15"/>
  <c r="M3" i="15"/>
  <c r="H24" i="15"/>
  <c r="M113" i="15"/>
  <c r="Q121" i="15"/>
  <c r="K46" i="15"/>
  <c r="B7" i="15"/>
  <c r="F73" i="15"/>
  <c r="U77" i="15"/>
  <c r="M86" i="15"/>
  <c r="E69" i="15"/>
  <c r="R60" i="15"/>
  <c r="K58" i="15"/>
  <c r="F55" i="15"/>
  <c r="E82" i="15"/>
  <c r="J19" i="15"/>
  <c r="N52" i="15"/>
  <c r="T120" i="15"/>
  <c r="P33" i="15"/>
  <c r="G45" i="15"/>
  <c r="U79" i="15"/>
  <c r="P117" i="15"/>
  <c r="M101" i="15"/>
  <c r="T100" i="15"/>
  <c r="E7" i="15"/>
  <c r="L22" i="15"/>
  <c r="B10" i="15"/>
  <c r="K107" i="15"/>
  <c r="Q32" i="15"/>
  <c r="E61" i="15"/>
  <c r="K94" i="15"/>
  <c r="K108" i="15"/>
  <c r="S14" i="15"/>
  <c r="C23" i="15"/>
  <c r="K64" i="15"/>
  <c r="J16" i="15"/>
  <c r="F66" i="15"/>
  <c r="F76" i="15"/>
  <c r="N40" i="15"/>
  <c r="J65" i="15"/>
  <c r="I85" i="15"/>
  <c r="E60" i="15"/>
  <c r="G119" i="15"/>
  <c r="I25" i="15"/>
  <c r="J4" i="15"/>
  <c r="R5" i="15"/>
  <c r="R115" i="15"/>
  <c r="P43" i="15"/>
  <c r="J108" i="15"/>
  <c r="U88" i="15"/>
  <c r="B8" i="15"/>
  <c r="M12" i="15"/>
  <c r="K103" i="15"/>
  <c r="G57" i="15"/>
  <c r="K117" i="15"/>
  <c r="J1" i="15"/>
  <c r="I67" i="15"/>
  <c r="K88" i="15"/>
  <c r="F101" i="15"/>
  <c r="K104" i="15"/>
  <c r="S34" i="15"/>
  <c r="F44" i="15"/>
  <c r="D87" i="15"/>
  <c r="J100" i="15"/>
  <c r="F99" i="15"/>
  <c r="C30" i="15"/>
  <c r="R26" i="15"/>
  <c r="O103" i="15"/>
  <c r="F74" i="15"/>
  <c r="T111" i="15"/>
  <c r="F77" i="15"/>
  <c r="T59" i="15"/>
  <c r="U14" i="15"/>
  <c r="B46" i="15"/>
  <c r="G117" i="15"/>
  <c r="J2" i="15"/>
  <c r="B11" i="15"/>
  <c r="C52" i="15"/>
  <c r="F70" i="15"/>
  <c r="S63" i="15"/>
  <c r="H118" i="15"/>
  <c r="R80" i="15"/>
  <c r="T91" i="15"/>
  <c r="P97" i="15"/>
  <c r="I55" i="15"/>
  <c r="P28" i="15"/>
  <c r="F2" i="15"/>
  <c r="N57" i="15"/>
  <c r="N69" i="15"/>
  <c r="C77" i="15"/>
  <c r="J41" i="15"/>
  <c r="R66" i="15"/>
  <c r="K62" i="15"/>
  <c r="E115" i="15"/>
  <c r="U103" i="15"/>
  <c r="J56" i="15"/>
  <c r="O17" i="15"/>
  <c r="I6" i="15"/>
  <c r="Q71" i="15"/>
  <c r="I42" i="15"/>
  <c r="O53" i="15"/>
  <c r="D65" i="15"/>
  <c r="K15" i="15"/>
  <c r="E13" i="15"/>
  <c r="C119" i="15"/>
  <c r="O21" i="15"/>
  <c r="T76" i="15"/>
  <c r="H90" i="15"/>
  <c r="F10" i="15"/>
  <c r="O73" i="15"/>
  <c r="R47" i="15"/>
  <c r="K23" i="15"/>
  <c r="D84" i="15"/>
  <c r="M110" i="15"/>
  <c r="F37" i="15"/>
  <c r="S26" i="15"/>
  <c r="T18" i="15"/>
  <c r="U33" i="15"/>
  <c r="O11" i="15"/>
  <c r="T57" i="15"/>
  <c r="T56" i="15"/>
  <c r="Q104" i="15"/>
  <c r="G6" i="15"/>
  <c r="C3" i="15"/>
  <c r="I113" i="15"/>
  <c r="L59" i="15"/>
  <c r="J97" i="15"/>
  <c r="M35" i="15"/>
  <c r="N84" i="15"/>
  <c r="O66" i="15"/>
  <c r="T42" i="15"/>
  <c r="O15" i="15"/>
  <c r="L117" i="15"/>
  <c r="N93" i="15"/>
  <c r="O74" i="15"/>
  <c r="U102" i="15"/>
  <c r="S7" i="15"/>
  <c r="L14" i="15"/>
  <c r="T70" i="15"/>
  <c r="C58" i="15"/>
  <c r="C37" i="15"/>
  <c r="M75" i="15"/>
  <c r="Q22" i="15"/>
  <c r="J96" i="15"/>
  <c r="T13" i="15"/>
  <c r="P17" i="15"/>
  <c r="B55" i="15"/>
  <c r="F106" i="15"/>
  <c r="M59" i="15"/>
  <c r="L118" i="15"/>
  <c r="H70" i="15"/>
  <c r="B32" i="15"/>
  <c r="D57" i="15"/>
  <c r="T84" i="15"/>
  <c r="M106" i="15"/>
  <c r="T98" i="15"/>
  <c r="U74" i="15"/>
  <c r="J118" i="15"/>
  <c r="Q108" i="15"/>
  <c r="E75" i="15"/>
  <c r="P52" i="15"/>
  <c r="E95" i="15"/>
  <c r="N86" i="15"/>
  <c r="H120" i="15"/>
  <c r="T49" i="15"/>
  <c r="N61" i="15"/>
  <c r="E20" i="15"/>
  <c r="B25" i="15"/>
  <c r="N16" i="15"/>
  <c r="O90" i="15"/>
  <c r="Q38" i="15"/>
  <c r="H65" i="15"/>
  <c r="D104" i="15"/>
  <c r="L24" i="15"/>
  <c r="S71" i="15"/>
  <c r="J67" i="15"/>
  <c r="M76" i="15"/>
  <c r="R58" i="15"/>
  <c r="H13" i="15"/>
  <c r="P96" i="15"/>
  <c r="E25" i="15"/>
  <c r="C68" i="15"/>
  <c r="S115" i="15"/>
  <c r="E103" i="15"/>
  <c r="P119" i="15"/>
  <c r="O78" i="15"/>
  <c r="J47" i="15"/>
  <c r="L101" i="15"/>
  <c r="G100" i="15"/>
  <c r="P56" i="15"/>
  <c r="U6" i="15"/>
  <c r="U106" i="15"/>
  <c r="J9" i="15"/>
  <c r="E74" i="15"/>
  <c r="Q76" i="15"/>
  <c r="B30" i="15"/>
  <c r="U13" i="15"/>
  <c r="B76" i="15"/>
  <c r="Q116" i="15"/>
  <c r="F47" i="15"/>
  <c r="E47" i="15"/>
  <c r="F57" i="15"/>
  <c r="O58" i="15"/>
  <c r="H35" i="15"/>
  <c r="T28" i="15"/>
  <c r="D19" i="15"/>
  <c r="N44" i="15"/>
  <c r="K69" i="15"/>
  <c r="J91" i="15"/>
  <c r="L76" i="15"/>
  <c r="U25" i="15"/>
  <c r="T92" i="15"/>
  <c r="E92" i="15"/>
  <c r="P58" i="15"/>
  <c r="D5" i="15"/>
  <c r="F113" i="15"/>
  <c r="C6" i="15"/>
  <c r="D101" i="15"/>
  <c r="U73" i="15"/>
  <c r="N80" i="15"/>
  <c r="D73" i="15"/>
  <c r="E64" i="15"/>
  <c r="K33" i="15"/>
  <c r="L13" i="15"/>
  <c r="M71" i="15"/>
  <c r="J32" i="15"/>
  <c r="C18" i="15"/>
  <c r="U75" i="15"/>
  <c r="T54" i="15"/>
  <c r="U42" i="15"/>
  <c r="C60" i="15"/>
  <c r="H62" i="15"/>
  <c r="P100" i="15"/>
  <c r="O112" i="15"/>
  <c r="B118" i="15"/>
  <c r="T38" i="15"/>
  <c r="H44" i="15"/>
  <c r="K10" i="15"/>
  <c r="I31" i="15"/>
  <c r="R87" i="15"/>
  <c r="N73" i="15"/>
  <c r="L80" i="15"/>
  <c r="U71" i="15"/>
  <c r="L102" i="15"/>
  <c r="G63" i="15"/>
  <c r="C79" i="15"/>
  <c r="R88" i="15"/>
  <c r="N75" i="15"/>
  <c r="G52" i="15"/>
  <c r="I105" i="15"/>
  <c r="U72" i="15"/>
  <c r="K118" i="15"/>
  <c r="O71" i="15"/>
  <c r="U50" i="15"/>
  <c r="M64" i="15"/>
  <c r="D54" i="15"/>
  <c r="T78" i="15"/>
  <c r="K74" i="15"/>
  <c r="J99" i="15"/>
  <c r="K82" i="15"/>
  <c r="L65" i="15"/>
  <c r="K66" i="15"/>
  <c r="S67" i="15"/>
  <c r="R76" i="15"/>
  <c r="S119" i="15"/>
  <c r="H7" i="15"/>
  <c r="P74" i="15"/>
  <c r="P24" i="15"/>
  <c r="E44" i="15"/>
  <c r="P39" i="15"/>
  <c r="K22" i="15"/>
  <c r="N97" i="15"/>
  <c r="K55" i="15"/>
  <c r="R34" i="15"/>
  <c r="F40" i="15"/>
  <c r="P102" i="15"/>
  <c r="N55" i="15"/>
  <c r="K79" i="15"/>
  <c r="D85" i="15"/>
  <c r="O32" i="15"/>
  <c r="D109" i="15"/>
  <c r="M48" i="15"/>
  <c r="J98" i="15"/>
  <c r="P71" i="15"/>
  <c r="F12" i="15"/>
  <c r="T12" i="15"/>
  <c r="M28" i="15"/>
  <c r="T64" i="15"/>
  <c r="N45" i="15"/>
  <c r="J116" i="15"/>
  <c r="G54" i="15"/>
  <c r="L111" i="15"/>
  <c r="P76" i="15"/>
  <c r="C49" i="15"/>
  <c r="L50" i="15"/>
  <c r="Q19" i="15"/>
  <c r="E76" i="15"/>
  <c r="H101" i="15"/>
  <c r="M15" i="15"/>
  <c r="K121" i="15"/>
  <c r="T93" i="15"/>
  <c r="E57" i="15"/>
  <c r="C73" i="15"/>
  <c r="N108" i="15"/>
  <c r="H82" i="15"/>
  <c r="Q91" i="15"/>
  <c r="O118" i="15"/>
  <c r="N103" i="15"/>
  <c r="R100" i="15"/>
  <c r="H15" i="15"/>
  <c r="S49" i="15"/>
  <c r="K30" i="15"/>
  <c r="B94" i="15"/>
  <c r="D3" i="15"/>
  <c r="U15" i="15"/>
  <c r="L110" i="15"/>
  <c r="K3" i="15"/>
  <c r="Q11" i="15"/>
  <c r="L84" i="15"/>
  <c r="C45" i="15"/>
  <c r="D106" i="15"/>
  <c r="P110" i="15"/>
  <c r="U1" i="15"/>
  <c r="T81" i="15"/>
  <c r="J14" i="15"/>
  <c r="S102" i="15"/>
  <c r="N24" i="15"/>
  <c r="O119" i="15"/>
  <c r="J69" i="15"/>
  <c r="S111" i="15"/>
  <c r="C72" i="15"/>
  <c r="Q47" i="15"/>
  <c r="I102" i="15"/>
  <c r="D120" i="15"/>
  <c r="G10" i="15"/>
  <c r="J75" i="15"/>
  <c r="M95" i="15"/>
  <c r="F81" i="15"/>
  <c r="G23" i="15"/>
  <c r="J103" i="15"/>
  <c r="D111" i="15"/>
  <c r="S105" i="15"/>
  <c r="J3" i="15"/>
  <c r="M84" i="15"/>
  <c r="L17" i="15"/>
  <c r="J93" i="15"/>
  <c r="P115" i="15"/>
  <c r="G66" i="15"/>
  <c r="N66" i="15"/>
  <c r="K72" i="15"/>
  <c r="K2" i="15"/>
  <c r="M53" i="15"/>
  <c r="O16" i="15"/>
  <c r="M104" i="15"/>
  <c r="F41" i="15"/>
  <c r="D16" i="15"/>
  <c r="I40" i="15"/>
  <c r="L35" i="15"/>
  <c r="D58" i="15"/>
  <c r="L103" i="15"/>
  <c r="L58" i="15"/>
  <c r="R23" i="15"/>
  <c r="B90" i="15"/>
  <c r="E102" i="15"/>
  <c r="J42" i="15"/>
  <c r="N68" i="15"/>
  <c r="L33" i="15"/>
  <c r="G17" i="15"/>
  <c r="T39" i="15"/>
  <c r="Q8" i="15"/>
  <c r="Q97" i="15"/>
  <c r="C97" i="15"/>
  <c r="M121" i="15"/>
  <c r="K36" i="15"/>
  <c r="I73" i="15"/>
  <c r="B83" i="15"/>
  <c r="S17" i="15"/>
  <c r="E66" i="15"/>
  <c r="U26" i="15"/>
  <c r="R8" i="15"/>
  <c r="R111" i="15"/>
  <c r="K84" i="15"/>
  <c r="I112" i="15"/>
  <c r="I24" i="15"/>
  <c r="T9" i="15"/>
  <c r="R11" i="15"/>
  <c r="C61" i="15"/>
  <c r="C24" i="15"/>
  <c r="O39" i="15"/>
  <c r="K57" i="15"/>
  <c r="U56" i="15"/>
  <c r="U28" i="15"/>
  <c r="J92" i="15"/>
  <c r="D117" i="15"/>
  <c r="I8" i="15"/>
  <c r="F111" i="15"/>
  <c r="J111" i="15"/>
  <c r="B42" i="15"/>
  <c r="Q51" i="15"/>
  <c r="K83" i="15"/>
  <c r="R12" i="15"/>
  <c r="L10" i="15"/>
  <c r="P57" i="15"/>
  <c r="M115" i="15"/>
  <c r="B108" i="15"/>
  <c r="O44" i="15"/>
  <c r="I87" i="15"/>
  <c r="N99" i="15"/>
  <c r="N37" i="15"/>
  <c r="I32" i="15"/>
  <c r="I1" i="15"/>
  <c r="U114" i="15"/>
  <c r="L32" i="15"/>
  <c r="M7" i="15"/>
  <c r="M80" i="15"/>
  <c r="H100" i="15"/>
  <c r="C10" i="15"/>
  <c r="N62" i="15"/>
  <c r="E55" i="15"/>
  <c r="S65" i="15"/>
  <c r="L25" i="15"/>
  <c r="F11" i="15"/>
  <c r="P62" i="15"/>
  <c r="O81" i="15"/>
  <c r="R102" i="15"/>
  <c r="E39" i="15"/>
  <c r="T108" i="15"/>
  <c r="N7" i="15"/>
  <c r="P21" i="15"/>
  <c r="P10" i="15"/>
  <c r="D51" i="15"/>
  <c r="N98" i="15"/>
  <c r="F92" i="15"/>
  <c r="J87" i="15"/>
  <c r="C36" i="15"/>
  <c r="B52" i="15"/>
  <c r="C26" i="15"/>
  <c r="Q81" i="15"/>
  <c r="E11" i="15"/>
  <c r="H39" i="15"/>
  <c r="L8" i="15"/>
  <c r="J36" i="15"/>
  <c r="O70" i="15"/>
  <c r="T51" i="15"/>
  <c r="R81" i="15"/>
  <c r="D23" i="15"/>
  <c r="S6" i="15"/>
  <c r="H47" i="15"/>
  <c r="E4" i="15"/>
  <c r="U9" i="15"/>
  <c r="S36" i="15"/>
  <c r="J54" i="15"/>
  <c r="T6" i="15"/>
  <c r="T52" i="15"/>
  <c r="O63" i="15"/>
  <c r="M94" i="15"/>
  <c r="L120" i="15"/>
  <c r="K1" i="15"/>
  <c r="G51" i="15"/>
  <c r="B44" i="15"/>
  <c r="K21" i="15"/>
  <c r="U63" i="15"/>
  <c r="D42" i="15"/>
  <c r="L3" i="15"/>
  <c r="N115" i="15"/>
  <c r="O101" i="15"/>
  <c r="O68" i="15"/>
  <c r="B84" i="15"/>
  <c r="F17" i="15"/>
  <c r="Q4" i="15"/>
  <c r="N21" i="15"/>
  <c r="R84" i="15"/>
  <c r="R90" i="15"/>
  <c r="R114" i="15"/>
  <c r="K41" i="15"/>
  <c r="J115" i="15"/>
  <c r="I97" i="15"/>
  <c r="I62" i="15"/>
  <c r="L105" i="15"/>
  <c r="O4" i="15"/>
  <c r="M61" i="15"/>
  <c r="Q40" i="15"/>
  <c r="M45" i="15"/>
  <c r="F85" i="15"/>
  <c r="K112" i="15"/>
  <c r="F26" i="15"/>
  <c r="N26" i="15"/>
  <c r="R63" i="15"/>
  <c r="N5" i="15"/>
  <c r="F100" i="15"/>
  <c r="F95" i="15"/>
  <c r="U55" i="15"/>
  <c r="Q5" i="15"/>
  <c r="K97" i="15"/>
  <c r="U11" i="15"/>
  <c r="T20" i="15"/>
  <c r="T1" i="15"/>
  <c r="N42" i="15"/>
  <c r="U60" i="15"/>
  <c r="R72" i="15"/>
  <c r="J86" i="15"/>
  <c r="E51" i="15"/>
  <c r="L47" i="15"/>
  <c r="S32" i="15"/>
  <c r="U49" i="15"/>
  <c r="J76" i="15"/>
  <c r="E62" i="15"/>
  <c r="D41" i="15"/>
  <c r="T21" i="15"/>
  <c r="G103" i="15"/>
  <c r="K16" i="15"/>
  <c r="G75" i="15"/>
  <c r="O83" i="15"/>
  <c r="E85" i="15"/>
  <c r="B63" i="15"/>
  <c r="G28" i="15"/>
  <c r="U19" i="15"/>
  <c r="C71" i="15"/>
  <c r="T106" i="15"/>
  <c r="N46" i="15"/>
  <c r="B116" i="15"/>
  <c r="I86" i="15"/>
  <c r="O102" i="15"/>
  <c r="H94" i="15"/>
  <c r="B12" i="15"/>
  <c r="B88" i="15"/>
  <c r="P121" i="15"/>
  <c r="N76" i="15"/>
  <c r="M13" i="15"/>
  <c r="R112" i="15"/>
  <c r="B65" i="15"/>
  <c r="C16" i="15"/>
  <c r="Q60" i="15"/>
  <c r="C41" i="15"/>
  <c r="R30" i="15"/>
  <c r="D81" i="15"/>
  <c r="E18" i="15"/>
  <c r="G88" i="15"/>
  <c r="M50" i="15"/>
  <c r="R33" i="15"/>
  <c r="N12" i="15"/>
  <c r="G73" i="15"/>
  <c r="U64" i="15"/>
  <c r="G40" i="15"/>
  <c r="L61" i="15"/>
  <c r="C17" i="15"/>
  <c r="N81" i="15"/>
  <c r="P54" i="15"/>
  <c r="P90" i="15"/>
  <c r="Q55" i="15"/>
  <c r="E16" i="15"/>
  <c r="I41" i="15"/>
  <c r="G90" i="15"/>
  <c r="C89" i="15"/>
  <c r="B72" i="15"/>
  <c r="K93" i="15"/>
  <c r="B29" i="15"/>
  <c r="H20" i="15"/>
  <c r="E50" i="15"/>
  <c r="G18" i="15"/>
  <c r="C43" i="15"/>
  <c r="P113" i="15"/>
  <c r="I4" i="15"/>
  <c r="L2" i="15"/>
  <c r="N104" i="15"/>
  <c r="H58" i="15"/>
  <c r="J52" i="15"/>
  <c r="P5" i="15"/>
  <c r="T36" i="15"/>
  <c r="B77" i="15"/>
  <c r="G1" i="15"/>
  <c r="R99" i="15"/>
  <c r="C2" i="15"/>
  <c r="Q62" i="15"/>
  <c r="R39" i="15"/>
  <c r="I33" i="15"/>
  <c r="T115" i="15"/>
  <c r="E120" i="15"/>
  <c r="M91" i="15"/>
  <c r="M93" i="15"/>
  <c r="S46" i="15"/>
  <c r="U62" i="15"/>
  <c r="E14" i="15"/>
  <c r="R29" i="15"/>
  <c r="H71" i="15"/>
  <c r="Q119" i="15"/>
  <c r="D2" i="15"/>
  <c r="F49" i="15"/>
  <c r="P19" i="15"/>
  <c r="P89" i="15"/>
  <c r="I27" i="15"/>
  <c r="U35" i="15"/>
  <c r="R41" i="15"/>
  <c r="J37" i="15"/>
  <c r="G56" i="15"/>
  <c r="G116" i="15"/>
  <c r="C118" i="15"/>
  <c r="U16" i="15"/>
  <c r="N3" i="15"/>
  <c r="G76" i="15"/>
  <c r="H43" i="15"/>
  <c r="T4" i="15"/>
  <c r="E42" i="15"/>
  <c r="J55" i="15"/>
  <c r="F83" i="15"/>
  <c r="D1" i="15"/>
  <c r="S44" i="15"/>
  <c r="O95" i="15"/>
  <c r="K85" i="15"/>
  <c r="N18" i="15"/>
  <c r="U36" i="15"/>
  <c r="R13" i="15"/>
  <c r="E104" i="15"/>
  <c r="D34" i="15"/>
  <c r="R96" i="15"/>
  <c r="N113" i="15"/>
  <c r="M18" i="15"/>
  <c r="S73" i="15"/>
  <c r="S69" i="15"/>
  <c r="K47" i="15"/>
  <c r="O59" i="15"/>
  <c r="K119" i="15"/>
  <c r="R18" i="15"/>
  <c r="J109" i="15"/>
  <c r="K98" i="15"/>
  <c r="R74" i="15"/>
  <c r="C48" i="15"/>
  <c r="T22" i="15"/>
  <c r="K28" i="15"/>
  <c r="N92" i="15"/>
  <c r="R38" i="15"/>
  <c r="J27" i="15"/>
  <c r="K18" i="15"/>
  <c r="N111" i="15"/>
  <c r="G95" i="15"/>
  <c r="G25" i="15"/>
  <c r="T27" i="15"/>
  <c r="G91" i="15"/>
  <c r="M46" i="15"/>
  <c r="P104" i="15"/>
  <c r="P1" i="15"/>
  <c r="F97" i="15"/>
  <c r="R54" i="15"/>
  <c r="P82" i="15"/>
  <c r="H6" i="15"/>
  <c r="C108" i="15"/>
  <c r="F82" i="15"/>
  <c r="N100" i="15"/>
  <c r="I50" i="15"/>
  <c r="M25" i="15"/>
  <c r="L40" i="15"/>
  <c r="E71" i="15"/>
  <c r="R16" i="15"/>
  <c r="H18" i="15"/>
  <c r="Q109" i="15"/>
  <c r="J94" i="15"/>
  <c r="K75" i="15"/>
  <c r="O9" i="15"/>
  <c r="Q120" i="15"/>
  <c r="J101" i="15"/>
  <c r="P92" i="15"/>
  <c r="D44" i="15"/>
  <c r="R31" i="15"/>
  <c r="J13" i="15"/>
  <c r="E119" i="15"/>
  <c r="M57" i="15"/>
  <c r="Q28" i="15"/>
  <c r="S109" i="15"/>
  <c r="R2" i="15"/>
  <c r="K12" i="15"/>
  <c r="C109" i="15"/>
  <c r="R43" i="15"/>
  <c r="Q29" i="15"/>
  <c r="M37" i="15"/>
  <c r="K81" i="15"/>
  <c r="H80" i="15"/>
  <c r="R71" i="15"/>
  <c r="G96" i="15"/>
  <c r="G113" i="15"/>
  <c r="U51" i="15"/>
  <c r="F91" i="15"/>
  <c r="C82" i="15"/>
  <c r="I39" i="15"/>
  <c r="E63" i="15"/>
  <c r="N91" i="15"/>
  <c r="K60" i="15"/>
  <c r="H30" i="15"/>
  <c r="L21" i="15"/>
  <c r="E2" i="15"/>
  <c r="I82" i="15"/>
  <c r="R106" i="15"/>
  <c r="T69" i="15"/>
  <c r="S61" i="15"/>
  <c r="R101" i="15"/>
  <c r="F34" i="15"/>
  <c r="O7" i="15"/>
  <c r="O107" i="15"/>
  <c r="K63" i="15"/>
  <c r="T16" i="15"/>
  <c r="L18" i="15"/>
  <c r="E38" i="15"/>
  <c r="C34" i="15"/>
  <c r="J24" i="15"/>
  <c r="C85" i="15"/>
  <c r="L90" i="15"/>
  <c r="O26" i="15"/>
  <c r="S21" i="15"/>
  <c r="H51" i="15"/>
  <c r="C38" i="15"/>
  <c r="Q37" i="15"/>
  <c r="R61" i="15"/>
  <c r="M43" i="15"/>
  <c r="P14" i="15"/>
  <c r="G39" i="15"/>
  <c r="N29" i="15"/>
  <c r="F25" i="15"/>
  <c r="T37" i="15"/>
  <c r="P70" i="15"/>
  <c r="M90" i="15"/>
  <c r="Q9" i="15"/>
  <c r="I26" i="15"/>
  <c r="M32" i="15"/>
  <c r="M102" i="15"/>
  <c r="S48" i="15"/>
  <c r="S78" i="15"/>
  <c r="O48" i="15"/>
  <c r="S31" i="15"/>
  <c r="L23" i="15"/>
  <c r="J48" i="15"/>
  <c r="P88" i="15"/>
  <c r="U24" i="15"/>
  <c r="O41" i="15"/>
  <c r="B9" i="15"/>
  <c r="Q46" i="15"/>
  <c r="D100" i="15"/>
  <c r="E77" i="15"/>
  <c r="H48" i="15"/>
  <c r="G94" i="15"/>
  <c r="T110" i="15"/>
  <c r="M73" i="15"/>
  <c r="C56" i="15"/>
  <c r="O94" i="15"/>
  <c r="M120" i="15"/>
  <c r="M14" i="15"/>
  <c r="J77" i="15"/>
  <c r="E90" i="15"/>
  <c r="B87" i="15"/>
  <c r="S120" i="15"/>
  <c r="I76" i="15"/>
  <c r="P108" i="15"/>
  <c r="F68" i="15"/>
  <c r="B14" i="15"/>
  <c r="N48" i="15"/>
  <c r="C112" i="15"/>
  <c r="C25" i="15"/>
  <c r="J88" i="15"/>
  <c r="H116" i="15"/>
  <c r="H74" i="15"/>
  <c r="P2" i="15"/>
  <c r="J79" i="15"/>
  <c r="S27" i="15"/>
  <c r="K77" i="15"/>
  <c r="S116" i="15"/>
  <c r="R19" i="15"/>
  <c r="C5" i="15"/>
  <c r="F54" i="15"/>
  <c r="J59" i="15"/>
  <c r="T97" i="15"/>
  <c r="O100" i="15"/>
  <c r="J6" i="15"/>
  <c r="C93" i="15"/>
  <c r="G55" i="15"/>
  <c r="P34" i="15"/>
  <c r="D71" i="15"/>
  <c r="R98" i="15"/>
  <c r="S70" i="15"/>
  <c r="J120" i="15"/>
  <c r="M26" i="15"/>
  <c r="S12" i="15"/>
  <c r="E83" i="15"/>
  <c r="S41" i="15"/>
  <c r="E12" i="15"/>
  <c r="D86" i="15"/>
  <c r="G65" i="15"/>
  <c r="C59" i="15"/>
  <c r="I68" i="15"/>
  <c r="C99" i="15"/>
  <c r="T74" i="15"/>
  <c r="N65" i="15"/>
  <c r="L7" i="15"/>
  <c r="G70" i="15"/>
  <c r="C44" i="15"/>
  <c r="B51" i="15"/>
  <c r="C90" i="15"/>
  <c r="P78" i="15"/>
  <c r="I106" i="15"/>
  <c r="C116" i="15"/>
  <c r="T77" i="15"/>
  <c r="F42" i="19"/>
  <c r="S17" i="11" l="1"/>
  <c r="Y17" i="11" s="1"/>
  <c r="F43" i="19"/>
  <c r="Z17" i="11" l="1"/>
  <c r="AA17" i="11"/>
  <c r="F44" i="19"/>
  <c r="F45" i="19" l="1"/>
  <c r="F46" i="19" l="1"/>
  <c r="F47" i="19" l="1"/>
  <c r="F48" i="19" l="1"/>
  <c r="E18" i="11"/>
  <c r="F18" i="11"/>
  <c r="F49" i="19" l="1"/>
  <c r="G18" i="11"/>
  <c r="F50" i="19" l="1"/>
  <c r="F51" i="19" l="1"/>
  <c r="F52" i="19" l="1"/>
  <c r="F53" i="19" l="1"/>
  <c r="F54" i="19" l="1"/>
  <c r="F55" i="19" l="1"/>
  <c r="F56" i="19" l="1"/>
  <c r="F57" i="19" l="1"/>
  <c r="F58" i="19" l="1"/>
  <c r="F59" i="19" l="1"/>
  <c r="F60" i="19" l="1"/>
  <c r="E19" i="11"/>
  <c r="F19" i="11"/>
  <c r="F61" i="19" l="1"/>
  <c r="G19" i="11"/>
  <c r="F62" i="19" l="1"/>
  <c r="F63" i="19" l="1"/>
  <c r="F64" i="19" l="1"/>
  <c r="F65" i="19" l="1"/>
  <c r="F66" i="19" l="1"/>
  <c r="F67" i="19" l="1"/>
  <c r="F68" i="19" l="1"/>
  <c r="F69" i="19" l="1"/>
  <c r="F70" i="19" l="1"/>
  <c r="F71" i="19" l="1"/>
  <c r="F72" i="19" l="1"/>
  <c r="F73" i="19" l="1"/>
  <c r="F74" i="19" l="1"/>
  <c r="F75" i="19" l="1"/>
  <c r="F76" i="19" l="1"/>
  <c r="F77" i="19" l="1"/>
  <c r="F78" i="19" l="1"/>
  <c r="F79" i="19" l="1"/>
  <c r="F80" i="19" l="1"/>
  <c r="F20" i="11"/>
  <c r="E20" i="11"/>
  <c r="F81" i="19" l="1"/>
  <c r="G20" i="11"/>
  <c r="H20" i="11" s="1"/>
  <c r="I20" i="11" s="1"/>
  <c r="J20" i="11" l="1"/>
  <c r="R20" i="11" s="1"/>
  <c r="F82" i="19"/>
  <c r="S20" i="11" l="1"/>
  <c r="Y20" i="11" s="1"/>
  <c r="F83" i="19"/>
  <c r="Z20" i="11" l="1"/>
  <c r="AA20" i="11"/>
  <c r="F84" i="19"/>
  <c r="F85" i="19" l="1"/>
  <c r="F86" i="19" l="1"/>
  <c r="F87" i="19" l="1"/>
  <c r="F88" i="19" l="1"/>
  <c r="F89" i="19" l="1"/>
  <c r="F90" i="19" l="1"/>
  <c r="F91" i="19" l="1"/>
  <c r="F92" i="19" l="1"/>
  <c r="F93" i="19" l="1"/>
  <c r="F94" i="19" l="1"/>
  <c r="F95" i="19" l="1"/>
  <c r="F96" i="19" l="1"/>
  <c r="F97" i="19" l="1"/>
  <c r="F98" i="19" l="1"/>
  <c r="F99" i="19" l="1"/>
  <c r="F100" i="19" l="1"/>
  <c r="F21" i="11"/>
  <c r="E21" i="11"/>
  <c r="F101" i="19" l="1"/>
  <c r="G21" i="11"/>
  <c r="H21" i="11" s="1"/>
  <c r="I21" i="11" s="1"/>
  <c r="J21" i="11" l="1"/>
  <c r="R21" i="11" s="1"/>
  <c r="F102" i="19"/>
  <c r="S21" i="11" l="1"/>
  <c r="Y21" i="11" s="1"/>
  <c r="AA21" i="11" s="1"/>
  <c r="F103" i="19"/>
  <c r="Z21" i="11" l="1"/>
  <c r="F104" i="19"/>
  <c r="F105" i="19" l="1"/>
  <c r="F106" i="19" l="1"/>
  <c r="F107" i="19" l="1"/>
  <c r="F108" i="19" l="1"/>
  <c r="F109" i="19" l="1"/>
  <c r="F110" i="19" l="1"/>
  <c r="F111" i="19" l="1"/>
  <c r="F112" i="19" l="1"/>
  <c r="F113" i="19" l="1"/>
  <c r="F114" i="19" l="1"/>
  <c r="F115" i="19" l="1"/>
  <c r="F116" i="19" l="1"/>
  <c r="F117" i="19" l="1"/>
  <c r="F118" i="19" l="1"/>
  <c r="F119" i="19" l="1"/>
  <c r="F120" i="19" l="1"/>
  <c r="F22" i="11"/>
  <c r="E22" i="11"/>
  <c r="F121" i="19" l="1"/>
  <c r="G22" i="11"/>
  <c r="F122" i="19" l="1"/>
  <c r="F123" i="19" l="1"/>
  <c r="F124" i="19" l="1"/>
  <c r="F125" i="19" l="1"/>
  <c r="F126" i="19" l="1"/>
  <c r="F127" i="19" l="1"/>
  <c r="F128" i="19" l="1"/>
  <c r="F129" i="19" l="1"/>
  <c r="F130" i="19" l="1"/>
  <c r="F131" i="19" l="1"/>
  <c r="F132" i="19" l="1"/>
  <c r="F133" i="19" l="1"/>
  <c r="F134" i="19" l="1"/>
  <c r="F135" i="19" l="1"/>
  <c r="F136" i="19" l="1"/>
  <c r="F137" i="19" l="1"/>
  <c r="F138" i="19" l="1"/>
  <c r="F139" i="19" l="1"/>
  <c r="F140" i="19" l="1"/>
  <c r="F141" i="19" l="1"/>
  <c r="F142" i="19" l="1"/>
  <c r="F143" i="19" l="1"/>
  <c r="F144" i="19" l="1"/>
  <c r="F145" i="19" l="1"/>
  <c r="F146" i="19" l="1"/>
  <c r="F147" i="19" l="1"/>
  <c r="F148" i="19" l="1"/>
  <c r="F149" i="19" l="1"/>
  <c r="F150" i="19" l="1"/>
  <c r="F151" i="19" l="1"/>
  <c r="F152" i="19" l="1"/>
  <c r="F153" i="19" l="1"/>
  <c r="F154" i="19" l="1"/>
  <c r="F155" i="19" l="1"/>
  <c r="F156" i="19" l="1"/>
  <c r="F157" i="19" l="1"/>
  <c r="F158" i="19" l="1"/>
  <c r="F159" i="19" l="1"/>
  <c r="F160" i="19" l="1"/>
  <c r="E23" i="11"/>
  <c r="F23" i="11"/>
  <c r="F161" i="19" l="1"/>
  <c r="G23" i="11"/>
  <c r="F162" i="19" l="1"/>
  <c r="F163" i="19" l="1"/>
  <c r="F164" i="19" l="1"/>
  <c r="F165" i="19" l="1"/>
  <c r="F166" i="19" l="1"/>
  <c r="F167" i="19" l="1"/>
  <c r="F168" i="19" l="1"/>
  <c r="F169" i="19" l="1"/>
  <c r="F170" i="19" l="1"/>
  <c r="F171" i="19" l="1"/>
  <c r="F172" i="19" l="1"/>
  <c r="F173" i="19" l="1"/>
  <c r="F174" i="19" l="1"/>
  <c r="F175" i="19" l="1"/>
  <c r="F176" i="19" l="1"/>
  <c r="F177" i="19" l="1"/>
  <c r="F178" i="19" l="1"/>
  <c r="F179" i="19" l="1"/>
  <c r="F180" i="19" l="1"/>
  <c r="F181" i="19" l="1"/>
  <c r="F182" i="19" l="1"/>
  <c r="F183" i="19" l="1"/>
  <c r="F184" i="19" l="1"/>
  <c r="F185" i="19" l="1"/>
  <c r="F186" i="19" l="1"/>
  <c r="F187" i="19" l="1"/>
  <c r="F188" i="19" l="1"/>
  <c r="F189" i="19" l="1"/>
  <c r="F190" i="19" l="1"/>
  <c r="F191" i="19" l="1"/>
  <c r="F192" i="19" l="1"/>
  <c r="F193" i="19" l="1"/>
  <c r="F194" i="19" l="1"/>
  <c r="F195" i="19" l="1"/>
  <c r="F196" i="19" l="1"/>
  <c r="F197" i="19" l="1"/>
  <c r="F198" i="19" l="1"/>
  <c r="F199" i="19" l="1"/>
  <c r="F200" i="19" l="1"/>
  <c r="E24" i="11"/>
  <c r="F24" i="11"/>
  <c r="F201" i="19" l="1"/>
  <c r="G24" i="11"/>
  <c r="H24" i="11" s="1"/>
  <c r="I24" i="11" s="1"/>
  <c r="J24" i="11" l="1"/>
  <c r="R24" i="11" s="1"/>
  <c r="S24" i="11" l="1"/>
  <c r="Y24" i="11" s="1"/>
  <c r="AA24" i="11" s="1"/>
  <c r="Z24" i="11" l="1"/>
  <c r="H15" i="11" l="1"/>
  <c r="H22" i="11"/>
  <c r="I22" i="11"/>
  <c r="J22" i="11"/>
  <c r="R22" i="11" s="1"/>
  <c r="I15" i="11"/>
  <c r="S22" i="11" l="1"/>
  <c r="Y22" i="11" s="1"/>
  <c r="AA22" i="11" s="1"/>
  <c r="J15" i="11"/>
  <c r="R15" i="11" s="1"/>
  <c r="A2" i="15" a="1"/>
  <c r="Z22" i="11" l="1"/>
  <c r="S15" i="11"/>
  <c r="Y15" i="11" s="1"/>
  <c r="A121" i="15"/>
  <c r="A73" i="15"/>
  <c r="A52" i="15"/>
  <c r="A42" i="15"/>
  <c r="A4" i="15"/>
  <c r="A24" i="15"/>
  <c r="A83" i="15"/>
  <c r="A113" i="15"/>
  <c r="A119" i="15"/>
  <c r="A107" i="15"/>
  <c r="A59" i="15"/>
  <c r="A41" i="15"/>
  <c r="A77" i="15"/>
  <c r="A101" i="15"/>
  <c r="A19" i="15"/>
  <c r="A112" i="15"/>
  <c r="A32" i="15"/>
  <c r="A105" i="15"/>
  <c r="A110" i="15"/>
  <c r="A115" i="15"/>
  <c r="A93" i="15"/>
  <c r="A3" i="15"/>
  <c r="A30" i="15"/>
  <c r="A27" i="15"/>
  <c r="A26" i="15"/>
  <c r="A5" i="15"/>
  <c r="A82" i="15"/>
  <c r="A96" i="15"/>
  <c r="A2" i="15"/>
  <c r="A18" i="15"/>
  <c r="A6" i="15"/>
  <c r="A56" i="15"/>
  <c r="A64" i="15"/>
  <c r="A108" i="15"/>
  <c r="A36" i="15"/>
  <c r="A48" i="15"/>
  <c r="A99" i="15"/>
  <c r="A85" i="15"/>
  <c r="A38" i="15"/>
  <c r="A49" i="15"/>
  <c r="A33" i="15"/>
  <c r="A118" i="15"/>
  <c r="A44" i="15"/>
  <c r="A65" i="15"/>
  <c r="A11" i="15"/>
  <c r="A70" i="15"/>
  <c r="A29" i="15"/>
  <c r="A109" i="15"/>
  <c r="A84" i="15"/>
  <c r="A20" i="15"/>
  <c r="A60" i="15"/>
  <c r="A90" i="15"/>
  <c r="A37" i="15"/>
  <c r="A75" i="15"/>
  <c r="A79" i="15"/>
  <c r="A25" i="15"/>
  <c r="A91" i="15"/>
  <c r="A67" i="15"/>
  <c r="A97" i="15"/>
  <c r="A106" i="15"/>
  <c r="A95" i="15"/>
  <c r="A120" i="15"/>
  <c r="A72" i="15"/>
  <c r="A94" i="15"/>
  <c r="A76" i="15"/>
  <c r="A50" i="15"/>
  <c r="A61" i="15"/>
  <c r="A28" i="15"/>
  <c r="A68" i="15"/>
  <c r="A15" i="15"/>
  <c r="A16" i="15"/>
  <c r="A98" i="15"/>
  <c r="A116" i="15"/>
  <c r="A45" i="15"/>
  <c r="A89" i="15"/>
  <c r="A71" i="15"/>
  <c r="A63" i="15"/>
  <c r="A31" i="15"/>
  <c r="A51" i="15"/>
  <c r="A69" i="15"/>
  <c r="A57" i="15"/>
  <c r="A34" i="15"/>
  <c r="A17" i="15"/>
  <c r="A62" i="15"/>
  <c r="A80" i="15"/>
  <c r="A103" i="15"/>
  <c r="A66" i="15"/>
  <c r="A23" i="15"/>
  <c r="A102" i="15"/>
  <c r="A7" i="15"/>
  <c r="A53" i="15"/>
  <c r="A21" i="15"/>
  <c r="A92" i="15"/>
  <c r="A13" i="15"/>
  <c r="A111" i="15"/>
  <c r="A104" i="15"/>
  <c r="A9" i="15"/>
  <c r="A47" i="15"/>
  <c r="A117" i="15"/>
  <c r="A39" i="15"/>
  <c r="A43" i="15"/>
  <c r="A40" i="15"/>
  <c r="A100" i="15"/>
  <c r="A8" i="15"/>
  <c r="A74" i="15"/>
  <c r="A81" i="15"/>
  <c r="A58" i="15"/>
  <c r="A14" i="15"/>
  <c r="A12" i="15"/>
  <c r="A88" i="15"/>
  <c r="A22" i="15"/>
  <c r="A78" i="15"/>
  <c r="A87" i="15"/>
  <c r="A10" i="15"/>
  <c r="A86" i="15"/>
  <c r="A54" i="15"/>
  <c r="A46" i="15"/>
  <c r="A35" i="15"/>
  <c r="A114" i="15"/>
  <c r="A55" i="15"/>
  <c r="O4" i="11"/>
  <c r="P4" i="11"/>
  <c r="Q4" i="11"/>
  <c r="Z15" i="11" l="1"/>
  <c r="R4" i="11"/>
  <c r="S4" i="11" l="1"/>
  <c r="Y4" i="11" s="1"/>
  <c r="H19" i="11"/>
  <c r="H11" i="11"/>
  <c r="I11" i="11"/>
  <c r="H8" i="11"/>
  <c r="I8" i="11"/>
  <c r="H23" i="11"/>
  <c r="I23" i="11"/>
  <c r="I19" i="11"/>
  <c r="H18" i="11"/>
  <c r="H13" i="11"/>
  <c r="H14" i="11"/>
  <c r="H10" i="11"/>
  <c r="I10" i="11"/>
  <c r="I18" i="11"/>
  <c r="I13" i="11"/>
  <c r="I14" i="11"/>
  <c r="Z4" i="11" l="1"/>
  <c r="AA4" i="11"/>
  <c r="J10" i="11"/>
  <c r="R10" i="11" s="1"/>
  <c r="J19" i="11"/>
  <c r="R19" i="11" s="1"/>
  <c r="J11" i="11"/>
  <c r="R11" i="11" s="1"/>
  <c r="J14" i="11"/>
  <c r="R14" i="11" s="1"/>
  <c r="J23" i="11"/>
  <c r="R23" i="11" s="1"/>
  <c r="J13" i="11"/>
  <c r="R13" i="11" s="1"/>
  <c r="J18" i="11"/>
  <c r="R18" i="11" s="1"/>
  <c r="J8" i="11"/>
  <c r="R8" i="11" s="1"/>
  <c r="S13" i="11" l="1"/>
  <c r="Y13" i="11" s="1"/>
  <c r="AA13" i="11" s="1"/>
  <c r="S23" i="11"/>
  <c r="Y23" i="11" s="1"/>
  <c r="AA23" i="11" s="1"/>
  <c r="S14" i="11"/>
  <c r="Y14" i="11" s="1"/>
  <c r="AA14" i="11" s="1"/>
  <c r="S11" i="11"/>
  <c r="Y11" i="11" s="1"/>
  <c r="AA11" i="11" s="1"/>
  <c r="S19" i="11"/>
  <c r="Y19" i="11" s="1"/>
  <c r="S8" i="11"/>
  <c r="Y8" i="11" s="1"/>
  <c r="S18" i="11"/>
  <c r="Y18" i="11" s="1"/>
  <c r="S10" i="11"/>
  <c r="Y10" i="11" s="1"/>
  <c r="AA10" i="11" s="1"/>
  <c r="Z8" i="11" l="1"/>
  <c r="AA8" i="11"/>
  <c r="Z19" i="11"/>
  <c r="AA19" i="11"/>
  <c r="Z18" i="11"/>
  <c r="AA18" i="11"/>
  <c r="Z10" i="11"/>
  <c r="Z11" i="11"/>
  <c r="Z14" i="11"/>
  <c r="Z23" i="11"/>
  <c r="Z13" i="11"/>
</calcChain>
</file>

<file path=xl/comments1.xml><?xml version="1.0" encoding="utf-8"?>
<comments xmlns="http://schemas.openxmlformats.org/spreadsheetml/2006/main">
  <authors>
    <author>ZANZI MADDALENA</author>
  </authors>
  <commentList>
    <comment ref="C16" authorId="0">
      <text>
        <r>
          <rPr>
            <sz val="9"/>
            <color indexed="81"/>
            <rFont val="Tahoma"/>
            <family val="2"/>
          </rPr>
          <t xml:space="preserve">1 if the domestic currency is unitary in the fx exchange, otherwise -1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CCS Maturity</t>
        </r>
      </text>
    </comment>
  </commentList>
</comments>
</file>

<file path=xl/comments3.xml><?xml version="1.0" encoding="utf-8"?>
<comments xmlns="http://schemas.openxmlformats.org/spreadsheetml/2006/main">
  <authors>
    <author>ZANZI MADDALENA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CCS Maturity</t>
        </r>
      </text>
    </comment>
  </commentList>
</comments>
</file>

<file path=xl/sharedStrings.xml><?xml version="1.0" encoding="utf-8"?>
<sst xmlns="http://schemas.openxmlformats.org/spreadsheetml/2006/main" count="266" uniqueCount="138">
  <si>
    <t>SN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</si>
  <si>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</si>
  <si>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</si>
  <si>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</si>
  <si>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</si>
  <si>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</si>
  <si>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</si>
  <si>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</si>
  <si>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</si>
  <si>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</si>
  <si>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</si>
  <si>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</si>
  <si>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</si>
  <si>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</si>
  <si>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</si>
  <si>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</si>
  <si>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</si>
  <si>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</si>
  <si>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</si>
  <si>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</si>
  <si>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</si>
  <si>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</si>
  <si>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</si>
  <si>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</si>
  <si>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</si>
  <si>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</si>
  <si>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</si>
  <si>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</si>
  <si>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Trigger</t>
  </si>
  <si>
    <t>EvaluationDate</t>
  </si>
  <si>
    <t>SettlementDays</t>
  </si>
  <si>
    <t>SettlementDate</t>
  </si>
  <si>
    <t>JoinHolidays</t>
  </si>
  <si>
    <t>UnitedStates::Settlement</t>
  </si>
  <si>
    <t>StartDate</t>
  </si>
  <si>
    <t>EndDate</t>
  </si>
  <si>
    <t>USD</t>
  </si>
  <si>
    <t>ForeignDiscount</t>
  </si>
  <si>
    <t>Effective Date</t>
  </si>
  <si>
    <t>Tenor</t>
  </si>
  <si>
    <t>Business Day Convention</t>
  </si>
  <si>
    <t>Modified Following</t>
  </si>
  <si>
    <t>Termination Date Convention</t>
  </si>
  <si>
    <t>Date Generation</t>
  </si>
  <si>
    <t>Backward</t>
  </si>
  <si>
    <t>End Of Month</t>
  </si>
  <si>
    <t>Schedule ID</t>
  </si>
  <si>
    <t>Payment Adjustment</t>
  </si>
  <si>
    <t>Following</t>
  </si>
  <si>
    <t>Notional</t>
  </si>
  <si>
    <t>Index Fixing Days</t>
  </si>
  <si>
    <t>In Arrears</t>
  </si>
  <si>
    <t>Payment DayCounter</t>
  </si>
  <si>
    <t>Actual/360</t>
  </si>
  <si>
    <t>Gearing</t>
  </si>
  <si>
    <t>Index</t>
  </si>
  <si>
    <t>Payment Calendar</t>
  </si>
  <si>
    <t>Settlement Days</t>
  </si>
  <si>
    <t>Discount</t>
  </si>
  <si>
    <t>CCS NPV</t>
  </si>
  <si>
    <t>Unadjusted</t>
  </si>
  <si>
    <t>JoinedCalendarRule</t>
  </si>
  <si>
    <t>JoinedCalendar</t>
  </si>
  <si>
    <t>USDLibor3M</t>
  </si>
  <si>
    <t>Domestic Leg</t>
  </si>
  <si>
    <t>Foreign Leg</t>
  </si>
  <si>
    <t>PeriodicFlows</t>
  </si>
  <si>
    <t>All Flows</t>
  </si>
  <si>
    <t>BID</t>
  </si>
  <si>
    <t>ASK</t>
  </si>
  <si>
    <t>Outright</t>
  </si>
  <si>
    <t>YearFraction</t>
  </si>
  <si>
    <t>MID</t>
  </si>
  <si>
    <t>ForeignDiscountCurve</t>
  </si>
  <si>
    <t>General Settings</t>
  </si>
  <si>
    <t>Domestic Settings</t>
  </si>
  <si>
    <t>DomesticDiscountCurve</t>
  </si>
  <si>
    <t>Foreign Settings</t>
  </si>
  <si>
    <t>TraitsID</t>
  </si>
  <si>
    <t>InterpolatorID</t>
  </si>
  <si>
    <t>BaseYieldCurve</t>
  </si>
  <si>
    <t>DomesticCalendar</t>
  </si>
  <si>
    <t>ForeignCalendar</t>
  </si>
  <si>
    <t>GEN_VAL1</t>
  </si>
  <si>
    <t>GEN_VAL2</t>
  </si>
  <si>
    <t>FxPoint</t>
  </si>
  <si>
    <t>IncludeFlag</t>
  </si>
  <si>
    <t>Outright Check</t>
  </si>
  <si>
    <t>DomesticDiscount</t>
  </si>
  <si>
    <t>MonotonicLogCubicNaturalSpline</t>
  </si>
  <si>
    <t>Term</t>
  </si>
  <si>
    <t>TerminationDate</t>
  </si>
  <si>
    <t xml:space="preserve"> </t>
  </si>
  <si>
    <t>DomesticLegNPV</t>
  </si>
  <si>
    <t>Market Quotes</t>
  </si>
  <si>
    <t>CCS Par Spread</t>
  </si>
  <si>
    <t>CCS Settings</t>
  </si>
  <si>
    <t>Instrument</t>
  </si>
  <si>
    <t>PayFlag</t>
  </si>
  <si>
    <t>Rate</t>
  </si>
  <si>
    <t>ForeignDepo</t>
  </si>
  <si>
    <t>Fixing Calendar</t>
  </si>
  <si>
    <t>UnitedKingdom::Exchange</t>
  </si>
  <si>
    <t>Error</t>
  </si>
  <si>
    <t>In Bid-Ask</t>
  </si>
  <si>
    <t>Bid-Ask Spread</t>
  </si>
  <si>
    <t>TARGET</t>
  </si>
  <si>
    <t>DomesticCurrency</t>
  </si>
  <si>
    <t>ForeignCurrency</t>
  </si>
  <si>
    <t>DomesticUnitFx</t>
  </si>
  <si>
    <t>12Y</t>
  </si>
  <si>
    <t>15Y</t>
  </si>
  <si>
    <t>20Y</t>
  </si>
  <si>
    <t>Renotioning</t>
  </si>
  <si>
    <t>25Y</t>
  </si>
  <si>
    <t>30Y</t>
  </si>
  <si>
    <t>40Y</t>
  </si>
  <si>
    <t>50Y</t>
  </si>
  <si>
    <t>Schedule Dates</t>
  </si>
  <si>
    <t>Payment Dates</t>
  </si>
  <si>
    <t>Foreign Discounts</t>
  </si>
  <si>
    <t>Domestic Disocunts</t>
  </si>
  <si>
    <t>Outrights</t>
  </si>
  <si>
    <t>Final Notionals Exchange</t>
  </si>
  <si>
    <t>Initial Notionals Exchange</t>
  </si>
  <si>
    <t>Initial Notional</t>
  </si>
  <si>
    <t>Final Notional</t>
  </si>
  <si>
    <t>FxPoints</t>
  </si>
  <si>
    <t>ForeignLegNPV</t>
  </si>
  <si>
    <t>ForeignLegBPS</t>
  </si>
  <si>
    <t>Quotes from</t>
  </si>
  <si>
    <t>MarketQuotes</t>
  </si>
  <si>
    <t>Final Notional Exchange</t>
  </si>
  <si>
    <t>Initial Notional Exchange</t>
  </si>
  <si>
    <t>CNH</t>
  </si>
  <si>
    <t>HongKong::HKEx</t>
  </si>
  <si>
    <t>The record could not be found</t>
  </si>
  <si>
    <t>TRHK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</si>
</sst>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ddd\,\ dd\-mmm\-yyyy"/>
    <numFmt numFmtId="165" formatCode="0.0000%"/>
    <numFmt numFmtId="166" formatCode="0.000000000"/>
    <numFmt numFmtId="167" formatCode="0.000000"/>
    <numFmt numFmtId="168" formatCode="0.00000%"/>
    <numFmt numFmtId="169" formatCode="ddd\,\ dd\-mmm\-yyyy\,\ hh:mm:ss"/>
    <numFmt numFmtId="170" formatCode="0.0000"/>
    <numFmt numFmtId="171" formatCode="_-[$€]\ * #,##0.00_-;\-[$€]\ * #,##0.00_-;_-[$€]\ * &quot;-&quot;??_-;_-@_-"/>
    <numFmt numFmtId="172" formatCode="General_)"/>
    <numFmt numFmtId="173" formatCode="#,##0.0;#,##0.0"/>
    <numFmt numFmtId="174" formatCode="&quot;£&quot;#,##0;[Red]\-&quot;£&quot;#,##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color indexed="8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2"/>
      <name val="Courier New"/>
      <family val="3"/>
    </font>
    <font>
      <b/>
      <sz val="8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10"/>
      <color theme="1"/>
      <name val="Courier New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gray0625">
        <fgColor indexed="22"/>
        <bgColor indexed="9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59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6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9" fillId="23" borderId="8" applyNumberFormat="0" applyAlignment="0" applyProtection="0"/>
    <xf numFmtId="0" fontId="10" fillId="0" borderId="9" applyNumberFormat="0" applyFill="0" applyAlignment="0" applyProtection="0"/>
    <xf numFmtId="0" fontId="11" fillId="24" borderId="10" applyNumberFormat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2" borderId="0" applyNumberFormat="0" applyBorder="0" applyAlignment="0" applyProtection="0"/>
    <xf numFmtId="171" fontId="4" fillId="0" borderId="0" applyFont="0" applyFill="0" applyBorder="0" applyAlignment="0" applyProtection="0"/>
    <xf numFmtId="0" fontId="12" fillId="10" borderId="8" applyNumberFormat="0" applyAlignment="0" applyProtection="0"/>
    <xf numFmtId="41" fontId="13" fillId="0" borderId="0" applyFont="0" applyFill="0" applyBorder="0" applyAlignment="0" applyProtection="0"/>
    <xf numFmtId="0" fontId="14" fillId="25" borderId="0" applyNumberFormat="0" applyBorder="0" applyAlignment="0" applyProtection="0"/>
    <xf numFmtId="0" fontId="4" fillId="26" borderId="14" applyNumberFormat="0" applyFont="0" applyAlignment="0" applyProtection="0"/>
    <xf numFmtId="0" fontId="15" fillId="23" borderId="1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16" applyNumberFormat="0" applyFill="0" applyAlignment="0" applyProtection="0"/>
    <xf numFmtId="0" fontId="23" fillId="6" borderId="0" applyNumberFormat="0" applyBorder="0" applyAlignment="0" applyProtection="0"/>
    <xf numFmtId="0" fontId="24" fillId="7" borderId="0" applyNumberFormat="0" applyBorder="0" applyAlignment="0" applyProtection="0"/>
    <xf numFmtId="42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40" fontId="27" fillId="0" borderId="0" applyFont="0" applyFill="0" applyBorder="0" applyAlignment="0" applyProtection="0"/>
    <xf numFmtId="0" fontId="4" fillId="0" borderId="0"/>
    <xf numFmtId="0" fontId="6" fillId="0" borderId="0"/>
    <xf numFmtId="172" fontId="28" fillId="0" borderId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29" fillId="29" borderId="0">
      <alignment horizontal="center" vertical="center"/>
    </xf>
    <xf numFmtId="174" fontId="27" fillId="0" borderId="0" applyFont="0" applyFill="0" applyBorder="0" applyAlignment="0" applyProtection="0"/>
  </cellStyleXfs>
  <cellXfs count="222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64" fontId="2" fillId="0" borderId="4" xfId="0" applyNumberFormat="1" applyFont="1" applyBorder="1"/>
    <xf numFmtId="0" fontId="2" fillId="0" borderId="6" xfId="0" applyFont="1" applyBorder="1"/>
    <xf numFmtId="164" fontId="2" fillId="0" borderId="6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/>
    <xf numFmtId="164" fontId="5" fillId="0" borderId="5" xfId="0" applyNumberFormat="1" applyFont="1" applyBorder="1"/>
    <xf numFmtId="164" fontId="2" fillId="0" borderId="3" xfId="0" applyNumberFormat="1" applyFont="1" applyBorder="1" applyAlignment="1">
      <alignment horizontal="center"/>
    </xf>
    <xf numFmtId="164" fontId="2" fillId="0" borderId="5" xfId="0" applyNumberFormat="1" applyFont="1" applyFill="1" applyBorder="1"/>
    <xf numFmtId="164" fontId="2" fillId="4" borderId="5" xfId="0" applyNumberFormat="1" applyFont="1" applyFill="1" applyBorder="1"/>
    <xf numFmtId="166" fontId="2" fillId="4" borderId="5" xfId="0" applyNumberFormat="1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0" xfId="0" applyFont="1" applyBorder="1"/>
    <xf numFmtId="167" fontId="2" fillId="0" borderId="0" xfId="1" applyNumberFormat="1" applyFont="1" applyBorder="1"/>
    <xf numFmtId="0" fontId="2" fillId="0" borderId="5" xfId="0" applyFont="1" applyFill="1" applyBorder="1" applyAlignment="1">
      <alignment horizontal="center"/>
    </xf>
    <xf numFmtId="43" fontId="2" fillId="0" borderId="5" xfId="0" applyNumberFormat="1" applyFont="1" applyFill="1" applyBorder="1" applyAlignment="1">
      <alignment horizontal="center"/>
    </xf>
    <xf numFmtId="43" fontId="2" fillId="0" borderId="0" xfId="0" applyNumberFormat="1" applyFont="1" applyBorder="1"/>
    <xf numFmtId="43" fontId="2" fillId="0" borderId="2" xfId="0" applyNumberFormat="1" applyFont="1" applyBorder="1"/>
    <xf numFmtId="0" fontId="2" fillId="0" borderId="2" xfId="0" applyFont="1" applyBorder="1" applyAlignment="1"/>
    <xf numFmtId="0" fontId="2" fillId="0" borderId="18" xfId="0" applyFont="1" applyBorder="1"/>
    <xf numFmtId="0" fontId="25" fillId="2" borderId="21" xfId="0" applyFont="1" applyFill="1" applyBorder="1" applyAlignment="1">
      <alignment horizontal="centerContinuous" vertical="center"/>
    </xf>
    <xf numFmtId="0" fontId="25" fillId="2" borderId="17" xfId="0" applyFont="1" applyFill="1" applyBorder="1" applyAlignment="1">
      <alignment horizontal="centerContinuous" vertical="center"/>
    </xf>
    <xf numFmtId="169" fontId="2" fillId="4" borderId="17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3" borderId="7" xfId="0" applyFont="1" applyFill="1" applyBorder="1"/>
    <xf numFmtId="170" fontId="2" fillId="0" borderId="0" xfId="1" applyNumberFormat="1" applyFont="1" applyBorder="1"/>
    <xf numFmtId="170" fontId="2" fillId="0" borderId="19" xfId="1" applyNumberFormat="1" applyFont="1" applyBorder="1"/>
    <xf numFmtId="170" fontId="2" fillId="0" borderId="20" xfId="1" applyNumberFormat="1" applyFont="1" applyBorder="1"/>
    <xf numFmtId="170" fontId="2" fillId="0" borderId="18" xfId="1" applyNumberFormat="1" applyFont="1" applyBorder="1"/>
    <xf numFmtId="170" fontId="2" fillId="0" borderId="18" xfId="1" applyNumberFormat="1" applyFont="1" applyFill="1" applyBorder="1"/>
    <xf numFmtId="170" fontId="2" fillId="0" borderId="0" xfId="1" applyNumberFormat="1" applyFont="1" applyFill="1" applyBorder="1"/>
    <xf numFmtId="170" fontId="2" fillId="4" borderId="18" xfId="1" applyNumberFormat="1" applyFont="1" applyFill="1" applyBorder="1"/>
    <xf numFmtId="170" fontId="2" fillId="4" borderId="0" xfId="1" applyNumberFormat="1" applyFont="1" applyFill="1" applyBorder="1"/>
    <xf numFmtId="170" fontId="2" fillId="0" borderId="22" xfId="1" applyNumberFormat="1" applyFont="1" applyBorder="1"/>
    <xf numFmtId="170" fontId="2" fillId="0" borderId="24" xfId="1" applyNumberFormat="1" applyFont="1" applyBorder="1"/>
    <xf numFmtId="168" fontId="2" fillId="0" borderId="21" xfId="1" applyNumberFormat="1" applyFont="1" applyBorder="1"/>
    <xf numFmtId="0" fontId="2" fillId="0" borderId="19" xfId="0" applyFont="1" applyBorder="1"/>
    <xf numFmtId="0" fontId="2" fillId="0" borderId="18" xfId="0" applyFont="1" applyFill="1" applyBorder="1"/>
    <xf numFmtId="0" fontId="2" fillId="4" borderId="18" xfId="0" applyFont="1" applyFill="1" applyBorder="1"/>
    <xf numFmtId="0" fontId="2" fillId="0" borderId="22" xfId="0" applyFont="1" applyBorder="1"/>
    <xf numFmtId="0" fontId="3" fillId="2" borderId="17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167" fontId="2" fillId="0" borderId="18" xfId="1" applyNumberFormat="1" applyFont="1" applyBorder="1"/>
    <xf numFmtId="167" fontId="2" fillId="0" borderId="2" xfId="1" applyNumberFormat="1" applyFont="1" applyBorder="1"/>
    <xf numFmtId="167" fontId="2" fillId="0" borderId="18" xfId="1" applyNumberFormat="1" applyFont="1" applyFill="1" applyBorder="1"/>
    <xf numFmtId="167" fontId="2" fillId="0" borderId="0" xfId="1" applyNumberFormat="1" applyFont="1" applyFill="1" applyBorder="1"/>
    <xf numFmtId="167" fontId="2" fillId="0" borderId="2" xfId="1" applyNumberFormat="1" applyFont="1" applyFill="1" applyBorder="1"/>
    <xf numFmtId="167" fontId="2" fillId="4" borderId="18" xfId="1" applyNumberFormat="1" applyFont="1" applyFill="1" applyBorder="1"/>
    <xf numFmtId="167" fontId="2" fillId="4" borderId="0" xfId="1" applyNumberFormat="1" applyFont="1" applyFill="1" applyBorder="1"/>
    <xf numFmtId="167" fontId="2" fillId="4" borderId="2" xfId="1" applyNumberFormat="1" applyFont="1" applyFill="1" applyBorder="1"/>
    <xf numFmtId="167" fontId="2" fillId="0" borderId="19" xfId="1" applyNumberFormat="1" applyFont="1" applyBorder="1"/>
    <xf numFmtId="167" fontId="2" fillId="0" borderId="1" xfId="1" applyNumberFormat="1" applyFont="1" applyBorder="1"/>
    <xf numFmtId="167" fontId="2" fillId="0" borderId="22" xfId="1" applyNumberFormat="1" applyFont="1" applyBorder="1"/>
    <xf numFmtId="167" fontId="2" fillId="0" borderId="24" xfId="1" applyNumberFormat="1" applyFont="1" applyBorder="1"/>
    <xf numFmtId="167" fontId="2" fillId="0" borderId="3" xfId="1" applyNumberFormat="1" applyFont="1" applyBorder="1"/>
    <xf numFmtId="170" fontId="2" fillId="4" borderId="23" xfId="1" applyNumberFormat="1" applyFont="1" applyFill="1" applyBorder="1"/>
    <xf numFmtId="168" fontId="2" fillId="0" borderId="1" xfId="1" applyNumberFormat="1" applyFont="1" applyBorder="1"/>
    <xf numFmtId="168" fontId="2" fillId="0" borderId="2" xfId="1" applyNumberFormat="1" applyFont="1" applyBorder="1"/>
    <xf numFmtId="168" fontId="2" fillId="0" borderId="2" xfId="1" applyNumberFormat="1" applyFont="1" applyFill="1" applyBorder="1"/>
    <xf numFmtId="168" fontId="2" fillId="4" borderId="2" xfId="1" applyNumberFormat="1" applyFont="1" applyFill="1" applyBorder="1"/>
    <xf numFmtId="168" fontId="2" fillId="0" borderId="3" xfId="1" applyNumberFormat="1" applyFont="1" applyBorder="1"/>
    <xf numFmtId="167" fontId="2" fillId="0" borderId="2" xfId="0" applyNumberFormat="1" applyFont="1" applyBorder="1"/>
    <xf numFmtId="167" fontId="2" fillId="0" borderId="3" xfId="0" applyNumberFormat="1" applyFont="1" applyBorder="1"/>
    <xf numFmtId="167" fontId="2" fillId="0" borderId="1" xfId="0" applyNumberFormat="1" applyFont="1" applyBorder="1"/>
    <xf numFmtId="0" fontId="2" fillId="0" borderId="6" xfId="0" applyFont="1" applyFill="1" applyBorder="1" applyAlignment="1">
      <alignment horizontal="center"/>
    </xf>
    <xf numFmtId="0" fontId="2" fillId="0" borderId="2" xfId="0" applyFont="1" applyBorder="1"/>
    <xf numFmtId="0" fontId="2" fillId="0" borderId="24" xfId="0" applyFont="1" applyBorder="1"/>
    <xf numFmtId="0" fontId="2" fillId="0" borderId="3" xfId="0" applyFont="1" applyBorder="1"/>
    <xf numFmtId="0" fontId="3" fillId="2" borderId="4" xfId="0" applyFont="1" applyFill="1" applyBorder="1"/>
    <xf numFmtId="0" fontId="2" fillId="27" borderId="4" xfId="0" applyFont="1" applyFill="1" applyBorder="1"/>
    <xf numFmtId="0" fontId="2" fillId="27" borderId="5" xfId="0" applyFont="1" applyFill="1" applyBorder="1"/>
    <xf numFmtId="0" fontId="2" fillId="27" borderId="6" xfId="0" applyFont="1" applyFill="1" applyBorder="1"/>
    <xf numFmtId="0" fontId="3" fillId="2" borderId="19" xfId="0" applyFont="1" applyFill="1" applyBorder="1" applyAlignment="1">
      <alignment horizontal="centerContinuous" vertical="center"/>
    </xf>
    <xf numFmtId="0" fontId="3" fillId="2" borderId="20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43" fontId="2" fillId="0" borderId="18" xfId="0" applyNumberFormat="1" applyFont="1" applyBorder="1"/>
    <xf numFmtId="43" fontId="2" fillId="0" borderId="22" xfId="0" applyNumberFormat="1" applyFont="1" applyBorder="1"/>
    <xf numFmtId="43" fontId="2" fillId="4" borderId="2" xfId="0" applyNumberFormat="1" applyFont="1" applyFill="1" applyBorder="1"/>
    <xf numFmtId="43" fontId="2" fillId="4" borderId="3" xfId="0" applyNumberFormat="1" applyFont="1" applyFill="1" applyBorder="1"/>
    <xf numFmtId="0" fontId="26" fillId="3" borderId="7" xfId="2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/>
    </xf>
    <xf numFmtId="0" fontId="5" fillId="27" borderId="5" xfId="0" applyFont="1" applyFill="1" applyBorder="1"/>
    <xf numFmtId="165" fontId="5" fillId="0" borderId="4" xfId="49" applyNumberFormat="1" applyFont="1" applyFill="1" applyBorder="1" applyAlignment="1">
      <alignment horizontal="left"/>
    </xf>
    <xf numFmtId="165" fontId="5" fillId="0" borderId="5" xfId="49" applyNumberFormat="1" applyFont="1" applyFill="1" applyBorder="1" applyAlignment="1">
      <alignment horizontal="left"/>
    </xf>
    <xf numFmtId="0" fontId="30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21" xfId="0" applyFont="1" applyFill="1" applyBorder="1" applyAlignment="1"/>
    <xf numFmtId="0" fontId="3" fillId="2" borderId="24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Continuous" vertical="center"/>
    </xf>
    <xf numFmtId="0" fontId="3" fillId="2" borderId="24" xfId="0" applyFont="1" applyFill="1" applyBorder="1" applyAlignment="1">
      <alignment horizontal="centerContinuous" vertical="center"/>
    </xf>
    <xf numFmtId="0" fontId="3" fillId="2" borderId="3" xfId="0" applyFont="1" applyFill="1" applyBorder="1" applyAlignment="1">
      <alignment horizontal="centerContinuous" vertical="center"/>
    </xf>
    <xf numFmtId="0" fontId="2" fillId="28" borderId="0" xfId="0" applyFont="1" applyFill="1"/>
    <xf numFmtId="0" fontId="2" fillId="28" borderId="0" xfId="0" applyFont="1" applyFill="1" applyBorder="1"/>
    <xf numFmtId="0" fontId="0" fillId="28" borderId="0" xfId="0" applyFill="1"/>
    <xf numFmtId="170" fontId="2" fillId="27" borderId="21" xfId="1" applyNumberFormat="1" applyFont="1" applyFill="1" applyBorder="1"/>
    <xf numFmtId="164" fontId="3" fillId="2" borderId="21" xfId="0" applyNumberFormat="1" applyFont="1" applyFill="1" applyBorder="1"/>
    <xf numFmtId="43" fontId="3" fillId="2" borderId="23" xfId="0" applyNumberFormat="1" applyFont="1" applyFill="1" applyBorder="1"/>
    <xf numFmtId="164" fontId="3" fillId="2" borderId="23" xfId="0" applyNumberFormat="1" applyFont="1" applyFill="1" applyBorder="1"/>
    <xf numFmtId="0" fontId="3" fillId="2" borderId="23" xfId="0" applyFont="1" applyFill="1" applyBorder="1"/>
    <xf numFmtId="165" fontId="3" fillId="2" borderId="23" xfId="0" applyNumberFormat="1" applyFont="1" applyFill="1" applyBorder="1"/>
    <xf numFmtId="0" fontId="3" fillId="2" borderId="17" xfId="0" applyFont="1" applyFill="1" applyBorder="1"/>
    <xf numFmtId="164" fontId="2" fillId="0" borderId="18" xfId="0" applyNumberFormat="1" applyFont="1" applyBorder="1"/>
    <xf numFmtId="164" fontId="2" fillId="0" borderId="0" xfId="0" applyNumberFormat="1" applyFont="1" applyBorder="1"/>
    <xf numFmtId="165" fontId="2" fillId="0" borderId="0" xfId="0" applyNumberFormat="1" applyFont="1" applyBorder="1"/>
    <xf numFmtId="164" fontId="2" fillId="0" borderId="22" xfId="0" applyNumberFormat="1" applyFont="1" applyBorder="1"/>
    <xf numFmtId="43" fontId="2" fillId="0" borderId="24" xfId="0" applyNumberFormat="1" applyFont="1" applyBorder="1"/>
    <xf numFmtId="164" fontId="2" fillId="0" borderId="24" xfId="0" applyNumberFormat="1" applyFont="1" applyBorder="1"/>
    <xf numFmtId="165" fontId="2" fillId="0" borderId="24" xfId="0" applyNumberFormat="1" applyFont="1" applyBorder="1"/>
    <xf numFmtId="170" fontId="2" fillId="0" borderId="0" xfId="0" applyNumberFormat="1" applyFont="1" applyBorder="1"/>
    <xf numFmtId="170" fontId="2" fillId="0" borderId="24" xfId="0" applyNumberFormat="1" applyFont="1" applyBorder="1"/>
    <xf numFmtId="0" fontId="2" fillId="4" borderId="2" xfId="0" applyFont="1" applyFill="1" applyBorder="1"/>
    <xf numFmtId="0" fontId="3" fillId="3" borderId="1" xfId="0" applyFont="1" applyFill="1" applyBorder="1" applyAlignment="1">
      <alignment horizontal="centerContinuous" vertical="center"/>
    </xf>
    <xf numFmtId="0" fontId="2" fillId="2" borderId="6" xfId="0" applyFont="1" applyFill="1" applyBorder="1"/>
    <xf numFmtId="0" fontId="3" fillId="3" borderId="3" xfId="0" applyFont="1" applyFill="1" applyBorder="1" applyAlignment="1">
      <alignment horizontal="center"/>
    </xf>
    <xf numFmtId="0" fontId="26" fillId="2" borderId="19" xfId="2" applyFont="1" applyFill="1" applyBorder="1" applyAlignment="1">
      <alignment horizontal="centerContinuous" vertical="center"/>
    </xf>
    <xf numFmtId="0" fontId="26" fillId="2" borderId="1" xfId="2" applyFont="1" applyFill="1" applyBorder="1" applyAlignment="1">
      <alignment horizontal="centerContinuous" vertical="center"/>
    </xf>
    <xf numFmtId="170" fontId="26" fillId="2" borderId="22" xfId="49" applyNumberFormat="1" applyFont="1" applyFill="1" applyBorder="1" applyAlignment="1">
      <alignment horizontal="center" vertical="center" wrapText="1"/>
    </xf>
    <xf numFmtId="170" fontId="26" fillId="2" borderId="24" xfId="49" applyNumberFormat="1" applyFont="1" applyFill="1" applyBorder="1" applyAlignment="1">
      <alignment horizontal="center" vertical="center" wrapText="1"/>
    </xf>
    <xf numFmtId="170" fontId="26" fillId="2" borderId="3" xfId="49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6" fillId="2" borderId="4" xfId="2" applyFont="1" applyFill="1" applyBorder="1" applyAlignment="1">
      <alignment horizontal="centerContinuous" vertical="center"/>
    </xf>
    <xf numFmtId="170" fontId="26" fillId="2" borderId="6" xfId="49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166" fontId="2" fillId="4" borderId="4" xfId="0" applyNumberFormat="1" applyFont="1" applyFill="1" applyBorder="1"/>
    <xf numFmtId="166" fontId="2" fillId="4" borderId="6" xfId="0" applyNumberFormat="1" applyFont="1" applyFill="1" applyBorder="1"/>
    <xf numFmtId="0" fontId="2" fillId="3" borderId="7" xfId="0" applyFont="1" applyFill="1" applyBorder="1" applyAlignment="1">
      <alignment horizontal="center"/>
    </xf>
    <xf numFmtId="164" fontId="2" fillId="28" borderId="0" xfId="0" applyNumberFormat="1" applyFont="1" applyFill="1" applyBorder="1" applyAlignment="1">
      <alignment horizontal="center"/>
    </xf>
    <xf numFmtId="43" fontId="2" fillId="28" borderId="0" xfId="0" applyNumberFormat="1" applyFont="1" applyFill="1" applyBorder="1"/>
    <xf numFmtId="0" fontId="3" fillId="27" borderId="4" xfId="0" applyFont="1" applyFill="1" applyBorder="1"/>
    <xf numFmtId="0" fontId="3" fillId="27" borderId="5" xfId="0" applyFont="1" applyFill="1" applyBorder="1"/>
    <xf numFmtId="0" fontId="3" fillId="27" borderId="6" xfId="0" applyFont="1" applyFill="1" applyBorder="1"/>
    <xf numFmtId="0" fontId="3" fillId="27" borderId="18" xfId="0" applyFont="1" applyFill="1" applyBorder="1"/>
    <xf numFmtId="0" fontId="3" fillId="27" borderId="22" xfId="0" applyFont="1" applyFill="1" applyBorder="1"/>
    <xf numFmtId="0" fontId="2" fillId="28" borderId="0" xfId="0" applyFont="1" applyFill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25" xfId="0" applyFont="1" applyFill="1" applyBorder="1" applyAlignment="1">
      <alignment horizontal="centerContinuous" vertical="center"/>
    </xf>
    <xf numFmtId="170" fontId="2" fillId="4" borderId="2" xfId="0" applyNumberFormat="1" applyFont="1" applyFill="1" applyBorder="1"/>
    <xf numFmtId="170" fontId="2" fillId="0" borderId="25" xfId="1" applyNumberFormat="1" applyFont="1" applyBorder="1"/>
    <xf numFmtId="167" fontId="2" fillId="0" borderId="25" xfId="1" applyNumberFormat="1" applyFont="1" applyBorder="1"/>
    <xf numFmtId="0" fontId="5" fillId="0" borderId="4" xfId="0" applyFont="1" applyBorder="1" applyAlignment="1">
      <alignment horizontal="left"/>
    </xf>
    <xf numFmtId="0" fontId="2" fillId="0" borderId="4" xfId="0" applyFont="1" applyBorder="1"/>
    <xf numFmtId="164" fontId="2" fillId="0" borderId="4" xfId="0" applyNumberFormat="1" applyFont="1" applyBorder="1" applyAlignment="1">
      <alignment horizontal="center"/>
    </xf>
    <xf numFmtId="0" fontId="2" fillId="0" borderId="25" xfId="0" applyFont="1" applyBorder="1"/>
    <xf numFmtId="43" fontId="2" fillId="0" borderId="19" xfId="0" applyNumberFormat="1" applyFont="1" applyBorder="1"/>
    <xf numFmtId="43" fontId="2" fillId="0" borderId="1" xfId="0" applyNumberFormat="1" applyFont="1" applyBorder="1"/>
    <xf numFmtId="0" fontId="2" fillId="4" borderId="1" xfId="0" applyFont="1" applyFill="1" applyBorder="1"/>
    <xf numFmtId="43" fontId="2" fillId="4" borderId="1" xfId="0" applyNumberFormat="1" applyFont="1" applyFill="1" applyBorder="1"/>
    <xf numFmtId="170" fontId="2" fillId="4" borderId="1" xfId="0" applyNumberFormat="1" applyFont="1" applyFill="1" applyBorder="1"/>
    <xf numFmtId="164" fontId="2" fillId="0" borderId="6" xfId="0" applyNumberFormat="1" applyFont="1" applyBorder="1" applyAlignment="1">
      <alignment horizontal="center"/>
    </xf>
    <xf numFmtId="43" fontId="2" fillId="0" borderId="3" xfId="0" applyNumberFormat="1" applyFont="1" applyBorder="1"/>
    <xf numFmtId="0" fontId="2" fillId="4" borderId="3" xfId="0" applyFont="1" applyFill="1" applyBorder="1"/>
    <xf numFmtId="170" fontId="2" fillId="4" borderId="3" xfId="0" applyNumberFormat="1" applyFont="1" applyFill="1" applyBorder="1"/>
    <xf numFmtId="164" fontId="2" fillId="0" borderId="19" xfId="0" applyNumberFormat="1" applyFont="1" applyBorder="1"/>
    <xf numFmtId="164" fontId="2" fillId="0" borderId="25" xfId="0" applyNumberFormat="1" applyFont="1" applyBorder="1"/>
    <xf numFmtId="166" fontId="2" fillId="0" borderId="25" xfId="0" applyNumberFormat="1" applyFont="1" applyBorder="1"/>
    <xf numFmtId="167" fontId="2" fillId="0" borderId="25" xfId="0" applyNumberFormat="1" applyFont="1" applyBorder="1"/>
    <xf numFmtId="166" fontId="2" fillId="0" borderId="0" xfId="0" applyNumberFormat="1" applyFont="1" applyBorder="1"/>
    <xf numFmtId="167" fontId="2" fillId="0" borderId="0" xfId="0" applyNumberFormat="1" applyFont="1" applyBorder="1"/>
    <xf numFmtId="166" fontId="2" fillId="0" borderId="24" xfId="0" applyNumberFormat="1" applyFont="1" applyBorder="1"/>
    <xf numFmtId="167" fontId="2" fillId="0" borderId="24" xfId="0" applyNumberFormat="1" applyFont="1" applyBorder="1"/>
    <xf numFmtId="0" fontId="2" fillId="0" borderId="0" xfId="0" applyFont="1" applyFill="1"/>
    <xf numFmtId="0" fontId="2" fillId="0" borderId="1" xfId="0" applyFont="1" applyBorder="1"/>
    <xf numFmtId="43" fontId="2" fillId="28" borderId="0" xfId="0" applyNumberFormat="1" applyFont="1" applyFill="1"/>
    <xf numFmtId="0" fontId="3" fillId="2" borderId="24" xfId="0" applyFont="1" applyFill="1" applyBorder="1" applyAlignment="1">
      <alignment horizontal="left"/>
    </xf>
    <xf numFmtId="170" fontId="5" fillId="0" borderId="19" xfId="49" applyNumberFormat="1" applyFont="1" applyFill="1" applyBorder="1" applyAlignment="1">
      <alignment horizontal="right"/>
    </xf>
    <xf numFmtId="170" fontId="5" fillId="0" borderId="18" xfId="49" applyNumberFormat="1" applyFont="1" applyFill="1" applyBorder="1" applyAlignment="1">
      <alignment horizontal="right"/>
    </xf>
    <xf numFmtId="170" fontId="5" fillId="0" borderId="0" xfId="49" applyNumberFormat="1" applyFont="1" applyFill="1" applyBorder="1" applyAlignment="1">
      <alignment horizontal="right"/>
    </xf>
    <xf numFmtId="170" fontId="5" fillId="0" borderId="2" xfId="49" applyNumberFormat="1" applyFont="1" applyFill="1" applyBorder="1" applyAlignment="1">
      <alignment horizontal="right"/>
    </xf>
    <xf numFmtId="170" fontId="5" fillId="0" borderId="4" xfId="49" applyNumberFormat="1" applyFont="1" applyFill="1" applyBorder="1" applyAlignment="1">
      <alignment horizontal="right"/>
    </xf>
    <xf numFmtId="170" fontId="5" fillId="0" borderId="5" xfId="49" applyNumberFormat="1" applyFont="1" applyFill="1" applyBorder="1" applyAlignment="1">
      <alignment horizontal="right"/>
    </xf>
    <xf numFmtId="170" fontId="5" fillId="0" borderId="4" xfId="49" applyNumberFormat="1" applyFont="1" applyFill="1" applyBorder="1" applyAlignment="1">
      <alignment horizontal="right" vertical="center"/>
    </xf>
    <xf numFmtId="170" fontId="5" fillId="0" borderId="5" xfId="49" applyNumberFormat="1" applyFont="1" applyFill="1" applyBorder="1" applyAlignment="1">
      <alignment horizontal="right" vertical="center"/>
    </xf>
    <xf numFmtId="43" fontId="2" fillId="3" borderId="2" xfId="0" applyNumberFormat="1" applyFont="1" applyFill="1" applyBorder="1"/>
    <xf numFmtId="170" fontId="5" fillId="0" borderId="25" xfId="49" applyNumberFormat="1" applyFont="1" applyFill="1" applyBorder="1" applyAlignment="1">
      <alignment horizontal="right"/>
    </xf>
    <xf numFmtId="170" fontId="5" fillId="0" borderId="1" xfId="49" applyNumberFormat="1" applyFont="1" applyFill="1" applyBorder="1" applyAlignment="1">
      <alignment horizontal="right"/>
    </xf>
    <xf numFmtId="165" fontId="5" fillId="0" borderId="6" xfId="49" applyNumberFormat="1" applyFont="1" applyFill="1" applyBorder="1" applyAlignment="1">
      <alignment horizontal="left"/>
    </xf>
    <xf numFmtId="170" fontId="5" fillId="0" borderId="22" xfId="49" applyNumberFormat="1" applyFont="1" applyFill="1" applyBorder="1" applyAlignment="1">
      <alignment horizontal="right"/>
    </xf>
    <xf numFmtId="170" fontId="5" fillId="0" borderId="24" xfId="49" applyNumberFormat="1" applyFont="1" applyFill="1" applyBorder="1" applyAlignment="1">
      <alignment horizontal="right"/>
    </xf>
    <xf numFmtId="170" fontId="5" fillId="0" borderId="6" xfId="49" applyNumberFormat="1" applyFont="1" applyFill="1" applyBorder="1" applyAlignment="1">
      <alignment horizontal="right" vertical="center"/>
    </xf>
    <xf numFmtId="170" fontId="5" fillId="0" borderId="6" xfId="49" applyNumberFormat="1" applyFont="1" applyFill="1" applyBorder="1" applyAlignment="1">
      <alignment horizontal="right"/>
    </xf>
    <xf numFmtId="170" fontId="5" fillId="0" borderId="3" xfId="49" applyNumberFormat="1" applyFont="1" applyFill="1" applyBorder="1" applyAlignment="1">
      <alignment horizontal="right"/>
    </xf>
    <xf numFmtId="0" fontId="26" fillId="2" borderId="4" xfId="2" applyFont="1" applyFill="1" applyBorder="1" applyAlignment="1">
      <alignment horizontal="center"/>
    </xf>
    <xf numFmtId="0" fontId="26" fillId="2" borderId="25" xfId="2" applyFont="1" applyFill="1" applyBorder="1" applyAlignment="1">
      <alignment horizontal="centerContinuous" vertical="center"/>
    </xf>
    <xf numFmtId="0" fontId="5" fillId="2" borderId="6" xfId="2" applyFont="1" applyFill="1" applyBorder="1"/>
    <xf numFmtId="167" fontId="3" fillId="27" borderId="21" xfId="1" applyNumberFormat="1" applyFont="1" applyFill="1" applyBorder="1" applyAlignment="1">
      <alignment horizontal="center"/>
    </xf>
    <xf numFmtId="0" fontId="3" fillId="27" borderId="23" xfId="0" applyFont="1" applyFill="1" applyBorder="1" applyAlignment="1">
      <alignment horizontal="center"/>
    </xf>
    <xf numFmtId="167" fontId="3" fillId="27" borderId="23" xfId="1" applyNumberFormat="1" applyFont="1" applyFill="1" applyBorder="1" applyAlignment="1">
      <alignment horizontal="center"/>
    </xf>
    <xf numFmtId="0" fontId="3" fillId="27" borderId="17" xfId="0" applyFont="1" applyFill="1" applyBorder="1" applyAlignment="1">
      <alignment horizontal="center"/>
    </xf>
    <xf numFmtId="166" fontId="2" fillId="0" borderId="21" xfId="0" applyNumberFormat="1" applyFont="1" applyBorder="1"/>
    <xf numFmtId="166" fontId="2" fillId="0" borderId="17" xfId="0" applyNumberFormat="1" applyFont="1" applyBorder="1"/>
    <xf numFmtId="166" fontId="2" fillId="0" borderId="19" xfId="0" applyNumberFormat="1" applyFont="1" applyBorder="1"/>
    <xf numFmtId="166" fontId="2" fillId="0" borderId="1" xfId="0" applyNumberFormat="1" applyFont="1" applyBorder="1"/>
    <xf numFmtId="166" fontId="2" fillId="0" borderId="18" xfId="0" applyNumberFormat="1" applyFont="1" applyBorder="1"/>
    <xf numFmtId="166" fontId="2" fillId="0" borderId="2" xfId="0" applyNumberFormat="1" applyFont="1" applyBorder="1"/>
    <xf numFmtId="166" fontId="2" fillId="0" borderId="18" xfId="0" applyNumberFormat="1" applyFont="1" applyFill="1" applyBorder="1"/>
    <xf numFmtId="166" fontId="2" fillId="0" borderId="2" xfId="0" applyNumberFormat="1" applyFont="1" applyFill="1" applyBorder="1"/>
    <xf numFmtId="166" fontId="2" fillId="4" borderId="18" xfId="0" applyNumberFormat="1" applyFont="1" applyFill="1" applyBorder="1"/>
    <xf numFmtId="166" fontId="2" fillId="4" borderId="2" xfId="0" applyNumberFormat="1" applyFont="1" applyFill="1" applyBorder="1"/>
    <xf numFmtId="166" fontId="2" fillId="0" borderId="22" xfId="0" applyNumberFormat="1" applyFont="1" applyBorder="1"/>
    <xf numFmtId="166" fontId="2" fillId="0" borderId="3" xfId="0" applyNumberFormat="1" applyFont="1" applyBorder="1"/>
    <xf numFmtId="0" fontId="3" fillId="2" borderId="19" xfId="0" applyFont="1" applyFill="1" applyBorder="1" applyAlignment="1"/>
    <xf numFmtId="0" fontId="3" fillId="2" borderId="1" xfId="0" applyFont="1" applyFill="1" applyBorder="1" applyAlignment="1">
      <alignment vertical="center"/>
    </xf>
    <xf numFmtId="165" fontId="2" fillId="0" borderId="17" xfId="0" applyNumberFormat="1" applyFont="1" applyBorder="1"/>
    <xf numFmtId="170" fontId="2" fillId="0" borderId="19" xfId="0" applyNumberFormat="1" applyFont="1" applyBorder="1"/>
    <xf numFmtId="165" fontId="2" fillId="0" borderId="1" xfId="0" applyNumberFormat="1" applyFont="1" applyBorder="1"/>
    <xf numFmtId="170" fontId="2" fillId="0" borderId="18" xfId="0" applyNumberFormat="1" applyFont="1" applyBorder="1"/>
    <xf numFmtId="165" fontId="2" fillId="0" borderId="2" xfId="0" applyNumberFormat="1" applyFont="1" applyBorder="1"/>
    <xf numFmtId="170" fontId="2" fillId="0" borderId="18" xfId="0" applyNumberFormat="1" applyFont="1" applyFill="1" applyBorder="1"/>
    <xf numFmtId="165" fontId="2" fillId="0" borderId="2" xfId="0" applyNumberFormat="1" applyFont="1" applyFill="1" applyBorder="1"/>
    <xf numFmtId="170" fontId="2" fillId="4" borderId="18" xfId="0" applyNumberFormat="1" applyFont="1" applyFill="1" applyBorder="1"/>
    <xf numFmtId="165" fontId="2" fillId="4" borderId="2" xfId="0" applyNumberFormat="1" applyFont="1" applyFill="1" applyBorder="1"/>
    <xf numFmtId="170" fontId="2" fillId="0" borderId="22" xfId="0" applyNumberFormat="1" applyFont="1" applyBorder="1"/>
    <xf numFmtId="165" fontId="2" fillId="0" borderId="3" xfId="0" applyNumberFormat="1" applyFont="1" applyBorder="1"/>
    <xf numFmtId="0" fontId="2" fillId="27" borderId="21" xfId="0" applyFont="1" applyFill="1" applyBorder="1" applyAlignment="1">
      <alignment horizontal="center"/>
    </xf>
  </cellXfs>
  <cellStyles count="59">
    <cellStyle name="20% - Colore 1" xfId="5"/>
    <cellStyle name="20% - Colore 2" xfId="6"/>
    <cellStyle name="20% - Colore 3" xfId="7"/>
    <cellStyle name="20% - Colore 4" xfId="8"/>
    <cellStyle name="20% - Colore 5" xfId="9"/>
    <cellStyle name="20% - Colore 6" xfId="10"/>
    <cellStyle name="40% - Colore 1" xfId="11"/>
    <cellStyle name="40% - Colore 2" xfId="12"/>
    <cellStyle name="40% - Colore 3" xfId="13"/>
    <cellStyle name="40% - Colore 4" xfId="14"/>
    <cellStyle name="40% - Colore 5" xfId="15"/>
    <cellStyle name="40% - Colore 6" xfId="16"/>
    <cellStyle name="60% - Colore 1" xfId="17"/>
    <cellStyle name="60% - Colore 2" xfId="18"/>
    <cellStyle name="60% - Colore 3" xfId="19"/>
    <cellStyle name="60% - Colore 4" xfId="20"/>
    <cellStyle name="60% - Colore 5" xfId="21"/>
    <cellStyle name="60% - Colore 6" xfId="22"/>
    <cellStyle name="Calcolo" xfId="23"/>
    <cellStyle name="Cella collegata" xfId="24"/>
    <cellStyle name="Cella da controllare" xfId="25"/>
    <cellStyle name="Colore 1" xfId="26"/>
    <cellStyle name="Colore 2" xfId="27"/>
    <cellStyle name="Colore 3" xfId="28"/>
    <cellStyle name="Colore 4" xfId="29"/>
    <cellStyle name="Colore 5" xfId="30"/>
    <cellStyle name="Colore 6" xfId="31"/>
    <cellStyle name="Euro" xfId="32"/>
    <cellStyle name="Input 2" xfId="33"/>
    <cellStyle name="Migliaia (0)_Anagrafiche Mutui" xfId="34"/>
    <cellStyle name="Migliaia_AZIONI" xfId="50"/>
    <cellStyle name="Neutrale" xfId="35"/>
    <cellStyle name="Normal" xfId="0" builtinId="0"/>
    <cellStyle name="Normal 2" xfId="2"/>
    <cellStyle name="Normal 2 2" xfId="51"/>
    <cellStyle name="Normal 3" xfId="4"/>
    <cellStyle name="Normal 3 2" xfId="52"/>
    <cellStyle name="Normale_AZIONI" xfId="53"/>
    <cellStyle name="Nota" xfId="36"/>
    <cellStyle name="Output 2" xfId="37"/>
    <cellStyle name="Percent" xfId="1" builtinId="5"/>
    <cellStyle name="Percent 2" xfId="54"/>
    <cellStyle name="Percent 2 2" xfId="49"/>
    <cellStyle name="Percent 3" xfId="3"/>
    <cellStyle name="Percent 4" xfId="55"/>
    <cellStyle name="Percent 4 2" xfId="56"/>
    <cellStyle name="result" xfId="57"/>
    <cellStyle name="Testo avviso" xfId="38"/>
    <cellStyle name="Testo descrittivo" xfId="39"/>
    <cellStyle name="Titolo" xfId="40"/>
    <cellStyle name="Titolo 1" xfId="41"/>
    <cellStyle name="Titolo 2" xfId="42"/>
    <cellStyle name="Titolo 3" xfId="43"/>
    <cellStyle name="Titolo 4" xfId="44"/>
    <cellStyle name="Totale" xfId="45"/>
    <cellStyle name="Valore non valido" xfId="46"/>
    <cellStyle name="Valore valido" xfId="47"/>
    <cellStyle name="Valuta (0)_Anagrafiche Mutui" xfId="48"/>
    <cellStyle name="Valuta_AZIONI" xfId="58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14:53:04</v>
        <stp/>
        <stp>{E695A691-4969-4440-BF37-7B3F770EF643}</stp>
        <tr r="V3" s="11"/>
      </tp>
      <tp t="s">
        <v>Paused at 14:53:04</v>
        <stp/>
        <stp>{93923241-1F00-4305-9129-5B651221DD49}</stp>
        <tr r="E3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103"/>
  <sheetViews>
    <sheetView showGridLines="0" workbookViewId="0">
      <selection activeCell="C2" sqref="C2"/>
    </sheetView>
  </sheetViews>
  <sheetFormatPr defaultRowHeight="11.25" x14ac:dyDescent="0.2"/>
  <cols>
    <col min="1" max="1" width="2.7109375" style="1" customWidth="1"/>
    <col min="2" max="2" width="24.42578125" style="1" bestFit="1" customWidth="1"/>
    <col min="3" max="3" width="31.7109375" style="1" bestFit="1" customWidth="1"/>
    <col min="4" max="4" width="2.7109375" style="1" customWidth="1"/>
    <col min="5" max="5" width="30.7109375" style="1" customWidth="1"/>
    <col min="6" max="7" width="30.7109375" style="127" customWidth="1"/>
    <col min="8" max="8" width="2.7109375" style="1" customWidth="1"/>
    <col min="9" max="16384" width="9.140625" style="1"/>
  </cols>
  <sheetData>
    <row r="1" spans="1:26" x14ac:dyDescent="0.2">
      <c r="A1" s="99"/>
      <c r="B1" s="99"/>
      <c r="C1" s="99"/>
      <c r="D1" s="99"/>
      <c r="E1" s="99"/>
      <c r="F1" s="141"/>
      <c r="G1" s="141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spans="1:26" x14ac:dyDescent="0.2">
      <c r="A2" s="99"/>
      <c r="B2" s="29" t="s">
        <v>28</v>
      </c>
      <c r="C2" s="27"/>
      <c r="D2" s="99" t="s">
        <v>92</v>
      </c>
      <c r="E2" s="99"/>
      <c r="F2" s="141"/>
      <c r="G2" s="141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</row>
    <row r="3" spans="1:26" x14ac:dyDescent="0.2">
      <c r="A3" s="99"/>
      <c r="B3" s="99"/>
      <c r="C3" s="99"/>
      <c r="D3" s="99" t="s">
        <v>92</v>
      </c>
      <c r="E3" s="99"/>
      <c r="F3" s="141"/>
      <c r="G3" s="141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spans="1:26" ht="16.5" x14ac:dyDescent="0.2">
      <c r="A4" s="99"/>
      <c r="B4" s="25" t="s">
        <v>74</v>
      </c>
      <c r="C4" s="26"/>
      <c r="D4" s="99" t="s">
        <v>92</v>
      </c>
      <c r="E4" s="25" t="s">
        <v>96</v>
      </c>
      <c r="F4" s="90" t="s">
        <v>64</v>
      </c>
      <c r="G4" s="90" t="s">
        <v>65</v>
      </c>
      <c r="H4" s="99" t="s">
        <v>92</v>
      </c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</row>
    <row r="5" spans="1:26" x14ac:dyDescent="0.2">
      <c r="A5" s="99"/>
      <c r="B5" s="136" t="s">
        <v>29</v>
      </c>
      <c r="C5" s="28">
        <f>_xll.qlSettingsEvaluationDate(Trigger)</f>
        <v>41947</v>
      </c>
      <c r="D5" s="99" t="s">
        <v>92</v>
      </c>
      <c r="E5" s="137" t="s">
        <v>56</v>
      </c>
      <c r="F5" s="147" t="str">
        <f>JoinedCalendar</f>
        <v>JoinHolidays(UnitedStates::Settlement,HongKong::HKEx)</v>
      </c>
      <c r="G5" s="147" t="str">
        <f>DomesticPaymentCalendar</f>
        <v>JoinHolidays(UnitedStates::Settlement,HongKong::HKEx)</v>
      </c>
      <c r="H5" s="99" t="s">
        <v>92</v>
      </c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</row>
    <row r="6" spans="1:26" x14ac:dyDescent="0.2">
      <c r="A6" s="99"/>
      <c r="B6" s="137" t="s">
        <v>61</v>
      </c>
      <c r="C6" s="2" t="s">
        <v>32</v>
      </c>
      <c r="D6" s="99" t="s">
        <v>92</v>
      </c>
      <c r="E6" s="137" t="s">
        <v>101</v>
      </c>
      <c r="F6" s="15" t="s">
        <v>102</v>
      </c>
      <c r="G6" s="15" t="s">
        <v>106</v>
      </c>
      <c r="H6" s="99" t="s">
        <v>92</v>
      </c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</row>
    <row r="7" spans="1:26" x14ac:dyDescent="0.2">
      <c r="A7" s="99"/>
      <c r="B7" s="137" t="s">
        <v>62</v>
      </c>
      <c r="C7" s="23" t="str">
        <f>JoinedCalendarRule&amp;"("&amp;DomesticCalendar&amp;","&amp;ForeignCalendar&amp;")"</f>
        <v>JoinHolidays(UnitedStates::Settlement,HongKong::HKEx)</v>
      </c>
      <c r="D7" s="99" t="s">
        <v>92</v>
      </c>
      <c r="E7" s="137" t="s">
        <v>57</v>
      </c>
      <c r="F7" s="15">
        <v>2</v>
      </c>
      <c r="G7" s="15">
        <f>F7</f>
        <v>2</v>
      </c>
      <c r="H7" s="99" t="s">
        <v>92</v>
      </c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</row>
    <row r="8" spans="1:26" x14ac:dyDescent="0.2">
      <c r="A8" s="99"/>
      <c r="B8" s="137" t="s">
        <v>30</v>
      </c>
      <c r="C8" s="2">
        <v>2</v>
      </c>
      <c r="D8" s="99" t="s">
        <v>92</v>
      </c>
      <c r="E8" s="137" t="s">
        <v>38</v>
      </c>
      <c r="F8" s="16">
        <f>_xll.qlCalendarAdvance(DomesticPaymentCalendar,EvaluationDate,F7&amp;"D","f",FALSE,Trigger)</f>
        <v>41949</v>
      </c>
      <c r="G8" s="16">
        <f>F8</f>
        <v>41949</v>
      </c>
      <c r="H8" s="99" t="s">
        <v>92</v>
      </c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</row>
    <row r="9" spans="1:26" x14ac:dyDescent="0.2">
      <c r="A9" s="99"/>
      <c r="B9" s="138" t="s">
        <v>31</v>
      </c>
      <c r="C9" s="10">
        <f>_xll.qlCalendarAdvance(JoinedCalendar,EvaluationDate,C8&amp;"D","Following",FALSE,)</f>
        <v>41949</v>
      </c>
      <c r="D9" s="99"/>
      <c r="E9" s="137" t="s">
        <v>39</v>
      </c>
      <c r="F9" s="15" t="s">
        <v>6</v>
      </c>
      <c r="G9" s="15" t="s">
        <v>6</v>
      </c>
      <c r="H9" s="99" t="s">
        <v>92</v>
      </c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</row>
    <row r="10" spans="1:26" x14ac:dyDescent="0.2">
      <c r="A10" s="99"/>
      <c r="B10" s="99"/>
      <c r="C10" s="99"/>
      <c r="D10" s="99"/>
      <c r="E10" s="137" t="s">
        <v>40</v>
      </c>
      <c r="F10" s="15" t="s">
        <v>41</v>
      </c>
      <c r="G10" s="15" t="s">
        <v>41</v>
      </c>
      <c r="H10" s="99" t="s">
        <v>92</v>
      </c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</row>
    <row r="11" spans="1:26" ht="16.5" x14ac:dyDescent="0.2">
      <c r="A11" s="99"/>
      <c r="B11" s="25" t="s">
        <v>75</v>
      </c>
      <c r="C11" s="26"/>
      <c r="D11" s="99"/>
      <c r="E11" s="137" t="s">
        <v>42</v>
      </c>
      <c r="F11" s="15" t="s">
        <v>60</v>
      </c>
      <c r="G11" s="15" t="s">
        <v>60</v>
      </c>
      <c r="H11" s="99" t="s">
        <v>92</v>
      </c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</row>
    <row r="12" spans="1:26" x14ac:dyDescent="0.2">
      <c r="A12" s="99"/>
      <c r="B12" s="136" t="s">
        <v>107</v>
      </c>
      <c r="C12" s="14" t="s">
        <v>36</v>
      </c>
      <c r="D12" s="99"/>
      <c r="E12" s="137" t="s">
        <v>43</v>
      </c>
      <c r="F12" s="15" t="s">
        <v>44</v>
      </c>
      <c r="G12" s="15" t="s">
        <v>44</v>
      </c>
      <c r="H12" s="99" t="s">
        <v>92</v>
      </c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</row>
    <row r="13" spans="1:26" x14ac:dyDescent="0.2">
      <c r="A13" s="99"/>
      <c r="B13" s="137" t="s">
        <v>80</v>
      </c>
      <c r="C13" s="3" t="str">
        <f>DomesticCurrency&amp;"ON"</f>
        <v>USDON</v>
      </c>
      <c r="D13" s="99"/>
      <c r="E13" s="137" t="s">
        <v>45</v>
      </c>
      <c r="F13" s="19" t="b">
        <v>0</v>
      </c>
      <c r="G13" s="19" t="b">
        <v>0</v>
      </c>
      <c r="H13" s="99" t="s">
        <v>92</v>
      </c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</row>
    <row r="14" spans="1:26" x14ac:dyDescent="0.2">
      <c r="A14" s="99"/>
      <c r="B14" s="137" t="s">
        <v>76</v>
      </c>
      <c r="C14" s="2" t="str">
        <f>_xll.qlImpliedTermStructure(,BaseYieldCurve,SettlementDate)</f>
        <v>obj_014ba#0006</v>
      </c>
      <c r="D14" s="99"/>
      <c r="E14" s="137" t="s">
        <v>47</v>
      </c>
      <c r="F14" s="15" t="s">
        <v>48</v>
      </c>
      <c r="G14" s="15" t="s">
        <v>48</v>
      </c>
      <c r="H14" s="99" t="s">
        <v>92</v>
      </c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</row>
    <row r="15" spans="1:26" x14ac:dyDescent="0.2">
      <c r="A15" s="99"/>
      <c r="B15" s="137" t="s">
        <v>81</v>
      </c>
      <c r="C15" s="2" t="s">
        <v>33</v>
      </c>
      <c r="D15" s="99"/>
      <c r="E15" s="137" t="s">
        <v>49</v>
      </c>
      <c r="F15" s="20"/>
      <c r="G15" s="20">
        <v>1000000</v>
      </c>
      <c r="H15" s="99" t="s">
        <v>92</v>
      </c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</row>
    <row r="16" spans="1:26" x14ac:dyDescent="0.2">
      <c r="A16" s="99"/>
      <c r="B16" s="140" t="s">
        <v>109</v>
      </c>
      <c r="C16" s="142">
        <v>1</v>
      </c>
      <c r="D16" s="99"/>
      <c r="E16" s="137" t="s">
        <v>113</v>
      </c>
      <c r="F16" s="19" t="b">
        <v>0</v>
      </c>
      <c r="G16" s="19"/>
      <c r="H16" s="99" t="s">
        <v>92</v>
      </c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</row>
    <row r="17" spans="1:26" ht="16.5" x14ac:dyDescent="0.2">
      <c r="A17" s="99"/>
      <c r="B17" s="25" t="s">
        <v>77</v>
      </c>
      <c r="C17" s="26"/>
      <c r="D17" s="99"/>
      <c r="E17" s="137" t="s">
        <v>50</v>
      </c>
      <c r="F17" s="19">
        <v>2</v>
      </c>
      <c r="G17" s="19">
        <v>2</v>
      </c>
      <c r="H17" s="99" t="s">
        <v>92</v>
      </c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</row>
    <row r="18" spans="1:26" x14ac:dyDescent="0.2">
      <c r="A18" s="99"/>
      <c r="B18" s="139" t="s">
        <v>108</v>
      </c>
      <c r="C18" s="14" t="s">
        <v>134</v>
      </c>
      <c r="D18" s="99"/>
      <c r="E18" s="137" t="s">
        <v>51</v>
      </c>
      <c r="F18" s="19" t="b">
        <v>0</v>
      </c>
      <c r="G18" s="19" t="b">
        <v>0</v>
      </c>
      <c r="H18" s="99" t="s">
        <v>92</v>
      </c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</row>
    <row r="19" spans="1:26" x14ac:dyDescent="0.2">
      <c r="A19" s="99"/>
      <c r="B19" s="139" t="s">
        <v>78</v>
      </c>
      <c r="C19" s="15" t="s">
        <v>58</v>
      </c>
      <c r="D19" s="99"/>
      <c r="E19" s="137" t="s">
        <v>52</v>
      </c>
      <c r="F19" s="19" t="s">
        <v>53</v>
      </c>
      <c r="G19" s="19" t="s">
        <v>53</v>
      </c>
      <c r="H19" s="99" t="s">
        <v>92</v>
      </c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</row>
    <row r="20" spans="1:26" x14ac:dyDescent="0.2">
      <c r="A20" s="99"/>
      <c r="B20" s="139" t="s">
        <v>79</v>
      </c>
      <c r="C20" s="15" t="s">
        <v>89</v>
      </c>
      <c r="D20" s="99"/>
      <c r="E20" s="137" t="s">
        <v>54</v>
      </c>
      <c r="F20" s="19">
        <v>1</v>
      </c>
      <c r="G20" s="19">
        <v>0</v>
      </c>
      <c r="H20" s="99" t="s">
        <v>92</v>
      </c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</row>
    <row r="21" spans="1:26" x14ac:dyDescent="0.2">
      <c r="A21" s="99"/>
      <c r="B21" s="139" t="s">
        <v>73</v>
      </c>
      <c r="C21" s="15" t="str">
        <f>_xll.qlInterpolatedYieldCurve(,_xll.ohFilter(Dates,IncludeFlag),_xll.ohFilter(ForeignDiscountMid,IncludeFlag),JoinedCalendar,,,,TraitsID,InterpolatorID)</f>
        <v>obj_01538#0069</v>
      </c>
      <c r="D21" s="99"/>
      <c r="E21" s="137" t="s">
        <v>55</v>
      </c>
      <c r="F21" s="19" t="s">
        <v>63</v>
      </c>
      <c r="G21" s="19" t="str">
        <f>DomesticIndex</f>
        <v>USDLibor3M</v>
      </c>
      <c r="H21" s="99" t="s">
        <v>92</v>
      </c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</row>
    <row r="22" spans="1:26" x14ac:dyDescent="0.2">
      <c r="A22" s="99"/>
      <c r="B22" s="140" t="s">
        <v>82</v>
      </c>
      <c r="C22" s="130" t="s">
        <v>135</v>
      </c>
      <c r="D22" s="99"/>
      <c r="E22" s="138" t="s">
        <v>98</v>
      </c>
      <c r="F22" s="70" t="b">
        <v>0</v>
      </c>
      <c r="G22" s="70" t="b">
        <v>1</v>
      </c>
      <c r="H22" s="99" t="s">
        <v>92</v>
      </c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</row>
    <row r="23" spans="1:26" x14ac:dyDescent="0.2">
      <c r="A23" s="99"/>
      <c r="B23" s="99"/>
      <c r="C23" s="99"/>
      <c r="D23" s="99"/>
      <c r="E23" s="99"/>
      <c r="F23" s="141"/>
      <c r="G23" s="141"/>
      <c r="H23" s="99" t="s">
        <v>92</v>
      </c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</row>
    <row r="24" spans="1:26" x14ac:dyDescent="0.2">
      <c r="A24" s="99"/>
      <c r="B24" s="99"/>
      <c r="C24" s="99"/>
      <c r="D24" s="99"/>
      <c r="E24" s="99"/>
      <c r="F24" s="141"/>
      <c r="G24" s="141"/>
      <c r="H24" s="99" t="s">
        <v>92</v>
      </c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</row>
    <row r="25" spans="1:26" x14ac:dyDescent="0.2">
      <c r="A25" s="99"/>
      <c r="B25" s="99"/>
      <c r="C25" s="99"/>
      <c r="D25" s="99"/>
      <c r="E25" s="99"/>
      <c r="F25" s="141"/>
      <c r="G25" s="141"/>
      <c r="H25" s="99" t="s">
        <v>92</v>
      </c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</row>
    <row r="26" spans="1:26" x14ac:dyDescent="0.2">
      <c r="A26" s="99"/>
      <c r="B26" s="99"/>
      <c r="C26" s="99"/>
      <c r="D26" s="99"/>
      <c r="E26" s="99"/>
      <c r="F26" s="141"/>
      <c r="G26" s="141"/>
      <c r="H26" s="99" t="s">
        <v>92</v>
      </c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</row>
    <row r="27" spans="1:26" x14ac:dyDescent="0.2">
      <c r="A27" s="99"/>
      <c r="B27" s="99"/>
      <c r="C27" s="99"/>
      <c r="D27" s="99"/>
      <c r="E27" s="99"/>
      <c r="F27" s="141"/>
      <c r="G27" s="141"/>
      <c r="H27" s="99" t="s">
        <v>92</v>
      </c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</row>
    <row r="28" spans="1:26" x14ac:dyDescent="0.2">
      <c r="A28" s="99"/>
      <c r="B28" s="99"/>
      <c r="C28" s="99"/>
      <c r="D28" s="99"/>
      <c r="E28" s="99"/>
      <c r="F28" s="141"/>
      <c r="G28" s="141"/>
      <c r="H28" s="99" t="s">
        <v>92</v>
      </c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</row>
    <row r="29" spans="1:26" x14ac:dyDescent="0.2">
      <c r="A29" s="99"/>
      <c r="B29" s="99"/>
      <c r="C29" s="99"/>
      <c r="D29" s="99"/>
      <c r="E29" s="99"/>
      <c r="F29" s="141"/>
      <c r="G29" s="141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</row>
    <row r="30" spans="1:26" x14ac:dyDescent="0.2">
      <c r="A30" s="99"/>
      <c r="B30" s="99"/>
      <c r="C30" s="99"/>
      <c r="D30" s="99"/>
      <c r="E30" s="99"/>
      <c r="F30" s="141"/>
      <c r="G30" s="141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</row>
    <row r="31" spans="1:26" x14ac:dyDescent="0.2">
      <c r="A31" s="99"/>
      <c r="B31" s="99"/>
      <c r="C31" s="99"/>
      <c r="D31" s="99"/>
      <c r="E31" s="99"/>
      <c r="F31" s="141"/>
      <c r="G31" s="141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</row>
    <row r="32" spans="1:26" x14ac:dyDescent="0.2">
      <c r="A32" s="99"/>
      <c r="B32" s="99"/>
      <c r="C32" s="99"/>
      <c r="D32" s="99"/>
      <c r="E32" s="99"/>
      <c r="F32" s="141"/>
      <c r="G32" s="141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</row>
    <row r="33" spans="1:26" x14ac:dyDescent="0.2">
      <c r="A33" s="99"/>
      <c r="B33" s="99"/>
      <c r="C33" s="99"/>
      <c r="D33" s="99"/>
      <c r="E33" s="99"/>
      <c r="F33" s="141"/>
      <c r="G33" s="141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</row>
    <row r="34" spans="1:26" x14ac:dyDescent="0.2">
      <c r="A34" s="99"/>
      <c r="B34" s="99"/>
      <c r="C34" s="99"/>
      <c r="D34" s="99"/>
      <c r="E34" s="99"/>
      <c r="F34" s="141"/>
      <c r="G34" s="141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</row>
    <row r="35" spans="1:26" x14ac:dyDescent="0.2">
      <c r="A35" s="99"/>
      <c r="B35" s="99"/>
      <c r="C35" s="99"/>
      <c r="D35" s="99"/>
      <c r="E35" s="99"/>
      <c r="F35" s="141"/>
      <c r="G35" s="141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</row>
    <row r="36" spans="1:26" x14ac:dyDescent="0.2">
      <c r="A36" s="99"/>
      <c r="B36" s="99"/>
      <c r="C36" s="99"/>
      <c r="D36" s="99"/>
      <c r="E36" s="99"/>
      <c r="F36" s="141"/>
      <c r="G36" s="141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</row>
    <row r="37" spans="1:26" x14ac:dyDescent="0.2">
      <c r="A37" s="99"/>
      <c r="B37" s="99"/>
      <c r="C37" s="99"/>
      <c r="D37" s="99"/>
      <c r="E37" s="99"/>
      <c r="F37" s="141"/>
      <c r="G37" s="141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</row>
    <row r="38" spans="1:26" x14ac:dyDescent="0.2">
      <c r="A38" s="99"/>
      <c r="B38" s="99"/>
      <c r="C38" s="99"/>
      <c r="D38" s="99"/>
      <c r="E38" s="99"/>
      <c r="F38" s="141"/>
      <c r="G38" s="141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</row>
    <row r="39" spans="1:26" x14ac:dyDescent="0.2">
      <c r="A39" s="99"/>
      <c r="B39" s="99"/>
      <c r="C39" s="99"/>
      <c r="D39" s="99"/>
      <c r="E39" s="99"/>
      <c r="F39" s="141"/>
      <c r="G39" s="141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</row>
    <row r="40" spans="1:26" x14ac:dyDescent="0.2">
      <c r="A40" s="99"/>
      <c r="B40" s="99"/>
      <c r="C40" s="99"/>
      <c r="D40" s="99"/>
      <c r="E40" s="99"/>
      <c r="F40" s="141"/>
      <c r="G40" s="141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</row>
    <row r="41" spans="1:26" x14ac:dyDescent="0.2">
      <c r="A41" s="99"/>
      <c r="B41" s="99"/>
      <c r="C41" s="99"/>
      <c r="D41" s="99"/>
      <c r="E41" s="99"/>
      <c r="F41" s="141"/>
      <c r="G41" s="141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</row>
    <row r="42" spans="1:26" x14ac:dyDescent="0.2">
      <c r="A42" s="99"/>
      <c r="B42" s="99"/>
      <c r="C42" s="99"/>
      <c r="D42" s="99"/>
      <c r="E42" s="99"/>
      <c r="F42" s="141"/>
      <c r="G42" s="141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</row>
    <row r="43" spans="1:26" x14ac:dyDescent="0.2">
      <c r="A43" s="99"/>
      <c r="B43" s="99"/>
      <c r="C43" s="99"/>
      <c r="D43" s="99"/>
      <c r="E43" s="99"/>
      <c r="F43" s="141"/>
      <c r="G43" s="141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</row>
    <row r="44" spans="1:26" x14ac:dyDescent="0.2">
      <c r="A44" s="99"/>
      <c r="B44" s="99"/>
      <c r="C44" s="99"/>
      <c r="D44" s="99"/>
      <c r="E44" s="99"/>
      <c r="F44" s="141"/>
      <c r="G44" s="141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</row>
    <row r="45" spans="1:26" x14ac:dyDescent="0.2">
      <c r="A45" s="99"/>
      <c r="B45" s="99"/>
      <c r="C45" s="99"/>
      <c r="D45" s="99"/>
      <c r="E45" s="99"/>
      <c r="F45" s="141"/>
      <c r="G45" s="141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</row>
    <row r="46" spans="1:26" x14ac:dyDescent="0.2">
      <c r="A46" s="99"/>
      <c r="B46" s="99"/>
      <c r="C46" s="99"/>
      <c r="D46" s="99"/>
      <c r="E46" s="99"/>
      <c r="F46" s="141"/>
      <c r="G46" s="141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</row>
    <row r="47" spans="1:26" x14ac:dyDescent="0.2">
      <c r="A47" s="99"/>
      <c r="B47" s="99"/>
      <c r="C47" s="99"/>
      <c r="D47" s="99"/>
      <c r="E47" s="99"/>
      <c r="F47" s="141"/>
      <c r="G47" s="141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</row>
    <row r="48" spans="1:26" x14ac:dyDescent="0.2">
      <c r="A48" s="99"/>
      <c r="B48" s="99"/>
      <c r="C48" s="99"/>
      <c r="D48" s="99"/>
      <c r="E48" s="99"/>
      <c r="F48" s="141"/>
      <c r="G48" s="141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</row>
    <row r="49" spans="1:26" x14ac:dyDescent="0.2">
      <c r="A49" s="99"/>
      <c r="B49" s="99"/>
      <c r="C49" s="99"/>
      <c r="D49" s="99"/>
      <c r="E49" s="99"/>
      <c r="F49" s="141"/>
      <c r="G49" s="141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</row>
    <row r="50" spans="1:26" x14ac:dyDescent="0.2">
      <c r="A50" s="99"/>
      <c r="B50" s="99"/>
      <c r="C50" s="99"/>
      <c r="D50" s="99"/>
      <c r="E50" s="99"/>
      <c r="F50" s="141"/>
      <c r="G50" s="141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  <row r="51" spans="1:26" x14ac:dyDescent="0.2">
      <c r="A51" s="99"/>
      <c r="B51" s="99"/>
      <c r="C51" s="99"/>
      <c r="D51" s="99"/>
      <c r="E51" s="99"/>
      <c r="F51" s="141"/>
      <c r="G51" s="141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</row>
    <row r="52" spans="1:26" x14ac:dyDescent="0.2">
      <c r="A52" s="99"/>
      <c r="B52" s="99"/>
      <c r="C52" s="99"/>
      <c r="D52" s="99"/>
      <c r="E52" s="99"/>
      <c r="F52" s="141"/>
      <c r="G52" s="141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</row>
    <row r="53" spans="1:26" x14ac:dyDescent="0.2">
      <c r="A53" s="99"/>
      <c r="B53" s="99"/>
      <c r="C53" s="99"/>
      <c r="D53" s="99"/>
      <c r="E53" s="99"/>
      <c r="F53" s="141"/>
      <c r="G53" s="141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</row>
    <row r="54" spans="1:26" x14ac:dyDescent="0.2">
      <c r="A54" s="99"/>
      <c r="B54" s="99"/>
      <c r="C54" s="99"/>
      <c r="D54" s="99"/>
      <c r="E54" s="99"/>
      <c r="F54" s="141"/>
      <c r="G54" s="141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</row>
    <row r="55" spans="1:26" x14ac:dyDescent="0.2">
      <c r="A55" s="99"/>
      <c r="B55" s="99"/>
      <c r="C55" s="99"/>
      <c r="D55" s="99"/>
      <c r="E55" s="99"/>
      <c r="F55" s="141"/>
      <c r="G55" s="141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</row>
    <row r="56" spans="1:26" x14ac:dyDescent="0.2">
      <c r="A56" s="99"/>
      <c r="B56" s="99"/>
      <c r="C56" s="99"/>
      <c r="D56" s="99"/>
      <c r="E56" s="99"/>
      <c r="F56" s="141"/>
      <c r="G56" s="141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</row>
    <row r="57" spans="1:26" x14ac:dyDescent="0.2">
      <c r="A57" s="99"/>
      <c r="B57" s="99"/>
      <c r="C57" s="99"/>
      <c r="D57" s="99"/>
      <c r="E57" s="99"/>
      <c r="F57" s="141"/>
      <c r="G57" s="141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</row>
    <row r="58" spans="1:26" x14ac:dyDescent="0.2">
      <c r="A58" s="99"/>
      <c r="B58" s="99"/>
      <c r="C58" s="99"/>
      <c r="D58" s="99"/>
      <c r="E58" s="99"/>
      <c r="F58" s="141"/>
      <c r="G58" s="141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</row>
    <row r="59" spans="1:26" x14ac:dyDescent="0.2">
      <c r="A59" s="99"/>
      <c r="B59" s="99"/>
      <c r="C59" s="99"/>
      <c r="D59" s="99"/>
      <c r="E59" s="99"/>
      <c r="F59" s="141"/>
      <c r="G59" s="141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</row>
    <row r="60" spans="1:26" x14ac:dyDescent="0.2">
      <c r="A60" s="99"/>
      <c r="B60" s="99"/>
      <c r="C60" s="99"/>
      <c r="D60" s="99"/>
      <c r="E60" s="99"/>
      <c r="F60" s="141"/>
      <c r="G60" s="141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</row>
    <row r="61" spans="1:26" x14ac:dyDescent="0.2">
      <c r="A61" s="99"/>
      <c r="B61" s="99"/>
      <c r="C61" s="99"/>
      <c r="D61" s="99"/>
      <c r="E61" s="99"/>
      <c r="F61" s="141"/>
      <c r="G61" s="141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</row>
    <row r="62" spans="1:26" x14ac:dyDescent="0.2">
      <c r="A62" s="99"/>
      <c r="B62" s="99"/>
      <c r="C62" s="99"/>
      <c r="D62" s="99"/>
      <c r="E62" s="99"/>
      <c r="F62" s="141"/>
      <c r="G62" s="141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</row>
    <row r="63" spans="1:26" x14ac:dyDescent="0.2">
      <c r="A63" s="99"/>
      <c r="B63" s="99"/>
      <c r="C63" s="99"/>
      <c r="D63" s="99"/>
      <c r="E63" s="99"/>
      <c r="F63" s="141"/>
      <c r="G63" s="141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</row>
    <row r="64" spans="1:26" x14ac:dyDescent="0.2">
      <c r="A64" s="99"/>
      <c r="B64" s="99"/>
      <c r="C64" s="99"/>
      <c r="D64" s="99"/>
      <c r="E64" s="99"/>
      <c r="F64" s="141"/>
      <c r="G64" s="141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</row>
    <row r="65" spans="1:26" x14ac:dyDescent="0.2">
      <c r="A65" s="99"/>
      <c r="B65" s="99"/>
      <c r="C65" s="99"/>
      <c r="D65" s="99"/>
      <c r="E65" s="99"/>
      <c r="F65" s="141"/>
      <c r="G65" s="141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</row>
    <row r="66" spans="1:26" x14ac:dyDescent="0.2">
      <c r="A66" s="99"/>
      <c r="B66" s="99"/>
      <c r="C66" s="99"/>
      <c r="D66" s="99"/>
      <c r="E66" s="99"/>
      <c r="F66" s="141"/>
      <c r="G66" s="141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</row>
    <row r="67" spans="1:26" x14ac:dyDescent="0.2">
      <c r="A67" s="99"/>
      <c r="B67" s="99"/>
      <c r="C67" s="99"/>
      <c r="D67" s="99"/>
      <c r="E67" s="99"/>
      <c r="F67" s="141"/>
      <c r="G67" s="141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</row>
    <row r="68" spans="1:26" x14ac:dyDescent="0.2">
      <c r="A68" s="99"/>
      <c r="B68" s="99"/>
      <c r="C68" s="99"/>
      <c r="D68" s="99"/>
      <c r="E68" s="99"/>
      <c r="F68" s="141"/>
      <c r="G68" s="141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</row>
    <row r="69" spans="1:26" x14ac:dyDescent="0.2">
      <c r="A69" s="99"/>
      <c r="B69" s="99"/>
      <c r="C69" s="99"/>
      <c r="D69" s="99"/>
      <c r="E69" s="99"/>
      <c r="F69" s="141"/>
      <c r="G69" s="141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</row>
    <row r="70" spans="1:26" x14ac:dyDescent="0.2">
      <c r="A70" s="99"/>
      <c r="B70" s="99"/>
      <c r="C70" s="99"/>
      <c r="D70" s="99"/>
      <c r="E70" s="99"/>
      <c r="F70" s="141"/>
      <c r="G70" s="141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</row>
    <row r="71" spans="1:26" x14ac:dyDescent="0.2">
      <c r="A71" s="99"/>
      <c r="B71" s="99"/>
      <c r="C71" s="99"/>
      <c r="D71" s="99"/>
      <c r="E71" s="99"/>
      <c r="F71" s="141"/>
      <c r="G71" s="141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</row>
    <row r="72" spans="1:26" x14ac:dyDescent="0.2">
      <c r="A72" s="99"/>
      <c r="B72" s="99"/>
      <c r="C72" s="99"/>
      <c r="D72" s="99"/>
      <c r="E72" s="99"/>
      <c r="F72" s="141"/>
      <c r="G72" s="141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</row>
    <row r="73" spans="1:26" x14ac:dyDescent="0.2">
      <c r="A73" s="99"/>
      <c r="B73" s="99"/>
      <c r="C73" s="99"/>
      <c r="D73" s="99"/>
      <c r="E73" s="99"/>
      <c r="F73" s="141"/>
      <c r="G73" s="141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</row>
    <row r="74" spans="1:26" x14ac:dyDescent="0.2">
      <c r="A74" s="99"/>
      <c r="B74" s="99"/>
      <c r="C74" s="99"/>
      <c r="D74" s="99"/>
      <c r="E74" s="99"/>
      <c r="F74" s="141"/>
      <c r="G74" s="141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</row>
    <row r="75" spans="1:26" x14ac:dyDescent="0.2">
      <c r="A75" s="99"/>
      <c r="B75" s="99"/>
      <c r="C75" s="99"/>
      <c r="D75" s="99"/>
      <c r="E75" s="99"/>
      <c r="F75" s="141"/>
      <c r="G75" s="141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</row>
    <row r="76" spans="1:26" x14ac:dyDescent="0.2">
      <c r="A76" s="99"/>
      <c r="B76" s="99"/>
      <c r="C76" s="99"/>
      <c r="D76" s="99"/>
      <c r="E76" s="99"/>
      <c r="F76" s="141"/>
      <c r="G76" s="141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</row>
    <row r="77" spans="1:26" x14ac:dyDescent="0.2">
      <c r="A77" s="99"/>
      <c r="B77" s="99"/>
      <c r="C77" s="99"/>
      <c r="D77" s="99"/>
      <c r="E77" s="99"/>
      <c r="F77" s="141"/>
      <c r="G77" s="141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</row>
    <row r="78" spans="1:26" x14ac:dyDescent="0.2">
      <c r="A78" s="99"/>
      <c r="B78" s="99"/>
      <c r="C78" s="99"/>
      <c r="D78" s="99"/>
      <c r="E78" s="99"/>
      <c r="F78" s="141"/>
      <c r="G78" s="141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</row>
    <row r="79" spans="1:26" x14ac:dyDescent="0.2">
      <c r="A79" s="99"/>
      <c r="B79" s="99"/>
      <c r="C79" s="99"/>
      <c r="D79" s="99"/>
      <c r="E79" s="99"/>
      <c r="F79" s="141"/>
      <c r="G79" s="141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</row>
    <row r="80" spans="1:26" x14ac:dyDescent="0.2">
      <c r="A80" s="99"/>
      <c r="B80" s="99"/>
      <c r="C80" s="99"/>
      <c r="D80" s="99"/>
      <c r="E80" s="99"/>
      <c r="F80" s="141"/>
      <c r="G80" s="141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</row>
    <row r="81" spans="1:26" x14ac:dyDescent="0.2">
      <c r="A81" s="99"/>
      <c r="B81" s="99"/>
      <c r="C81" s="99"/>
      <c r="D81" s="99"/>
      <c r="E81" s="99"/>
      <c r="F81" s="141"/>
      <c r="G81" s="141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</row>
    <row r="82" spans="1:26" x14ac:dyDescent="0.2">
      <c r="A82" s="99"/>
      <c r="B82" s="99"/>
      <c r="C82" s="99"/>
      <c r="D82" s="99"/>
      <c r="E82" s="99"/>
      <c r="F82" s="141"/>
      <c r="G82" s="141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</row>
    <row r="83" spans="1:26" x14ac:dyDescent="0.2">
      <c r="A83" s="99"/>
      <c r="B83" s="99"/>
      <c r="C83" s="99"/>
      <c r="D83" s="99"/>
      <c r="E83" s="99"/>
      <c r="F83" s="141"/>
      <c r="G83" s="141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</row>
    <row r="84" spans="1:26" x14ac:dyDescent="0.2">
      <c r="A84" s="99"/>
      <c r="B84" s="99"/>
      <c r="C84" s="99"/>
      <c r="D84" s="99"/>
      <c r="E84" s="99"/>
      <c r="F84" s="141"/>
      <c r="G84" s="141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</row>
    <row r="85" spans="1:26" x14ac:dyDescent="0.2">
      <c r="A85" s="99"/>
      <c r="B85" s="99"/>
      <c r="C85" s="99"/>
      <c r="D85" s="99"/>
      <c r="E85" s="99"/>
      <c r="F85" s="141"/>
      <c r="G85" s="141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</row>
    <row r="86" spans="1:26" x14ac:dyDescent="0.2">
      <c r="A86" s="99"/>
      <c r="B86" s="99"/>
      <c r="C86" s="99"/>
      <c r="D86" s="99"/>
      <c r="E86" s="99"/>
      <c r="F86" s="141"/>
      <c r="G86" s="141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</row>
    <row r="87" spans="1:26" x14ac:dyDescent="0.2">
      <c r="A87" s="99"/>
      <c r="B87" s="99"/>
      <c r="C87" s="99"/>
      <c r="D87" s="99"/>
      <c r="E87" s="99"/>
      <c r="F87" s="141"/>
      <c r="G87" s="141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</row>
    <row r="88" spans="1:26" x14ac:dyDescent="0.2">
      <c r="A88" s="99"/>
      <c r="B88" s="99"/>
      <c r="C88" s="99"/>
      <c r="D88" s="99"/>
      <c r="E88" s="99"/>
      <c r="F88" s="141"/>
      <c r="G88" s="141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</row>
    <row r="89" spans="1:26" x14ac:dyDescent="0.2">
      <c r="A89" s="99"/>
      <c r="B89" s="99"/>
      <c r="C89" s="99"/>
      <c r="D89" s="99"/>
      <c r="E89" s="99"/>
      <c r="F89" s="141"/>
      <c r="G89" s="141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</row>
    <row r="90" spans="1:26" x14ac:dyDescent="0.2">
      <c r="A90" s="99"/>
      <c r="B90" s="99"/>
      <c r="C90" s="99"/>
      <c r="D90" s="99"/>
      <c r="E90" s="99"/>
      <c r="F90" s="141"/>
      <c r="G90" s="141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</row>
    <row r="91" spans="1:26" x14ac:dyDescent="0.2">
      <c r="A91" s="99"/>
      <c r="B91" s="99"/>
      <c r="C91" s="99"/>
      <c r="D91" s="99"/>
      <c r="E91" s="99"/>
      <c r="F91" s="141"/>
      <c r="G91" s="141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</row>
    <row r="92" spans="1:26" x14ac:dyDescent="0.2">
      <c r="A92" s="99"/>
      <c r="B92" s="99"/>
      <c r="C92" s="99"/>
      <c r="D92" s="99"/>
      <c r="E92" s="99"/>
      <c r="F92" s="141"/>
      <c r="G92" s="141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</row>
    <row r="93" spans="1:26" x14ac:dyDescent="0.2">
      <c r="A93" s="99"/>
      <c r="B93" s="99"/>
      <c r="C93" s="99"/>
      <c r="D93" s="99"/>
      <c r="E93" s="99"/>
      <c r="F93" s="141"/>
      <c r="G93" s="141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</row>
    <row r="94" spans="1:26" x14ac:dyDescent="0.2">
      <c r="A94" s="99"/>
      <c r="B94" s="99"/>
      <c r="C94" s="99"/>
      <c r="D94" s="99"/>
      <c r="E94" s="99"/>
      <c r="F94" s="141"/>
      <c r="G94" s="141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</row>
    <row r="95" spans="1:26" x14ac:dyDescent="0.2">
      <c r="A95" s="99"/>
      <c r="B95" s="99"/>
      <c r="C95" s="99"/>
      <c r="D95" s="99"/>
      <c r="E95" s="99"/>
      <c r="F95" s="141"/>
      <c r="G95" s="141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</row>
    <row r="96" spans="1:26" x14ac:dyDescent="0.2">
      <c r="A96" s="99"/>
      <c r="B96" s="99"/>
      <c r="C96" s="99"/>
      <c r="D96" s="99"/>
      <c r="E96" s="99"/>
      <c r="F96" s="141"/>
      <c r="G96" s="141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</row>
    <row r="97" spans="1:26" x14ac:dyDescent="0.2">
      <c r="A97" s="99"/>
      <c r="B97" s="99"/>
      <c r="C97" s="99"/>
      <c r="D97" s="99"/>
      <c r="E97" s="99"/>
      <c r="F97" s="141"/>
      <c r="G97" s="141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</row>
    <row r="98" spans="1:26" x14ac:dyDescent="0.2">
      <c r="A98" s="99"/>
      <c r="B98" s="99"/>
      <c r="C98" s="99"/>
      <c r="D98" s="99"/>
      <c r="E98" s="99"/>
      <c r="F98" s="141"/>
      <c r="G98" s="141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</row>
    <row r="99" spans="1:26" x14ac:dyDescent="0.2">
      <c r="A99" s="99"/>
      <c r="B99" s="99"/>
      <c r="C99" s="99"/>
      <c r="D99" s="99"/>
      <c r="E99" s="99"/>
      <c r="F99" s="141"/>
      <c r="G99" s="141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</row>
    <row r="100" spans="1:26" x14ac:dyDescent="0.2">
      <c r="A100" s="99"/>
      <c r="B100" s="99"/>
      <c r="C100" s="99"/>
      <c r="D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</row>
    <row r="101" spans="1:26" x14ac:dyDescent="0.2">
      <c r="B101" s="99"/>
      <c r="C101" s="99"/>
    </row>
    <row r="102" spans="1:26" x14ac:dyDescent="0.2">
      <c r="B102" s="99"/>
      <c r="C102" s="99"/>
    </row>
    <row r="103" spans="1:26" x14ac:dyDescent="0.2">
      <c r="B103" s="99"/>
      <c r="C103" s="99"/>
    </row>
  </sheetData>
  <dataValidations count="11">
    <dataValidation type="list" allowBlank="1" showInputMessage="1" showErrorMessage="1" sqref="C22 F6:G6 C1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C19">
      <formula1>"Discount,ZeroYield,ForwardRate"</formula1>
    </dataValidation>
    <dataValidation type="list" allowBlank="1" showInputMessage="1" showErrorMessage="1" sqref="C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C6">
      <formula1>"JoinBusinessDays,JoinHolidays"</formula1>
    </dataValidation>
    <dataValidation type="list" allowBlank="1" showInputMessage="1" showErrorMessage="1" sqref="F19:G1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10:G11 F14:G14">
      <formula1>"Following,Modified Following,Preceding,Modified Preceding,Unadjusted,Half-Month Modified Following"</formula1>
    </dataValidation>
    <dataValidation type="list" allowBlank="1" showInputMessage="1" showErrorMessage="1" sqref="G12">
      <formula1>"Backward,Forward,Zero,ThirdWednesday"</formula1>
    </dataValidation>
    <dataValidation type="list" allowBlank="1" showInputMessage="1" showErrorMessage="1" sqref="F20:G20">
      <formula1>"0,1"</formula1>
    </dataValidation>
    <dataValidation type="list" allowBlank="1" showInputMessage="1" showErrorMessage="1" sqref="F18:G18 F22:G22 F13:G13 F16">
      <formula1>"TRUE,FALSE"</formula1>
    </dataValidation>
    <dataValidation type="list" allowBlank="1" showInputMessage="1" showErrorMessage="1" sqref="C18 C12">
      <formula1>"EUR,USD,GBP,JPY,CHF,AUD,CNY,CNH,HKD,RMB"</formula1>
    </dataValidation>
    <dataValidation type="list" allowBlank="1" showInputMessage="1" showErrorMessage="1" sqref="C16">
      <formula1>"1,-1"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X100"/>
  <sheetViews>
    <sheetView showGridLines="0" workbookViewId="0">
      <selection activeCell="E2" sqref="E2"/>
    </sheetView>
  </sheetViews>
  <sheetFormatPr defaultRowHeight="11.25" x14ac:dyDescent="0.2"/>
  <cols>
    <col min="1" max="1" width="3" style="1" customWidth="1"/>
    <col min="2" max="2" width="5" style="1" bestFit="1" customWidth="1"/>
    <col min="3" max="4" width="17.28515625" style="1" bestFit="1" customWidth="1"/>
    <col min="5" max="5" width="20.28515625" style="1" bestFit="1" customWidth="1"/>
    <col min="6" max="6" width="14.140625" style="1" bestFit="1" customWidth="1"/>
    <col min="7" max="9" width="14.140625" style="1" customWidth="1"/>
    <col min="10" max="10" width="10" style="1" bestFit="1" customWidth="1"/>
    <col min="11" max="11" width="9" style="1" bestFit="1" customWidth="1"/>
    <col min="12" max="12" width="12" style="1" bestFit="1" customWidth="1"/>
    <col min="13" max="13" width="3" style="1" customWidth="1"/>
    <col min="14" max="19" width="11" style="1" customWidth="1"/>
    <col min="20" max="20" width="3" style="1" customWidth="1"/>
    <col min="21" max="21" width="19.28515625" style="1" bestFit="1" customWidth="1" collapsed="1"/>
    <col min="22" max="22" width="16.140625" style="1" customWidth="1"/>
    <col min="23" max="23" width="3" style="1" customWidth="1"/>
    <col min="24" max="24" width="19.28515625" style="1" bestFit="1" customWidth="1"/>
    <col min="25" max="25" width="16.140625" style="1" bestFit="1" customWidth="1"/>
    <col min="26" max="27" width="15.140625" style="1" bestFit="1" customWidth="1"/>
    <col min="28" max="28" width="6" style="1" bestFit="1" customWidth="1"/>
    <col min="29" max="29" width="8" style="1" bestFit="1" customWidth="1"/>
    <col min="30" max="30" width="13.140625" style="1" bestFit="1" customWidth="1"/>
    <col min="31" max="31" width="11" style="1" bestFit="1" customWidth="1"/>
    <col min="32" max="32" width="7" style="1" bestFit="1" customWidth="1"/>
    <col min="33" max="16384" width="9.140625" style="1"/>
  </cols>
  <sheetData>
    <row r="1" spans="1:50" x14ac:dyDescent="0.2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</row>
    <row r="2" spans="1:50" x14ac:dyDescent="0.2">
      <c r="A2" s="99"/>
      <c r="B2" s="99"/>
      <c r="C2" s="99"/>
      <c r="D2" s="99"/>
      <c r="E2" s="86"/>
      <c r="F2" s="78" t="s">
        <v>131</v>
      </c>
      <c r="G2" s="143"/>
      <c r="H2" s="143"/>
      <c r="I2" s="80"/>
      <c r="J2" s="78" t="s">
        <v>85</v>
      </c>
      <c r="K2" s="79" t="s">
        <v>70</v>
      </c>
      <c r="L2" s="80" t="s">
        <v>86</v>
      </c>
      <c r="M2" s="99"/>
      <c r="N2" s="78" t="s">
        <v>87</v>
      </c>
      <c r="O2" s="79"/>
      <c r="P2" s="79"/>
      <c r="Q2" s="79"/>
      <c r="R2" s="79"/>
      <c r="S2" s="80"/>
      <c r="T2" s="99"/>
      <c r="U2" s="208" t="s">
        <v>88</v>
      </c>
      <c r="V2" s="209" t="s">
        <v>37</v>
      </c>
      <c r="W2" s="99"/>
      <c r="X2" s="78" t="s">
        <v>100</v>
      </c>
      <c r="Y2" s="80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</row>
    <row r="3" spans="1:50" x14ac:dyDescent="0.2">
      <c r="A3" s="99"/>
      <c r="B3" s="74" t="s">
        <v>90</v>
      </c>
      <c r="C3" s="93" t="s">
        <v>34</v>
      </c>
      <c r="D3" s="93" t="s">
        <v>35</v>
      </c>
      <c r="E3" s="94" t="str">
        <f>_xll.RData(E4:E35,F3:I3,"RTFEED:IDN",,,F4)</f>
        <v>Paused at 14:53:04</v>
      </c>
      <c r="F3" s="91" t="s">
        <v>68</v>
      </c>
      <c r="G3" s="95" t="s">
        <v>69</v>
      </c>
      <c r="H3" s="95" t="s">
        <v>83</v>
      </c>
      <c r="I3" s="92" t="s">
        <v>84</v>
      </c>
      <c r="J3" s="91"/>
      <c r="K3" s="95"/>
      <c r="L3" s="92"/>
      <c r="M3" s="99"/>
      <c r="N3" s="96" t="s">
        <v>68</v>
      </c>
      <c r="O3" s="97"/>
      <c r="P3" s="97" t="s">
        <v>69</v>
      </c>
      <c r="Q3" s="97"/>
      <c r="R3" s="97" t="s">
        <v>72</v>
      </c>
      <c r="S3" s="98"/>
      <c r="T3" s="99"/>
      <c r="U3" s="91"/>
      <c r="V3" s="92"/>
      <c r="W3" s="99"/>
      <c r="X3" s="91" t="s">
        <v>71</v>
      </c>
      <c r="Y3" s="92" t="s">
        <v>99</v>
      </c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</row>
    <row r="4" spans="1:50" x14ac:dyDescent="0.2">
      <c r="A4" s="99"/>
      <c r="B4" s="75"/>
      <c r="C4" s="4"/>
      <c r="D4" s="4">
        <f>SettlementDate</f>
        <v>41949</v>
      </c>
      <c r="E4" s="40" t="str">
        <f t="shared" ref="E4:E35" si="0">ForeignCurrency&amp;B4&amp;"="&amp;FxPointsContributor</f>
        <v>CNH=</v>
      </c>
      <c r="F4" s="31">
        <v>6.1223999999999998</v>
      </c>
      <c r="G4" s="32">
        <v>6.1243999999999996</v>
      </c>
      <c r="H4" s="18">
        <v>0</v>
      </c>
      <c r="I4" s="49">
        <v>0</v>
      </c>
      <c r="J4" s="102">
        <f t="shared" ref="J4:J32" si="1">AVERAGE(F4:G4)</f>
        <v>6.1234000000000002</v>
      </c>
      <c r="K4" s="61">
        <f t="shared" ref="K4:K32" si="2">AVERAGE(H4:I4)</f>
        <v>0</v>
      </c>
      <c r="L4" s="62" t="b">
        <v>1</v>
      </c>
      <c r="M4" s="99"/>
      <c r="N4" s="192"/>
      <c r="O4" s="193" t="s">
        <v>103</v>
      </c>
      <c r="P4" s="194"/>
      <c r="Q4" s="193" t="s">
        <v>103</v>
      </c>
      <c r="R4" s="194"/>
      <c r="S4" s="195" t="s">
        <v>103</v>
      </c>
      <c r="T4" s="99"/>
      <c r="U4" s="196">
        <f>_xll.qlYieldTSDiscount(DomesticDiscountCurve,D4,FALSE,_xll.ohTrigger($J$4:$J$32))</f>
        <v>1</v>
      </c>
      <c r="V4" s="197">
        <v>1</v>
      </c>
      <c r="W4" s="99"/>
      <c r="X4" s="221" t="s">
        <v>53</v>
      </c>
      <c r="Y4" s="210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</row>
    <row r="5" spans="1:50" x14ac:dyDescent="0.2">
      <c r="A5" s="99"/>
      <c r="B5" s="75" t="s">
        <v>0</v>
      </c>
      <c r="C5" s="4">
        <f t="shared" ref="C5:C35" si="3">SettlementDate</f>
        <v>41949</v>
      </c>
      <c r="D5" s="4">
        <f>_xll.qlCalendarAdvance(JoinedCalendar,C5,IF(B5="SN","1D",IF(B5="SW","1W",B5)),"f",FALSE,)</f>
        <v>41950</v>
      </c>
      <c r="E5" s="41" t="str">
        <f t="shared" si="0"/>
        <v>CNHSN=</v>
      </c>
      <c r="F5" s="31">
        <v>4.9800000000000004</v>
      </c>
      <c r="G5" s="145">
        <v>7.98</v>
      </c>
      <c r="H5" s="146">
        <v>6.1228980000000002</v>
      </c>
      <c r="I5" s="57">
        <v>6.1251980000000001</v>
      </c>
      <c r="J5" s="31">
        <f t="shared" si="1"/>
        <v>6.48</v>
      </c>
      <c r="K5" s="146">
        <f t="shared" si="2"/>
        <v>6.1240480000000002</v>
      </c>
      <c r="L5" s="62" t="b">
        <f>ISNUMBER(J5)</f>
        <v>1</v>
      </c>
      <c r="M5" s="99"/>
      <c r="N5" s="56">
        <f>$F$4+$F5/10000</f>
        <v>6.1228980000000002</v>
      </c>
      <c r="O5" s="163">
        <f t="shared" ref="O5:O32" si="4">N5-H5</f>
        <v>0</v>
      </c>
      <c r="P5" s="146">
        <f t="shared" ref="P5:P35" si="5">$G$4+$G5/10000</f>
        <v>6.1251979999999993</v>
      </c>
      <c r="Q5" s="163">
        <f t="shared" ref="Q5:Q32" si="6">P5-I5</f>
        <v>0</v>
      </c>
      <c r="R5" s="146">
        <f t="shared" ref="R5:R35" si="7">SpotExchangeValue+$J5/10000</f>
        <v>6.1240480000000002</v>
      </c>
      <c r="S5" s="69">
        <f t="shared" ref="S5:S32" si="8">R5-K5</f>
        <v>0</v>
      </c>
      <c r="T5" s="99"/>
      <c r="U5" s="198">
        <f>_xll.qlYieldTSDiscount(DomesticDiscountCurve,D5,FALSE,_xll.ohTrigger($J$4:$J$32))</f>
        <v>0.99999511954089537</v>
      </c>
      <c r="V5" s="199">
        <f t="shared" ref="V5:V32" si="9">$U5*(SpotExchangeValue/R5)^DomesticUnitFx</f>
        <v>0.99988930769267625</v>
      </c>
      <c r="W5" s="99"/>
      <c r="X5" s="211">
        <f>_xll.qlDayCounterYearFraction(DayCounter,C5,D5)</f>
        <v>2.7777777777777779E-3</v>
      </c>
      <c r="Y5" s="212">
        <f>(1/$V5-1)/$X5</f>
        <v>3.985364212812037E-2</v>
      </c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</row>
    <row r="6" spans="1:50" x14ac:dyDescent="0.2">
      <c r="A6" s="99"/>
      <c r="B6" s="76" t="s">
        <v>1</v>
      </c>
      <c r="C6" s="8">
        <f t="shared" si="3"/>
        <v>41949</v>
      </c>
      <c r="D6" s="8">
        <f>_xll.qlCalendarAdvance(JoinedCalendar,C6,IF(B6="SN","1D",IF(B6="SW","1W",B6)),"f",FALSE,)</f>
        <v>41956</v>
      </c>
      <c r="E6" s="24" t="str">
        <f t="shared" si="0"/>
        <v>CNHSW=</v>
      </c>
      <c r="F6" s="33">
        <v>39.5</v>
      </c>
      <c r="G6" s="30">
        <v>44.5</v>
      </c>
      <c r="H6" s="18">
        <v>6.1263500000000004</v>
      </c>
      <c r="I6" s="49">
        <v>6.1288499999999999</v>
      </c>
      <c r="J6" s="33">
        <f t="shared" si="1"/>
        <v>42</v>
      </c>
      <c r="K6" s="18">
        <f t="shared" si="2"/>
        <v>6.1276000000000002</v>
      </c>
      <c r="L6" s="63" t="b">
        <f t="shared" ref="L6:L32" si="10">ISNUMBER(J6)</f>
        <v>1</v>
      </c>
      <c r="M6" s="99"/>
      <c r="N6" s="48">
        <f t="shared" ref="N6:N34" si="11">$F$4+$F6/10000</f>
        <v>6.1263499999999995</v>
      </c>
      <c r="O6" s="165">
        <f t="shared" si="4"/>
        <v>0</v>
      </c>
      <c r="P6" s="18">
        <f t="shared" si="5"/>
        <v>6.1288499999999999</v>
      </c>
      <c r="Q6" s="165">
        <f t="shared" si="6"/>
        <v>0</v>
      </c>
      <c r="R6" s="18">
        <f t="shared" si="7"/>
        <v>6.1276000000000002</v>
      </c>
      <c r="S6" s="67">
        <f t="shared" si="8"/>
        <v>0</v>
      </c>
      <c r="T6" s="99"/>
      <c r="U6" s="200">
        <f>_xll.qlYieldTSDiscount(DomesticDiscountCurve,D6,FALSE,_xll.ohTrigger($J$4:$J$32))</f>
        <v>0.99998327805740583</v>
      </c>
      <c r="V6" s="201">
        <f t="shared" si="9"/>
        <v>0.9992978661885108</v>
      </c>
      <c r="W6" s="99"/>
      <c r="X6" s="213">
        <f>_xll.qlDayCounterYearFraction(DayCounter,C6,D6)</f>
        <v>1.9444444444444445E-2</v>
      </c>
      <c r="Y6" s="214">
        <f>(1/$V6-1)/$X6</f>
        <v>3.6135110559490764E-2</v>
      </c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</row>
    <row r="7" spans="1:50" x14ac:dyDescent="0.2">
      <c r="A7" s="99"/>
      <c r="B7" s="76" t="s">
        <v>2</v>
      </c>
      <c r="C7" s="8">
        <f t="shared" si="3"/>
        <v>41949</v>
      </c>
      <c r="D7" s="8">
        <f>_xll.qlCalendarAdvance(JoinedCalendar,C7,IF(B7="SN","1D",IF(B7="SW","1W",B7)),"f",FALSE,)</f>
        <v>41963</v>
      </c>
      <c r="E7" s="24" t="str">
        <f t="shared" si="0"/>
        <v>CNH2W=</v>
      </c>
      <c r="F7" s="33">
        <v>80</v>
      </c>
      <c r="G7" s="30">
        <v>85</v>
      </c>
      <c r="H7" s="18">
        <v>6.1303999999999998</v>
      </c>
      <c r="I7" s="49">
        <v>6.1329000000000002</v>
      </c>
      <c r="J7" s="33">
        <f t="shared" si="1"/>
        <v>82.5</v>
      </c>
      <c r="K7" s="18">
        <f t="shared" si="2"/>
        <v>6.1316500000000005</v>
      </c>
      <c r="L7" s="63" t="b">
        <f t="shared" si="10"/>
        <v>1</v>
      </c>
      <c r="M7" s="99"/>
      <c r="N7" s="48">
        <f t="shared" si="11"/>
        <v>6.1303999999999998</v>
      </c>
      <c r="O7" s="165">
        <f t="shared" si="4"/>
        <v>0</v>
      </c>
      <c r="P7" s="18">
        <f t="shared" si="5"/>
        <v>6.1328999999999994</v>
      </c>
      <c r="Q7" s="165">
        <f t="shared" si="6"/>
        <v>0</v>
      </c>
      <c r="R7" s="18">
        <f t="shared" si="7"/>
        <v>6.1316500000000005</v>
      </c>
      <c r="S7" s="67">
        <f t="shared" si="8"/>
        <v>0</v>
      </c>
      <c r="T7" s="99"/>
      <c r="U7" s="200">
        <f>_xll.qlYieldTSDiscount(DomesticDiscountCurve,D7,FALSE,_xll.ohTrigger($J$4:$J$32))</f>
        <v>0.99996577894889827</v>
      </c>
      <c r="V7" s="201">
        <f t="shared" si="9"/>
        <v>0.99862034702171254</v>
      </c>
      <c r="W7" s="99"/>
      <c r="X7" s="213">
        <f>_xll.qlDayCounterYearFraction(DayCounter,C7,D7)</f>
        <v>3.888888888888889E-2</v>
      </c>
      <c r="Y7" s="214">
        <f t="shared" ref="Y7:Y35" si="12">(1/$V7-1)/$X7</f>
        <v>3.552580415175096E-2</v>
      </c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</row>
    <row r="8" spans="1:50" x14ac:dyDescent="0.2">
      <c r="A8" s="99"/>
      <c r="B8" s="76" t="s">
        <v>3</v>
      </c>
      <c r="C8" s="8">
        <f t="shared" si="3"/>
        <v>41949</v>
      </c>
      <c r="D8" s="8">
        <f>_xll.qlCalendarAdvance(JoinedCalendar,C8,IF(B8="SN","1D",IF(B8="SW","1W",B8)),"f",FALSE,)</f>
        <v>41971</v>
      </c>
      <c r="E8" s="24" t="str">
        <f t="shared" si="0"/>
        <v>CNH3W=</v>
      </c>
      <c r="F8" s="33">
        <v>110</v>
      </c>
      <c r="G8" s="30">
        <v>130</v>
      </c>
      <c r="H8" s="18">
        <v>6.1334</v>
      </c>
      <c r="I8" s="49">
        <v>6.1374000000000004</v>
      </c>
      <c r="J8" s="33">
        <f t="shared" si="1"/>
        <v>120</v>
      </c>
      <c r="K8" s="18">
        <f t="shared" si="2"/>
        <v>6.1354000000000006</v>
      </c>
      <c r="L8" s="63" t="b">
        <f t="shared" si="10"/>
        <v>1</v>
      </c>
      <c r="M8" s="99"/>
      <c r="N8" s="48">
        <f>$F$4+$F8/10000</f>
        <v>6.1334</v>
      </c>
      <c r="O8" s="165">
        <f t="shared" si="4"/>
        <v>0</v>
      </c>
      <c r="P8" s="18">
        <f t="shared" si="5"/>
        <v>6.1373999999999995</v>
      </c>
      <c r="Q8" s="165">
        <f t="shared" si="6"/>
        <v>0</v>
      </c>
      <c r="R8" s="18">
        <f t="shared" si="7"/>
        <v>6.1353999999999997</v>
      </c>
      <c r="S8" s="67">
        <f t="shared" si="8"/>
        <v>0</v>
      </c>
      <c r="T8" s="99"/>
      <c r="U8" s="200">
        <f>_xll.qlYieldTSDiscount(DomesticDiscountCurve,D8,FALSE,_xll.ohTrigger($J$4:$J$32))</f>
        <v>0.99994439198131246</v>
      </c>
      <c r="V8" s="201">
        <f t="shared" si="9"/>
        <v>0.99798863804452342</v>
      </c>
      <c r="W8" s="99"/>
      <c r="X8" s="213">
        <f>_xll.qlDayCounterYearFraction(DayCounter,C8,D8)</f>
        <v>6.1111111111111109E-2</v>
      </c>
      <c r="Y8" s="214">
        <f t="shared" si="12"/>
        <v>3.2979529405829329E-2</v>
      </c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</row>
    <row r="9" spans="1:50" x14ac:dyDescent="0.2">
      <c r="A9" s="99"/>
      <c r="B9" s="87" t="s">
        <v>4</v>
      </c>
      <c r="C9" s="9">
        <f t="shared" si="3"/>
        <v>41949</v>
      </c>
      <c r="D9" s="9">
        <f>_xll.qlCalendarAdvance(JoinedCalendar,C9,IF(B9="SN","1D",IF(B9="SW","1W",B9)),"mf",TRUE,)</f>
        <v>41981</v>
      </c>
      <c r="E9" s="24" t="str">
        <f t="shared" si="0"/>
        <v>CNH1M=</v>
      </c>
      <c r="F9" s="33">
        <v>173</v>
      </c>
      <c r="G9" s="30">
        <v>183</v>
      </c>
      <c r="H9" s="18">
        <v>6.1397000000000004</v>
      </c>
      <c r="I9" s="49">
        <v>6.1426999999999996</v>
      </c>
      <c r="J9" s="33">
        <f t="shared" si="1"/>
        <v>178</v>
      </c>
      <c r="K9" s="18">
        <f t="shared" si="2"/>
        <v>6.1411999999999995</v>
      </c>
      <c r="L9" s="63" t="b">
        <f t="shared" si="10"/>
        <v>1</v>
      </c>
      <c r="M9" s="99"/>
      <c r="N9" s="48">
        <f t="shared" si="11"/>
        <v>6.1396999999999995</v>
      </c>
      <c r="O9" s="165">
        <f t="shared" si="4"/>
        <v>0</v>
      </c>
      <c r="P9" s="18">
        <f t="shared" si="5"/>
        <v>6.1426999999999996</v>
      </c>
      <c r="Q9" s="165">
        <f t="shared" si="6"/>
        <v>0</v>
      </c>
      <c r="R9" s="18">
        <f t="shared" si="7"/>
        <v>6.1412000000000004</v>
      </c>
      <c r="S9" s="67">
        <f t="shared" si="8"/>
        <v>0</v>
      </c>
      <c r="T9" s="99"/>
      <c r="U9" s="200">
        <f>_xll.qlYieldTSDiscount(DomesticDiscountCurve,D9,FALSE,_xll.ohTrigger($J$4:$J$32))</f>
        <v>0.99991734016654621</v>
      </c>
      <c r="V9" s="201">
        <f t="shared" si="9"/>
        <v>0.99701912342471</v>
      </c>
      <c r="W9" s="99"/>
      <c r="X9" s="213">
        <f>_xll.qlDayCounterYearFraction(DayCounter,C9,D9)</f>
        <v>8.8888888888888892E-2</v>
      </c>
      <c r="Y9" s="214">
        <f t="shared" si="12"/>
        <v>3.3635123624129459E-2</v>
      </c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</row>
    <row r="10" spans="1:50" x14ac:dyDescent="0.2">
      <c r="A10" s="99"/>
      <c r="B10" s="76" t="s">
        <v>5</v>
      </c>
      <c r="C10" s="8">
        <f t="shared" si="3"/>
        <v>41949</v>
      </c>
      <c r="D10" s="8">
        <f>_xll.qlCalendarAdvance(JoinedCalendar,C10,IF(B10="SN","1D",IF(B10="SW","1W",B10)),"mf",TRUE,)</f>
        <v>42010</v>
      </c>
      <c r="E10" s="24" t="str">
        <f t="shared" si="0"/>
        <v>CNH2M=</v>
      </c>
      <c r="F10" s="33">
        <v>323</v>
      </c>
      <c r="G10" s="30">
        <v>333</v>
      </c>
      <c r="H10" s="18">
        <v>6.1547000000000001</v>
      </c>
      <c r="I10" s="49">
        <v>6.1577000000000002</v>
      </c>
      <c r="J10" s="33">
        <f t="shared" si="1"/>
        <v>328</v>
      </c>
      <c r="K10" s="18">
        <f t="shared" si="2"/>
        <v>6.1562000000000001</v>
      </c>
      <c r="L10" s="63" t="b">
        <f t="shared" si="10"/>
        <v>1</v>
      </c>
      <c r="M10" s="99"/>
      <c r="N10" s="48">
        <f t="shared" si="11"/>
        <v>6.1547000000000001</v>
      </c>
      <c r="O10" s="165">
        <f t="shared" si="4"/>
        <v>0</v>
      </c>
      <c r="P10" s="18">
        <f t="shared" si="5"/>
        <v>6.1576999999999993</v>
      </c>
      <c r="Q10" s="165">
        <f t="shared" si="6"/>
        <v>0</v>
      </c>
      <c r="R10" s="18">
        <f t="shared" si="7"/>
        <v>6.1562000000000001</v>
      </c>
      <c r="S10" s="67">
        <f t="shared" si="8"/>
        <v>0</v>
      </c>
      <c r="T10" s="99"/>
      <c r="U10" s="200">
        <f>_xll.qlYieldTSDiscount(DomesticDiscountCurve,D10,FALSE,_xll.ohTrigger($J$4:$J$32))</f>
        <v>0.99983735978947441</v>
      </c>
      <c r="V10" s="201">
        <f t="shared" si="9"/>
        <v>0.99451026427583045</v>
      </c>
      <c r="W10" s="99"/>
      <c r="X10" s="213">
        <f>_xll.qlDayCounterYearFraction(DayCounter,C10,D10)</f>
        <v>0.16944444444444445</v>
      </c>
      <c r="Y10" s="214">
        <f t="shared" si="12"/>
        <v>3.2577281002677858E-2</v>
      </c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</row>
    <row r="11" spans="1:50" x14ac:dyDescent="0.2">
      <c r="A11" s="99"/>
      <c r="B11" s="76" t="s">
        <v>6</v>
      </c>
      <c r="C11" s="11">
        <f t="shared" si="3"/>
        <v>41949</v>
      </c>
      <c r="D11" s="11">
        <f>_xll.qlCalendarAdvance(JoinedCalendar,C11,IF(B11="SN","1D",IF(B11="SW","1W",B11)),"mf",TRUE,)</f>
        <v>42041</v>
      </c>
      <c r="E11" s="42" t="str">
        <f t="shared" si="0"/>
        <v>CNH3M=</v>
      </c>
      <c r="F11" s="34">
        <v>463</v>
      </c>
      <c r="G11" s="35">
        <v>478</v>
      </c>
      <c r="H11" s="51">
        <v>6.1687000000000003</v>
      </c>
      <c r="I11" s="52">
        <v>6.1722000000000001</v>
      </c>
      <c r="J11" s="34">
        <f t="shared" si="1"/>
        <v>470.5</v>
      </c>
      <c r="K11" s="51">
        <f t="shared" si="2"/>
        <v>6.1704500000000007</v>
      </c>
      <c r="L11" s="64" t="b">
        <f t="shared" si="10"/>
        <v>1</v>
      </c>
      <c r="M11" s="99"/>
      <c r="N11" s="50">
        <f t="shared" si="11"/>
        <v>6.1686999999999994</v>
      </c>
      <c r="O11" s="165">
        <f t="shared" si="4"/>
        <v>0</v>
      </c>
      <c r="P11" s="51">
        <f t="shared" si="5"/>
        <v>6.1721999999999992</v>
      </c>
      <c r="Q11" s="165">
        <f t="shared" si="6"/>
        <v>0</v>
      </c>
      <c r="R11" s="51">
        <f t="shared" si="7"/>
        <v>6.1704499999999998</v>
      </c>
      <c r="S11" s="67">
        <f t="shared" si="8"/>
        <v>0</v>
      </c>
      <c r="T11" s="99"/>
      <c r="U11" s="202">
        <f>_xll.qlYieldTSDiscount(DomesticDiscountCurve,D11,FALSE,_xll.ohTrigger($J$4:$J$32))</f>
        <v>0.99975472684092759</v>
      </c>
      <c r="V11" s="203">
        <f t="shared" si="9"/>
        <v>0.99213154540393911</v>
      </c>
      <c r="W11" s="99"/>
      <c r="X11" s="215">
        <f>_xll.qlDayCounterYearFraction(DayCounter,C11,D11)</f>
        <v>0.25555555555555554</v>
      </c>
      <c r="Y11" s="216">
        <f t="shared" si="12"/>
        <v>3.1033792931734402E-2</v>
      </c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</row>
    <row r="12" spans="1:50" x14ac:dyDescent="0.2">
      <c r="A12" s="99"/>
      <c r="B12" s="76" t="s">
        <v>7</v>
      </c>
      <c r="C12" s="8">
        <f t="shared" si="3"/>
        <v>41949</v>
      </c>
      <c r="D12" s="8">
        <f>_xll.qlCalendarAdvance(JoinedCalendar,C12,IF(B12="SN","1D",IF(B12="SW","1W",B12)),"mf",TRUE,)</f>
        <v>42069</v>
      </c>
      <c r="E12" s="24" t="str">
        <f t="shared" si="0"/>
        <v>CNH4M=</v>
      </c>
      <c r="F12" s="33">
        <v>590.33000000000004</v>
      </c>
      <c r="G12" s="30">
        <v>610.33000000000004</v>
      </c>
      <c r="H12" s="18">
        <v>6.1814330000000002</v>
      </c>
      <c r="I12" s="49">
        <v>6.1854329999999997</v>
      </c>
      <c r="J12" s="33">
        <f t="shared" si="1"/>
        <v>600.33000000000004</v>
      </c>
      <c r="K12" s="18">
        <f t="shared" si="2"/>
        <v>6.183433</v>
      </c>
      <c r="L12" s="63" t="b">
        <f t="shared" si="10"/>
        <v>1</v>
      </c>
      <c r="M12" s="99"/>
      <c r="N12" s="48">
        <f t="shared" si="11"/>
        <v>6.1814330000000002</v>
      </c>
      <c r="O12" s="165">
        <f t="shared" si="4"/>
        <v>0</v>
      </c>
      <c r="P12" s="18">
        <f t="shared" si="5"/>
        <v>6.1854329999999997</v>
      </c>
      <c r="Q12" s="165">
        <f t="shared" si="6"/>
        <v>0</v>
      </c>
      <c r="R12" s="18">
        <f t="shared" si="7"/>
        <v>6.183433</v>
      </c>
      <c r="S12" s="67">
        <f t="shared" si="8"/>
        <v>0</v>
      </c>
      <c r="T12" s="99"/>
      <c r="U12" s="200">
        <f>_xll.qlYieldTSDiscount(DomesticDiscountCurve,D12,FALSE,_xll.ohTrigger($J$4:$J$32))</f>
        <v>0.9996767711782053</v>
      </c>
      <c r="V12" s="201">
        <f t="shared" si="9"/>
        <v>0.98997122482488653</v>
      </c>
      <c r="W12" s="99"/>
      <c r="X12" s="213">
        <f>_xll.qlDayCounterYearFraction(DayCounter,C12,D12)</f>
        <v>0.33333333333333331</v>
      </c>
      <c r="Y12" s="214">
        <f t="shared" si="12"/>
        <v>3.0391111146348848E-2</v>
      </c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</row>
    <row r="13" spans="1:50" x14ac:dyDescent="0.2">
      <c r="A13" s="99"/>
      <c r="B13" s="76" t="s">
        <v>8</v>
      </c>
      <c r="C13" s="8">
        <f t="shared" si="3"/>
        <v>41949</v>
      </c>
      <c r="D13" s="8">
        <f>_xll.qlCalendarAdvance(JoinedCalendar,C13,IF(B13="SN","1D",IF(B13="SW","1W",B13)),"mf",TRUE,)</f>
        <v>42102</v>
      </c>
      <c r="E13" s="24" t="str">
        <f t="shared" si="0"/>
        <v>CNH5M=</v>
      </c>
      <c r="F13" s="33">
        <v>716.67</v>
      </c>
      <c r="G13" s="30">
        <v>738.67</v>
      </c>
      <c r="H13" s="18">
        <v>6.1940670000000004</v>
      </c>
      <c r="I13" s="49">
        <v>6.1982670000000004</v>
      </c>
      <c r="J13" s="33">
        <f t="shared" si="1"/>
        <v>727.67</v>
      </c>
      <c r="K13" s="18">
        <f t="shared" si="2"/>
        <v>6.1961670000000009</v>
      </c>
      <c r="L13" s="63" t="b">
        <f t="shared" si="10"/>
        <v>1</v>
      </c>
      <c r="M13" s="99"/>
      <c r="N13" s="48">
        <f t="shared" si="11"/>
        <v>6.1940669999999995</v>
      </c>
      <c r="O13" s="165">
        <f t="shared" si="4"/>
        <v>0</v>
      </c>
      <c r="P13" s="18">
        <f t="shared" si="5"/>
        <v>6.1982669999999995</v>
      </c>
      <c r="Q13" s="165">
        <f t="shared" si="6"/>
        <v>0</v>
      </c>
      <c r="R13" s="18">
        <f t="shared" si="7"/>
        <v>6.196167</v>
      </c>
      <c r="S13" s="67">
        <f t="shared" si="8"/>
        <v>0</v>
      </c>
      <c r="T13" s="99"/>
      <c r="U13" s="200">
        <f>_xll.qlYieldTSDiscount(DomesticDiscountCurve,D13,FALSE,_xll.ohTrigger($J$4:$J$32))</f>
        <v>0.99958300478709872</v>
      </c>
      <c r="V13" s="201">
        <f t="shared" si="9"/>
        <v>0.98784402865728449</v>
      </c>
      <c r="W13" s="99"/>
      <c r="X13" s="213">
        <f>_xll.qlDayCounterYearFraction(DayCounter,C13,D13)</f>
        <v>0.42499999999999999</v>
      </c>
      <c r="Y13" s="214">
        <f t="shared" si="12"/>
        <v>2.8954252576845571E-2</v>
      </c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</row>
    <row r="14" spans="1:50" x14ac:dyDescent="0.2">
      <c r="A14" s="99"/>
      <c r="B14" s="76" t="s">
        <v>9</v>
      </c>
      <c r="C14" s="12">
        <f t="shared" si="3"/>
        <v>41949</v>
      </c>
      <c r="D14" s="12">
        <f>_xll.qlCalendarAdvance(JoinedCalendar,C14,IF(B14="SN","1D",IF(B14="SW","1W",B14)),"mf",TRUE,)</f>
        <v>42130</v>
      </c>
      <c r="E14" s="43" t="str">
        <f t="shared" si="0"/>
        <v>CNH6M=</v>
      </c>
      <c r="F14" s="36">
        <v>847</v>
      </c>
      <c r="G14" s="37">
        <v>863</v>
      </c>
      <c r="H14" s="54">
        <v>6.2070999999999996</v>
      </c>
      <c r="I14" s="55">
        <v>6.2107000000000001</v>
      </c>
      <c r="J14" s="36">
        <f t="shared" si="1"/>
        <v>855</v>
      </c>
      <c r="K14" s="54">
        <f t="shared" si="2"/>
        <v>6.2088999999999999</v>
      </c>
      <c r="L14" s="65" t="b">
        <f t="shared" si="10"/>
        <v>1</v>
      </c>
      <c r="M14" s="99"/>
      <c r="N14" s="53">
        <f t="shared" si="11"/>
        <v>6.2070999999999996</v>
      </c>
      <c r="O14" s="165">
        <f t="shared" si="4"/>
        <v>0</v>
      </c>
      <c r="P14" s="54">
        <f t="shared" si="5"/>
        <v>6.2106999999999992</v>
      </c>
      <c r="Q14" s="165">
        <f t="shared" si="6"/>
        <v>0</v>
      </c>
      <c r="R14" s="54">
        <f t="shared" si="7"/>
        <v>6.2088999999999999</v>
      </c>
      <c r="S14" s="67">
        <f t="shared" si="8"/>
        <v>0</v>
      </c>
      <c r="T14" s="99"/>
      <c r="U14" s="204">
        <f>_xll.qlYieldTSDiscount(DomesticDiscountCurve,D14,FALSE,_xll.ohTrigger($J$4:$J$32))</f>
        <v>0.99949245218004723</v>
      </c>
      <c r="V14" s="205">
        <f t="shared" si="9"/>
        <v>0.9857288862245005</v>
      </c>
      <c r="W14" s="99"/>
      <c r="X14" s="217">
        <f>_xll.qlDayCounterYearFraction(DayCounter,C14,D14)</f>
        <v>0.50277777777777777</v>
      </c>
      <c r="Y14" s="218">
        <f t="shared" si="12"/>
        <v>2.8795479246624914E-2</v>
      </c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</row>
    <row r="15" spans="1:50" x14ac:dyDescent="0.2">
      <c r="A15" s="99"/>
      <c r="B15" s="76" t="s">
        <v>10</v>
      </c>
      <c r="C15" s="8">
        <f t="shared" si="3"/>
        <v>41949</v>
      </c>
      <c r="D15" s="8">
        <f>_xll.qlCalendarAdvance(JoinedCalendar,C15,IF(B15="SN","1D",IF(B15="SW","1W",B15)),"mf",TRUE,)</f>
        <v>42163</v>
      </c>
      <c r="E15" s="24" t="str">
        <f t="shared" si="0"/>
        <v>CNH7M=</v>
      </c>
      <c r="F15" s="33">
        <v>966</v>
      </c>
      <c r="G15" s="30">
        <v>986</v>
      </c>
      <c r="H15" s="18">
        <v>6.2190000000000003</v>
      </c>
      <c r="I15" s="49">
        <v>6.2229999999999999</v>
      </c>
      <c r="J15" s="33">
        <f t="shared" si="1"/>
        <v>976</v>
      </c>
      <c r="K15" s="18">
        <f t="shared" si="2"/>
        <v>6.2210000000000001</v>
      </c>
      <c r="L15" s="63" t="b">
        <f t="shared" si="10"/>
        <v>1</v>
      </c>
      <c r="M15" s="99"/>
      <c r="N15" s="48">
        <f t="shared" si="11"/>
        <v>6.2189999999999994</v>
      </c>
      <c r="O15" s="165">
        <f t="shared" si="4"/>
        <v>0</v>
      </c>
      <c r="P15" s="18">
        <f t="shared" si="5"/>
        <v>6.2229999999999999</v>
      </c>
      <c r="Q15" s="165">
        <f t="shared" si="6"/>
        <v>0</v>
      </c>
      <c r="R15" s="18">
        <f t="shared" si="7"/>
        <v>6.2210000000000001</v>
      </c>
      <c r="S15" s="67">
        <f t="shared" si="8"/>
        <v>0</v>
      </c>
      <c r="T15" s="99"/>
      <c r="U15" s="200">
        <f>_xll.qlYieldTSDiscount(DomesticDiscountCurve,D15,FALSE,_xll.ohTrigger($J$4:$J$32))</f>
        <v>0.99937622267434756</v>
      </c>
      <c r="V15" s="201">
        <f t="shared" si="9"/>
        <v>0.98369721297606494</v>
      </c>
      <c r="W15" s="99"/>
      <c r="X15" s="213">
        <f>_xll.qlDayCounterYearFraction(DayCounter,C15,D15)</f>
        <v>0.59444444444444444</v>
      </c>
      <c r="Y15" s="214">
        <f t="shared" si="12"/>
        <v>2.7879767104525197E-2</v>
      </c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</row>
    <row r="16" spans="1:50" x14ac:dyDescent="0.2">
      <c r="A16" s="99"/>
      <c r="B16" s="76" t="s">
        <v>11</v>
      </c>
      <c r="C16" s="8">
        <f t="shared" si="3"/>
        <v>41949</v>
      </c>
      <c r="D16" s="8">
        <f>_xll.qlCalendarAdvance(JoinedCalendar,C16,IF(B16="SN","1D",IF(B16="SW","1W",B16)),"mf",TRUE,)</f>
        <v>42191</v>
      </c>
      <c r="E16" s="24" t="str">
        <f t="shared" si="0"/>
        <v>CNH8M=</v>
      </c>
      <c r="F16" s="33">
        <v>1086</v>
      </c>
      <c r="G16" s="30">
        <v>1106</v>
      </c>
      <c r="H16" s="18">
        <v>6.2309999999999999</v>
      </c>
      <c r="I16" s="49">
        <v>6.2350000000000003</v>
      </c>
      <c r="J16" s="33">
        <f t="shared" si="1"/>
        <v>1096</v>
      </c>
      <c r="K16" s="18">
        <f t="shared" si="2"/>
        <v>6.2330000000000005</v>
      </c>
      <c r="L16" s="63" t="b">
        <f t="shared" si="10"/>
        <v>1</v>
      </c>
      <c r="M16" s="99"/>
      <c r="N16" s="48">
        <f t="shared" si="11"/>
        <v>6.2309999999999999</v>
      </c>
      <c r="O16" s="165">
        <f t="shared" si="4"/>
        <v>0</v>
      </c>
      <c r="P16" s="18">
        <f t="shared" si="5"/>
        <v>6.2349999999999994</v>
      </c>
      <c r="Q16" s="165">
        <f t="shared" si="6"/>
        <v>0</v>
      </c>
      <c r="R16" s="18">
        <f t="shared" si="7"/>
        <v>6.2330000000000005</v>
      </c>
      <c r="S16" s="67">
        <f t="shared" si="8"/>
        <v>0</v>
      </c>
      <c r="T16" s="99"/>
      <c r="U16" s="200">
        <f>_xll.qlYieldTSDiscount(DomesticDiscountCurve,D16,FALSE,_xll.ohTrigger($J$4:$J$32))</f>
        <v>0.99923425348374706</v>
      </c>
      <c r="V16" s="201">
        <f t="shared" si="9"/>
        <v>0.9816638902265965</v>
      </c>
      <c r="W16" s="99"/>
      <c r="X16" s="213">
        <f>_xll.qlDayCounterYearFraction(DayCounter,C16,D16)</f>
        <v>0.67222222222222228</v>
      </c>
      <c r="Y16" s="214">
        <f t="shared" si="12"/>
        <v>2.7786351098090932E-2</v>
      </c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</row>
    <row r="17" spans="1:50" x14ac:dyDescent="0.2">
      <c r="A17" s="99"/>
      <c r="B17" s="76" t="s">
        <v>12</v>
      </c>
      <c r="C17" s="8">
        <f t="shared" si="3"/>
        <v>41949</v>
      </c>
      <c r="D17" s="8">
        <f>_xll.qlCalendarAdvance(JoinedCalendar,C17,IF(B17="SN","1D",IF(B17="SW","1W",B17)),"mf",TRUE,)</f>
        <v>42222</v>
      </c>
      <c r="E17" s="24" t="str">
        <f t="shared" si="0"/>
        <v>CNH9M=</v>
      </c>
      <c r="F17" s="33">
        <v>1187</v>
      </c>
      <c r="G17" s="30">
        <v>1221</v>
      </c>
      <c r="H17" s="18">
        <v>6.2411000000000003</v>
      </c>
      <c r="I17" s="49">
        <v>6.2465000000000002</v>
      </c>
      <c r="J17" s="33">
        <f t="shared" si="1"/>
        <v>1204</v>
      </c>
      <c r="K17" s="18">
        <f t="shared" si="2"/>
        <v>6.2438000000000002</v>
      </c>
      <c r="L17" s="63" t="b">
        <f t="shared" si="10"/>
        <v>1</v>
      </c>
      <c r="M17" s="99"/>
      <c r="N17" s="48">
        <f t="shared" si="11"/>
        <v>6.2410999999999994</v>
      </c>
      <c r="O17" s="165">
        <f t="shared" si="4"/>
        <v>0</v>
      </c>
      <c r="P17" s="18">
        <f t="shared" si="5"/>
        <v>6.2464999999999993</v>
      </c>
      <c r="Q17" s="165">
        <f t="shared" si="6"/>
        <v>0</v>
      </c>
      <c r="R17" s="18">
        <f t="shared" si="7"/>
        <v>6.2438000000000002</v>
      </c>
      <c r="S17" s="67">
        <f t="shared" si="8"/>
        <v>0</v>
      </c>
      <c r="T17" s="99"/>
      <c r="U17" s="200">
        <f>_xll.qlYieldTSDiscount(DomesticDiscountCurve,D17,FALSE,_xll.ohTrigger($J$4:$J$32))</f>
        <v>0.99903027461344196</v>
      </c>
      <c r="V17" s="201">
        <f t="shared" si="9"/>
        <v>0.97976584508920062</v>
      </c>
      <c r="W17" s="99"/>
      <c r="X17" s="213">
        <f>_xll.qlDayCounterYearFraction(DayCounter,C17,D17)</f>
        <v>0.7583333333333333</v>
      </c>
      <c r="Y17" s="214">
        <f t="shared" si="12"/>
        <v>2.7233447883402928E-2</v>
      </c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</row>
    <row r="18" spans="1:50" x14ac:dyDescent="0.2">
      <c r="A18" s="99"/>
      <c r="B18" s="76" t="s">
        <v>13</v>
      </c>
      <c r="C18" s="8">
        <f t="shared" si="3"/>
        <v>41949</v>
      </c>
      <c r="D18" s="8">
        <f>_xll.qlCalendarAdvance(JoinedCalendar,C18,IF(B18="SN","1D",IF(B18="SW","1W",B18)),"mf",TRUE,)</f>
        <v>42255</v>
      </c>
      <c r="E18" s="24" t="str">
        <f t="shared" si="0"/>
        <v>CNH10M=</v>
      </c>
      <c r="F18" s="33">
        <v>1298</v>
      </c>
      <c r="G18" s="30">
        <v>1328</v>
      </c>
      <c r="H18" s="18">
        <v>6.2522000000000002</v>
      </c>
      <c r="I18" s="49">
        <v>6.2572000000000001</v>
      </c>
      <c r="J18" s="33">
        <f t="shared" si="1"/>
        <v>1313</v>
      </c>
      <c r="K18" s="18">
        <f t="shared" si="2"/>
        <v>6.2546999999999997</v>
      </c>
      <c r="L18" s="63" t="b">
        <f t="shared" si="10"/>
        <v>1</v>
      </c>
      <c r="M18" s="99"/>
      <c r="N18" s="48">
        <f t="shared" si="11"/>
        <v>6.2522000000000002</v>
      </c>
      <c r="O18" s="165">
        <f t="shared" si="4"/>
        <v>0</v>
      </c>
      <c r="P18" s="18">
        <f t="shared" si="5"/>
        <v>6.2571999999999992</v>
      </c>
      <c r="Q18" s="165">
        <f t="shared" si="6"/>
        <v>0</v>
      </c>
      <c r="R18" s="18">
        <f t="shared" si="7"/>
        <v>6.2547000000000006</v>
      </c>
      <c r="S18" s="67">
        <f t="shared" si="8"/>
        <v>0</v>
      </c>
      <c r="T18" s="99"/>
      <c r="U18" s="200">
        <f>_xll.qlYieldTSDiscount(DomesticDiscountCurve,D18,FALSE,_xll.ohTrigger($J$4:$J$32))</f>
        <v>0.99879445509270315</v>
      </c>
      <c r="V18" s="201">
        <f t="shared" si="9"/>
        <v>0.97782754829402818</v>
      </c>
      <c r="W18" s="99"/>
      <c r="X18" s="213">
        <f>_xll.qlDayCounterYearFraction(DayCounter,C18,D18)</f>
        <v>0.85</v>
      </c>
      <c r="Y18" s="214">
        <f t="shared" si="12"/>
        <v>2.6676725713703758E-2</v>
      </c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</row>
    <row r="19" spans="1:50" x14ac:dyDescent="0.2">
      <c r="A19" s="99"/>
      <c r="B19" s="76" t="s">
        <v>14</v>
      </c>
      <c r="C19" s="8">
        <f t="shared" si="3"/>
        <v>41949</v>
      </c>
      <c r="D19" s="8">
        <f>_xll.qlCalendarAdvance(JoinedCalendar,C19,IF(B19="SN","1D",IF(B19="SW","1W",B19)),"mf",TRUE,)</f>
        <v>42283</v>
      </c>
      <c r="E19" s="24" t="str">
        <f t="shared" si="0"/>
        <v>CNH11M=</v>
      </c>
      <c r="F19" s="33">
        <v>1397</v>
      </c>
      <c r="G19" s="30">
        <v>1427</v>
      </c>
      <c r="H19" s="18">
        <v>6.2621000000000002</v>
      </c>
      <c r="I19" s="49">
        <v>6.2671000000000001</v>
      </c>
      <c r="J19" s="33">
        <f t="shared" si="1"/>
        <v>1412</v>
      </c>
      <c r="K19" s="18">
        <f t="shared" si="2"/>
        <v>6.2645999999999997</v>
      </c>
      <c r="L19" s="63" t="b">
        <f t="shared" si="10"/>
        <v>1</v>
      </c>
      <c r="M19" s="99"/>
      <c r="N19" s="48">
        <f t="shared" si="11"/>
        <v>6.2621000000000002</v>
      </c>
      <c r="O19" s="165">
        <f t="shared" si="4"/>
        <v>0</v>
      </c>
      <c r="P19" s="18">
        <f t="shared" si="5"/>
        <v>6.2670999999999992</v>
      </c>
      <c r="Q19" s="165">
        <f t="shared" si="6"/>
        <v>0</v>
      </c>
      <c r="R19" s="18">
        <f t="shared" si="7"/>
        <v>6.2645999999999997</v>
      </c>
      <c r="S19" s="67">
        <f t="shared" si="8"/>
        <v>0</v>
      </c>
      <c r="T19" s="99"/>
      <c r="U19" s="200">
        <f>_xll.qlYieldTSDiscount(DomesticDiscountCurve,D19,FALSE,_xll.ohTrigger($J$4:$J$32))</f>
        <v>0.99852700624462143</v>
      </c>
      <c r="V19" s="201">
        <f t="shared" si="9"/>
        <v>0.97602085848071951</v>
      </c>
      <c r="W19" s="99"/>
      <c r="X19" s="213">
        <f>_xll.qlDayCounterYearFraction(DayCounter,C19,D19)</f>
        <v>0.92777777777777781</v>
      </c>
      <c r="Y19" s="214">
        <f t="shared" si="12"/>
        <v>2.6480767345995138E-2</v>
      </c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</row>
    <row r="20" spans="1:50" x14ac:dyDescent="0.2">
      <c r="A20" s="99"/>
      <c r="B20" s="76" t="s">
        <v>15</v>
      </c>
      <c r="C20" s="8">
        <f t="shared" si="3"/>
        <v>41949</v>
      </c>
      <c r="D20" s="8">
        <f>_xll.qlCalendarAdvance(JoinedCalendar,C20,IF(B20="SN","1D",IF(B20="SW","1W",B20)),"mf",TRUE,)</f>
        <v>42314</v>
      </c>
      <c r="E20" s="24" t="str">
        <f t="shared" si="0"/>
        <v>CNH1Y=</v>
      </c>
      <c r="F20" s="33">
        <v>1485</v>
      </c>
      <c r="G20" s="30">
        <v>1513</v>
      </c>
      <c r="H20" s="18">
        <v>6.2709000000000001</v>
      </c>
      <c r="I20" s="49">
        <v>6.2756999999999996</v>
      </c>
      <c r="J20" s="33">
        <f t="shared" si="1"/>
        <v>1499</v>
      </c>
      <c r="K20" s="18">
        <f t="shared" si="2"/>
        <v>6.2732999999999999</v>
      </c>
      <c r="L20" s="63" t="b">
        <f t="shared" si="10"/>
        <v>1</v>
      </c>
      <c r="M20" s="99"/>
      <c r="N20" s="48">
        <f t="shared" si="11"/>
        <v>6.2709000000000001</v>
      </c>
      <c r="O20" s="165">
        <f t="shared" si="4"/>
        <v>0</v>
      </c>
      <c r="P20" s="18">
        <f t="shared" si="5"/>
        <v>6.2756999999999996</v>
      </c>
      <c r="Q20" s="165">
        <f t="shared" si="6"/>
        <v>0</v>
      </c>
      <c r="R20" s="18">
        <f t="shared" si="7"/>
        <v>6.2732999999999999</v>
      </c>
      <c r="S20" s="67">
        <f t="shared" si="8"/>
        <v>0</v>
      </c>
      <c r="T20" s="99"/>
      <c r="U20" s="200">
        <f>_xll.qlYieldTSDiscount(DomesticDiscountCurve,D20,FALSE,_xll.ohTrigger($J$4:$J$32))</f>
        <v>0.99816822267691263</v>
      </c>
      <c r="V20" s="201">
        <f t="shared" si="9"/>
        <v>0.97431707310981575</v>
      </c>
      <c r="W20" s="99"/>
      <c r="X20" s="213">
        <f>_xll.qlDayCounterYearFraction(DayCounter,C20,D20)</f>
        <v>1.0138888888888888</v>
      </c>
      <c r="Y20" s="214">
        <f t="shared" si="12"/>
        <v>2.5998832077353245E-2</v>
      </c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</row>
    <row r="21" spans="1:50" x14ac:dyDescent="0.2">
      <c r="A21" s="99"/>
      <c r="B21" s="76" t="s">
        <v>16</v>
      </c>
      <c r="C21" s="8">
        <f t="shared" si="3"/>
        <v>41949</v>
      </c>
      <c r="D21" s="8">
        <f>_xll.qlCalendarAdvance(JoinedCalendar,C21,IF(B21="SN","1D",IF(B21="SW","1W",B21)),"mf",TRUE,)</f>
        <v>42408</v>
      </c>
      <c r="E21" s="7" t="str">
        <f t="shared" si="0"/>
        <v>CNH15M=</v>
      </c>
      <c r="F21" s="33" t="s">
        <v>136</v>
      </c>
      <c r="G21" s="30" t="s">
        <v>136</v>
      </c>
      <c r="H21" s="18" t="s">
        <v>136</v>
      </c>
      <c r="I21" s="49" t="s">
        <v>136</v>
      </c>
      <c r="J21" s="33" t="e">
        <f t="shared" si="1"/>
        <v>#DIV/0!</v>
      </c>
      <c r="K21" s="18" t="e">
        <f t="shared" si="2"/>
        <v>#DIV/0!</v>
      </c>
      <c r="L21" s="63" t="b">
        <f t="shared" si="10"/>
        <v>0</v>
      </c>
      <c r="M21" s="99"/>
      <c r="N21" s="48" t="e">
        <f t="shared" si="11"/>
        <v>#VALUE!</v>
      </c>
      <c r="O21" s="165" t="e">
        <f t="shared" si="4"/>
        <v>#VALUE!</v>
      </c>
      <c r="P21" s="18" t="e">
        <f t="shared" si="5"/>
        <v>#VALUE!</v>
      </c>
      <c r="Q21" s="165" t="e">
        <f t="shared" si="6"/>
        <v>#VALUE!</v>
      </c>
      <c r="R21" s="18" t="e">
        <f t="shared" si="7"/>
        <v>#DIV/0!</v>
      </c>
      <c r="S21" s="67" t="e">
        <f t="shared" si="8"/>
        <v>#DIV/0!</v>
      </c>
      <c r="T21" s="99"/>
      <c r="U21" s="200">
        <f>_xll.qlYieldTSDiscount(DomesticDiscountCurve,D21,FALSE,_xll.ohTrigger($J$4:$J$32))</f>
        <v>0.99671750293368222</v>
      </c>
      <c r="V21" s="201" t="e">
        <f t="shared" si="9"/>
        <v>#DIV/0!</v>
      </c>
      <c r="W21" s="99"/>
      <c r="X21" s="213">
        <f>_xll.qlDayCounterYearFraction(DayCounter,C21,D21)</f>
        <v>1.2749999999999999</v>
      </c>
      <c r="Y21" s="214" t="e">
        <f t="shared" si="12"/>
        <v>#DIV/0!</v>
      </c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</row>
    <row r="22" spans="1:50" x14ac:dyDescent="0.2">
      <c r="A22" s="99"/>
      <c r="B22" s="76" t="s">
        <v>17</v>
      </c>
      <c r="C22" s="8">
        <f t="shared" si="3"/>
        <v>41949</v>
      </c>
      <c r="D22" s="8">
        <f>_xll.qlCalendarAdvance(JoinedCalendar,C22,IF(B22="SN","1D",IF(B22="SW","1W",B22)),"mf",TRUE,)</f>
        <v>42496</v>
      </c>
      <c r="E22" s="7" t="str">
        <f t="shared" si="0"/>
        <v>CNH18M=</v>
      </c>
      <c r="F22" s="33">
        <v>1981</v>
      </c>
      <c r="G22" s="30">
        <v>2031</v>
      </c>
      <c r="H22" s="18">
        <v>6.3205</v>
      </c>
      <c r="I22" s="49">
        <v>6.3274999999999997</v>
      </c>
      <c r="J22" s="33">
        <f t="shared" si="1"/>
        <v>2006</v>
      </c>
      <c r="K22" s="18">
        <f t="shared" si="2"/>
        <v>6.3239999999999998</v>
      </c>
      <c r="L22" s="63" t="b">
        <f t="shared" si="10"/>
        <v>1</v>
      </c>
      <c r="M22" s="99"/>
      <c r="N22" s="48">
        <f t="shared" si="11"/>
        <v>6.3205</v>
      </c>
      <c r="O22" s="165">
        <f t="shared" si="4"/>
        <v>0</v>
      </c>
      <c r="P22" s="18">
        <f t="shared" si="5"/>
        <v>6.3274999999999997</v>
      </c>
      <c r="Q22" s="165">
        <f t="shared" si="6"/>
        <v>0</v>
      </c>
      <c r="R22" s="18">
        <f t="shared" si="7"/>
        <v>6.3239999999999998</v>
      </c>
      <c r="S22" s="67">
        <f t="shared" si="8"/>
        <v>0</v>
      </c>
      <c r="T22" s="99"/>
      <c r="U22" s="200">
        <f>_xll.qlYieldTSDiscount(DomesticDiscountCurve,D22,FALSE,_xll.ohTrigger($J$4:$J$32))</f>
        <v>0.9948339335716444</v>
      </c>
      <c r="V22" s="201">
        <f t="shared" si="9"/>
        <v>0.96327737331318908</v>
      </c>
      <c r="W22" s="99"/>
      <c r="X22" s="213">
        <f>_xll.qlDayCounterYearFraction(DayCounter,C22,D22)</f>
        <v>1.5194444444444444</v>
      </c>
      <c r="Y22" s="214">
        <f t="shared" si="12"/>
        <v>2.5089820429665212E-2</v>
      </c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</row>
    <row r="23" spans="1:50" x14ac:dyDescent="0.2">
      <c r="A23" s="99"/>
      <c r="B23" s="76" t="s">
        <v>18</v>
      </c>
      <c r="C23" s="8">
        <f t="shared" si="3"/>
        <v>41949</v>
      </c>
      <c r="D23" s="8">
        <f>_xll.qlCalendarAdvance(JoinedCalendar,C23,IF(B23="SN","1D",IF(B23="SW","1W",B23)),"mf",TRUE,)</f>
        <v>42590</v>
      </c>
      <c r="E23" s="7" t="str">
        <f t="shared" si="0"/>
        <v>CNH21M=</v>
      </c>
      <c r="F23" s="33" t="s">
        <v>136</v>
      </c>
      <c r="G23" s="30" t="s">
        <v>136</v>
      </c>
      <c r="H23" s="18" t="s">
        <v>136</v>
      </c>
      <c r="I23" s="49" t="s">
        <v>136</v>
      </c>
      <c r="J23" s="33" t="e">
        <f t="shared" si="1"/>
        <v>#DIV/0!</v>
      </c>
      <c r="K23" s="18" t="e">
        <f t="shared" si="2"/>
        <v>#DIV/0!</v>
      </c>
      <c r="L23" s="63" t="b">
        <f t="shared" si="10"/>
        <v>0</v>
      </c>
      <c r="M23" s="99"/>
      <c r="N23" s="48" t="e">
        <f t="shared" si="11"/>
        <v>#VALUE!</v>
      </c>
      <c r="O23" s="165" t="e">
        <f t="shared" si="4"/>
        <v>#VALUE!</v>
      </c>
      <c r="P23" s="18" t="e">
        <f t="shared" si="5"/>
        <v>#VALUE!</v>
      </c>
      <c r="Q23" s="165" t="e">
        <f t="shared" si="6"/>
        <v>#VALUE!</v>
      </c>
      <c r="R23" s="18" t="e">
        <f t="shared" si="7"/>
        <v>#DIV/0!</v>
      </c>
      <c r="S23" s="67" t="e">
        <f t="shared" si="8"/>
        <v>#DIV/0!</v>
      </c>
      <c r="T23" s="99"/>
      <c r="U23" s="200">
        <f>_xll.qlYieldTSDiscount(DomesticDiscountCurve,D23,FALSE,_xll.ohTrigger($J$4:$J$32))</f>
        <v>0.99220003918553878</v>
      </c>
      <c r="V23" s="201" t="e">
        <f t="shared" si="9"/>
        <v>#DIV/0!</v>
      </c>
      <c r="W23" s="99"/>
      <c r="X23" s="213">
        <f>_xll.qlDayCounterYearFraction(DayCounter,C23,D23)</f>
        <v>1.7805555555555554</v>
      </c>
      <c r="Y23" s="214" t="e">
        <f t="shared" si="12"/>
        <v>#DIV/0!</v>
      </c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</row>
    <row r="24" spans="1:50" x14ac:dyDescent="0.2">
      <c r="A24" s="99"/>
      <c r="B24" s="76" t="s">
        <v>19</v>
      </c>
      <c r="C24" s="8">
        <f t="shared" si="3"/>
        <v>41949</v>
      </c>
      <c r="D24" s="8">
        <f>_xll.qlCalendarAdvance(JoinedCalendar,C24,IF(B24="SN","1D",IF(B24="SW","1W",B24)),"mf",TRUE,)</f>
        <v>42681</v>
      </c>
      <c r="E24" s="7" t="str">
        <f t="shared" si="0"/>
        <v>CNH2Y=</v>
      </c>
      <c r="F24" s="33">
        <v>2460</v>
      </c>
      <c r="G24" s="30">
        <v>2510</v>
      </c>
      <c r="H24" s="18">
        <v>6.3684000000000003</v>
      </c>
      <c r="I24" s="49">
        <v>6.3754</v>
      </c>
      <c r="J24" s="33">
        <f t="shared" si="1"/>
        <v>2485</v>
      </c>
      <c r="K24" s="18">
        <f t="shared" si="2"/>
        <v>6.3719000000000001</v>
      </c>
      <c r="L24" s="63" t="b">
        <f t="shared" si="10"/>
        <v>1</v>
      </c>
      <c r="M24" s="99"/>
      <c r="N24" s="48">
        <f t="shared" si="11"/>
        <v>6.3683999999999994</v>
      </c>
      <c r="O24" s="165">
        <f t="shared" si="4"/>
        <v>0</v>
      </c>
      <c r="P24" s="18">
        <f t="shared" si="5"/>
        <v>6.3754</v>
      </c>
      <c r="Q24" s="165">
        <f t="shared" si="6"/>
        <v>0</v>
      </c>
      <c r="R24" s="18">
        <f t="shared" si="7"/>
        <v>6.3719000000000001</v>
      </c>
      <c r="S24" s="67">
        <f t="shared" si="8"/>
        <v>0</v>
      </c>
      <c r="T24" s="99"/>
      <c r="U24" s="200">
        <f>_xll.qlYieldTSDiscount(DomesticDiscountCurve,D24,FALSE,_xll.ohTrigger($J$4:$J$32))</f>
        <v>0.98909008804614984</v>
      </c>
      <c r="V24" s="201">
        <f t="shared" si="9"/>
        <v>0.95051621104251394</v>
      </c>
      <c r="W24" s="99"/>
      <c r="X24" s="213">
        <f>_xll.qlDayCounterYearFraction(DayCounter,C24,D24)</f>
        <v>2.0333333333333332</v>
      </c>
      <c r="Y24" s="214">
        <f t="shared" si="12"/>
        <v>2.5603234714462055E-2</v>
      </c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</row>
    <row r="25" spans="1:50" x14ac:dyDescent="0.2">
      <c r="A25" s="99"/>
      <c r="B25" s="76" t="s">
        <v>20</v>
      </c>
      <c r="C25" s="8">
        <f t="shared" si="3"/>
        <v>41949</v>
      </c>
      <c r="D25" s="8">
        <f>_xll.qlCalendarAdvance(JoinedCalendar,C25,IF(B25="SN","1D",IF(B25="SW","1W",B25)),"mf",TRUE,)</f>
        <v>43045</v>
      </c>
      <c r="E25" s="7" t="str">
        <f t="shared" si="0"/>
        <v>CNH3Y=</v>
      </c>
      <c r="F25" s="33">
        <v>2998</v>
      </c>
      <c r="G25" s="30">
        <v>3098</v>
      </c>
      <c r="H25" s="18">
        <v>6.4222000000000001</v>
      </c>
      <c r="I25" s="49">
        <v>6.4341999999999997</v>
      </c>
      <c r="J25" s="33">
        <f t="shared" si="1"/>
        <v>3048</v>
      </c>
      <c r="K25" s="18">
        <f t="shared" si="2"/>
        <v>6.4282000000000004</v>
      </c>
      <c r="L25" s="63" t="b">
        <f t="shared" si="10"/>
        <v>1</v>
      </c>
      <c r="M25" s="99"/>
      <c r="N25" s="48">
        <f t="shared" si="11"/>
        <v>6.4222000000000001</v>
      </c>
      <c r="O25" s="165">
        <f t="shared" si="4"/>
        <v>0</v>
      </c>
      <c r="P25" s="18">
        <f t="shared" si="5"/>
        <v>6.4341999999999997</v>
      </c>
      <c r="Q25" s="165">
        <f t="shared" si="6"/>
        <v>0</v>
      </c>
      <c r="R25" s="18">
        <f t="shared" si="7"/>
        <v>6.4282000000000004</v>
      </c>
      <c r="S25" s="67">
        <f t="shared" si="8"/>
        <v>0</v>
      </c>
      <c r="T25" s="99"/>
      <c r="U25" s="200">
        <f>_xll.qlYieldTSDiscount(DomesticDiscountCurve,D25,FALSE,_xll.ohTrigger($J$4:$J$32))</f>
        <v>0.97168327704506519</v>
      </c>
      <c r="V25" s="201">
        <f t="shared" si="9"/>
        <v>0.92560987191713884</v>
      </c>
      <c r="W25" s="99"/>
      <c r="X25" s="213">
        <f>_xll.qlDayCounterYearFraction(DayCounter,C25,D25)</f>
        <v>3.0444444444444443</v>
      </c>
      <c r="Y25" s="214">
        <f t="shared" si="12"/>
        <v>2.6398501512575587E-2</v>
      </c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</row>
    <row r="26" spans="1:50" x14ac:dyDescent="0.2">
      <c r="A26" s="99"/>
      <c r="B26" s="76" t="s">
        <v>21</v>
      </c>
      <c r="C26" s="8">
        <f t="shared" si="3"/>
        <v>41949</v>
      </c>
      <c r="D26" s="8">
        <f>_xll.qlCalendarAdvance(JoinedCalendar,C26,IF(B26="SN","1D",IF(B26="SW","1W",B26)),"mf",TRUE,)</f>
        <v>43410</v>
      </c>
      <c r="E26" s="7" t="str">
        <f t="shared" si="0"/>
        <v>CNH4Y=</v>
      </c>
      <c r="F26" s="33">
        <v>3330</v>
      </c>
      <c r="G26" s="30">
        <v>3630</v>
      </c>
      <c r="H26" s="18">
        <v>6.4554</v>
      </c>
      <c r="I26" s="49">
        <v>6.4874000000000001</v>
      </c>
      <c r="J26" s="33">
        <f t="shared" si="1"/>
        <v>3480</v>
      </c>
      <c r="K26" s="18">
        <f t="shared" si="2"/>
        <v>6.4714</v>
      </c>
      <c r="L26" s="63" t="b">
        <f t="shared" si="10"/>
        <v>1</v>
      </c>
      <c r="M26" s="99"/>
      <c r="N26" s="48">
        <f t="shared" si="11"/>
        <v>6.4554</v>
      </c>
      <c r="O26" s="165">
        <f t="shared" si="4"/>
        <v>0</v>
      </c>
      <c r="P26" s="18">
        <f t="shared" si="5"/>
        <v>6.4873999999999992</v>
      </c>
      <c r="Q26" s="165">
        <f t="shared" si="6"/>
        <v>0</v>
      </c>
      <c r="R26" s="18">
        <f t="shared" si="7"/>
        <v>6.4714</v>
      </c>
      <c r="S26" s="67">
        <f t="shared" si="8"/>
        <v>0</v>
      </c>
      <c r="T26" s="99"/>
      <c r="U26" s="200">
        <f>_xll.qlYieldTSDiscount(DomesticDiscountCurve,D26,FALSE,_xll.ohTrigger($J$4:$J$32))</f>
        <v>0.94955782304149228</v>
      </c>
      <c r="V26" s="201">
        <f t="shared" si="9"/>
        <v>0.89849528287731772</v>
      </c>
      <c r="W26" s="99"/>
      <c r="X26" s="213">
        <f>_xll.qlDayCounterYearFraction(DayCounter,C26,D26)</f>
        <v>4.0583333333333336</v>
      </c>
      <c r="Y26" s="214">
        <f t="shared" si="12"/>
        <v>2.7837017897723609E-2</v>
      </c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</row>
    <row r="27" spans="1:50" x14ac:dyDescent="0.2">
      <c r="A27" s="99"/>
      <c r="B27" s="76" t="s">
        <v>22</v>
      </c>
      <c r="C27" s="8">
        <f t="shared" si="3"/>
        <v>41949</v>
      </c>
      <c r="D27" s="8">
        <f>_xll.qlCalendarAdvance(JoinedCalendar,C27,IF(B27="SN","1D",IF(B27="SW","1W",B27)),"mf",TRUE,)</f>
        <v>43775</v>
      </c>
      <c r="E27" s="7" t="str">
        <f t="shared" si="0"/>
        <v>CNH5Y=</v>
      </c>
      <c r="F27" s="33">
        <v>3690</v>
      </c>
      <c r="G27" s="30">
        <v>3990</v>
      </c>
      <c r="H27" s="18">
        <v>6.4913999999999996</v>
      </c>
      <c r="I27" s="49">
        <v>6.5233999999999996</v>
      </c>
      <c r="J27" s="33">
        <f t="shared" si="1"/>
        <v>3840</v>
      </c>
      <c r="K27" s="18">
        <f t="shared" si="2"/>
        <v>6.5073999999999996</v>
      </c>
      <c r="L27" s="63" t="b">
        <f t="shared" si="10"/>
        <v>1</v>
      </c>
      <c r="M27" s="99"/>
      <c r="N27" s="48">
        <f t="shared" si="11"/>
        <v>6.4913999999999996</v>
      </c>
      <c r="O27" s="165">
        <f t="shared" si="4"/>
        <v>0</v>
      </c>
      <c r="P27" s="18">
        <f t="shared" si="5"/>
        <v>6.5233999999999996</v>
      </c>
      <c r="Q27" s="165">
        <f t="shared" si="6"/>
        <v>0</v>
      </c>
      <c r="R27" s="18">
        <f t="shared" si="7"/>
        <v>6.5074000000000005</v>
      </c>
      <c r="S27" s="67">
        <f t="shared" si="8"/>
        <v>0</v>
      </c>
      <c r="T27" s="99"/>
      <c r="U27" s="200">
        <f>_xll.qlYieldTSDiscount(DomesticDiscountCurve,D27,FALSE,_xll.ohTrigger($J$4:$J$32))</f>
        <v>0.92512276640701596</v>
      </c>
      <c r="V27" s="201">
        <f t="shared" si="9"/>
        <v>0.87053150994509654</v>
      </c>
      <c r="W27" s="99"/>
      <c r="X27" s="213">
        <f>_xll.qlDayCounterYearFraction(DayCounter,C27,D27)</f>
        <v>5.072222222222222</v>
      </c>
      <c r="Y27" s="214">
        <f t="shared" si="12"/>
        <v>2.9321171289208098E-2</v>
      </c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</row>
    <row r="28" spans="1:50" x14ac:dyDescent="0.2">
      <c r="A28" s="99"/>
      <c r="B28" s="76" t="s">
        <v>23</v>
      </c>
      <c r="C28" s="8">
        <f t="shared" si="3"/>
        <v>41949</v>
      </c>
      <c r="D28" s="8">
        <f>_xll.qlCalendarAdvance(JoinedCalendar,C28,IF(B28="SN","1D",IF(B28="SW","1W",B28)),"mf",TRUE,)</f>
        <v>44141</v>
      </c>
      <c r="E28" s="7" t="str">
        <f t="shared" si="0"/>
        <v>CNH6Y=</v>
      </c>
      <c r="F28" s="33" t="s">
        <v>136</v>
      </c>
      <c r="G28" s="30" t="s">
        <v>136</v>
      </c>
      <c r="H28" s="18" t="s">
        <v>136</v>
      </c>
      <c r="I28" s="49" t="s">
        <v>136</v>
      </c>
      <c r="J28" s="33" t="e">
        <f t="shared" si="1"/>
        <v>#DIV/0!</v>
      </c>
      <c r="K28" s="18" t="e">
        <f t="shared" si="2"/>
        <v>#DIV/0!</v>
      </c>
      <c r="L28" s="63" t="b">
        <f t="shared" si="10"/>
        <v>0</v>
      </c>
      <c r="M28" s="99"/>
      <c r="N28" s="48" t="e">
        <f t="shared" si="11"/>
        <v>#VALUE!</v>
      </c>
      <c r="O28" s="165" t="e">
        <f t="shared" si="4"/>
        <v>#VALUE!</v>
      </c>
      <c r="P28" s="18" t="e">
        <f t="shared" si="5"/>
        <v>#VALUE!</v>
      </c>
      <c r="Q28" s="165" t="e">
        <f t="shared" si="6"/>
        <v>#VALUE!</v>
      </c>
      <c r="R28" s="18" t="e">
        <f t="shared" si="7"/>
        <v>#DIV/0!</v>
      </c>
      <c r="S28" s="67" t="e">
        <f t="shared" si="8"/>
        <v>#DIV/0!</v>
      </c>
      <c r="T28" s="99"/>
      <c r="U28" s="200">
        <f>_xll.qlYieldTSDiscount(DomesticDiscountCurve,D28,FALSE,_xll.ohTrigger($J$4:$J$32))</f>
        <v>0.8996935410774306</v>
      </c>
      <c r="V28" s="201" t="e">
        <f t="shared" si="9"/>
        <v>#DIV/0!</v>
      </c>
      <c r="W28" s="99"/>
      <c r="X28" s="213">
        <f>_xll.qlDayCounterYearFraction(DayCounter,C28,D28)</f>
        <v>6.0888888888888886</v>
      </c>
      <c r="Y28" s="214" t="e">
        <f t="shared" si="12"/>
        <v>#DIV/0!</v>
      </c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</row>
    <row r="29" spans="1:50" x14ac:dyDescent="0.2">
      <c r="A29" s="99"/>
      <c r="B29" s="76" t="s">
        <v>24</v>
      </c>
      <c r="C29" s="8">
        <f t="shared" si="3"/>
        <v>41949</v>
      </c>
      <c r="D29" s="8">
        <f>_xll.qlCalendarAdvance(JoinedCalendar,C29,IF(B29="SN","1D",IF(B29="SW","1W",B29)),"mf",TRUE,)</f>
        <v>44508</v>
      </c>
      <c r="E29" s="7" t="str">
        <f t="shared" si="0"/>
        <v>CNH7Y=</v>
      </c>
      <c r="F29" s="33" t="s">
        <v>136</v>
      </c>
      <c r="G29" s="30" t="s">
        <v>136</v>
      </c>
      <c r="H29" s="18" t="s">
        <v>136</v>
      </c>
      <c r="I29" s="49" t="s">
        <v>136</v>
      </c>
      <c r="J29" s="33" t="e">
        <f t="shared" si="1"/>
        <v>#DIV/0!</v>
      </c>
      <c r="K29" s="18" t="e">
        <f t="shared" si="2"/>
        <v>#DIV/0!</v>
      </c>
      <c r="L29" s="63" t="b">
        <f t="shared" si="10"/>
        <v>0</v>
      </c>
      <c r="M29" s="99"/>
      <c r="N29" s="48" t="e">
        <f t="shared" si="11"/>
        <v>#VALUE!</v>
      </c>
      <c r="O29" s="165" t="e">
        <f t="shared" si="4"/>
        <v>#VALUE!</v>
      </c>
      <c r="P29" s="18" t="e">
        <f t="shared" si="5"/>
        <v>#VALUE!</v>
      </c>
      <c r="Q29" s="165" t="e">
        <f t="shared" si="6"/>
        <v>#VALUE!</v>
      </c>
      <c r="R29" s="18" t="e">
        <f t="shared" si="7"/>
        <v>#DIV/0!</v>
      </c>
      <c r="S29" s="67" t="e">
        <f t="shared" si="8"/>
        <v>#DIV/0!</v>
      </c>
      <c r="T29" s="99"/>
      <c r="U29" s="200">
        <f>_xll.qlYieldTSDiscount(DomesticDiscountCurve,D29,FALSE,_xll.ohTrigger($J$4:$J$32))</f>
        <v>0.87380307484441411</v>
      </c>
      <c r="V29" s="201" t="e">
        <f t="shared" si="9"/>
        <v>#DIV/0!</v>
      </c>
      <c r="W29" s="99"/>
      <c r="X29" s="213">
        <f>_xll.qlDayCounterYearFraction(DayCounter,C29,D29)</f>
        <v>7.1083333333333334</v>
      </c>
      <c r="Y29" s="214" t="e">
        <f t="shared" si="12"/>
        <v>#DIV/0!</v>
      </c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</row>
    <row r="30" spans="1:50" x14ac:dyDescent="0.2">
      <c r="A30" s="99"/>
      <c r="B30" s="76" t="s">
        <v>25</v>
      </c>
      <c r="C30" s="8">
        <f t="shared" si="3"/>
        <v>41949</v>
      </c>
      <c r="D30" s="8">
        <f>_xll.qlCalendarAdvance(JoinedCalendar,C30,IF(B30="SN","1D",IF(B30="SW","1W",B30)),"mf",TRUE,)</f>
        <v>44872</v>
      </c>
      <c r="E30" s="7" t="str">
        <f t="shared" si="0"/>
        <v>CNH8Y=</v>
      </c>
      <c r="F30" s="33" t="s">
        <v>136</v>
      </c>
      <c r="G30" s="30" t="s">
        <v>136</v>
      </c>
      <c r="H30" s="18" t="s">
        <v>136</v>
      </c>
      <c r="I30" s="49" t="s">
        <v>136</v>
      </c>
      <c r="J30" s="33" t="e">
        <f t="shared" si="1"/>
        <v>#DIV/0!</v>
      </c>
      <c r="K30" s="18" t="e">
        <f t="shared" si="2"/>
        <v>#DIV/0!</v>
      </c>
      <c r="L30" s="63" t="b">
        <f t="shared" si="10"/>
        <v>0</v>
      </c>
      <c r="M30" s="99"/>
      <c r="N30" s="48" t="e">
        <f t="shared" si="11"/>
        <v>#VALUE!</v>
      </c>
      <c r="O30" s="165" t="e">
        <f t="shared" si="4"/>
        <v>#VALUE!</v>
      </c>
      <c r="P30" s="18" t="e">
        <f t="shared" si="5"/>
        <v>#VALUE!</v>
      </c>
      <c r="Q30" s="165" t="e">
        <f t="shared" si="6"/>
        <v>#VALUE!</v>
      </c>
      <c r="R30" s="18" t="e">
        <f t="shared" si="7"/>
        <v>#DIV/0!</v>
      </c>
      <c r="S30" s="67" t="e">
        <f t="shared" si="8"/>
        <v>#DIV/0!</v>
      </c>
      <c r="T30" s="99"/>
      <c r="U30" s="200">
        <f>_xll.qlYieldTSDiscount(DomesticDiscountCurve,D30,FALSE,_xll.ohTrigger($J$4:$J$32))</f>
        <v>0.84799010027369603</v>
      </c>
      <c r="V30" s="201" t="e">
        <f t="shared" si="9"/>
        <v>#DIV/0!</v>
      </c>
      <c r="W30" s="99"/>
      <c r="X30" s="213">
        <f>_xll.qlDayCounterYearFraction(DayCounter,C30,D30)</f>
        <v>8.1194444444444436</v>
      </c>
      <c r="Y30" s="214" t="e">
        <f t="shared" si="12"/>
        <v>#DIV/0!</v>
      </c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</row>
    <row r="31" spans="1:50" x14ac:dyDescent="0.2">
      <c r="A31" s="99"/>
      <c r="B31" s="76" t="s">
        <v>26</v>
      </c>
      <c r="C31" s="8">
        <f t="shared" si="3"/>
        <v>41949</v>
      </c>
      <c r="D31" s="8">
        <f>_xll.qlCalendarAdvance(JoinedCalendar,C31,IF(B31="SN","1D",IF(B31="SW","1W",B31)),"mf",TRUE,)</f>
        <v>45236</v>
      </c>
      <c r="E31" s="7" t="str">
        <f t="shared" si="0"/>
        <v>CNH9Y=</v>
      </c>
      <c r="F31" s="33" t="s">
        <v>136</v>
      </c>
      <c r="G31" s="30" t="s">
        <v>136</v>
      </c>
      <c r="H31" s="18" t="s">
        <v>136</v>
      </c>
      <c r="I31" s="49" t="s">
        <v>136</v>
      </c>
      <c r="J31" s="33" t="e">
        <f t="shared" si="1"/>
        <v>#DIV/0!</v>
      </c>
      <c r="K31" s="18" t="e">
        <f t="shared" si="2"/>
        <v>#DIV/0!</v>
      </c>
      <c r="L31" s="63" t="b">
        <f t="shared" si="10"/>
        <v>0</v>
      </c>
      <c r="M31" s="99"/>
      <c r="N31" s="48" t="e">
        <f t="shared" si="11"/>
        <v>#VALUE!</v>
      </c>
      <c r="O31" s="165" t="e">
        <f t="shared" si="4"/>
        <v>#VALUE!</v>
      </c>
      <c r="P31" s="18" t="e">
        <f t="shared" si="5"/>
        <v>#VALUE!</v>
      </c>
      <c r="Q31" s="165" t="e">
        <f t="shared" si="6"/>
        <v>#VALUE!</v>
      </c>
      <c r="R31" s="18" t="e">
        <f t="shared" si="7"/>
        <v>#DIV/0!</v>
      </c>
      <c r="S31" s="67" t="e">
        <f t="shared" si="8"/>
        <v>#DIV/0!</v>
      </c>
      <c r="T31" s="99"/>
      <c r="U31" s="200">
        <f>_xll.qlYieldTSDiscount(DomesticDiscountCurve,D31,FALSE,_xll.ohTrigger($J$4:$J$32))</f>
        <v>0.82230078638430582</v>
      </c>
      <c r="V31" s="201" t="e">
        <f t="shared" si="9"/>
        <v>#DIV/0!</v>
      </c>
      <c r="W31" s="99"/>
      <c r="X31" s="213">
        <f>_xll.qlDayCounterYearFraction(DayCounter,C31,D31)</f>
        <v>9.1305555555555564</v>
      </c>
      <c r="Y31" s="214" t="e">
        <f t="shared" si="12"/>
        <v>#DIV/0!</v>
      </c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</row>
    <row r="32" spans="1:50" x14ac:dyDescent="0.2">
      <c r="A32" s="99"/>
      <c r="B32" s="76" t="s">
        <v>27</v>
      </c>
      <c r="C32" s="8">
        <f t="shared" si="3"/>
        <v>41949</v>
      </c>
      <c r="D32" s="8">
        <f>_xll.qlCalendarAdvance(JoinedCalendar,C32,IF(B32="SN","1D",IF(B32="SW","1W",B32)),"mf",TRUE,)</f>
        <v>45602</v>
      </c>
      <c r="E32" s="7" t="str">
        <f t="shared" si="0"/>
        <v>CNH10Y=</v>
      </c>
      <c r="F32" s="33" t="s">
        <v>136</v>
      </c>
      <c r="G32" s="30" t="s">
        <v>136</v>
      </c>
      <c r="H32" s="18" t="s">
        <v>136</v>
      </c>
      <c r="I32" s="49" t="s">
        <v>136</v>
      </c>
      <c r="J32" s="33" t="e">
        <f t="shared" si="1"/>
        <v>#DIV/0!</v>
      </c>
      <c r="K32" s="18" t="e">
        <f t="shared" si="2"/>
        <v>#DIV/0!</v>
      </c>
      <c r="L32" s="63" t="b">
        <f t="shared" si="10"/>
        <v>0</v>
      </c>
      <c r="M32" s="99"/>
      <c r="N32" s="48" t="e">
        <f t="shared" si="11"/>
        <v>#VALUE!</v>
      </c>
      <c r="O32" s="165" t="e">
        <f t="shared" si="4"/>
        <v>#VALUE!</v>
      </c>
      <c r="P32" s="18" t="e">
        <f t="shared" si="5"/>
        <v>#VALUE!</v>
      </c>
      <c r="Q32" s="165" t="e">
        <f t="shared" si="6"/>
        <v>#VALUE!</v>
      </c>
      <c r="R32" s="18" t="e">
        <f t="shared" si="7"/>
        <v>#DIV/0!</v>
      </c>
      <c r="S32" s="67" t="e">
        <f t="shared" si="8"/>
        <v>#DIV/0!</v>
      </c>
      <c r="T32" s="99"/>
      <c r="U32" s="200">
        <f>_xll.qlYieldTSDiscount(DomesticDiscountCurve,D32,FALSE,_xll.ohTrigger($J$4:$J$32))</f>
        <v>0.79678068034405558</v>
      </c>
      <c r="V32" s="201" t="e">
        <f t="shared" si="9"/>
        <v>#DIV/0!</v>
      </c>
      <c r="W32" s="99"/>
      <c r="X32" s="213">
        <f>_xll.qlDayCounterYearFraction(DayCounter,C32,D32)</f>
        <v>10.147222222222222</v>
      </c>
      <c r="Y32" s="214" t="e">
        <f t="shared" si="12"/>
        <v>#DIV/0!</v>
      </c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</row>
    <row r="33" spans="1:50" x14ac:dyDescent="0.2">
      <c r="A33" s="99"/>
      <c r="B33" s="76" t="s">
        <v>110</v>
      </c>
      <c r="C33" s="8">
        <f t="shared" si="3"/>
        <v>41949</v>
      </c>
      <c r="D33" s="8">
        <f>_xll.qlCalendarAdvance(JoinedCalendar,C33,IF(B33="SN","1D",IF(B33="SW","1W",B33)),"mf",TRUE,)</f>
        <v>46332</v>
      </c>
      <c r="E33" s="7" t="str">
        <f t="shared" si="0"/>
        <v>CNH12Y=</v>
      </c>
      <c r="F33" s="33" t="s">
        <v>136</v>
      </c>
      <c r="G33" s="30" t="s">
        <v>136</v>
      </c>
      <c r="H33" s="18" t="s">
        <v>136</v>
      </c>
      <c r="I33" s="49" t="s">
        <v>136</v>
      </c>
      <c r="J33" s="33" t="e">
        <f>AVERAGE(F33:G33)</f>
        <v>#DIV/0!</v>
      </c>
      <c r="K33" s="18" t="e">
        <f>AVERAGE(H33:I33)</f>
        <v>#DIV/0!</v>
      </c>
      <c r="L33" s="63" t="b">
        <f>ISNUMBER(J33)</f>
        <v>0</v>
      </c>
      <c r="M33" s="99"/>
      <c r="N33" s="48" t="e">
        <f t="shared" si="11"/>
        <v>#VALUE!</v>
      </c>
      <c r="O33" s="165" t="e">
        <f>N33-H33</f>
        <v>#VALUE!</v>
      </c>
      <c r="P33" s="18" t="e">
        <f t="shared" si="5"/>
        <v>#VALUE!</v>
      </c>
      <c r="Q33" s="165" t="e">
        <f>P33-I33</f>
        <v>#VALUE!</v>
      </c>
      <c r="R33" s="18" t="e">
        <f t="shared" si="7"/>
        <v>#DIV/0!</v>
      </c>
      <c r="S33" s="67" t="e">
        <f>R33-K33</f>
        <v>#DIV/0!</v>
      </c>
      <c r="T33" s="99"/>
      <c r="U33" s="200">
        <f>_xll.qlYieldTSDiscount(DomesticDiscountCurve,D33,FALSE,_xll.ohTrigger($J$4:$J$32))</f>
        <v>0.7468967712150284</v>
      </c>
      <c r="V33" s="201" t="e">
        <f t="shared" ref="V33:V35" si="13">$U33*(SpotExchangeValue/R33)^DomesticUnitFx</f>
        <v>#DIV/0!</v>
      </c>
      <c r="W33" s="99"/>
      <c r="X33" s="213">
        <f>_xll.qlDayCounterYearFraction(DayCounter,C33,D33)</f>
        <v>12.175000000000001</v>
      </c>
      <c r="Y33" s="214" t="e">
        <f t="shared" si="12"/>
        <v>#DIV/0!</v>
      </c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</row>
    <row r="34" spans="1:50" x14ac:dyDescent="0.2">
      <c r="A34" s="99"/>
      <c r="B34" s="76" t="s">
        <v>111</v>
      </c>
      <c r="C34" s="8">
        <f t="shared" si="3"/>
        <v>41949</v>
      </c>
      <c r="D34" s="8">
        <f>_xll.qlCalendarAdvance(JoinedCalendar,C34,IF(B34="SN","1D",IF(B34="SW","1W",B34)),"mf",TRUE,)</f>
        <v>47428</v>
      </c>
      <c r="E34" s="7" t="str">
        <f t="shared" si="0"/>
        <v>CNH15Y=</v>
      </c>
      <c r="F34" s="33" t="s">
        <v>136</v>
      </c>
      <c r="G34" s="30" t="s">
        <v>136</v>
      </c>
      <c r="H34" s="18" t="s">
        <v>136</v>
      </c>
      <c r="I34" s="49" t="s">
        <v>136</v>
      </c>
      <c r="J34" s="33" t="e">
        <f>AVERAGE(F34:G34)</f>
        <v>#DIV/0!</v>
      </c>
      <c r="K34" s="18" t="e">
        <f>AVERAGE(H34:I34)</f>
        <v>#DIV/0!</v>
      </c>
      <c r="L34" s="63" t="b">
        <f>ISNUMBER(J34)</f>
        <v>0</v>
      </c>
      <c r="M34" s="99"/>
      <c r="N34" s="48" t="e">
        <f t="shared" si="11"/>
        <v>#VALUE!</v>
      </c>
      <c r="O34" s="165" t="e">
        <f>N34-H34</f>
        <v>#VALUE!</v>
      </c>
      <c r="P34" s="18" t="e">
        <f t="shared" si="5"/>
        <v>#VALUE!</v>
      </c>
      <c r="Q34" s="165" t="e">
        <f>P34-I34</f>
        <v>#VALUE!</v>
      </c>
      <c r="R34" s="18" t="e">
        <f t="shared" si="7"/>
        <v>#DIV/0!</v>
      </c>
      <c r="S34" s="67" t="e">
        <f>R34-K34</f>
        <v>#DIV/0!</v>
      </c>
      <c r="T34" s="99"/>
      <c r="U34" s="200">
        <f>_xll.qlYieldTSDiscount(DomesticDiscountCurve,D34,FALSE,_xll.ohTrigger($J$4:$J$32))</f>
        <v>0.67787655455626017</v>
      </c>
      <c r="V34" s="201" t="e">
        <f t="shared" si="13"/>
        <v>#DIV/0!</v>
      </c>
      <c r="W34" s="99"/>
      <c r="X34" s="213">
        <f>_xll.qlDayCounterYearFraction(DayCounter,C34,D34)</f>
        <v>15.219444444444445</v>
      </c>
      <c r="Y34" s="214" t="e">
        <f t="shared" si="12"/>
        <v>#DIV/0!</v>
      </c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</row>
    <row r="35" spans="1:50" x14ac:dyDescent="0.2">
      <c r="A35" s="99"/>
      <c r="B35" s="77" t="s">
        <v>112</v>
      </c>
      <c r="C35" s="6">
        <f t="shared" si="3"/>
        <v>41949</v>
      </c>
      <c r="D35" s="6">
        <f>_xll.qlCalendarAdvance(JoinedCalendar,C35,IF(B35="SN","1D",IF(B35="SW","1W",B35)),"mf",TRUE,)</f>
        <v>49254</v>
      </c>
      <c r="E35" s="5" t="str">
        <f t="shared" si="0"/>
        <v>CNH20Y=</v>
      </c>
      <c r="F35" s="38" t="s">
        <v>136</v>
      </c>
      <c r="G35" s="39" t="s">
        <v>136</v>
      </c>
      <c r="H35" s="59" t="s">
        <v>136</v>
      </c>
      <c r="I35" s="60" t="s">
        <v>136</v>
      </c>
      <c r="J35" s="38" t="e">
        <f>AVERAGE(F35:G35)</f>
        <v>#DIV/0!</v>
      </c>
      <c r="K35" s="59" t="e">
        <f>AVERAGE(H35:I35)</f>
        <v>#DIV/0!</v>
      </c>
      <c r="L35" s="66" t="b">
        <f>ISNUMBER(J35)</f>
        <v>0</v>
      </c>
      <c r="M35" s="99"/>
      <c r="N35" s="58" t="e">
        <f>$F$4+$F35/10000</f>
        <v>#VALUE!</v>
      </c>
      <c r="O35" s="167" t="e">
        <f>N35-H35</f>
        <v>#VALUE!</v>
      </c>
      <c r="P35" s="59" t="e">
        <f t="shared" si="5"/>
        <v>#VALUE!</v>
      </c>
      <c r="Q35" s="167" t="e">
        <f>P35-I35</f>
        <v>#VALUE!</v>
      </c>
      <c r="R35" s="59" t="e">
        <f t="shared" si="7"/>
        <v>#DIV/0!</v>
      </c>
      <c r="S35" s="68" t="e">
        <f>R35-K35</f>
        <v>#DIV/0!</v>
      </c>
      <c r="T35" s="99"/>
      <c r="U35" s="206">
        <f>_xll.qlYieldTSDiscount(DomesticDiscountCurve,D35,FALSE,_xll.ohTrigger($J$4:$J$32))</f>
        <v>0.57582968717526228</v>
      </c>
      <c r="V35" s="207" t="e">
        <f t="shared" si="13"/>
        <v>#DIV/0!</v>
      </c>
      <c r="W35" s="99"/>
      <c r="X35" s="219">
        <f>_xll.qlDayCounterYearFraction(DayCounter,C35,D35)</f>
        <v>20.291666666666668</v>
      </c>
      <c r="Y35" s="220" t="e">
        <f t="shared" si="12"/>
        <v>#DIV/0!</v>
      </c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</row>
    <row r="36" spans="1:50" x14ac:dyDescent="0.2">
      <c r="A36" s="99"/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</row>
    <row r="37" spans="1:50" x14ac:dyDescent="0.2">
      <c r="A37" s="99"/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</row>
    <row r="38" spans="1:50" x14ac:dyDescent="0.2">
      <c r="A38" s="99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</row>
    <row r="39" spans="1:50" x14ac:dyDescent="0.2">
      <c r="A39" s="99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</row>
    <row r="40" spans="1:50" x14ac:dyDescent="0.2">
      <c r="A40" s="99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</row>
    <row r="41" spans="1:50" x14ac:dyDescent="0.2">
      <c r="A41" s="99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</row>
    <row r="42" spans="1:50" x14ac:dyDescent="0.2">
      <c r="A42" s="99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</row>
    <row r="43" spans="1:50" x14ac:dyDescent="0.2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</row>
    <row r="44" spans="1:50" x14ac:dyDescent="0.2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</row>
    <row r="45" spans="1:50" x14ac:dyDescent="0.2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</row>
    <row r="46" spans="1:50" x14ac:dyDescent="0.2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</row>
    <row r="47" spans="1:50" x14ac:dyDescent="0.2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</row>
    <row r="48" spans="1:50" x14ac:dyDescent="0.2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</row>
    <row r="49" spans="1:50" x14ac:dyDescent="0.2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</row>
    <row r="50" spans="1:50" x14ac:dyDescent="0.2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</row>
    <row r="51" spans="1:50" x14ac:dyDescent="0.2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</row>
    <row r="52" spans="1:50" x14ac:dyDescent="0.2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</row>
    <row r="53" spans="1:50" x14ac:dyDescent="0.2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</row>
    <row r="54" spans="1:50" x14ac:dyDescent="0.2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</row>
    <row r="55" spans="1:50" x14ac:dyDescent="0.2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</row>
    <row r="56" spans="1:50" x14ac:dyDescent="0.2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</row>
    <row r="57" spans="1:50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</row>
    <row r="58" spans="1:50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</row>
    <row r="59" spans="1:50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</row>
    <row r="60" spans="1:50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</row>
    <row r="61" spans="1:50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</row>
    <row r="62" spans="1:50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</row>
    <row r="63" spans="1:50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</row>
    <row r="64" spans="1:50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</row>
    <row r="65" spans="1:50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</row>
    <row r="66" spans="1:50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</row>
    <row r="67" spans="1:50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</row>
    <row r="68" spans="1:50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</row>
    <row r="69" spans="1:50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</row>
    <row r="70" spans="1:50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</row>
    <row r="71" spans="1:50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</row>
    <row r="72" spans="1:50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</row>
    <row r="73" spans="1:50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</row>
    <row r="74" spans="1:50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</row>
    <row r="75" spans="1:50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</row>
    <row r="76" spans="1:50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</row>
    <row r="77" spans="1:50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</row>
    <row r="78" spans="1:50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</row>
    <row r="79" spans="1:50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</row>
    <row r="80" spans="1:50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</row>
    <row r="81" spans="1:50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</row>
    <row r="82" spans="1:50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</row>
    <row r="83" spans="1:50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</row>
    <row r="84" spans="1:50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</row>
    <row r="85" spans="1:50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</row>
    <row r="86" spans="1:50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</row>
    <row r="87" spans="1:50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</row>
    <row r="88" spans="1:50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</row>
    <row r="89" spans="1:50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</row>
    <row r="90" spans="1:50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</row>
    <row r="91" spans="1:50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</row>
    <row r="92" spans="1:50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</row>
    <row r="93" spans="1:50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</row>
    <row r="94" spans="1:50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</row>
    <row r="95" spans="1:50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</row>
    <row r="96" spans="1:50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</row>
    <row r="97" spans="1:50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</row>
    <row r="98" spans="1:50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</row>
    <row r="99" spans="1:50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</row>
    <row r="100" spans="1:50" x14ac:dyDescent="0.2">
      <c r="A100" s="99"/>
    </row>
  </sheetData>
  <conditionalFormatting sqref="O5:O35">
    <cfRule type="cellIs" dxfId="2" priority="3" operator="notEqual">
      <formula>0</formula>
    </cfRule>
  </conditionalFormatting>
  <conditionalFormatting sqref="Q5:Q35">
    <cfRule type="cellIs" dxfId="1" priority="2" operator="notEqual">
      <formula>0</formula>
    </cfRule>
  </conditionalFormatting>
  <conditionalFormatting sqref="S5:S35">
    <cfRule type="cellIs" dxfId="0" priority="1" operator="notEqual">
      <formula>0</formula>
    </cfRule>
  </conditionalFormatting>
  <dataValidations count="2">
    <dataValidation type="list" allowBlank="1" showInputMessage="1" showErrorMessage="1" sqref="X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">
      <formula1>"ICHK,TRHK,PREA"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Z500"/>
  <sheetViews>
    <sheetView showGridLines="0" workbookViewId="0">
      <selection activeCell="G3" sqref="G3"/>
    </sheetView>
  </sheetViews>
  <sheetFormatPr defaultRowHeight="11.25" x14ac:dyDescent="0.2"/>
  <cols>
    <col min="1" max="2" width="17.28515625" style="168" bestFit="1" customWidth="1"/>
    <col min="3" max="3" width="18.28515625" style="168" bestFit="1" customWidth="1"/>
    <col min="4" max="4" width="19.28515625" style="168" bestFit="1" customWidth="1"/>
    <col min="5" max="5" width="10" style="168" bestFit="1" customWidth="1"/>
    <col min="6" max="6" width="18.28515625" style="168" bestFit="1" customWidth="1"/>
    <col min="7" max="8" width="16.140625" style="168" bestFit="1" customWidth="1"/>
    <col min="9" max="9" width="15.140625" style="168" bestFit="1" customWidth="1"/>
    <col min="10" max="16384" width="9.140625" style="168"/>
  </cols>
  <sheetData>
    <row r="1" spans="1:52" s="1" customFormat="1" x14ac:dyDescent="0.2">
      <c r="A1" s="46" t="s">
        <v>118</v>
      </c>
      <c r="B1" s="47" t="s">
        <v>119</v>
      </c>
      <c r="C1" s="47" t="s">
        <v>120</v>
      </c>
      <c r="D1" s="47" t="s">
        <v>121</v>
      </c>
      <c r="E1" s="47" t="s">
        <v>122</v>
      </c>
      <c r="F1" s="46" t="s">
        <v>125</v>
      </c>
      <c r="G1" s="45" t="s">
        <v>126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</row>
    <row r="2" spans="1:52" s="1" customFormat="1" x14ac:dyDescent="0.2">
      <c r="A2" s="160">
        <f t="array" ref="A2:A202">_xll.qlScheduleDates(CCSPricing!D24)</f>
        <v>41949</v>
      </c>
      <c r="B2" s="161">
        <f>_xll.qlCalendarAdjust(DomesticPaymentCalendar,A2)</f>
        <v>41949</v>
      </c>
      <c r="C2" s="162">
        <f t="array" ref="C2:C202">_xll.qlYieldTSDiscount(ForeignDiscountCurve,B2:B202)</f>
        <v>1</v>
      </c>
      <c r="D2" s="162">
        <f t="array" ref="D2:D202">_xll.qlYieldTSDiscount(DomesticDiscountCurve,B2:B202)</f>
        <v>1</v>
      </c>
      <c r="E2" s="163">
        <f t="shared" ref="E2:E65" si="0">SpotExchangeValue*(C2/D2)^(-1/DomesticUnitFx)</f>
        <v>6.1234000000000002</v>
      </c>
      <c r="F2" s="151">
        <f t="shared" ref="F2:F33" si="1">-G3</f>
        <v>-163307.96616258941</v>
      </c>
      <c r="G2" s="16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</row>
    <row r="3" spans="1:52" s="1" customFormat="1" x14ac:dyDescent="0.2">
      <c r="A3" s="109">
        <v>42041</v>
      </c>
      <c r="B3" s="110">
        <f>_xll.qlCalendarAdjust(DomesticPaymentCalendar,A3)</f>
        <v>42041</v>
      </c>
      <c r="C3" s="164">
        <v>0.99213154540393911</v>
      </c>
      <c r="D3" s="164">
        <v>0.99975728114954454</v>
      </c>
      <c r="E3" s="165">
        <f t="shared" si="0"/>
        <v>6.1704657651003618</v>
      </c>
      <c r="F3" s="81">
        <f t="shared" si="1"/>
        <v>-163307.96616258941</v>
      </c>
      <c r="G3" s="180">
        <f>ForeignNotional/$E$2^DomesticUnitFx</f>
        <v>163307.96616258941</v>
      </c>
      <c r="H3" s="170"/>
      <c r="I3" s="170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</row>
    <row r="4" spans="1:52" s="1" customFormat="1" x14ac:dyDescent="0.2">
      <c r="A4" s="109">
        <v>42130</v>
      </c>
      <c r="B4" s="110">
        <f>_xll.qlCalendarAdjust(DomesticPaymentCalendar,A4)</f>
        <v>42130</v>
      </c>
      <c r="C4" s="164">
        <v>0.9857288862245005</v>
      </c>
      <c r="D4" s="164">
        <v>0.99949747488068519</v>
      </c>
      <c r="E4" s="165">
        <f t="shared" si="0"/>
        <v>6.2089312012821338</v>
      </c>
      <c r="F4" s="81">
        <f t="shared" si="1"/>
        <v>-163307.96616258941</v>
      </c>
      <c r="G4" s="22">
        <f>IF(DomesticRenotioningFlag,ForeignNotional/E3^DomesticUnitFx,G3)</f>
        <v>163307.96616258941</v>
      </c>
      <c r="H4" s="170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</row>
    <row r="5" spans="1:52" s="1" customFormat="1" x14ac:dyDescent="0.2">
      <c r="A5" s="109">
        <v>42222</v>
      </c>
      <c r="B5" s="110">
        <f>_xll.qlCalendarAdjust(DomesticPaymentCalendar,A5)</f>
        <v>42222</v>
      </c>
      <c r="C5" s="164">
        <v>0.97976584508920062</v>
      </c>
      <c r="D5" s="164">
        <v>0.99903784330374501</v>
      </c>
      <c r="E5" s="165">
        <f t="shared" si="0"/>
        <v>6.2438473032596855</v>
      </c>
      <c r="F5" s="81">
        <f t="shared" si="1"/>
        <v>-163307.96616258941</v>
      </c>
      <c r="G5" s="22">
        <f>IF(DomesticRenotioningFlag,ForeignNotional/E4^DomesticUnitFx,G4)</f>
        <v>163307.96616258941</v>
      </c>
      <c r="H5" s="170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</row>
    <row r="6" spans="1:52" s="1" customFormat="1" x14ac:dyDescent="0.2">
      <c r="A6" s="109">
        <v>42314</v>
      </c>
      <c r="B6" s="110">
        <f>_xll.qlCalendarAdjust(DomesticPaymentCalendar,A6)</f>
        <v>42314</v>
      </c>
      <c r="C6" s="164">
        <v>0.97431707310981575</v>
      </c>
      <c r="D6" s="164">
        <v>0.99817832455768207</v>
      </c>
      <c r="E6" s="165">
        <f t="shared" si="0"/>
        <v>6.2733634884252885</v>
      </c>
      <c r="F6" s="81">
        <f t="shared" si="1"/>
        <v>-163307.96616258941</v>
      </c>
      <c r="G6" s="22">
        <f>IF(DomesticRenotioningFlag,ForeignNotional/E5^DomesticUnitFx,G5)</f>
        <v>163307.96616258941</v>
      </c>
      <c r="H6" s="170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</row>
    <row r="7" spans="1:52" s="1" customFormat="1" x14ac:dyDescent="0.2">
      <c r="A7" s="109">
        <v>42408</v>
      </c>
      <c r="B7" s="110">
        <f>_xll.qlCalendarAdjust(DomesticPaymentCalendar,A7)</f>
        <v>42408</v>
      </c>
      <c r="C7" s="164">
        <v>0.96892842216086861</v>
      </c>
      <c r="D7" s="164">
        <v>0.99673019095375004</v>
      </c>
      <c r="E7" s="165">
        <f t="shared" si="0"/>
        <v>6.2991006473673918</v>
      </c>
      <c r="F7" s="81">
        <f t="shared" si="1"/>
        <v>-163307.96616258941</v>
      </c>
      <c r="G7" s="22">
        <f>IF(DomesticRenotioningFlag,ForeignNotional/E6^DomesticUnitFx,G6)</f>
        <v>163307.96616258941</v>
      </c>
      <c r="H7" s="170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</row>
    <row r="8" spans="1:52" s="1" customFormat="1" x14ac:dyDescent="0.2">
      <c r="A8" s="109">
        <v>42496</v>
      </c>
      <c r="B8" s="110">
        <f>_xll.qlCalendarAdjust(DomesticPaymentCalendar,A8)</f>
        <v>42496</v>
      </c>
      <c r="C8" s="164">
        <v>0.96327737331318908</v>
      </c>
      <c r="D8" s="164">
        <v>0.99483389870590133</v>
      </c>
      <c r="E8" s="165">
        <f t="shared" si="0"/>
        <v>6.3239997783640547</v>
      </c>
      <c r="F8" s="81">
        <f t="shared" si="1"/>
        <v>-163307.96616258941</v>
      </c>
      <c r="G8" s="22">
        <f>IF(DomesticRenotioningFlag,ForeignNotional/E7^DomesticUnitFx,G7)</f>
        <v>163307.96616258941</v>
      </c>
      <c r="H8" s="170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</row>
    <row r="9" spans="1:52" s="1" customFormat="1" x14ac:dyDescent="0.2">
      <c r="A9" s="109">
        <v>42590</v>
      </c>
      <c r="B9" s="110">
        <f>_xll.qlCalendarAdjust(DomesticPaymentCalendar,A9)</f>
        <v>42590</v>
      </c>
      <c r="C9" s="164">
        <v>0.95684856230476489</v>
      </c>
      <c r="D9" s="164">
        <v>0.99219999427143657</v>
      </c>
      <c r="E9" s="165">
        <f t="shared" si="0"/>
        <v>6.3496332484288871</v>
      </c>
      <c r="F9" s="81">
        <f t="shared" si="1"/>
        <v>-163307.96616258941</v>
      </c>
      <c r="G9" s="22">
        <f>IF(DomesticRenotioningFlag,ForeignNotional/E8^DomesticUnitFx,G8)</f>
        <v>163307.96616258941</v>
      </c>
      <c r="H9" s="170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</row>
    <row r="10" spans="1:52" s="1" customFormat="1" x14ac:dyDescent="0.2">
      <c r="A10" s="109">
        <v>42681</v>
      </c>
      <c r="B10" s="110">
        <f>_xll.qlCalendarAdjust(DomesticPaymentCalendar,A10)</f>
        <v>42681</v>
      </c>
      <c r="C10" s="164">
        <v>0.95051621104251394</v>
      </c>
      <c r="D10" s="164">
        <v>0.98911012627525718</v>
      </c>
      <c r="E10" s="165">
        <f t="shared" si="0"/>
        <v>6.3720290899520604</v>
      </c>
      <c r="F10" s="81">
        <f t="shared" si="1"/>
        <v>-163307.96616258941</v>
      </c>
      <c r="G10" s="22">
        <f>IF(DomesticRenotioningFlag,ForeignNotional/E9^DomesticUnitFx,G9)</f>
        <v>163307.96616258941</v>
      </c>
      <c r="H10" s="170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</row>
    <row r="11" spans="1:52" s="1" customFormat="1" x14ac:dyDescent="0.2">
      <c r="A11" s="109">
        <v>42772</v>
      </c>
      <c r="B11" s="110">
        <f>_xll.qlCalendarAdjust(DomesticPaymentCalendar,A11)</f>
        <v>42772</v>
      </c>
      <c r="C11" s="164">
        <v>0.94429157458451574</v>
      </c>
      <c r="D11" s="164">
        <v>0.98546017878578196</v>
      </c>
      <c r="E11" s="165">
        <f t="shared" si="0"/>
        <v>6.3903639735766502</v>
      </c>
      <c r="F11" s="81">
        <f t="shared" si="1"/>
        <v>-163307.96616258941</v>
      </c>
      <c r="G11" s="22">
        <f>IF(DomesticRenotioningFlag,ForeignNotional/E10^DomesticUnitFx,G10)</f>
        <v>163307.96616258941</v>
      </c>
      <c r="H11" s="170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</row>
    <row r="12" spans="1:52" s="1" customFormat="1" x14ac:dyDescent="0.2">
      <c r="A12" s="109">
        <v>42863</v>
      </c>
      <c r="B12" s="110">
        <f>_xll.qlCalendarAdjust(DomesticPaymentCalendar,A12)</f>
        <v>42863</v>
      </c>
      <c r="C12" s="164">
        <v>0.9381331453308317</v>
      </c>
      <c r="D12" s="164">
        <v>0.981273192596402</v>
      </c>
      <c r="E12" s="165">
        <f t="shared" si="0"/>
        <v>6.404984513606367</v>
      </c>
      <c r="F12" s="81">
        <f t="shared" si="1"/>
        <v>-163307.96616258941</v>
      </c>
      <c r="G12" s="22">
        <f>IF(DomesticRenotioningFlag,ForeignNotional/E11^DomesticUnitFx,G11)</f>
        <v>163307.96616258941</v>
      </c>
      <c r="H12" s="170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</row>
    <row r="13" spans="1:52" s="1" customFormat="1" x14ac:dyDescent="0.2">
      <c r="A13" s="109">
        <v>42954</v>
      </c>
      <c r="B13" s="110">
        <f>_xll.qlCalendarAdjust(DomesticPaymentCalendar,A13)</f>
        <v>42954</v>
      </c>
      <c r="C13" s="164">
        <v>0.93193899087895316</v>
      </c>
      <c r="D13" s="164">
        <v>0.97664815557166806</v>
      </c>
      <c r="E13" s="165">
        <f t="shared" si="0"/>
        <v>6.4171661174806776</v>
      </c>
      <c r="F13" s="81">
        <f t="shared" si="1"/>
        <v>-163307.96616258941</v>
      </c>
      <c r="G13" s="22">
        <f>IF(DomesticRenotioningFlag,ForeignNotional/E12^DomesticUnitFx,G12)</f>
        <v>163307.96616258941</v>
      </c>
      <c r="H13" s="170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</row>
    <row r="14" spans="1:52" s="1" customFormat="1" x14ac:dyDescent="0.2">
      <c r="A14" s="109">
        <v>43045</v>
      </c>
      <c r="B14" s="110">
        <f>_xll.qlCalendarAdjust(DomesticPaymentCalendar,A14)</f>
        <v>43045</v>
      </c>
      <c r="C14" s="164">
        <v>0.92560987191713884</v>
      </c>
      <c r="D14" s="164">
        <v>0.97168299055811724</v>
      </c>
      <c r="E14" s="165">
        <f t="shared" si="0"/>
        <v>6.4281981047369641</v>
      </c>
      <c r="F14" s="81">
        <f t="shared" si="1"/>
        <v>-163307.96616258941</v>
      </c>
      <c r="G14" s="22">
        <f>IF(DomesticRenotioningFlag,ForeignNotional/E13^DomesticUnitFx,G13)</f>
        <v>163307.96616258941</v>
      </c>
      <c r="H14" s="170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</row>
    <row r="15" spans="1:52" s="1" customFormat="1" x14ac:dyDescent="0.2">
      <c r="A15" s="109">
        <v>43137</v>
      </c>
      <c r="B15" s="110">
        <f>_xll.qlCalendarAdjust(DomesticPaymentCalendar,A15)</f>
        <v>43137</v>
      </c>
      <c r="C15" s="164">
        <v>0.91900056839603073</v>
      </c>
      <c r="D15" s="164">
        <v>0.96640377106196806</v>
      </c>
      <c r="E15" s="165">
        <f t="shared" si="0"/>
        <v>6.4392526568827035</v>
      </c>
      <c r="F15" s="81">
        <f t="shared" si="1"/>
        <v>-163307.96616258941</v>
      </c>
      <c r="G15" s="22">
        <f>IF(DomesticRenotioningFlag,ForeignNotional/E14^DomesticUnitFx,G14)</f>
        <v>163307.96616258941</v>
      </c>
      <c r="H15" s="170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</row>
    <row r="16" spans="1:52" s="1" customFormat="1" x14ac:dyDescent="0.2">
      <c r="A16" s="109">
        <v>43227</v>
      </c>
      <c r="B16" s="110">
        <f>_xll.qlCalendarAdjust(DomesticPaymentCalendar,A16)</f>
        <v>43227</v>
      </c>
      <c r="C16" s="164">
        <v>0.91235576405962382</v>
      </c>
      <c r="D16" s="164">
        <v>0.96102279006895686</v>
      </c>
      <c r="E16" s="165">
        <f t="shared" si="0"/>
        <v>6.450035374932618</v>
      </c>
      <c r="F16" s="81">
        <f t="shared" si="1"/>
        <v>-163307.96616258941</v>
      </c>
      <c r="G16" s="22">
        <f>IF(DomesticRenotioningFlag,ForeignNotional/E15^DomesticUnitFx,G15)</f>
        <v>163307.96616258941</v>
      </c>
      <c r="H16" s="170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</row>
    <row r="17" spans="1:52" s="1" customFormat="1" x14ac:dyDescent="0.2">
      <c r="A17" s="109">
        <v>43318</v>
      </c>
      <c r="B17" s="110">
        <f>_xll.qlCalendarAdjust(DomesticPaymentCalendar,A17)</f>
        <v>43318</v>
      </c>
      <c r="C17" s="164">
        <v>0.90550588256938103</v>
      </c>
      <c r="D17" s="164">
        <v>0.95538835613717765</v>
      </c>
      <c r="E17" s="165">
        <f t="shared" si="0"/>
        <v>6.46072562595654</v>
      </c>
      <c r="F17" s="81">
        <f t="shared" si="1"/>
        <v>-163307.96616258941</v>
      </c>
      <c r="G17" s="22">
        <f>IF(DomesticRenotioningFlag,ForeignNotional/E16^DomesticUnitFx,G16)</f>
        <v>163307.96616258941</v>
      </c>
      <c r="H17" s="170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</row>
    <row r="18" spans="1:52" s="1" customFormat="1" x14ac:dyDescent="0.2">
      <c r="A18" s="109">
        <v>43410</v>
      </c>
      <c r="B18" s="110">
        <f>_xll.qlCalendarAdjust(DomesticPaymentCalendar,A18)</f>
        <v>43410</v>
      </c>
      <c r="C18" s="164">
        <v>0.89849528287731772</v>
      </c>
      <c r="D18" s="164">
        <v>0.94951829073559368</v>
      </c>
      <c r="E18" s="165">
        <f t="shared" si="0"/>
        <v>6.4711305805310806</v>
      </c>
      <c r="F18" s="81">
        <f t="shared" si="1"/>
        <v>-163307.96616258941</v>
      </c>
      <c r="G18" s="22">
        <f>IF(DomesticRenotioningFlag,ForeignNotional/E17^DomesticUnitFx,G17)</f>
        <v>163307.96616258941</v>
      </c>
      <c r="H18" s="170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</row>
    <row r="19" spans="1:52" s="1" customFormat="1" x14ac:dyDescent="0.2">
      <c r="A19" s="109">
        <v>43502</v>
      </c>
      <c r="B19" s="110">
        <f>_xll.qlCalendarAdjust(DomesticPaymentCalendar,A19)</f>
        <v>43502</v>
      </c>
      <c r="C19" s="164">
        <v>0.8914430485894459</v>
      </c>
      <c r="D19" s="164">
        <v>0.94349853351050939</v>
      </c>
      <c r="E19" s="165">
        <f t="shared" si="0"/>
        <v>6.480973663140924</v>
      </c>
      <c r="F19" s="81">
        <f t="shared" si="1"/>
        <v>-163307.96616258941</v>
      </c>
      <c r="G19" s="22">
        <f>IF(DomesticRenotioningFlag,ForeignNotional/E18^DomesticUnitFx,G18)</f>
        <v>163307.96616258941</v>
      </c>
      <c r="H19" s="170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</row>
    <row r="20" spans="1:52" s="1" customFormat="1" x14ac:dyDescent="0.2">
      <c r="A20" s="109">
        <v>43591</v>
      </c>
      <c r="B20" s="110">
        <f>_xll.qlCalendarAdjust(DomesticPaymentCalendar,A20)</f>
        <v>43591</v>
      </c>
      <c r="C20" s="164">
        <v>0.8846080748412849</v>
      </c>
      <c r="D20" s="164">
        <v>0.93755885527053229</v>
      </c>
      <c r="E20" s="165">
        <f t="shared" si="0"/>
        <v>6.4899338561810298</v>
      </c>
      <c r="F20" s="81">
        <f t="shared" si="1"/>
        <v>-163307.96616258941</v>
      </c>
      <c r="G20" s="22">
        <f>IF(DomesticRenotioningFlag,ForeignNotional/E19^DomesticUnitFx,G19)</f>
        <v>163307.96616258941</v>
      </c>
      <c r="H20" s="170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</row>
    <row r="21" spans="1:52" s="1" customFormat="1" x14ac:dyDescent="0.2">
      <c r="A21" s="109">
        <v>43683</v>
      </c>
      <c r="B21" s="110">
        <f>_xll.qlCalendarAdjust(DomesticPaymentCalendar,A21)</f>
        <v>43683</v>
      </c>
      <c r="C21" s="164">
        <v>0.87755300995711316</v>
      </c>
      <c r="D21" s="164">
        <v>0.93132617553487373</v>
      </c>
      <c r="E21" s="165">
        <f t="shared" si="0"/>
        <v>6.498619044733208</v>
      </c>
      <c r="F21" s="81">
        <f t="shared" si="1"/>
        <v>-163307.96616258941</v>
      </c>
      <c r="G21" s="22">
        <f>IF(DomesticRenotioningFlag,ForeignNotional/E20^DomesticUnitFx,G20)</f>
        <v>163307.96616258941</v>
      </c>
      <c r="H21" s="170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</row>
    <row r="22" spans="1:52" s="1" customFormat="1" x14ac:dyDescent="0.2">
      <c r="A22" s="109">
        <v>43775</v>
      </c>
      <c r="B22" s="110">
        <f>_xll.qlCalendarAdjust(DomesticPaymentCalendar,A22)</f>
        <v>43775</v>
      </c>
      <c r="C22" s="164">
        <v>0.87053150994509654</v>
      </c>
      <c r="D22" s="164">
        <v>0.92502633856156313</v>
      </c>
      <c r="E22" s="165">
        <f t="shared" si="0"/>
        <v>6.506721717523031</v>
      </c>
      <c r="F22" s="81">
        <f t="shared" si="1"/>
        <v>-163307.96616258941</v>
      </c>
      <c r="G22" s="22">
        <f>IF(DomesticRenotioningFlag,ForeignNotional/E21^DomesticUnitFx,G21)</f>
        <v>163307.96616258941</v>
      </c>
      <c r="H22" s="170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</row>
    <row r="23" spans="1:52" s="1" customFormat="1" x14ac:dyDescent="0.2">
      <c r="A23" s="109">
        <v>43867</v>
      </c>
      <c r="B23" s="110">
        <f>_xll.qlCalendarAdjust(DomesticPaymentCalendar,A23)</f>
        <v>43867</v>
      </c>
      <c r="C23" s="164" t="e">
        <v>#NUM!</v>
      </c>
      <c r="D23" s="164">
        <v>0.91868230898742509</v>
      </c>
      <c r="E23" s="165" t="e">
        <f t="shared" si="0"/>
        <v>#NUM!</v>
      </c>
      <c r="F23" s="81">
        <f t="shared" si="1"/>
        <v>-163307.96616258941</v>
      </c>
      <c r="G23" s="22">
        <f>IF(DomesticRenotioningFlag,ForeignNotional/E22^DomesticUnitFx,G22)</f>
        <v>163307.96616258941</v>
      </c>
      <c r="H23" s="170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</row>
    <row r="24" spans="1:52" s="1" customFormat="1" x14ac:dyDescent="0.2">
      <c r="A24" s="109">
        <v>43957</v>
      </c>
      <c r="B24" s="110">
        <f>_xll.qlCalendarAdjust(DomesticPaymentCalendar,A24)</f>
        <v>43957</v>
      </c>
      <c r="C24" s="164" t="e">
        <v>#NUM!</v>
      </c>
      <c r="D24" s="164">
        <v>0.91244031163528538</v>
      </c>
      <c r="E24" s="165" t="e">
        <f t="shared" si="0"/>
        <v>#NUM!</v>
      </c>
      <c r="F24" s="81">
        <f t="shared" si="1"/>
        <v>-163307.96616258941</v>
      </c>
      <c r="G24" s="22">
        <f>IF(DomesticRenotioningFlag,ForeignNotional/E23^DomesticUnitFx,G23)</f>
        <v>163307.96616258941</v>
      </c>
      <c r="H24" s="170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</row>
    <row r="25" spans="1:52" s="1" customFormat="1" x14ac:dyDescent="0.2">
      <c r="A25" s="109">
        <v>44049</v>
      </c>
      <c r="B25" s="110">
        <f>_xll.qlCalendarAdjust(DomesticPaymentCalendar,A25)</f>
        <v>44049</v>
      </c>
      <c r="C25" s="164" t="e">
        <v>#NUM!</v>
      </c>
      <c r="D25" s="164">
        <v>0.9060260576163488</v>
      </c>
      <c r="E25" s="165" t="e">
        <f t="shared" si="0"/>
        <v>#NUM!</v>
      </c>
      <c r="F25" s="81">
        <f t="shared" si="1"/>
        <v>-163307.96616258941</v>
      </c>
      <c r="G25" s="22">
        <f>IF(DomesticRenotioningFlag,ForeignNotional/E24^DomesticUnitFx,G24)</f>
        <v>163307.96616258941</v>
      </c>
      <c r="H25" s="170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</row>
    <row r="26" spans="1:52" s="1" customFormat="1" x14ac:dyDescent="0.2">
      <c r="A26" s="109">
        <v>44141</v>
      </c>
      <c r="B26" s="110">
        <f>_xll.qlCalendarAdjust(DomesticPaymentCalendar,A26)</f>
        <v>44141</v>
      </c>
      <c r="C26" s="164" t="e">
        <v>#NUM!</v>
      </c>
      <c r="D26" s="164">
        <v>0.89958100590518164</v>
      </c>
      <c r="E26" s="165" t="e">
        <f t="shared" si="0"/>
        <v>#NUM!</v>
      </c>
      <c r="F26" s="81">
        <f t="shared" si="1"/>
        <v>-163307.96616258941</v>
      </c>
      <c r="G26" s="22">
        <f>IF(DomesticRenotioningFlag,ForeignNotional/E25^DomesticUnitFx,G25)</f>
        <v>163307.96616258941</v>
      </c>
      <c r="H26" s="170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</row>
    <row r="27" spans="1:52" s="1" customFormat="1" x14ac:dyDescent="0.2">
      <c r="A27" s="109">
        <v>44235</v>
      </c>
      <c r="B27" s="110">
        <f>_xll.qlCalendarAdjust(DomesticPaymentCalendar,A27)</f>
        <v>44235</v>
      </c>
      <c r="C27" s="164" t="e">
        <v>#NUM!</v>
      </c>
      <c r="D27" s="164">
        <v>0.89296811546704857</v>
      </c>
      <c r="E27" s="165" t="e">
        <f t="shared" si="0"/>
        <v>#NUM!</v>
      </c>
      <c r="F27" s="81">
        <f t="shared" si="1"/>
        <v>-163307.96616258941</v>
      </c>
      <c r="G27" s="22">
        <f>IF(DomesticRenotioningFlag,ForeignNotional/E26^DomesticUnitFx,G26)</f>
        <v>163307.96616258941</v>
      </c>
      <c r="H27" s="170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</row>
    <row r="28" spans="1:52" s="1" customFormat="1" x14ac:dyDescent="0.2">
      <c r="A28" s="109">
        <v>44322</v>
      </c>
      <c r="B28" s="110">
        <f>_xll.qlCalendarAdjust(DomesticPaymentCalendar,A28)</f>
        <v>44322</v>
      </c>
      <c r="C28" s="164" t="e">
        <v>#NUM!</v>
      </c>
      <c r="D28" s="164">
        <v>0.88682919807645599</v>
      </c>
      <c r="E28" s="165" t="e">
        <f t="shared" si="0"/>
        <v>#NUM!</v>
      </c>
      <c r="F28" s="81">
        <f t="shared" si="1"/>
        <v>-163307.96616258941</v>
      </c>
      <c r="G28" s="22">
        <f>IF(DomesticRenotioningFlag,ForeignNotional/E27^DomesticUnitFx,G27)</f>
        <v>163307.96616258941</v>
      </c>
      <c r="H28" s="170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</row>
    <row r="29" spans="1:52" s="1" customFormat="1" x14ac:dyDescent="0.2">
      <c r="A29" s="109">
        <v>44414</v>
      </c>
      <c r="B29" s="110">
        <f>_xll.qlCalendarAdjust(DomesticPaymentCalendar,A29)</f>
        <v>44414</v>
      </c>
      <c r="C29" s="164" t="e">
        <v>#NUM!</v>
      </c>
      <c r="D29" s="164">
        <v>0.8803255500265057</v>
      </c>
      <c r="E29" s="165" t="e">
        <f t="shared" si="0"/>
        <v>#NUM!</v>
      </c>
      <c r="F29" s="81">
        <f t="shared" si="1"/>
        <v>-163307.96616258941</v>
      </c>
      <c r="G29" s="22">
        <f>IF(DomesticRenotioningFlag,ForeignNotional/E28^DomesticUnitFx,G28)</f>
        <v>163307.96616258941</v>
      </c>
      <c r="H29" s="170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</row>
    <row r="30" spans="1:52" s="1" customFormat="1" x14ac:dyDescent="0.2">
      <c r="A30" s="109">
        <v>44508</v>
      </c>
      <c r="B30" s="110">
        <f>_xll.qlCalendarAdjust(DomesticPaymentCalendar,A30)</f>
        <v>44508</v>
      </c>
      <c r="C30" s="164" t="e">
        <v>#NUM!</v>
      </c>
      <c r="D30" s="164">
        <v>0.87367552069547116</v>
      </c>
      <c r="E30" s="165" t="e">
        <f t="shared" si="0"/>
        <v>#NUM!</v>
      </c>
      <c r="F30" s="81">
        <f t="shared" si="1"/>
        <v>-163307.96616258941</v>
      </c>
      <c r="G30" s="22">
        <f>IF(DomesticRenotioningFlag,ForeignNotional/E29^DomesticUnitFx,G29)</f>
        <v>163307.96616258941</v>
      </c>
      <c r="H30" s="170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</row>
    <row r="31" spans="1:52" s="1" customFormat="1" x14ac:dyDescent="0.2">
      <c r="A31" s="109">
        <v>44599</v>
      </c>
      <c r="B31" s="110">
        <f>_xll.qlCalendarAdjust(DomesticPaymentCalendar,A31)</f>
        <v>44599</v>
      </c>
      <c r="C31" s="164" t="e">
        <v>#NUM!</v>
      </c>
      <c r="D31" s="164">
        <v>0.86723869387622077</v>
      </c>
      <c r="E31" s="165" t="e">
        <f t="shared" si="0"/>
        <v>#NUM!</v>
      </c>
      <c r="F31" s="81">
        <f t="shared" si="1"/>
        <v>-163307.96616258941</v>
      </c>
      <c r="G31" s="22">
        <f>IF(DomesticRenotioningFlag,ForeignNotional/E30^DomesticUnitFx,G30)</f>
        <v>163307.96616258941</v>
      </c>
      <c r="H31" s="170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</row>
    <row r="32" spans="1:52" s="1" customFormat="1" x14ac:dyDescent="0.2">
      <c r="A32" s="109">
        <v>44687</v>
      </c>
      <c r="B32" s="110">
        <f>_xll.qlCalendarAdjust(DomesticPaymentCalendar,A32)</f>
        <v>44687</v>
      </c>
      <c r="C32" s="164" t="e">
        <v>#NUM!</v>
      </c>
      <c r="D32" s="164">
        <v>0.8610145102404152</v>
      </c>
      <c r="E32" s="165" t="e">
        <f t="shared" si="0"/>
        <v>#NUM!</v>
      </c>
      <c r="F32" s="81">
        <f t="shared" si="1"/>
        <v>-163307.96616258941</v>
      </c>
      <c r="G32" s="22">
        <f>IF(DomesticRenotioningFlag,ForeignNotional/E31^DomesticUnitFx,G31)</f>
        <v>163307.96616258941</v>
      </c>
      <c r="H32" s="170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</row>
    <row r="33" spans="1:52" s="1" customFormat="1" x14ac:dyDescent="0.2">
      <c r="A33" s="109">
        <v>44781</v>
      </c>
      <c r="B33" s="110">
        <f>_xll.qlCalendarAdjust(DomesticPaymentCalendar,A33)</f>
        <v>44781</v>
      </c>
      <c r="C33" s="164" t="e">
        <v>#NUM!</v>
      </c>
      <c r="D33" s="164">
        <v>0.85436434725032928</v>
      </c>
      <c r="E33" s="165" t="e">
        <f t="shared" si="0"/>
        <v>#NUM!</v>
      </c>
      <c r="F33" s="81">
        <f t="shared" si="1"/>
        <v>-163307.96616258941</v>
      </c>
      <c r="G33" s="22">
        <f>IF(DomesticRenotioningFlag,ForeignNotional/E32^DomesticUnitFx,G32)</f>
        <v>163307.96616258941</v>
      </c>
      <c r="H33" s="170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</row>
    <row r="34" spans="1:52" s="1" customFormat="1" x14ac:dyDescent="0.2">
      <c r="A34" s="109">
        <v>44872</v>
      </c>
      <c r="B34" s="110">
        <f>_xll.qlCalendarAdjust(DomesticPaymentCalendar,A34)</f>
        <v>44872</v>
      </c>
      <c r="C34" s="164" t="e">
        <v>#NUM!</v>
      </c>
      <c r="D34" s="164">
        <v>0.84792287550153922</v>
      </c>
      <c r="E34" s="165" t="e">
        <f t="shared" si="0"/>
        <v>#NUM!</v>
      </c>
      <c r="F34" s="81">
        <f t="shared" ref="F34:F65" si="2">-G35</f>
        <v>-163307.96616258941</v>
      </c>
      <c r="G34" s="22">
        <f>IF(DomesticRenotioningFlag,ForeignNotional/E33^DomesticUnitFx,G33)</f>
        <v>163307.96616258941</v>
      </c>
      <c r="H34" s="170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</row>
    <row r="35" spans="1:52" s="1" customFormat="1" x14ac:dyDescent="0.2">
      <c r="A35" s="109">
        <v>44963</v>
      </c>
      <c r="B35" s="110">
        <f>_xll.qlCalendarAdjust(DomesticPaymentCalendar,A35)</f>
        <v>44963</v>
      </c>
      <c r="C35" s="164" t="e">
        <v>#NUM!</v>
      </c>
      <c r="D35" s="164">
        <v>0.84147829329488699</v>
      </c>
      <c r="E35" s="165" t="e">
        <f t="shared" si="0"/>
        <v>#NUM!</v>
      </c>
      <c r="F35" s="81">
        <f t="shared" si="2"/>
        <v>-163307.96616258941</v>
      </c>
      <c r="G35" s="22">
        <f>IF(DomesticRenotioningFlag,ForeignNotional/E34^DomesticUnitFx,G34)</f>
        <v>163307.96616258941</v>
      </c>
      <c r="H35" s="170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</row>
    <row r="36" spans="1:52" s="1" customFormat="1" x14ac:dyDescent="0.2">
      <c r="A36" s="109">
        <v>45054</v>
      </c>
      <c r="B36" s="110">
        <f>_xll.qlCalendarAdjust(DomesticPaymentCalendar,A36)</f>
        <v>45054</v>
      </c>
      <c r="C36" s="164" t="e">
        <v>#NUM!</v>
      </c>
      <c r="D36" s="164">
        <v>0.83503998989278383</v>
      </c>
      <c r="E36" s="165" t="e">
        <f t="shared" si="0"/>
        <v>#NUM!</v>
      </c>
      <c r="F36" s="81">
        <f t="shared" si="2"/>
        <v>-163307.96616258941</v>
      </c>
      <c r="G36" s="22">
        <f>IF(DomesticRenotioningFlag,ForeignNotional/E35^DomesticUnitFx,G35)</f>
        <v>163307.96616258941</v>
      </c>
      <c r="H36" s="170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</row>
    <row r="37" spans="1:52" s="1" customFormat="1" x14ac:dyDescent="0.2">
      <c r="A37" s="109">
        <v>45145</v>
      </c>
      <c r="B37" s="110">
        <f>_xll.qlCalendarAdjust(DomesticPaymentCalendar,A37)</f>
        <v>45145</v>
      </c>
      <c r="C37" s="164" t="e">
        <v>#NUM!</v>
      </c>
      <c r="D37" s="164">
        <v>0.82861931243648534</v>
      </c>
      <c r="E37" s="165" t="e">
        <f t="shared" si="0"/>
        <v>#NUM!</v>
      </c>
      <c r="F37" s="81">
        <f t="shared" si="2"/>
        <v>-163307.96616258941</v>
      </c>
      <c r="G37" s="22">
        <f>IF(DomesticRenotioningFlag,ForeignNotional/E36^DomesticUnitFx,G36)</f>
        <v>163307.96616258941</v>
      </c>
      <c r="H37" s="170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</row>
    <row r="38" spans="1:52" s="1" customFormat="1" x14ac:dyDescent="0.2">
      <c r="A38" s="109">
        <v>45236</v>
      </c>
      <c r="B38" s="110">
        <f>_xll.qlCalendarAdjust(DomesticPaymentCalendar,A38)</f>
        <v>45236</v>
      </c>
      <c r="C38" s="164" t="e">
        <v>#NUM!</v>
      </c>
      <c r="D38" s="164">
        <v>0.82222727014583441</v>
      </c>
      <c r="E38" s="165" t="e">
        <f t="shared" si="0"/>
        <v>#NUM!</v>
      </c>
      <c r="F38" s="81">
        <f t="shared" si="2"/>
        <v>-163307.96616258941</v>
      </c>
      <c r="G38" s="22">
        <f>IF(DomesticRenotioningFlag,ForeignNotional/E37^DomesticUnitFx,G37)</f>
        <v>163307.96616258941</v>
      </c>
      <c r="H38" s="170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</row>
    <row r="39" spans="1:52" s="1" customFormat="1" x14ac:dyDescent="0.2">
      <c r="A39" s="109">
        <v>45328</v>
      </c>
      <c r="B39" s="110">
        <f>_xll.qlCalendarAdjust(DomesticPaymentCalendar,A39)</f>
        <v>45328</v>
      </c>
      <c r="C39" s="164" t="e">
        <v>#NUM!</v>
      </c>
      <c r="D39" s="164">
        <v>0.81580127997451812</v>
      </c>
      <c r="E39" s="165" t="e">
        <f t="shared" si="0"/>
        <v>#NUM!</v>
      </c>
      <c r="F39" s="81">
        <f t="shared" si="2"/>
        <v>-163307.96616258941</v>
      </c>
      <c r="G39" s="22">
        <f>IF(DomesticRenotioningFlag,ForeignNotional/E38^DomesticUnitFx,G38)</f>
        <v>163307.96616258941</v>
      </c>
      <c r="H39" s="170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</row>
    <row r="40" spans="1:52" s="1" customFormat="1" x14ac:dyDescent="0.2">
      <c r="A40" s="109">
        <v>45418</v>
      </c>
      <c r="B40" s="110">
        <f>_xll.qlCalendarAdjust(DomesticPaymentCalendar,A40)</f>
        <v>45418</v>
      </c>
      <c r="C40" s="164" t="e">
        <v>#NUM!</v>
      </c>
      <c r="D40" s="164">
        <v>0.80954299902994964</v>
      </c>
      <c r="E40" s="165" t="e">
        <f t="shared" si="0"/>
        <v>#NUM!</v>
      </c>
      <c r="F40" s="81">
        <f t="shared" si="2"/>
        <v>-163307.96616258941</v>
      </c>
      <c r="G40" s="22">
        <f>IF(DomesticRenotioningFlag,ForeignNotional/E39^DomesticUnitFx,G39)</f>
        <v>163307.96616258941</v>
      </c>
      <c r="H40" s="170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</row>
    <row r="41" spans="1:52" s="1" customFormat="1" x14ac:dyDescent="0.2">
      <c r="A41" s="109">
        <v>45510</v>
      </c>
      <c r="B41" s="110">
        <f>_xll.qlCalendarAdjust(DomesticPaymentCalendar,A41)</f>
        <v>45510</v>
      </c>
      <c r="C41" s="164" t="e">
        <v>#NUM!</v>
      </c>
      <c r="D41" s="164">
        <v>0.80316346313625098</v>
      </c>
      <c r="E41" s="165" t="e">
        <f t="shared" si="0"/>
        <v>#NUM!</v>
      </c>
      <c r="F41" s="81">
        <f t="shared" si="2"/>
        <v>-163307.96616258941</v>
      </c>
      <c r="G41" s="22">
        <f>IF(DomesticRenotioningFlag,ForeignNotional/E40^DomesticUnitFx,G40)</f>
        <v>163307.96616258941</v>
      </c>
      <c r="H41" s="170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</row>
    <row r="42" spans="1:52" s="1" customFormat="1" x14ac:dyDescent="0.2">
      <c r="A42" s="109">
        <v>45602</v>
      </c>
      <c r="B42" s="110">
        <f>_xll.qlCalendarAdjust(DomesticPaymentCalendar,A42)</f>
        <v>45602</v>
      </c>
      <c r="C42" s="164" t="e">
        <v>#NUM!</v>
      </c>
      <c r="D42" s="164">
        <v>0.79679134836885335</v>
      </c>
      <c r="E42" s="165" t="e">
        <f t="shared" si="0"/>
        <v>#NUM!</v>
      </c>
      <c r="F42" s="81">
        <f t="shared" si="2"/>
        <v>-163307.96616258941</v>
      </c>
      <c r="G42" s="22">
        <f>IF(DomesticRenotioningFlag,ForeignNotional/E41^DomesticUnitFx,G41)</f>
        <v>163307.96616258941</v>
      </c>
      <c r="H42" s="170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</row>
    <row r="43" spans="1:52" s="1" customFormat="1" x14ac:dyDescent="0.2">
      <c r="A43" s="109">
        <v>45694</v>
      </c>
      <c r="B43" s="110">
        <f>_xll.qlCalendarAdjust(DomesticPaymentCalendar,A43)</f>
        <v>45694</v>
      </c>
      <c r="C43" s="17" t="e">
        <v>#NUM!</v>
      </c>
      <c r="D43" s="164">
        <v>0.79041962749322603</v>
      </c>
      <c r="E43" s="165" t="e">
        <f t="shared" si="0"/>
        <v>#NUM!</v>
      </c>
      <c r="F43" s="81">
        <f t="shared" si="2"/>
        <v>-163307.96616258941</v>
      </c>
      <c r="G43" s="22">
        <f>IF(DomesticRenotioningFlag,ForeignNotional/E42^DomesticUnitFx,G42)</f>
        <v>163307.96616258941</v>
      </c>
      <c r="H43" s="170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</row>
    <row r="44" spans="1:52" s="1" customFormat="1" x14ac:dyDescent="0.2">
      <c r="A44" s="109">
        <v>45783</v>
      </c>
      <c r="B44" s="110">
        <f>_xll.qlCalendarAdjust(DomesticPaymentCalendar,A44)</f>
        <v>45783</v>
      </c>
      <c r="C44" s="17" t="e">
        <v>#NUM!</v>
      </c>
      <c r="D44" s="164">
        <v>0.78426194909536551</v>
      </c>
      <c r="E44" s="165" t="e">
        <f t="shared" si="0"/>
        <v>#NUM!</v>
      </c>
      <c r="F44" s="81">
        <f t="shared" si="2"/>
        <v>-163307.96616258941</v>
      </c>
      <c r="G44" s="22">
        <f>IF(DomesticRenotioningFlag,ForeignNotional/E43^DomesticUnitFx,G43)</f>
        <v>163307.96616258941</v>
      </c>
      <c r="H44" s="170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</row>
    <row r="45" spans="1:52" s="1" customFormat="1" x14ac:dyDescent="0.2">
      <c r="A45" s="109">
        <v>45875</v>
      </c>
      <c r="B45" s="110">
        <f>_xll.qlCalendarAdjust(DomesticPaymentCalendar,A45)</f>
        <v>45875</v>
      </c>
      <c r="C45" s="17" t="e">
        <v>#NUM!</v>
      </c>
      <c r="D45" s="164">
        <v>0.77791229654783833</v>
      </c>
      <c r="E45" s="165" t="e">
        <f t="shared" si="0"/>
        <v>#NUM!</v>
      </c>
      <c r="F45" s="81">
        <f t="shared" si="2"/>
        <v>-163307.96616258941</v>
      </c>
      <c r="G45" s="22">
        <f>IF(DomesticRenotioningFlag,ForeignNotional/E44^DomesticUnitFx,G44)</f>
        <v>163307.96616258941</v>
      </c>
      <c r="H45" s="170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</row>
    <row r="46" spans="1:52" s="1" customFormat="1" x14ac:dyDescent="0.2">
      <c r="A46" s="109">
        <v>45967</v>
      </c>
      <c r="B46" s="110">
        <f>_xll.qlCalendarAdjust(DomesticPaymentCalendar,A46)</f>
        <v>45967</v>
      </c>
      <c r="C46" s="17" t="e">
        <v>#NUM!</v>
      </c>
      <c r="D46" s="164">
        <v>0.77158746463633721</v>
      </c>
      <c r="E46" s="165" t="e">
        <f t="shared" si="0"/>
        <v>#NUM!</v>
      </c>
      <c r="F46" s="81">
        <f t="shared" si="2"/>
        <v>-163307.96616258941</v>
      </c>
      <c r="G46" s="22">
        <f>IF(DomesticRenotioningFlag,ForeignNotional/E45^DomesticUnitFx,G45)</f>
        <v>163307.96616258941</v>
      </c>
      <c r="H46" s="170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</row>
    <row r="47" spans="1:52" s="1" customFormat="1" x14ac:dyDescent="0.2">
      <c r="A47" s="109">
        <v>46059</v>
      </c>
      <c r="B47" s="110">
        <f>_xll.qlCalendarAdjust(DomesticPaymentCalendar,A47)</f>
        <v>46059</v>
      </c>
      <c r="C47" s="17" t="e">
        <v>#NUM!</v>
      </c>
      <c r="D47" s="164">
        <v>0.76529624081881742</v>
      </c>
      <c r="E47" s="165" t="e">
        <f t="shared" si="0"/>
        <v>#NUM!</v>
      </c>
      <c r="F47" s="81">
        <f t="shared" si="2"/>
        <v>-163307.96616258941</v>
      </c>
      <c r="G47" s="22">
        <f>IF(DomesticRenotioningFlag,ForeignNotional/E46^DomesticUnitFx,G46)</f>
        <v>163307.96616258941</v>
      </c>
      <c r="H47" s="170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</row>
    <row r="48" spans="1:52" s="1" customFormat="1" x14ac:dyDescent="0.2">
      <c r="A48" s="109">
        <v>46148</v>
      </c>
      <c r="B48" s="110">
        <f>_xll.qlCalendarAdjust(DomesticPaymentCalendar,A48)</f>
        <v>46148</v>
      </c>
      <c r="C48" s="17" t="e">
        <v>#NUM!</v>
      </c>
      <c r="D48" s="164">
        <v>0.75925015349641112</v>
      </c>
      <c r="E48" s="165" t="e">
        <f t="shared" si="0"/>
        <v>#NUM!</v>
      </c>
      <c r="F48" s="81">
        <f t="shared" si="2"/>
        <v>-163307.96616258941</v>
      </c>
      <c r="G48" s="22">
        <f>IF(DomesticRenotioningFlag,ForeignNotional/E47^DomesticUnitFx,G47)</f>
        <v>163307.96616258941</v>
      </c>
      <c r="H48" s="170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</row>
    <row r="49" spans="1:52" s="1" customFormat="1" x14ac:dyDescent="0.2">
      <c r="A49" s="109">
        <v>46240</v>
      </c>
      <c r="B49" s="110">
        <f>_xll.qlCalendarAdjust(DomesticPaymentCalendar,A49)</f>
        <v>46240</v>
      </c>
      <c r="C49" s="17" t="e">
        <v>#NUM!</v>
      </c>
      <c r="D49" s="164">
        <v>0.75304960643630592</v>
      </c>
      <c r="E49" s="165" t="e">
        <f t="shared" si="0"/>
        <v>#NUM!</v>
      </c>
      <c r="F49" s="81">
        <f t="shared" si="2"/>
        <v>-163307.96616258941</v>
      </c>
      <c r="G49" s="22">
        <f>IF(DomesticRenotioningFlag,ForeignNotional/E48^DomesticUnitFx,G48)</f>
        <v>163307.96616258941</v>
      </c>
      <c r="H49" s="170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</row>
    <row r="50" spans="1:52" s="1" customFormat="1" x14ac:dyDescent="0.2">
      <c r="A50" s="109">
        <v>46332</v>
      </c>
      <c r="B50" s="110">
        <f>_xll.qlCalendarAdjust(DomesticPaymentCalendar,A50)</f>
        <v>46332</v>
      </c>
      <c r="C50" s="17" t="e">
        <v>#NUM!</v>
      </c>
      <c r="D50" s="164">
        <v>0.74690708600889844</v>
      </c>
      <c r="E50" s="165" t="e">
        <f t="shared" si="0"/>
        <v>#NUM!</v>
      </c>
      <c r="F50" s="81">
        <f t="shared" si="2"/>
        <v>-163307.96616258941</v>
      </c>
      <c r="G50" s="22">
        <f>IF(DomesticRenotioningFlag,ForeignNotional/E49^DomesticUnitFx,G49)</f>
        <v>163307.96616258941</v>
      </c>
      <c r="H50" s="170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</row>
    <row r="51" spans="1:52" s="1" customFormat="1" x14ac:dyDescent="0.2">
      <c r="A51" s="109">
        <v>46426</v>
      </c>
      <c r="B51" s="110">
        <f>_xll.qlCalendarAdjust(DomesticPaymentCalendar,A51)</f>
        <v>46426</v>
      </c>
      <c r="C51" s="17" t="e">
        <v>#NUM!</v>
      </c>
      <c r="D51" s="164">
        <v>0.74069702767037626</v>
      </c>
      <c r="E51" s="165" t="e">
        <f t="shared" si="0"/>
        <v>#NUM!</v>
      </c>
      <c r="F51" s="81">
        <f t="shared" si="2"/>
        <v>-163307.96616258941</v>
      </c>
      <c r="G51" s="22">
        <f>IF(DomesticRenotioningFlag,ForeignNotional/E50^DomesticUnitFx,G50)</f>
        <v>163307.96616258941</v>
      </c>
      <c r="H51" s="170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</row>
    <row r="52" spans="1:52" s="1" customFormat="1" x14ac:dyDescent="0.2">
      <c r="A52" s="109">
        <v>46513</v>
      </c>
      <c r="B52" s="110">
        <f>_xll.qlCalendarAdjust(DomesticPaymentCalendar,A52)</f>
        <v>46513</v>
      </c>
      <c r="C52" s="17" t="e">
        <v>#NUM!</v>
      </c>
      <c r="D52" s="164">
        <v>0.73500745940757961</v>
      </c>
      <c r="E52" s="165" t="e">
        <f t="shared" si="0"/>
        <v>#NUM!</v>
      </c>
      <c r="F52" s="81">
        <f t="shared" si="2"/>
        <v>-163307.96616258941</v>
      </c>
      <c r="G52" s="22">
        <f>IF(DomesticRenotioningFlag,ForeignNotional/E51^DomesticUnitFx,G51)</f>
        <v>163307.96616258941</v>
      </c>
      <c r="H52" s="170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</row>
    <row r="53" spans="1:52" s="1" customFormat="1" x14ac:dyDescent="0.2">
      <c r="A53" s="109">
        <v>46605</v>
      </c>
      <c r="B53" s="110">
        <f>_xll.qlCalendarAdjust(DomesticPaymentCalendar,A53)</f>
        <v>46605</v>
      </c>
      <c r="C53" s="17" t="e">
        <v>#NUM!</v>
      </c>
      <c r="D53" s="164">
        <v>0.7290484533195305</v>
      </c>
      <c r="E53" s="165" t="e">
        <f t="shared" si="0"/>
        <v>#NUM!</v>
      </c>
      <c r="F53" s="81">
        <f t="shared" si="2"/>
        <v>-163307.96616258941</v>
      </c>
      <c r="G53" s="22">
        <f>IF(DomesticRenotioningFlag,ForeignNotional/E52^DomesticUnitFx,G52)</f>
        <v>163307.96616258941</v>
      </c>
      <c r="H53" s="170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</row>
    <row r="54" spans="1:52" s="1" customFormat="1" x14ac:dyDescent="0.2">
      <c r="A54" s="109">
        <v>46699</v>
      </c>
      <c r="B54" s="110">
        <f>_xll.qlCalendarAdjust(DomesticPaymentCalendar,A54)</f>
        <v>46699</v>
      </c>
      <c r="C54" s="17" t="e">
        <v>#NUM!</v>
      </c>
      <c r="D54" s="164">
        <v>0.72301775475597441</v>
      </c>
      <c r="E54" s="165" t="e">
        <f t="shared" si="0"/>
        <v>#NUM!</v>
      </c>
      <c r="F54" s="81">
        <f t="shared" si="2"/>
        <v>-163307.96616258941</v>
      </c>
      <c r="G54" s="22">
        <f>IF(DomesticRenotioningFlag,ForeignNotional/E53^DomesticUnitFx,G53)</f>
        <v>163307.96616258941</v>
      </c>
      <c r="H54" s="170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</row>
    <row r="55" spans="1:52" s="1" customFormat="1" x14ac:dyDescent="0.2">
      <c r="A55" s="109">
        <v>46790</v>
      </c>
      <c r="B55" s="110">
        <f>_xll.qlCalendarAdjust(DomesticPaymentCalendar,A55)</f>
        <v>46790</v>
      </c>
      <c r="C55" s="17" t="e">
        <v>#NUM!</v>
      </c>
      <c r="D55" s="164">
        <v>0.71723214400389423</v>
      </c>
      <c r="E55" s="165" t="e">
        <f t="shared" si="0"/>
        <v>#NUM!</v>
      </c>
      <c r="F55" s="81">
        <f t="shared" si="2"/>
        <v>-163307.96616258941</v>
      </c>
      <c r="G55" s="22">
        <f>IF(DomesticRenotioningFlag,ForeignNotional/E54^DomesticUnitFx,G54)</f>
        <v>163307.96616258941</v>
      </c>
      <c r="H55" s="170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</row>
    <row r="56" spans="1:52" s="1" customFormat="1" x14ac:dyDescent="0.2">
      <c r="A56" s="109">
        <v>46881</v>
      </c>
      <c r="B56" s="110">
        <f>_xll.qlCalendarAdjust(DomesticPaymentCalendar,A56)</f>
        <v>46881</v>
      </c>
      <c r="C56" s="17" t="e">
        <v>#NUM!</v>
      </c>
      <c r="D56" s="164">
        <v>0.71149536041056316</v>
      </c>
      <c r="E56" s="165" t="e">
        <f t="shared" si="0"/>
        <v>#NUM!</v>
      </c>
      <c r="F56" s="81">
        <f t="shared" si="2"/>
        <v>-163307.96616258941</v>
      </c>
      <c r="G56" s="22">
        <f>IF(DomesticRenotioningFlag,ForeignNotional/E55^DomesticUnitFx,G55)</f>
        <v>163307.96616258941</v>
      </c>
      <c r="H56" s="170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</row>
    <row r="57" spans="1:52" s="1" customFormat="1" x14ac:dyDescent="0.2">
      <c r="A57" s="109">
        <v>46972</v>
      </c>
      <c r="B57" s="110">
        <f>_xll.qlCalendarAdjust(DomesticPaymentCalendar,A57)</f>
        <v>46972</v>
      </c>
      <c r="C57" s="17" t="e">
        <v>#NUM!</v>
      </c>
      <c r="D57" s="164">
        <v>0.70580458045107208</v>
      </c>
      <c r="E57" s="165" t="e">
        <f t="shared" si="0"/>
        <v>#NUM!</v>
      </c>
      <c r="F57" s="81">
        <f t="shared" si="2"/>
        <v>-163307.96616258941</v>
      </c>
      <c r="G57" s="22">
        <f>IF(DomesticRenotioningFlag,ForeignNotional/E56^DomesticUnitFx,G56)</f>
        <v>163307.96616258941</v>
      </c>
      <c r="H57" s="170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</row>
    <row r="58" spans="1:52" s="1" customFormat="1" x14ac:dyDescent="0.2">
      <c r="A58" s="109">
        <v>47063</v>
      </c>
      <c r="B58" s="110">
        <f>_xll.qlCalendarAdjust(DomesticPaymentCalendar,A58)</f>
        <v>47063</v>
      </c>
      <c r="C58" s="17" t="e">
        <v>#NUM!</v>
      </c>
      <c r="D58" s="164">
        <v>0.70015706108411591</v>
      </c>
      <c r="E58" s="165" t="e">
        <f t="shared" si="0"/>
        <v>#NUM!</v>
      </c>
      <c r="F58" s="81">
        <f t="shared" si="2"/>
        <v>-163307.96616258941</v>
      </c>
      <c r="G58" s="22">
        <f>IF(DomesticRenotioningFlag,ForeignNotional/E57^DomesticUnitFx,G57)</f>
        <v>163307.96616258941</v>
      </c>
      <c r="H58" s="170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</row>
    <row r="59" spans="1:52" s="1" customFormat="1" x14ac:dyDescent="0.2">
      <c r="A59" s="109">
        <v>47155</v>
      </c>
      <c r="B59" s="110">
        <f>_xll.qlCalendarAdjust(DomesticPaymentCalendar,A59)</f>
        <v>47155</v>
      </c>
      <c r="C59" s="17" t="e">
        <v>#NUM!</v>
      </c>
      <c r="D59" s="164">
        <v>0.69448873949043621</v>
      </c>
      <c r="E59" s="165" t="e">
        <f t="shared" si="0"/>
        <v>#NUM!</v>
      </c>
      <c r="F59" s="81">
        <f t="shared" si="2"/>
        <v>-163307.96616258941</v>
      </c>
      <c r="G59" s="22">
        <f>IF(DomesticRenotioningFlag,ForeignNotional/E58^DomesticUnitFx,G58)</f>
        <v>163307.96616258941</v>
      </c>
      <c r="H59" s="170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</row>
    <row r="60" spans="1:52" s="1" customFormat="1" x14ac:dyDescent="0.2">
      <c r="A60" s="109">
        <v>47245</v>
      </c>
      <c r="B60" s="110">
        <f>_xll.qlCalendarAdjust(DomesticPaymentCalendar,A60)</f>
        <v>47245</v>
      </c>
      <c r="C60" s="17" t="e">
        <v>#NUM!</v>
      </c>
      <c r="D60" s="164">
        <v>0.68898122529374184</v>
      </c>
      <c r="E60" s="165" t="e">
        <f t="shared" si="0"/>
        <v>#NUM!</v>
      </c>
      <c r="F60" s="81">
        <f t="shared" si="2"/>
        <v>-163307.96616258941</v>
      </c>
      <c r="G60" s="22">
        <f>IF(DomesticRenotioningFlag,ForeignNotional/E59^DomesticUnitFx,G59)</f>
        <v>163307.96616258941</v>
      </c>
      <c r="H60" s="170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</row>
    <row r="61" spans="1:52" s="1" customFormat="1" x14ac:dyDescent="0.2">
      <c r="A61" s="109">
        <v>47336</v>
      </c>
      <c r="B61" s="110">
        <f>_xll.qlCalendarAdjust(DomesticPaymentCalendar,A61)</f>
        <v>47336</v>
      </c>
      <c r="C61" s="17" t="e">
        <v>#NUM!</v>
      </c>
      <c r="D61" s="164">
        <v>0.68344781192862469</v>
      </c>
      <c r="E61" s="165" t="e">
        <f t="shared" si="0"/>
        <v>#NUM!</v>
      </c>
      <c r="F61" s="81">
        <f t="shared" si="2"/>
        <v>-163307.96616258941</v>
      </c>
      <c r="G61" s="22">
        <f>IF(DomesticRenotioningFlag,ForeignNotional/E60^DomesticUnitFx,G60)</f>
        <v>163307.96616258941</v>
      </c>
      <c r="H61" s="170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</row>
    <row r="62" spans="1:52" s="1" customFormat="1" x14ac:dyDescent="0.2">
      <c r="A62" s="109">
        <v>47428</v>
      </c>
      <c r="B62" s="110">
        <f>_xll.qlCalendarAdjust(DomesticPaymentCalendar,A62)</f>
        <v>47428</v>
      </c>
      <c r="C62" s="17" t="e">
        <v>#NUM!</v>
      </c>
      <c r="D62" s="164">
        <v>0.67788719411040244</v>
      </c>
      <c r="E62" s="165" t="e">
        <f t="shared" si="0"/>
        <v>#NUM!</v>
      </c>
      <c r="F62" s="81">
        <f t="shared" si="2"/>
        <v>-163307.96616258941</v>
      </c>
      <c r="G62" s="22">
        <f>IF(DomesticRenotioningFlag,ForeignNotional/E61^DomesticUnitFx,G61)</f>
        <v>163307.96616258941</v>
      </c>
      <c r="H62" s="170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</row>
    <row r="63" spans="1:52" s="1" customFormat="1" x14ac:dyDescent="0.2">
      <c r="A63" s="109">
        <v>47520</v>
      </c>
      <c r="B63" s="110">
        <f>_xll.qlCalendarAdjust(DomesticPaymentCalendar,A63)</f>
        <v>47520</v>
      </c>
      <c r="C63" s="17" t="e">
        <v>#NUM!</v>
      </c>
      <c r="D63" s="164">
        <v>0.67235860363035915</v>
      </c>
      <c r="E63" s="165" t="e">
        <f t="shared" si="0"/>
        <v>#NUM!</v>
      </c>
      <c r="F63" s="81">
        <f t="shared" si="2"/>
        <v>-163307.96616258941</v>
      </c>
      <c r="G63" s="22">
        <f>IF(DomesticRenotioningFlag,ForeignNotional/E62^DomesticUnitFx,G62)</f>
        <v>163307.96616258941</v>
      </c>
      <c r="H63" s="170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</row>
    <row r="64" spans="1:52" s="1" customFormat="1" x14ac:dyDescent="0.2">
      <c r="A64" s="109">
        <v>47609</v>
      </c>
      <c r="B64" s="110">
        <f>_xll.qlCalendarAdjust(DomesticPaymentCalendar,A64)</f>
        <v>47609</v>
      </c>
      <c r="C64" s="17" t="e">
        <v>#NUM!</v>
      </c>
      <c r="D64" s="164">
        <v>0.66704166205235771</v>
      </c>
      <c r="E64" s="165" t="e">
        <f t="shared" si="0"/>
        <v>#NUM!</v>
      </c>
      <c r="F64" s="81">
        <f t="shared" si="2"/>
        <v>-163307.96616258941</v>
      </c>
      <c r="G64" s="22">
        <f>IF(DomesticRenotioningFlag,ForeignNotional/E63^DomesticUnitFx,G63)</f>
        <v>163307.96616258941</v>
      </c>
      <c r="H64" s="170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</row>
    <row r="65" spans="1:52" s="1" customFormat="1" x14ac:dyDescent="0.2">
      <c r="A65" s="109">
        <v>47701</v>
      </c>
      <c r="B65" s="110">
        <f>_xll.qlCalendarAdjust(DomesticPaymentCalendar,A65)</f>
        <v>47701</v>
      </c>
      <c r="C65" s="17" t="e">
        <v>#NUM!</v>
      </c>
      <c r="D65" s="164">
        <v>0.66157946280981617</v>
      </c>
      <c r="E65" s="165" t="e">
        <f t="shared" si="0"/>
        <v>#NUM!</v>
      </c>
      <c r="F65" s="81">
        <f t="shared" si="2"/>
        <v>-163307.96616258941</v>
      </c>
      <c r="G65" s="22">
        <f>IF(DomesticRenotioningFlag,ForeignNotional/E64^DomesticUnitFx,G64)</f>
        <v>163307.96616258941</v>
      </c>
      <c r="H65" s="170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</row>
    <row r="66" spans="1:52" s="1" customFormat="1" x14ac:dyDescent="0.2">
      <c r="A66" s="109">
        <v>47793</v>
      </c>
      <c r="B66" s="110">
        <f>_xll.qlCalendarAdjust(DomesticPaymentCalendar,A66)</f>
        <v>47793</v>
      </c>
      <c r="C66" s="17" t="e">
        <v>#NUM!</v>
      </c>
      <c r="D66" s="164">
        <v>0.65615330166653474</v>
      </c>
      <c r="E66" s="165" t="e">
        <f t="shared" ref="E66:E129" si="3">SpotExchangeValue*(C66/D66)^(-1/DomesticUnitFx)</f>
        <v>#NUM!</v>
      </c>
      <c r="F66" s="81">
        <f t="shared" ref="F66:F97" si="4">-G67</f>
        <v>-163307.96616258941</v>
      </c>
      <c r="G66" s="22">
        <f>IF(DomesticRenotioningFlag,ForeignNotional/E65^DomesticUnitFx,G65)</f>
        <v>163307.96616258941</v>
      </c>
      <c r="H66" s="170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</row>
    <row r="67" spans="1:52" s="1" customFormat="1" x14ac:dyDescent="0.2">
      <c r="A67" s="109">
        <v>47885</v>
      </c>
      <c r="B67" s="110">
        <f>_xll.qlCalendarAdjust(DomesticPaymentCalendar,A67)</f>
        <v>47885</v>
      </c>
      <c r="C67" s="17" t="e">
        <v>#NUM!</v>
      </c>
      <c r="D67" s="164">
        <v>0.65076465117150506</v>
      </c>
      <c r="E67" s="165" t="e">
        <f t="shared" si="3"/>
        <v>#NUM!</v>
      </c>
      <c r="F67" s="81">
        <f t="shared" si="4"/>
        <v>-163307.96616258941</v>
      </c>
      <c r="G67" s="22">
        <f>IF(DomesticRenotioningFlag,ForeignNotional/E66^DomesticUnitFx,G66)</f>
        <v>163307.96616258941</v>
      </c>
      <c r="H67" s="170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</row>
    <row r="68" spans="1:52" s="1" customFormat="1" x14ac:dyDescent="0.2">
      <c r="A68" s="109">
        <v>47974</v>
      </c>
      <c r="B68" s="110">
        <f>_xll.qlCalendarAdjust(DomesticPaymentCalendar,A68)</f>
        <v>47974</v>
      </c>
      <c r="C68" s="17" t="e">
        <v>#NUM!</v>
      </c>
      <c r="D68" s="164">
        <v>0.64558874937338129</v>
      </c>
      <c r="E68" s="165" t="e">
        <f t="shared" si="3"/>
        <v>#NUM!</v>
      </c>
      <c r="F68" s="81">
        <f t="shared" si="4"/>
        <v>-163307.96616258941</v>
      </c>
      <c r="G68" s="22">
        <f>IF(DomesticRenotioningFlag,ForeignNotional/E67^DomesticUnitFx,G67)</f>
        <v>163307.96616258941</v>
      </c>
      <c r="H68" s="170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</row>
    <row r="69" spans="1:52" s="1" customFormat="1" x14ac:dyDescent="0.2">
      <c r="A69" s="109">
        <v>48066</v>
      </c>
      <c r="B69" s="110">
        <f>_xll.qlCalendarAdjust(DomesticPaymentCalendar,A69)</f>
        <v>48066</v>
      </c>
      <c r="C69" s="17" t="e">
        <v>#NUM!</v>
      </c>
      <c r="D69" s="164">
        <v>0.64027798926501711</v>
      </c>
      <c r="E69" s="165" t="e">
        <f t="shared" si="3"/>
        <v>#NUM!</v>
      </c>
      <c r="F69" s="81">
        <f t="shared" si="4"/>
        <v>-163307.96616258941</v>
      </c>
      <c r="G69" s="22">
        <f>IF(DomesticRenotioningFlag,ForeignNotional/E68^DomesticUnitFx,G68)</f>
        <v>163307.96616258941</v>
      </c>
      <c r="H69" s="170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</row>
    <row r="70" spans="1:52" s="1" customFormat="1" x14ac:dyDescent="0.2">
      <c r="A70" s="109">
        <v>48158</v>
      </c>
      <c r="B70" s="110">
        <f>_xll.qlCalendarAdjust(DomesticPaymentCalendar,A70)</f>
        <v>48158</v>
      </c>
      <c r="C70" s="17" t="e">
        <v>#NUM!</v>
      </c>
      <c r="D70" s="164">
        <v>0.63500879748556793</v>
      </c>
      <c r="E70" s="165" t="e">
        <f t="shared" si="3"/>
        <v>#NUM!</v>
      </c>
      <c r="F70" s="81">
        <f t="shared" si="4"/>
        <v>-163307.96616258941</v>
      </c>
      <c r="G70" s="22">
        <f>IF(DomesticRenotioningFlag,ForeignNotional/E69^DomesticUnitFx,G69)</f>
        <v>163307.96616258941</v>
      </c>
      <c r="H70" s="170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</row>
    <row r="71" spans="1:52" s="1" customFormat="1" x14ac:dyDescent="0.2">
      <c r="A71" s="109">
        <v>48250</v>
      </c>
      <c r="B71" s="110">
        <f>_xll.qlCalendarAdjust(DomesticPaymentCalendar,A71)</f>
        <v>48250</v>
      </c>
      <c r="C71" s="17" t="e">
        <v>#NUM!</v>
      </c>
      <c r="D71" s="164">
        <v>0.62978243956709157</v>
      </c>
      <c r="E71" s="165" t="e">
        <f t="shared" si="3"/>
        <v>#NUM!</v>
      </c>
      <c r="F71" s="81">
        <f t="shared" si="4"/>
        <v>-163307.96616258941</v>
      </c>
      <c r="G71" s="22">
        <f>IF(DomesticRenotioningFlag,ForeignNotional/E70^DomesticUnitFx,G70)</f>
        <v>163307.96616258941</v>
      </c>
      <c r="H71" s="170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</row>
    <row r="72" spans="1:52" s="1" customFormat="1" x14ac:dyDescent="0.2">
      <c r="A72" s="109">
        <v>48340</v>
      </c>
      <c r="B72" s="110">
        <f>_xll.qlCalendarAdjust(DomesticPaymentCalendar,A72)</f>
        <v>48340</v>
      </c>
      <c r="C72" s="17" t="e">
        <v>#NUM!</v>
      </c>
      <c r="D72" s="164">
        <v>0.62471231358325408</v>
      </c>
      <c r="E72" s="165" t="e">
        <f t="shared" si="3"/>
        <v>#NUM!</v>
      </c>
      <c r="F72" s="81">
        <f t="shared" si="4"/>
        <v>-163307.96616258941</v>
      </c>
      <c r="G72" s="22">
        <f>IF(DomesticRenotioningFlag,ForeignNotional/E71^DomesticUnitFx,G71)</f>
        <v>163307.96616258941</v>
      </c>
      <c r="H72" s="170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</row>
    <row r="73" spans="1:52" s="1" customFormat="1" x14ac:dyDescent="0.2">
      <c r="A73" s="109">
        <v>48432</v>
      </c>
      <c r="B73" s="110">
        <f>_xll.qlCalendarAdjust(DomesticPaymentCalendar,A73)</f>
        <v>48432</v>
      </c>
      <c r="C73" s="17" t="e">
        <v>#NUM!</v>
      </c>
      <c r="D73" s="164">
        <v>0.61957422731097167</v>
      </c>
      <c r="E73" s="165" t="e">
        <f t="shared" si="3"/>
        <v>#NUM!</v>
      </c>
      <c r="F73" s="81">
        <f t="shared" si="4"/>
        <v>-163307.96616258941</v>
      </c>
      <c r="G73" s="22">
        <f>IF(DomesticRenotioningFlag,ForeignNotional/E72^DomesticUnitFx,G72)</f>
        <v>163307.96616258941</v>
      </c>
      <c r="H73" s="170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</row>
    <row r="74" spans="1:52" s="1" customFormat="1" x14ac:dyDescent="0.2">
      <c r="A74" s="109">
        <v>48526</v>
      </c>
      <c r="B74" s="110">
        <f>_xll.qlCalendarAdjust(DomesticPaymentCalendar,A74)</f>
        <v>48526</v>
      </c>
      <c r="C74" s="17" t="e">
        <v>#NUM!</v>
      </c>
      <c r="D74" s="164">
        <v>0.61437228563442314</v>
      </c>
      <c r="E74" s="165" t="e">
        <f t="shared" si="3"/>
        <v>#NUM!</v>
      </c>
      <c r="F74" s="81">
        <f t="shared" si="4"/>
        <v>-163307.96616258941</v>
      </c>
      <c r="G74" s="22">
        <f>IF(DomesticRenotioningFlag,ForeignNotional/E73^DomesticUnitFx,G73)</f>
        <v>163307.96616258941</v>
      </c>
      <c r="H74" s="170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</row>
    <row r="75" spans="1:52" s="1" customFormat="1" x14ac:dyDescent="0.2">
      <c r="A75" s="109">
        <v>48617</v>
      </c>
      <c r="B75" s="110">
        <f>_xll.qlCalendarAdjust(DomesticPaymentCalendar,A75)</f>
        <v>48617</v>
      </c>
      <c r="C75" s="17" t="e">
        <v>#NUM!</v>
      </c>
      <c r="D75" s="164">
        <v>0.6093835014963952</v>
      </c>
      <c r="E75" s="165" t="e">
        <f t="shared" si="3"/>
        <v>#NUM!</v>
      </c>
      <c r="F75" s="81">
        <f t="shared" si="4"/>
        <v>-163307.96616258941</v>
      </c>
      <c r="G75" s="22">
        <f>IF(DomesticRenotioningFlag,ForeignNotional/E74^DomesticUnitFx,G74)</f>
        <v>163307.96616258941</v>
      </c>
      <c r="H75" s="170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</row>
    <row r="76" spans="1:52" s="1" customFormat="1" x14ac:dyDescent="0.2">
      <c r="A76" s="109">
        <v>48705</v>
      </c>
      <c r="B76" s="110">
        <f>_xll.qlCalendarAdjust(DomesticPaymentCalendar,A76)</f>
        <v>48705</v>
      </c>
      <c r="C76" s="17" t="e">
        <v>#NUM!</v>
      </c>
      <c r="D76" s="164">
        <v>0.60460423553631659</v>
      </c>
      <c r="E76" s="165" t="e">
        <f t="shared" si="3"/>
        <v>#NUM!</v>
      </c>
      <c r="F76" s="81">
        <f t="shared" si="4"/>
        <v>-163307.96616258941</v>
      </c>
      <c r="G76" s="22">
        <f>IF(DomesticRenotioningFlag,ForeignNotional/E75^DomesticUnitFx,G75)</f>
        <v>163307.96616258941</v>
      </c>
      <c r="H76" s="170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</row>
    <row r="77" spans="1:52" s="1" customFormat="1" x14ac:dyDescent="0.2">
      <c r="A77" s="109">
        <v>48799</v>
      </c>
      <c r="B77" s="110">
        <f>_xll.qlCalendarAdjust(DomesticPaymentCalendar,A77)</f>
        <v>48799</v>
      </c>
      <c r="C77" s="17" t="e">
        <v>#NUM!</v>
      </c>
      <c r="D77" s="164">
        <v>0.59954902613344996</v>
      </c>
      <c r="E77" s="165" t="e">
        <f t="shared" si="3"/>
        <v>#NUM!</v>
      </c>
      <c r="F77" s="81">
        <f t="shared" si="4"/>
        <v>-163307.96616258941</v>
      </c>
      <c r="G77" s="22">
        <f>IF(DomesticRenotioningFlag,ForeignNotional/E76^DomesticUnitFx,G76)</f>
        <v>163307.96616258941</v>
      </c>
      <c r="H77" s="170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</row>
    <row r="78" spans="1:52" s="1" customFormat="1" x14ac:dyDescent="0.2">
      <c r="A78" s="109">
        <v>48890</v>
      </c>
      <c r="B78" s="110">
        <f>_xll.qlCalendarAdjust(DomesticPaymentCalendar,A78)</f>
        <v>48890</v>
      </c>
      <c r="C78" s="17" t="e">
        <v>#NUM!</v>
      </c>
      <c r="D78" s="164">
        <v>0.59470519914609654</v>
      </c>
      <c r="E78" s="165" t="e">
        <f t="shared" si="3"/>
        <v>#NUM!</v>
      </c>
      <c r="F78" s="81">
        <f t="shared" si="4"/>
        <v>-163307.96616258941</v>
      </c>
      <c r="G78" s="22">
        <f>IF(DomesticRenotioningFlag,ForeignNotional/E77^DomesticUnitFx,G77)</f>
        <v>163307.96616258941</v>
      </c>
      <c r="H78" s="170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</row>
    <row r="79" spans="1:52" s="1" customFormat="1" x14ac:dyDescent="0.2">
      <c r="A79" s="109">
        <v>48981</v>
      </c>
      <c r="B79" s="110">
        <f>_xll.qlCalendarAdjust(DomesticPaymentCalendar,A79)</f>
        <v>48981</v>
      </c>
      <c r="C79" s="17" t="e">
        <v>#NUM!</v>
      </c>
      <c r="D79" s="164">
        <v>0.58991148782376135</v>
      </c>
      <c r="E79" s="165" t="e">
        <f t="shared" si="3"/>
        <v>#NUM!</v>
      </c>
      <c r="F79" s="81">
        <f t="shared" si="4"/>
        <v>-163307.96616258941</v>
      </c>
      <c r="G79" s="22">
        <f>IF(DomesticRenotioningFlag,ForeignNotional/E78^DomesticUnitFx,G78)</f>
        <v>163307.96616258941</v>
      </c>
      <c r="H79" s="170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</row>
    <row r="80" spans="1:52" s="1" customFormat="1" x14ac:dyDescent="0.2">
      <c r="A80" s="109">
        <v>49072</v>
      </c>
      <c r="B80" s="110">
        <f>_xll.qlCalendarAdjust(DomesticPaymentCalendar,A80)</f>
        <v>49072</v>
      </c>
      <c r="C80" s="17" t="e">
        <v>#NUM!</v>
      </c>
      <c r="D80" s="164">
        <v>0.58516872449929891</v>
      </c>
      <c r="E80" s="165" t="e">
        <f t="shared" si="3"/>
        <v>#NUM!</v>
      </c>
      <c r="F80" s="81">
        <f t="shared" si="4"/>
        <v>-163307.96616258941</v>
      </c>
      <c r="G80" s="22">
        <f>IF(DomesticRenotioningFlag,ForeignNotional/E79^DomesticUnitFx,G79)</f>
        <v>163307.96616258941</v>
      </c>
      <c r="H80" s="170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</row>
    <row r="81" spans="1:52" s="1" customFormat="1" x14ac:dyDescent="0.2">
      <c r="A81" s="109">
        <v>49163</v>
      </c>
      <c r="B81" s="110">
        <f>_xll.qlCalendarAdjust(DomesticPaymentCalendar,A81)</f>
        <v>49163</v>
      </c>
      <c r="C81" s="17" t="e">
        <v>#NUM!</v>
      </c>
      <c r="D81" s="164">
        <v>0.58047770358081763</v>
      </c>
      <c r="E81" s="165" t="e">
        <f t="shared" si="3"/>
        <v>#NUM!</v>
      </c>
      <c r="F81" s="81">
        <f t="shared" si="4"/>
        <v>-163307.96616258941</v>
      </c>
      <c r="G81" s="22">
        <f>IF(DomesticRenotioningFlag,ForeignNotional/E80^DomesticUnitFx,G80)</f>
        <v>163307.96616258941</v>
      </c>
      <c r="H81" s="170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</row>
    <row r="82" spans="1:52" s="1" customFormat="1" x14ac:dyDescent="0.2">
      <c r="A82" s="109">
        <v>49254</v>
      </c>
      <c r="B82" s="110">
        <f>_xll.qlCalendarAdjust(DomesticPaymentCalendar,A82)</f>
        <v>49254</v>
      </c>
      <c r="C82" s="17" t="e">
        <v>#NUM!</v>
      </c>
      <c r="D82" s="164">
        <v>0.57583918266829837</v>
      </c>
      <c r="E82" s="165" t="e">
        <f t="shared" si="3"/>
        <v>#NUM!</v>
      </c>
      <c r="F82" s="81">
        <f t="shared" si="4"/>
        <v>-163307.96616258941</v>
      </c>
      <c r="G82" s="22">
        <f>IF(DomesticRenotioningFlag,ForeignNotional/E81^DomesticUnitFx,G81)</f>
        <v>163307.96616258941</v>
      </c>
      <c r="H82" s="170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</row>
    <row r="83" spans="1:52" s="1" customFormat="1" x14ac:dyDescent="0.2">
      <c r="A83" s="109">
        <v>49346</v>
      </c>
      <c r="B83" s="110">
        <f>_xll.qlCalendarAdjust(DomesticPaymentCalendar,A83)</f>
        <v>49346</v>
      </c>
      <c r="C83" s="17" t="e">
        <v>#NUM!</v>
      </c>
      <c r="D83" s="164">
        <v>0.57120345252227656</v>
      </c>
      <c r="E83" s="165" t="e">
        <f t="shared" si="3"/>
        <v>#NUM!</v>
      </c>
      <c r="F83" s="81">
        <f t="shared" si="4"/>
        <v>-163307.96616258941</v>
      </c>
      <c r="G83" s="22">
        <f>IF(DomesticRenotioningFlag,ForeignNotional/E82^DomesticUnitFx,G82)</f>
        <v>163307.96616258941</v>
      </c>
      <c r="H83" s="170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</row>
    <row r="84" spans="1:52" s="1" customFormat="1" x14ac:dyDescent="0.2">
      <c r="A84" s="109">
        <v>49436</v>
      </c>
      <c r="B84" s="110">
        <f>_xll.qlCalendarAdjust(DomesticPaymentCalendar,A84)</f>
        <v>49436</v>
      </c>
      <c r="C84" s="17" t="e">
        <v>#NUM!</v>
      </c>
      <c r="D84" s="164">
        <v>0.566719870944836</v>
      </c>
      <c r="E84" s="165" t="e">
        <f t="shared" si="3"/>
        <v>#NUM!</v>
      </c>
      <c r="F84" s="81">
        <f t="shared" si="4"/>
        <v>-163307.96616258941</v>
      </c>
      <c r="G84" s="22">
        <f>IF(DomesticRenotioningFlag,ForeignNotional/E83^DomesticUnitFx,G83)</f>
        <v>163307.96616258941</v>
      </c>
      <c r="H84" s="170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</row>
    <row r="85" spans="1:52" s="1" customFormat="1" x14ac:dyDescent="0.2">
      <c r="A85" s="109">
        <v>49527</v>
      </c>
      <c r="B85" s="110">
        <f>_xll.qlCalendarAdjust(DomesticPaymentCalendar,A85)</f>
        <v>49527</v>
      </c>
      <c r="C85" s="17" t="e">
        <v>#NUM!</v>
      </c>
      <c r="D85" s="164">
        <v>0.56223688474996658</v>
      </c>
      <c r="E85" s="165" t="e">
        <f t="shared" si="3"/>
        <v>#NUM!</v>
      </c>
      <c r="F85" s="81">
        <f t="shared" si="4"/>
        <v>-163307.96616258941</v>
      </c>
      <c r="G85" s="22">
        <f>IF(DomesticRenotioningFlag,ForeignNotional/E84^DomesticUnitFx,G84)</f>
        <v>163307.96616258941</v>
      </c>
      <c r="H85" s="170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</row>
    <row r="86" spans="1:52" s="1" customFormat="1" x14ac:dyDescent="0.2">
      <c r="A86" s="109">
        <v>49619</v>
      </c>
      <c r="B86" s="110">
        <f>_xll.qlCalendarAdjust(DomesticPaymentCalendar,A86)</f>
        <v>49619</v>
      </c>
      <c r="C86" s="17" t="e">
        <v>#NUM!</v>
      </c>
      <c r="D86" s="164">
        <v>0.5577549218722615</v>
      </c>
      <c r="E86" s="165" t="e">
        <f t="shared" si="3"/>
        <v>#NUM!</v>
      </c>
      <c r="F86" s="81">
        <f t="shared" si="4"/>
        <v>-163307.96616258941</v>
      </c>
      <c r="G86" s="22">
        <f>IF(DomesticRenotioningFlag,ForeignNotional/E85^DomesticUnitFx,G85)</f>
        <v>163307.96616258941</v>
      </c>
      <c r="H86" s="170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</row>
    <row r="87" spans="1:52" s="1" customFormat="1" x14ac:dyDescent="0.2">
      <c r="A87" s="109">
        <v>49711</v>
      </c>
      <c r="B87" s="110">
        <f>_xll.qlCalendarAdjust(DomesticPaymentCalendar,A87)</f>
        <v>49711</v>
      </c>
      <c r="C87" s="17" t="e">
        <v>#NUM!</v>
      </c>
      <c r="D87" s="164">
        <v>0.553322289833729</v>
      </c>
      <c r="E87" s="165" t="e">
        <f t="shared" si="3"/>
        <v>#NUM!</v>
      </c>
      <c r="F87" s="81">
        <f t="shared" si="4"/>
        <v>-163307.96616258941</v>
      </c>
      <c r="G87" s="22">
        <f>IF(DomesticRenotioningFlag,ForeignNotional/E86^DomesticUnitFx,G86)</f>
        <v>163307.96616258941</v>
      </c>
      <c r="H87" s="170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</row>
    <row r="88" spans="1:52" s="1" customFormat="1" x14ac:dyDescent="0.2">
      <c r="A88" s="109">
        <v>49801</v>
      </c>
      <c r="B88" s="110">
        <f>_xll.qlCalendarAdjust(DomesticPaymentCalendar,A88)</f>
        <v>49801</v>
      </c>
      <c r="C88" s="17" t="e">
        <v>#NUM!</v>
      </c>
      <c r="D88" s="164">
        <v>0.54903259322036269</v>
      </c>
      <c r="E88" s="165" t="e">
        <f t="shared" si="3"/>
        <v>#NUM!</v>
      </c>
      <c r="F88" s="81">
        <f t="shared" si="4"/>
        <v>-163307.96616258941</v>
      </c>
      <c r="G88" s="22">
        <f>IF(DomesticRenotioningFlag,ForeignNotional/E87^DomesticUnitFx,G87)</f>
        <v>163307.96616258941</v>
      </c>
      <c r="H88" s="170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</row>
    <row r="89" spans="1:52" s="1" customFormat="1" x14ac:dyDescent="0.2">
      <c r="A89" s="109">
        <v>49893</v>
      </c>
      <c r="B89" s="110">
        <f>_xll.qlCalendarAdjust(DomesticPaymentCalendar,A89)</f>
        <v>49893</v>
      </c>
      <c r="C89" s="17" t="e">
        <v>#NUM!</v>
      </c>
      <c r="D89" s="164">
        <v>0.54469401973501475</v>
      </c>
      <c r="E89" s="165" t="e">
        <f t="shared" si="3"/>
        <v>#NUM!</v>
      </c>
      <c r="F89" s="81">
        <f t="shared" si="4"/>
        <v>-163307.96616258941</v>
      </c>
      <c r="G89" s="22">
        <f>IF(DomesticRenotioningFlag,ForeignNotional/E88^DomesticUnitFx,G88)</f>
        <v>163307.96616258941</v>
      </c>
      <c r="H89" s="170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</row>
    <row r="90" spans="1:52" s="1" customFormat="1" x14ac:dyDescent="0.2">
      <c r="A90" s="109">
        <v>49985</v>
      </c>
      <c r="B90" s="110">
        <f>_xll.qlCalendarAdjust(DomesticPaymentCalendar,A90)</f>
        <v>49985</v>
      </c>
      <c r="C90" s="17" t="e">
        <v>#NUM!</v>
      </c>
      <c r="D90" s="164">
        <v>0.54040126090975116</v>
      </c>
      <c r="E90" s="165" t="e">
        <f t="shared" si="3"/>
        <v>#NUM!</v>
      </c>
      <c r="F90" s="81">
        <f t="shared" si="4"/>
        <v>-163307.96616258941</v>
      </c>
      <c r="G90" s="22">
        <f>IF(DomesticRenotioningFlag,ForeignNotional/E89^DomesticUnitFx,G89)</f>
        <v>163307.96616258941</v>
      </c>
      <c r="H90" s="170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</row>
    <row r="91" spans="1:52" s="1" customFormat="1" x14ac:dyDescent="0.2">
      <c r="A91" s="109">
        <v>50077</v>
      </c>
      <c r="B91" s="110">
        <f>_xll.qlCalendarAdjust(DomesticPaymentCalendar,A91)</f>
        <v>50077</v>
      </c>
      <c r="C91" s="17" t="e">
        <v>#NUM!</v>
      </c>
      <c r="D91" s="164">
        <v>0.53615318882819119</v>
      </c>
      <c r="E91" s="165" t="e">
        <f t="shared" si="3"/>
        <v>#NUM!</v>
      </c>
      <c r="F91" s="81">
        <f t="shared" si="4"/>
        <v>-163307.96616258941</v>
      </c>
      <c r="G91" s="22">
        <f>IF(DomesticRenotioningFlag,ForeignNotional/E90^DomesticUnitFx,G90)</f>
        <v>163307.96616258941</v>
      </c>
      <c r="H91" s="170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</row>
    <row r="92" spans="1:52" s="1" customFormat="1" x14ac:dyDescent="0.2">
      <c r="A92" s="109">
        <v>50166</v>
      </c>
      <c r="B92" s="110">
        <f>_xll.qlCalendarAdjust(DomesticPaymentCalendar,A92)</f>
        <v>50166</v>
      </c>
      <c r="C92" s="17" t="e">
        <v>#NUM!</v>
      </c>
      <c r="D92" s="164">
        <v>0.53208512769643901</v>
      </c>
      <c r="E92" s="165" t="e">
        <f t="shared" si="3"/>
        <v>#NUM!</v>
      </c>
      <c r="F92" s="81">
        <f t="shared" si="4"/>
        <v>-163307.96616258941</v>
      </c>
      <c r="G92" s="22">
        <f>IF(DomesticRenotioningFlag,ForeignNotional/E91^DomesticUnitFx,G91)</f>
        <v>163307.96616258941</v>
      </c>
      <c r="H92" s="170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</row>
    <row r="93" spans="1:52" s="1" customFormat="1" x14ac:dyDescent="0.2">
      <c r="A93" s="109">
        <v>50258</v>
      </c>
      <c r="B93" s="110">
        <f>_xll.qlCalendarAdjust(DomesticPaymentCalendar,A93)</f>
        <v>50258</v>
      </c>
      <c r="C93" s="17" t="e">
        <v>#NUM!</v>
      </c>
      <c r="D93" s="164">
        <v>0.52792177739400714</v>
      </c>
      <c r="E93" s="165" t="e">
        <f t="shared" si="3"/>
        <v>#NUM!</v>
      </c>
      <c r="F93" s="81">
        <f t="shared" si="4"/>
        <v>-163307.96616258941</v>
      </c>
      <c r="G93" s="22">
        <f>IF(DomesticRenotioningFlag,ForeignNotional/E92^DomesticUnitFx,G92)</f>
        <v>163307.96616258941</v>
      </c>
      <c r="H93" s="170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</row>
    <row r="94" spans="1:52" s="1" customFormat="1" x14ac:dyDescent="0.2">
      <c r="A94" s="109">
        <v>50350</v>
      </c>
      <c r="B94" s="110">
        <f>_xll.qlCalendarAdjust(DomesticPaymentCalendar,A94)</f>
        <v>50350</v>
      </c>
      <c r="C94" s="17" t="e">
        <v>#NUM!</v>
      </c>
      <c r="D94" s="164">
        <v>0.52379991471792875</v>
      </c>
      <c r="E94" s="165" t="e">
        <f t="shared" si="3"/>
        <v>#NUM!</v>
      </c>
      <c r="F94" s="81">
        <f t="shared" si="4"/>
        <v>-163307.96616258941</v>
      </c>
      <c r="G94" s="22">
        <f>IF(DomesticRenotioningFlag,ForeignNotional/E93^DomesticUnitFx,G93)</f>
        <v>163307.96616258941</v>
      </c>
      <c r="H94" s="170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</row>
    <row r="95" spans="1:52" s="1" customFormat="1" x14ac:dyDescent="0.2">
      <c r="A95" s="109">
        <v>50444</v>
      </c>
      <c r="B95" s="110">
        <f>_xll.qlCalendarAdjust(DomesticPaymentCalendar,A95)</f>
        <v>50444</v>
      </c>
      <c r="C95" s="17" t="e">
        <v>#NUM!</v>
      </c>
      <c r="D95" s="164">
        <v>0.51963022511572954</v>
      </c>
      <c r="E95" s="165" t="e">
        <f t="shared" si="3"/>
        <v>#NUM!</v>
      </c>
      <c r="F95" s="81">
        <f t="shared" si="4"/>
        <v>-163307.96616258941</v>
      </c>
      <c r="G95" s="22">
        <f>IF(DomesticRenotioningFlag,ForeignNotional/E94^DomesticUnitFx,G94)</f>
        <v>163307.96616258941</v>
      </c>
      <c r="H95" s="170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</row>
    <row r="96" spans="1:52" s="1" customFormat="1" x14ac:dyDescent="0.2">
      <c r="A96" s="109">
        <v>50531</v>
      </c>
      <c r="B96" s="110">
        <f>_xll.qlCalendarAdjust(DomesticPaymentCalendar,A96)</f>
        <v>50531</v>
      </c>
      <c r="C96" s="17" t="e">
        <v>#NUM!</v>
      </c>
      <c r="D96" s="164">
        <v>0.51580774604950952</v>
      </c>
      <c r="E96" s="165" t="e">
        <f t="shared" si="3"/>
        <v>#NUM!</v>
      </c>
      <c r="F96" s="81">
        <f t="shared" si="4"/>
        <v>-163307.96616258941</v>
      </c>
      <c r="G96" s="22">
        <f>IF(DomesticRenotioningFlag,ForeignNotional/E95^DomesticUnitFx,G95)</f>
        <v>163307.96616258941</v>
      </c>
      <c r="H96" s="170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</row>
    <row r="97" spans="1:52" s="1" customFormat="1" x14ac:dyDescent="0.2">
      <c r="A97" s="109">
        <v>50623</v>
      </c>
      <c r="B97" s="110">
        <f>_xll.qlCalendarAdjust(DomesticPaymentCalendar,A97)</f>
        <v>50623</v>
      </c>
      <c r="C97" s="17" t="e">
        <v>#NUM!</v>
      </c>
      <c r="D97" s="164">
        <v>0.51180301941037398</v>
      </c>
      <c r="E97" s="165" t="e">
        <f t="shared" si="3"/>
        <v>#NUM!</v>
      </c>
      <c r="F97" s="81">
        <f t="shared" si="4"/>
        <v>-163307.96616258941</v>
      </c>
      <c r="G97" s="22">
        <f>IF(DomesticRenotioningFlag,ForeignNotional/E96^DomesticUnitFx,G96)</f>
        <v>163307.96616258941</v>
      </c>
      <c r="H97" s="170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</row>
    <row r="98" spans="1:52" s="1" customFormat="1" x14ac:dyDescent="0.2">
      <c r="A98" s="109">
        <v>50717</v>
      </c>
      <c r="B98" s="110">
        <f>_xll.qlCalendarAdjust(DomesticPaymentCalendar,A98)</f>
        <v>50717</v>
      </c>
      <c r="C98" s="17" t="e">
        <v>#NUM!</v>
      </c>
      <c r="D98" s="164">
        <v>0.50774999548307176</v>
      </c>
      <c r="E98" s="165" t="e">
        <f t="shared" si="3"/>
        <v>#NUM!</v>
      </c>
      <c r="F98" s="81">
        <f t="shared" ref="F98:F129" si="5">-G99</f>
        <v>-163307.96616258941</v>
      </c>
      <c r="G98" s="22">
        <f>IF(DomesticRenotioningFlag,ForeignNotional/E97^DomesticUnitFx,G97)</f>
        <v>163307.96616258941</v>
      </c>
      <c r="H98" s="170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</row>
    <row r="99" spans="1:52" s="1" customFormat="1" x14ac:dyDescent="0.2">
      <c r="A99" s="109">
        <v>50808</v>
      </c>
      <c r="B99" s="110">
        <f>_xll.qlCalendarAdjust(DomesticPaymentCalendar,A99)</f>
        <v>50808</v>
      </c>
      <c r="C99" s="17" t="e">
        <v>#NUM!</v>
      </c>
      <c r="D99" s="164">
        <v>0.50386270801713628</v>
      </c>
      <c r="E99" s="165" t="e">
        <f t="shared" si="3"/>
        <v>#NUM!</v>
      </c>
      <c r="F99" s="81">
        <f t="shared" si="5"/>
        <v>-163307.96616258941</v>
      </c>
      <c r="G99" s="22">
        <f>IF(DomesticRenotioningFlag,ForeignNotional/E98^DomesticUnitFx,G98)</f>
        <v>163307.96616258941</v>
      </c>
      <c r="H99" s="170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</row>
    <row r="100" spans="1:52" s="1" customFormat="1" x14ac:dyDescent="0.2">
      <c r="A100" s="109">
        <v>50896</v>
      </c>
      <c r="B100" s="110">
        <f>_xll.qlCalendarAdjust(DomesticPaymentCalendar,A100)</f>
        <v>50896</v>
      </c>
      <c r="C100" s="17" t="e">
        <v>#NUM!</v>
      </c>
      <c r="D100" s="164">
        <v>0.50013677097198694</v>
      </c>
      <c r="E100" s="165" t="e">
        <f t="shared" si="3"/>
        <v>#NUM!</v>
      </c>
      <c r="F100" s="81">
        <f t="shared" si="5"/>
        <v>-163307.96616258941</v>
      </c>
      <c r="G100" s="22">
        <f>IF(DomesticRenotioningFlag,ForeignNotional/E99^DomesticUnitFx,G99)</f>
        <v>163307.96616258941</v>
      </c>
      <c r="H100" s="170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</row>
    <row r="101" spans="1:52" s="1" customFormat="1" x14ac:dyDescent="0.2">
      <c r="A101" s="109">
        <v>50990</v>
      </c>
      <c r="B101" s="110">
        <f>_xll.qlCalendarAdjust(DomesticPaymentCalendar,A101)</f>
        <v>50990</v>
      </c>
      <c r="C101" s="17" t="e">
        <v>#NUM!</v>
      </c>
      <c r="D101" s="164">
        <v>0.49619195086280016</v>
      </c>
      <c r="E101" s="165" t="e">
        <f t="shared" si="3"/>
        <v>#NUM!</v>
      </c>
      <c r="F101" s="81">
        <f t="shared" si="5"/>
        <v>-163307.96616258941</v>
      </c>
      <c r="G101" s="22">
        <f>IF(DomesticRenotioningFlag,ForeignNotional/E100^DomesticUnitFx,G100)</f>
        <v>163307.96616258941</v>
      </c>
      <c r="H101" s="170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</row>
    <row r="102" spans="1:52" s="1" customFormat="1" x14ac:dyDescent="0.2">
      <c r="A102" s="109">
        <v>51081</v>
      </c>
      <c r="B102" s="110">
        <f>_xll.qlCalendarAdjust(DomesticPaymentCalendar,A102)</f>
        <v>51081</v>
      </c>
      <c r="C102" s="17" t="e">
        <v>#NUM!</v>
      </c>
      <c r="D102" s="164">
        <v>0.49240676283159662</v>
      </c>
      <c r="E102" s="165" t="e">
        <f t="shared" si="3"/>
        <v>#NUM!</v>
      </c>
      <c r="F102" s="81">
        <f t="shared" si="5"/>
        <v>-163307.96616258941</v>
      </c>
      <c r="G102" s="22">
        <f>IF(DomesticRenotioningFlag,ForeignNotional/E101^DomesticUnitFx,G101)</f>
        <v>163307.96616258941</v>
      </c>
      <c r="H102" s="170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</row>
    <row r="103" spans="1:52" s="1" customFormat="1" x14ac:dyDescent="0.2">
      <c r="A103" s="109">
        <v>51172</v>
      </c>
      <c r="B103" s="110">
        <f>_xll.qlCalendarAdjust(DomesticPaymentCalendar,A103)</f>
        <v>51172</v>
      </c>
      <c r="C103" s="17" t="e">
        <v>#NUM!</v>
      </c>
      <c r="D103" s="164">
        <v>0.48865402767014726</v>
      </c>
      <c r="E103" s="165" t="e">
        <f t="shared" si="3"/>
        <v>#NUM!</v>
      </c>
      <c r="F103" s="81">
        <f t="shared" si="5"/>
        <v>-163307.96616258941</v>
      </c>
      <c r="G103" s="22">
        <f>IF(DomesticRenotioningFlag,ForeignNotional/E102^DomesticUnitFx,G102)</f>
        <v>163307.96616258941</v>
      </c>
      <c r="H103" s="170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</row>
    <row r="104" spans="1:52" s="1" customFormat="1" x14ac:dyDescent="0.2">
      <c r="A104" s="109">
        <v>51263</v>
      </c>
      <c r="B104" s="110">
        <f>_xll.qlCalendarAdjust(DomesticPaymentCalendar,A104)</f>
        <v>51263</v>
      </c>
      <c r="C104" s="17" t="e">
        <v>#NUM!</v>
      </c>
      <c r="D104" s="164">
        <v>0.48493345617157463</v>
      </c>
      <c r="E104" s="165" t="e">
        <f t="shared" si="3"/>
        <v>#NUM!</v>
      </c>
      <c r="F104" s="81">
        <f t="shared" si="5"/>
        <v>-163307.96616258941</v>
      </c>
      <c r="G104" s="22">
        <f>IF(DomesticRenotioningFlag,ForeignNotional/E103^DomesticUnitFx,G103)</f>
        <v>163307.96616258941</v>
      </c>
      <c r="H104" s="170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</row>
    <row r="105" spans="1:52" s="1" customFormat="1" x14ac:dyDescent="0.2">
      <c r="A105" s="109">
        <v>51354</v>
      </c>
      <c r="B105" s="110">
        <f>_xll.qlCalendarAdjust(DomesticPaymentCalendar,A105)</f>
        <v>51354</v>
      </c>
      <c r="C105" s="17" t="e">
        <v>#NUM!</v>
      </c>
      <c r="D105" s="164">
        <v>0.4812448658184314</v>
      </c>
      <c r="E105" s="165" t="e">
        <f t="shared" si="3"/>
        <v>#NUM!</v>
      </c>
      <c r="F105" s="81">
        <f t="shared" si="5"/>
        <v>-163307.96616258941</v>
      </c>
      <c r="G105" s="22">
        <f>IF(DomesticRenotioningFlag,ForeignNotional/E104^DomesticUnitFx,G104)</f>
        <v>163307.96616258941</v>
      </c>
      <c r="H105" s="170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</row>
    <row r="106" spans="1:52" s="1" customFormat="1" x14ac:dyDescent="0.2">
      <c r="A106" s="109">
        <v>51446</v>
      </c>
      <c r="B106" s="110">
        <f>_xll.qlCalendarAdjust(DomesticPaymentCalendar,A106)</f>
        <v>51446</v>
      </c>
      <c r="C106" s="17" t="e">
        <v>#NUM!</v>
      </c>
      <c r="D106" s="164">
        <v>0.47754806494017615</v>
      </c>
      <c r="E106" s="165" t="e">
        <f t="shared" si="3"/>
        <v>#NUM!</v>
      </c>
      <c r="F106" s="81">
        <f t="shared" si="5"/>
        <v>-163307.96616258941</v>
      </c>
      <c r="G106" s="22">
        <f>IF(DomesticRenotioningFlag,ForeignNotional/E105^DomesticUnitFx,G105)</f>
        <v>163307.96616258941</v>
      </c>
      <c r="H106" s="170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</row>
    <row r="107" spans="1:52" s="1" customFormat="1" x14ac:dyDescent="0.2">
      <c r="A107" s="109">
        <v>51538</v>
      </c>
      <c r="B107" s="110">
        <f>_xll.qlCalendarAdjust(DomesticPaymentCalendar,A107)</f>
        <v>51538</v>
      </c>
      <c r="C107" s="17" t="e">
        <v>#NUM!</v>
      </c>
      <c r="D107" s="164">
        <v>0.47388357507099166</v>
      </c>
      <c r="E107" s="165" t="e">
        <f t="shared" si="3"/>
        <v>#NUM!</v>
      </c>
      <c r="F107" s="81">
        <f t="shared" si="5"/>
        <v>-163307.96616258941</v>
      </c>
      <c r="G107" s="22">
        <f>IF(DomesticRenotioningFlag,ForeignNotional/E106^DomesticUnitFx,G106)</f>
        <v>163307.96616258941</v>
      </c>
      <c r="H107" s="170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</row>
    <row r="108" spans="1:52" s="1" customFormat="1" x14ac:dyDescent="0.2">
      <c r="A108" s="109">
        <v>51627</v>
      </c>
      <c r="B108" s="110">
        <f>_xll.qlCalendarAdjust(DomesticPaymentCalendar,A108)</f>
        <v>51627</v>
      </c>
      <c r="C108" s="17" t="e">
        <v>#NUM!</v>
      </c>
      <c r="D108" s="164">
        <v>0.47036914812240621</v>
      </c>
      <c r="E108" s="165" t="e">
        <f t="shared" si="3"/>
        <v>#NUM!</v>
      </c>
      <c r="F108" s="81">
        <f t="shared" si="5"/>
        <v>-163307.96616258941</v>
      </c>
      <c r="G108" s="22">
        <f>IF(DomesticRenotioningFlag,ForeignNotional/E107^DomesticUnitFx,G107)</f>
        <v>163307.96616258941</v>
      </c>
      <c r="H108" s="170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</row>
    <row r="109" spans="1:52" s="1" customFormat="1" x14ac:dyDescent="0.2">
      <c r="A109" s="109">
        <v>51719</v>
      </c>
      <c r="B109" s="110">
        <f>_xll.qlCalendarAdjust(DomesticPaymentCalendar,A109)</f>
        <v>51719</v>
      </c>
      <c r="C109" s="17" t="e">
        <v>#NUM!</v>
      </c>
      <c r="D109" s="164">
        <v>0.46676767088249616</v>
      </c>
      <c r="E109" s="165" t="e">
        <f t="shared" si="3"/>
        <v>#NUM!</v>
      </c>
      <c r="F109" s="81">
        <f t="shared" si="5"/>
        <v>-163307.96616258941</v>
      </c>
      <c r="G109" s="22">
        <f>IF(DomesticRenotioningFlag,ForeignNotional/E108^DomesticUnitFx,G108)</f>
        <v>163307.96616258941</v>
      </c>
      <c r="H109" s="170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</row>
    <row r="110" spans="1:52" s="1" customFormat="1" x14ac:dyDescent="0.2">
      <c r="A110" s="109">
        <v>51811</v>
      </c>
      <c r="B110" s="110">
        <f>_xll.qlCalendarAdjust(DomesticPaymentCalendar,A110)</f>
        <v>51811</v>
      </c>
      <c r="C110" s="17" t="e">
        <v>#NUM!</v>
      </c>
      <c r="D110" s="164">
        <v>0.46319793881174476</v>
      </c>
      <c r="E110" s="165" t="e">
        <f t="shared" si="3"/>
        <v>#NUM!</v>
      </c>
      <c r="F110" s="81">
        <f t="shared" si="5"/>
        <v>-163307.96616258941</v>
      </c>
      <c r="G110" s="22">
        <f>IF(DomesticRenotioningFlag,ForeignNotional/E109^DomesticUnitFx,G109)</f>
        <v>163307.96616258941</v>
      </c>
      <c r="H110" s="170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</row>
    <row r="111" spans="1:52" s="1" customFormat="1" x14ac:dyDescent="0.2">
      <c r="A111" s="109">
        <v>51903</v>
      </c>
      <c r="B111" s="110">
        <f>_xll.qlCalendarAdjust(DomesticPaymentCalendar,A111)</f>
        <v>51903</v>
      </c>
      <c r="C111" s="17" t="e">
        <v>#NUM!</v>
      </c>
      <c r="D111" s="164">
        <v>0.45965976042854656</v>
      </c>
      <c r="E111" s="165" t="e">
        <f t="shared" si="3"/>
        <v>#NUM!</v>
      </c>
      <c r="F111" s="81">
        <f t="shared" si="5"/>
        <v>-163307.96616258941</v>
      </c>
      <c r="G111" s="22">
        <f>IF(DomesticRenotioningFlag,ForeignNotional/E110^DomesticUnitFx,G110)</f>
        <v>163307.96616258941</v>
      </c>
      <c r="H111" s="170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</row>
    <row r="112" spans="1:52" s="1" customFormat="1" x14ac:dyDescent="0.2">
      <c r="A112" s="109">
        <v>51992</v>
      </c>
      <c r="B112" s="110">
        <f>_xll.qlCalendarAdjust(DomesticPaymentCalendar,A112)</f>
        <v>51992</v>
      </c>
      <c r="C112" s="17" t="e">
        <v>#NUM!</v>
      </c>
      <c r="D112" s="164">
        <v>0.45626680396009944</v>
      </c>
      <c r="E112" s="165" t="e">
        <f t="shared" si="3"/>
        <v>#NUM!</v>
      </c>
      <c r="F112" s="81">
        <f t="shared" si="5"/>
        <v>-163307.96616258941</v>
      </c>
      <c r="G112" s="22">
        <f>IF(DomesticRenotioningFlag,ForeignNotional/E111^DomesticUnitFx,G111)</f>
        <v>163307.96616258941</v>
      </c>
      <c r="H112" s="170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</row>
    <row r="113" spans="1:52" s="1" customFormat="1" x14ac:dyDescent="0.2">
      <c r="A113" s="109">
        <v>52084</v>
      </c>
      <c r="B113" s="110">
        <f>_xll.qlCalendarAdjust(DomesticPaymentCalendar,A113)</f>
        <v>52084</v>
      </c>
      <c r="C113" s="17" t="e">
        <v>#NUM!</v>
      </c>
      <c r="D113" s="164">
        <v>0.45279014386175559</v>
      </c>
      <c r="E113" s="165" t="e">
        <f t="shared" si="3"/>
        <v>#NUM!</v>
      </c>
      <c r="F113" s="81">
        <f t="shared" si="5"/>
        <v>-163307.96616258941</v>
      </c>
      <c r="G113" s="22">
        <f>IF(DomesticRenotioningFlag,ForeignNotional/E112^DomesticUnitFx,G112)</f>
        <v>163307.96616258941</v>
      </c>
      <c r="H113" s="170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</row>
    <row r="114" spans="1:52" s="1" customFormat="1" x14ac:dyDescent="0.2">
      <c r="A114" s="109">
        <v>52176</v>
      </c>
      <c r="B114" s="110">
        <f>_xll.qlCalendarAdjust(DomesticPaymentCalendar,A114)</f>
        <v>52176</v>
      </c>
      <c r="C114" s="17" t="e">
        <v>#NUM!</v>
      </c>
      <c r="D114" s="164">
        <v>0.44934446747895773</v>
      </c>
      <c r="E114" s="165" t="e">
        <f t="shared" si="3"/>
        <v>#NUM!</v>
      </c>
      <c r="F114" s="81">
        <f t="shared" si="5"/>
        <v>-163307.96616258941</v>
      </c>
      <c r="G114" s="22">
        <f>IF(DomesticRenotioningFlag,ForeignNotional/E113^DomesticUnitFx,G113)</f>
        <v>163307.96616258941</v>
      </c>
      <c r="H114" s="170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</row>
    <row r="115" spans="1:52" s="1" customFormat="1" x14ac:dyDescent="0.2">
      <c r="A115" s="109">
        <v>52268</v>
      </c>
      <c r="B115" s="110">
        <f>_xll.qlCalendarAdjust(DomesticPaymentCalendar,A115)</f>
        <v>52268</v>
      </c>
      <c r="C115" s="17" t="e">
        <v>#NUM!</v>
      </c>
      <c r="D115" s="164">
        <v>0.4459295822733646</v>
      </c>
      <c r="E115" s="165" t="e">
        <f t="shared" si="3"/>
        <v>#NUM!</v>
      </c>
      <c r="F115" s="81">
        <f t="shared" si="5"/>
        <v>-163307.96616258941</v>
      </c>
      <c r="G115" s="22">
        <f>IF(DomesticRenotioningFlag,ForeignNotional/E114^DomesticUnitFx,G114)</f>
        <v>163307.96616258941</v>
      </c>
      <c r="H115" s="170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</row>
    <row r="116" spans="1:52" s="1" customFormat="1" x14ac:dyDescent="0.2">
      <c r="A116" s="109">
        <v>52357</v>
      </c>
      <c r="B116" s="110">
        <f>_xll.qlCalendarAdjust(DomesticPaymentCalendar,A116)</f>
        <v>52357</v>
      </c>
      <c r="C116" s="17" t="e">
        <v>#NUM!</v>
      </c>
      <c r="D116" s="164">
        <v>0.44265517209212113</v>
      </c>
      <c r="E116" s="165" t="e">
        <f t="shared" si="3"/>
        <v>#NUM!</v>
      </c>
      <c r="F116" s="81">
        <f t="shared" si="5"/>
        <v>-163307.96616258941</v>
      </c>
      <c r="G116" s="22">
        <f>IF(DomesticRenotioningFlag,ForeignNotional/E115^DomesticUnitFx,G115)</f>
        <v>163307.96616258941</v>
      </c>
      <c r="H116" s="170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</row>
    <row r="117" spans="1:52" s="1" customFormat="1" x14ac:dyDescent="0.2">
      <c r="A117" s="109">
        <v>52449</v>
      </c>
      <c r="B117" s="110">
        <f>_xll.qlCalendarAdjust(DomesticPaymentCalendar,A117)</f>
        <v>52449</v>
      </c>
      <c r="C117" s="17" t="e">
        <v>#NUM!</v>
      </c>
      <c r="D117" s="164">
        <v>0.43930030256020658</v>
      </c>
      <c r="E117" s="165" t="e">
        <f t="shared" si="3"/>
        <v>#NUM!</v>
      </c>
      <c r="F117" s="81">
        <f t="shared" si="5"/>
        <v>-163307.96616258941</v>
      </c>
      <c r="G117" s="22">
        <f>IF(DomesticRenotioningFlag,ForeignNotional/E116^DomesticUnitFx,G116)</f>
        <v>163307.96616258941</v>
      </c>
      <c r="H117" s="170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</row>
    <row r="118" spans="1:52" s="1" customFormat="1" x14ac:dyDescent="0.2">
      <c r="A118" s="109">
        <v>52541</v>
      </c>
      <c r="B118" s="110">
        <f>_xll.qlCalendarAdjust(DomesticPaymentCalendar,A118)</f>
        <v>52541</v>
      </c>
      <c r="C118" s="17" t="e">
        <v>#NUM!</v>
      </c>
      <c r="D118" s="164">
        <v>0.43597565205014283</v>
      </c>
      <c r="E118" s="165" t="e">
        <f t="shared" si="3"/>
        <v>#NUM!</v>
      </c>
      <c r="F118" s="81">
        <f t="shared" si="5"/>
        <v>-163307.96616258941</v>
      </c>
      <c r="G118" s="22">
        <f>IF(DomesticRenotioningFlag,ForeignNotional/E117^DomesticUnitFx,G117)</f>
        <v>163307.96616258941</v>
      </c>
      <c r="H118" s="170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</row>
    <row r="119" spans="1:52" s="1" customFormat="1" x14ac:dyDescent="0.2">
      <c r="A119" s="109">
        <v>52635</v>
      </c>
      <c r="B119" s="110">
        <f>_xll.qlCalendarAdjust(DomesticPaymentCalendar,A119)</f>
        <v>52635</v>
      </c>
      <c r="C119" s="17" t="e">
        <v>#NUM!</v>
      </c>
      <c r="D119" s="164">
        <v>0.43260973734853952</v>
      </c>
      <c r="E119" s="165" t="e">
        <f t="shared" si="3"/>
        <v>#NUM!</v>
      </c>
      <c r="F119" s="81">
        <f t="shared" si="5"/>
        <v>-163307.96616258941</v>
      </c>
      <c r="G119" s="22">
        <f>IF(DomesticRenotioningFlag,ForeignNotional/E118^DomesticUnitFx,G118)</f>
        <v>163307.96616258941</v>
      </c>
      <c r="H119" s="170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</row>
    <row r="120" spans="1:52" s="1" customFormat="1" x14ac:dyDescent="0.2">
      <c r="A120" s="109">
        <v>52723</v>
      </c>
      <c r="B120" s="110">
        <f>_xll.qlCalendarAdjust(DomesticPaymentCalendar,A120)</f>
        <v>52723</v>
      </c>
      <c r="C120" s="17" t="e">
        <v>#NUM!</v>
      </c>
      <c r="D120" s="164">
        <v>0.42948689408316509</v>
      </c>
      <c r="E120" s="165" t="e">
        <f t="shared" si="3"/>
        <v>#NUM!</v>
      </c>
      <c r="F120" s="81">
        <f t="shared" si="5"/>
        <v>-163307.96616258941</v>
      </c>
      <c r="G120" s="22">
        <f>IF(DomesticRenotioningFlag,ForeignNotional/E119^DomesticUnitFx,G119)</f>
        <v>163307.96616258941</v>
      </c>
      <c r="H120" s="170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</row>
    <row r="121" spans="1:52" s="1" customFormat="1" x14ac:dyDescent="0.2">
      <c r="A121" s="109">
        <v>52817</v>
      </c>
      <c r="B121" s="110">
        <f>_xll.qlCalendarAdjust(DomesticPaymentCalendar,A121)</f>
        <v>52817</v>
      </c>
      <c r="C121" s="17" t="e">
        <v>#NUM!</v>
      </c>
      <c r="D121" s="164">
        <v>0.42618108498471657</v>
      </c>
      <c r="E121" s="165" t="e">
        <f t="shared" si="3"/>
        <v>#NUM!</v>
      </c>
      <c r="F121" s="81">
        <f t="shared" si="5"/>
        <v>-163307.96616258941</v>
      </c>
      <c r="G121" s="22">
        <f>IF(DomesticRenotioningFlag,ForeignNotional/E120^DomesticUnitFx,G120)</f>
        <v>163307.96616258941</v>
      </c>
      <c r="H121" s="170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</row>
    <row r="122" spans="1:52" s="1" customFormat="1" x14ac:dyDescent="0.2">
      <c r="A122" s="109">
        <v>52908</v>
      </c>
      <c r="B122" s="110">
        <f>_xll.qlCalendarAdjust(DomesticPaymentCalendar,A122)</f>
        <v>52908</v>
      </c>
      <c r="C122" s="17" t="e">
        <v>#NUM!</v>
      </c>
      <c r="D122" s="164">
        <v>0.42301006796946922</v>
      </c>
      <c r="E122" s="165" t="e">
        <f t="shared" si="3"/>
        <v>#NUM!</v>
      </c>
      <c r="F122" s="81">
        <f t="shared" si="5"/>
        <v>-163307.96616258941</v>
      </c>
      <c r="G122" s="22">
        <f>IF(DomesticRenotioningFlag,ForeignNotional/E121^DomesticUnitFx,G121)</f>
        <v>163307.96616258941</v>
      </c>
      <c r="H122" s="170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</row>
    <row r="123" spans="1:52" s="1" customFormat="1" x14ac:dyDescent="0.2">
      <c r="A123" s="109">
        <v>52999</v>
      </c>
      <c r="B123" s="110">
        <f>_xll.qlCalendarAdjust(DomesticPaymentCalendar,A123)</f>
        <v>52999</v>
      </c>
      <c r="C123" s="17" t="e">
        <v>#NUM!</v>
      </c>
      <c r="D123" s="164">
        <v>0.41986767492318394</v>
      </c>
      <c r="E123" s="165" t="e">
        <f t="shared" si="3"/>
        <v>#NUM!</v>
      </c>
      <c r="F123" s="81">
        <f t="shared" si="5"/>
        <v>-163307.96616258941</v>
      </c>
      <c r="G123" s="22">
        <f>IF(DomesticRenotioningFlag,ForeignNotional/E122^DomesticUnitFx,G122)</f>
        <v>163307.96616258941</v>
      </c>
      <c r="H123" s="170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</row>
    <row r="124" spans="1:52" s="1" customFormat="1" x14ac:dyDescent="0.2">
      <c r="A124" s="109">
        <v>53090</v>
      </c>
      <c r="B124" s="110">
        <f>_xll.qlCalendarAdjust(DomesticPaymentCalendar,A124)</f>
        <v>53090</v>
      </c>
      <c r="C124" s="17" t="e">
        <v>#NUM!</v>
      </c>
      <c r="D124" s="164">
        <v>0.41675371938284772</v>
      </c>
      <c r="E124" s="165" t="e">
        <f t="shared" si="3"/>
        <v>#NUM!</v>
      </c>
      <c r="F124" s="81">
        <f t="shared" si="5"/>
        <v>-163307.96616258941</v>
      </c>
      <c r="G124" s="22">
        <f>IF(DomesticRenotioningFlag,ForeignNotional/E123^DomesticUnitFx,G123)</f>
        <v>163307.96616258941</v>
      </c>
      <c r="H124" s="170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</row>
    <row r="125" spans="1:52" s="1" customFormat="1" x14ac:dyDescent="0.2">
      <c r="A125" s="109">
        <v>53181</v>
      </c>
      <c r="B125" s="110">
        <f>_xll.qlCalendarAdjust(DomesticPaymentCalendar,A125)</f>
        <v>53181</v>
      </c>
      <c r="C125" s="17" t="e">
        <v>#NUM!</v>
      </c>
      <c r="D125" s="164">
        <v>0.41366801503827927</v>
      </c>
      <c r="E125" s="165" t="e">
        <f t="shared" si="3"/>
        <v>#NUM!</v>
      </c>
      <c r="F125" s="81">
        <f t="shared" si="5"/>
        <v>-163307.96616258941</v>
      </c>
      <c r="G125" s="22">
        <f>IF(DomesticRenotioningFlag,ForeignNotional/E124^DomesticUnitFx,G124)</f>
        <v>163307.96616258941</v>
      </c>
      <c r="H125" s="170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</row>
    <row r="126" spans="1:52" s="1" customFormat="1" x14ac:dyDescent="0.2">
      <c r="A126" s="109">
        <v>53272</v>
      </c>
      <c r="B126" s="110">
        <f>_xll.qlCalendarAdjust(DomesticPaymentCalendar,A126)</f>
        <v>53272</v>
      </c>
      <c r="C126" s="17" t="e">
        <v>#NUM!</v>
      </c>
      <c r="D126" s="164">
        <v>0.41061037576296922</v>
      </c>
      <c r="E126" s="165" t="e">
        <f t="shared" si="3"/>
        <v>#NUM!</v>
      </c>
      <c r="F126" s="81">
        <f t="shared" si="5"/>
        <v>-163307.96616258941</v>
      </c>
      <c r="G126" s="22">
        <f>IF(DomesticRenotioningFlag,ForeignNotional/E125^DomesticUnitFx,G125)</f>
        <v>163307.96616258941</v>
      </c>
      <c r="H126" s="170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</row>
    <row r="127" spans="1:52" s="1" customFormat="1" x14ac:dyDescent="0.2">
      <c r="A127" s="109">
        <v>53364</v>
      </c>
      <c r="B127" s="110">
        <f>_xll.qlCalendarAdjust(DomesticPaymentCalendar,A127)</f>
        <v>53364</v>
      </c>
      <c r="C127" s="17" t="e">
        <v>#NUM!</v>
      </c>
      <c r="D127" s="164">
        <v>0.40754747575091332</v>
      </c>
      <c r="E127" s="165" t="e">
        <f t="shared" si="3"/>
        <v>#NUM!</v>
      </c>
      <c r="F127" s="81">
        <f t="shared" si="5"/>
        <v>-163307.96616258941</v>
      </c>
      <c r="G127" s="22">
        <f>IF(DomesticRenotioningFlag,ForeignNotional/E126^DomesticUnitFx,G126)</f>
        <v>163307.96616258941</v>
      </c>
      <c r="H127" s="170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</row>
    <row r="128" spans="1:52" s="1" customFormat="1" x14ac:dyDescent="0.2">
      <c r="A128" s="109">
        <v>53454</v>
      </c>
      <c r="B128" s="110">
        <f>_xll.qlCalendarAdjust(DomesticPaymentCalendar,A128)</f>
        <v>53454</v>
      </c>
      <c r="C128" s="17" t="e">
        <v>#NUM!</v>
      </c>
      <c r="D128" s="164">
        <v>0.40457854901281504</v>
      </c>
      <c r="E128" s="165" t="e">
        <f t="shared" si="3"/>
        <v>#NUM!</v>
      </c>
      <c r="F128" s="81">
        <f t="shared" si="5"/>
        <v>-163307.96616258941</v>
      </c>
      <c r="G128" s="22">
        <f>IF(DomesticRenotioningFlag,ForeignNotional/E127^DomesticUnitFx,G127)</f>
        <v>163307.96616258941</v>
      </c>
      <c r="H128" s="170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</row>
    <row r="129" spans="1:52" s="1" customFormat="1" x14ac:dyDescent="0.2">
      <c r="A129" s="109">
        <v>53545</v>
      </c>
      <c r="B129" s="110">
        <f>_xll.qlCalendarAdjust(DomesticPaymentCalendar,A129)</f>
        <v>53545</v>
      </c>
      <c r="C129" s="17" t="e">
        <v>#NUM!</v>
      </c>
      <c r="D129" s="164">
        <v>0.40160399047156548</v>
      </c>
      <c r="E129" s="165" t="e">
        <f t="shared" si="3"/>
        <v>#NUM!</v>
      </c>
      <c r="F129" s="81">
        <f t="shared" si="5"/>
        <v>-163307.96616258941</v>
      </c>
      <c r="G129" s="22">
        <f>IF(DomesticRenotioningFlag,ForeignNotional/E128^DomesticUnitFx,G128)</f>
        <v>163307.96616258941</v>
      </c>
      <c r="H129" s="170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</row>
    <row r="130" spans="1:52" s="1" customFormat="1" x14ac:dyDescent="0.2">
      <c r="A130" s="109">
        <v>53637</v>
      </c>
      <c r="B130" s="110">
        <f>_xll.qlCalendarAdjust(DomesticPaymentCalendar,A130)</f>
        <v>53637</v>
      </c>
      <c r="C130" s="17" t="e">
        <v>#NUM!</v>
      </c>
      <c r="D130" s="164">
        <v>0.39862451880777527</v>
      </c>
      <c r="E130" s="165" t="e">
        <f t="shared" ref="E130:E193" si="6">SpotExchangeValue*(C130/D130)^(-1/DomesticUnitFx)</f>
        <v>#NUM!</v>
      </c>
      <c r="F130" s="81">
        <f t="shared" ref="F130:F161" si="7">-G131</f>
        <v>-163307.96616258941</v>
      </c>
      <c r="G130" s="22">
        <f>IF(DomesticRenotioningFlag,ForeignNotional/E129^DomesticUnitFx,G129)</f>
        <v>163307.96616258941</v>
      </c>
      <c r="H130" s="170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</row>
    <row r="131" spans="1:52" s="1" customFormat="1" x14ac:dyDescent="0.2">
      <c r="A131" s="109">
        <v>53729</v>
      </c>
      <c r="B131" s="110">
        <f>_xll.qlCalendarAdjust(DomesticPaymentCalendar,A131)</f>
        <v>53729</v>
      </c>
      <c r="C131" s="17" t="e">
        <v>#NUM!</v>
      </c>
      <c r="D131" s="164">
        <v>0.39567278301787234</v>
      </c>
      <c r="E131" s="165" t="e">
        <f t="shared" si="6"/>
        <v>#NUM!</v>
      </c>
      <c r="F131" s="81">
        <f t="shared" si="7"/>
        <v>-163307.96616258941</v>
      </c>
      <c r="G131" s="22">
        <f>IF(DomesticRenotioningFlag,ForeignNotional/E130^DomesticUnitFx,G130)</f>
        <v>163307.96616258941</v>
      </c>
      <c r="H131" s="170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</row>
    <row r="132" spans="1:52" s="1" customFormat="1" x14ac:dyDescent="0.2">
      <c r="A132" s="109">
        <v>53818</v>
      </c>
      <c r="B132" s="110">
        <f>_xll.qlCalendarAdjust(DomesticPaymentCalendar,A132)</f>
        <v>53818</v>
      </c>
      <c r="C132" s="17" t="e">
        <v>#NUM!</v>
      </c>
      <c r="D132" s="164">
        <v>0.39284351408934248</v>
      </c>
      <c r="E132" s="165" t="e">
        <f t="shared" si="6"/>
        <v>#NUM!</v>
      </c>
      <c r="F132" s="81">
        <f t="shared" si="7"/>
        <v>-163307.96616258941</v>
      </c>
      <c r="G132" s="22">
        <f>IF(DomesticRenotioningFlag,ForeignNotional/E131^DomesticUnitFx,G131)</f>
        <v>163307.96616258941</v>
      </c>
      <c r="H132" s="170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</row>
    <row r="133" spans="1:52" s="1" customFormat="1" x14ac:dyDescent="0.2">
      <c r="A133" s="109">
        <v>53910</v>
      </c>
      <c r="B133" s="110">
        <f>_xll.qlCalendarAdjust(DomesticPaymentCalendar,A133)</f>
        <v>53910</v>
      </c>
      <c r="C133" s="17" t="e">
        <v>#NUM!</v>
      </c>
      <c r="D133" s="164">
        <v>0.38994578976295874</v>
      </c>
      <c r="E133" s="165" t="e">
        <f t="shared" si="6"/>
        <v>#NUM!</v>
      </c>
      <c r="F133" s="81">
        <f t="shared" si="7"/>
        <v>-163307.96616258941</v>
      </c>
      <c r="G133" s="22">
        <f>IF(DomesticRenotioningFlag,ForeignNotional/E132^DomesticUnitFx,G132)</f>
        <v>163307.96616258941</v>
      </c>
      <c r="H133" s="170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</row>
    <row r="134" spans="1:52" s="1" customFormat="1" x14ac:dyDescent="0.2">
      <c r="A134" s="109">
        <v>54002</v>
      </c>
      <c r="B134" s="110">
        <f>_xll.qlCalendarAdjust(DomesticPaymentCalendar,A134)</f>
        <v>54002</v>
      </c>
      <c r="C134" s="17" t="e">
        <v>#NUM!</v>
      </c>
      <c r="D134" s="164">
        <v>0.38707523705237284</v>
      </c>
      <c r="E134" s="165" t="e">
        <f t="shared" si="6"/>
        <v>#NUM!</v>
      </c>
      <c r="F134" s="81">
        <f t="shared" si="7"/>
        <v>-163307.96616258941</v>
      </c>
      <c r="G134" s="22">
        <f>IF(DomesticRenotioningFlag,ForeignNotional/E133^DomesticUnitFx,G133)</f>
        <v>163307.96616258941</v>
      </c>
      <c r="H134" s="170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</row>
    <row r="135" spans="1:52" s="1" customFormat="1" x14ac:dyDescent="0.2">
      <c r="A135" s="109">
        <v>54094</v>
      </c>
      <c r="B135" s="110">
        <f>_xll.qlCalendarAdjust(DomesticPaymentCalendar,A135)</f>
        <v>54094</v>
      </c>
      <c r="C135" s="17" t="e">
        <v>#NUM!</v>
      </c>
      <c r="D135" s="164">
        <v>0.38423166666607311</v>
      </c>
      <c r="E135" s="165" t="e">
        <f t="shared" si="6"/>
        <v>#NUM!</v>
      </c>
      <c r="F135" s="81">
        <f t="shared" si="7"/>
        <v>-163307.96616258941</v>
      </c>
      <c r="G135" s="22">
        <f>IF(DomesticRenotioningFlag,ForeignNotional/E134^DomesticUnitFx,G134)</f>
        <v>163307.96616258941</v>
      </c>
      <c r="H135" s="170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</row>
    <row r="136" spans="1:52" s="1" customFormat="1" x14ac:dyDescent="0.2">
      <c r="A136" s="109">
        <v>54184</v>
      </c>
      <c r="B136" s="110">
        <f>_xll.qlCalendarAdjust(DomesticPaymentCalendar,A136)</f>
        <v>54184</v>
      </c>
      <c r="C136" s="17" t="e">
        <v>#NUM!</v>
      </c>
      <c r="D136" s="164">
        <v>0.38147584048877303</v>
      </c>
      <c r="E136" s="165" t="e">
        <f t="shared" si="6"/>
        <v>#NUM!</v>
      </c>
      <c r="F136" s="81">
        <f t="shared" si="7"/>
        <v>-163307.96616258941</v>
      </c>
      <c r="G136" s="22">
        <f>IF(DomesticRenotioningFlag,ForeignNotional/E135^DomesticUnitFx,G135)</f>
        <v>163307.96616258941</v>
      </c>
      <c r="H136" s="170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</row>
    <row r="137" spans="1:52" s="1" customFormat="1" x14ac:dyDescent="0.2">
      <c r="A137" s="109">
        <v>54276</v>
      </c>
      <c r="B137" s="110">
        <f>_xll.qlCalendarAdjust(DomesticPaymentCalendar,A137)</f>
        <v>54276</v>
      </c>
      <c r="C137" s="17" t="e">
        <v>#NUM!</v>
      </c>
      <c r="D137" s="164">
        <v>0.3786850924370942</v>
      </c>
      <c r="E137" s="165" t="e">
        <f t="shared" si="6"/>
        <v>#NUM!</v>
      </c>
      <c r="F137" s="81">
        <f t="shared" si="7"/>
        <v>-163307.96616258941</v>
      </c>
      <c r="G137" s="22">
        <f>IF(DomesticRenotioningFlag,ForeignNotional/E136^DomesticUnitFx,G136)</f>
        <v>163307.96616258941</v>
      </c>
      <c r="H137" s="170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</row>
    <row r="138" spans="1:52" s="1" customFormat="1" x14ac:dyDescent="0.2">
      <c r="A138" s="109">
        <v>54368</v>
      </c>
      <c r="B138" s="110">
        <f>_xll.qlCalendarAdjust(DomesticPaymentCalendar,A138)</f>
        <v>54368</v>
      </c>
      <c r="C138" s="17" t="e">
        <v>#NUM!</v>
      </c>
      <c r="D138" s="164">
        <v>0.37592076587784651</v>
      </c>
      <c r="E138" s="165" t="e">
        <f t="shared" si="6"/>
        <v>#NUM!</v>
      </c>
      <c r="F138" s="81">
        <f t="shared" si="7"/>
        <v>-163307.96616258941</v>
      </c>
      <c r="G138" s="22">
        <f>IF(DomesticRenotioningFlag,ForeignNotional/E137^DomesticUnitFx,G137)</f>
        <v>163307.96616258941</v>
      </c>
      <c r="H138" s="170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</row>
    <row r="139" spans="1:52" s="1" customFormat="1" x14ac:dyDescent="0.2">
      <c r="A139" s="109">
        <v>54462</v>
      </c>
      <c r="B139" s="110">
        <f>_xll.qlCalendarAdjust(DomesticPaymentCalendar,A139)</f>
        <v>54462</v>
      </c>
      <c r="C139" s="17" t="e">
        <v>#NUM!</v>
      </c>
      <c r="D139" s="164">
        <v>0.37312343977673162</v>
      </c>
      <c r="E139" s="165" t="e">
        <f t="shared" si="6"/>
        <v>#NUM!</v>
      </c>
      <c r="F139" s="81">
        <f t="shared" si="7"/>
        <v>-163307.96616258941</v>
      </c>
      <c r="G139" s="22">
        <f>IF(DomesticRenotioningFlag,ForeignNotional/E138^DomesticUnitFx,G138)</f>
        <v>163307.96616258941</v>
      </c>
      <c r="H139" s="170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</row>
    <row r="140" spans="1:52" s="1" customFormat="1" x14ac:dyDescent="0.2">
      <c r="A140" s="109">
        <v>54549</v>
      </c>
      <c r="B140" s="110">
        <f>_xll.qlCalendarAdjust(DomesticPaymentCalendar,A140)</f>
        <v>54549</v>
      </c>
      <c r="C140" s="17" t="e">
        <v>#NUM!</v>
      </c>
      <c r="D140" s="164">
        <v>0.37055865616202438</v>
      </c>
      <c r="E140" s="165" t="e">
        <f t="shared" si="6"/>
        <v>#NUM!</v>
      </c>
      <c r="F140" s="81">
        <f t="shared" si="7"/>
        <v>-163307.96616258941</v>
      </c>
      <c r="G140" s="22">
        <f>IF(DomesticRenotioningFlag,ForeignNotional/E139^DomesticUnitFx,G139)</f>
        <v>163307.96616258941</v>
      </c>
      <c r="H140" s="170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</row>
    <row r="141" spans="1:52" s="1" customFormat="1" x14ac:dyDescent="0.2">
      <c r="A141" s="109">
        <v>54641</v>
      </c>
      <c r="B141" s="110">
        <f>_xll.qlCalendarAdjust(DomesticPaymentCalendar,A141)</f>
        <v>54641</v>
      </c>
      <c r="C141" s="17" t="e">
        <v>#NUM!</v>
      </c>
      <c r="D141" s="164">
        <v>0.36787163255478672</v>
      </c>
      <c r="E141" s="165" t="e">
        <f t="shared" si="6"/>
        <v>#NUM!</v>
      </c>
      <c r="F141" s="81">
        <f t="shared" si="7"/>
        <v>-163307.96616258941</v>
      </c>
      <c r="G141" s="22">
        <f>IF(DomesticRenotioningFlag,ForeignNotional/E140^DomesticUnitFx,G140)</f>
        <v>163307.96616258941</v>
      </c>
      <c r="H141" s="170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</row>
    <row r="142" spans="1:52" s="1" customFormat="1" x14ac:dyDescent="0.2">
      <c r="A142" s="109">
        <v>54735</v>
      </c>
      <c r="B142" s="110">
        <f>_xll.qlCalendarAdjust(DomesticPaymentCalendar,A142)</f>
        <v>54735</v>
      </c>
      <c r="C142" s="17" t="e">
        <v>#NUM!</v>
      </c>
      <c r="D142" s="164">
        <v>0.36515271962560653</v>
      </c>
      <c r="E142" s="165" t="e">
        <f t="shared" si="6"/>
        <v>#NUM!</v>
      </c>
      <c r="F142" s="81">
        <f t="shared" si="7"/>
        <v>-163307.96616258941</v>
      </c>
      <c r="G142" s="22">
        <f>IF(DomesticRenotioningFlag,ForeignNotional/E141^DomesticUnitFx,G141)</f>
        <v>163307.96616258941</v>
      </c>
      <c r="H142" s="170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</row>
    <row r="143" spans="1:52" s="1" customFormat="1" x14ac:dyDescent="0.2">
      <c r="A143" s="109">
        <v>54826</v>
      </c>
      <c r="B143" s="110">
        <f>_xll.qlCalendarAdjust(DomesticPaymentCalendar,A143)</f>
        <v>54826</v>
      </c>
      <c r="C143" s="17" t="e">
        <v>#NUM!</v>
      </c>
      <c r="D143" s="164">
        <v>0.36254594787724753</v>
      </c>
      <c r="E143" s="165" t="e">
        <f t="shared" si="6"/>
        <v>#NUM!</v>
      </c>
      <c r="F143" s="81">
        <f t="shared" si="7"/>
        <v>-163307.96616258941</v>
      </c>
      <c r="G143" s="22">
        <f>IF(DomesticRenotioningFlag,ForeignNotional/E142^DomesticUnitFx,G142)</f>
        <v>163307.96616258941</v>
      </c>
      <c r="H143" s="170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</row>
    <row r="144" spans="1:52" s="1" customFormat="1" x14ac:dyDescent="0.2">
      <c r="A144" s="109">
        <v>54914</v>
      </c>
      <c r="B144" s="110">
        <f>_xll.qlCalendarAdjust(DomesticPaymentCalendar,A144)</f>
        <v>54914</v>
      </c>
      <c r="C144" s="17" t="e">
        <v>#NUM!</v>
      </c>
      <c r="D144" s="164">
        <v>0.36004873631475154</v>
      </c>
      <c r="E144" s="165" t="e">
        <f t="shared" si="6"/>
        <v>#NUM!</v>
      </c>
      <c r="F144" s="81">
        <f t="shared" si="7"/>
        <v>-163307.96616258941</v>
      </c>
      <c r="G144" s="22">
        <f>IF(DomesticRenotioningFlag,ForeignNotional/E143^DomesticUnitFx,G143)</f>
        <v>163307.96616258941</v>
      </c>
      <c r="H144" s="170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</row>
    <row r="145" spans="1:52" s="1" customFormat="1" x14ac:dyDescent="0.2">
      <c r="A145" s="109">
        <v>55008</v>
      </c>
      <c r="B145" s="110">
        <f>_xll.qlCalendarAdjust(DomesticPaymentCalendar,A145)</f>
        <v>55008</v>
      </c>
      <c r="C145" s="17" t="e">
        <v>#NUM!</v>
      </c>
      <c r="D145" s="164">
        <v>0.35740680592285951</v>
      </c>
      <c r="E145" s="165" t="e">
        <f t="shared" si="6"/>
        <v>#NUM!</v>
      </c>
      <c r="F145" s="81">
        <f t="shared" si="7"/>
        <v>-163307.96616258941</v>
      </c>
      <c r="G145" s="22">
        <f>IF(DomesticRenotioningFlag,ForeignNotional/E144^DomesticUnitFx,G144)</f>
        <v>163307.96616258941</v>
      </c>
      <c r="H145" s="170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</row>
    <row r="146" spans="1:52" s="1" customFormat="1" x14ac:dyDescent="0.2">
      <c r="A146" s="109">
        <v>55099</v>
      </c>
      <c r="B146" s="110">
        <f>_xll.qlCalendarAdjust(DomesticPaymentCalendar,A146)</f>
        <v>55099</v>
      </c>
      <c r="C146" s="17" t="e">
        <v>#NUM!</v>
      </c>
      <c r="D146" s="164">
        <v>0.3548742202135316</v>
      </c>
      <c r="E146" s="165" t="e">
        <f t="shared" si="6"/>
        <v>#NUM!</v>
      </c>
      <c r="F146" s="81">
        <f t="shared" si="7"/>
        <v>-163307.96616258941</v>
      </c>
      <c r="G146" s="22">
        <f>IF(DomesticRenotioningFlag,ForeignNotional/E145^DomesticUnitFx,G145)</f>
        <v>163307.96616258941</v>
      </c>
      <c r="H146" s="170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</row>
    <row r="147" spans="1:52" s="1" customFormat="1" x14ac:dyDescent="0.2">
      <c r="A147" s="109">
        <v>55190</v>
      </c>
      <c r="B147" s="110">
        <f>_xll.qlCalendarAdjust(DomesticPaymentCalendar,A147)</f>
        <v>55190</v>
      </c>
      <c r="C147" s="17" t="e">
        <v>#NUM!</v>
      </c>
      <c r="D147" s="164">
        <v>0.35236614551501444</v>
      </c>
      <c r="E147" s="165" t="e">
        <f t="shared" si="6"/>
        <v>#NUM!</v>
      </c>
      <c r="F147" s="81">
        <f t="shared" si="7"/>
        <v>-163307.96616258941</v>
      </c>
      <c r="G147" s="22">
        <f>IF(DomesticRenotioningFlag,ForeignNotional/E146^DomesticUnitFx,G146)</f>
        <v>163307.96616258941</v>
      </c>
      <c r="H147" s="170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</row>
    <row r="148" spans="1:52" s="1" customFormat="1" x14ac:dyDescent="0.2">
      <c r="A148" s="109">
        <v>55281</v>
      </c>
      <c r="B148" s="110">
        <f>_xll.qlCalendarAdjust(DomesticPaymentCalendar,A148)</f>
        <v>55281</v>
      </c>
      <c r="C148" s="17" t="e">
        <v>#NUM!</v>
      </c>
      <c r="D148" s="164">
        <v>0.34988247092718422</v>
      </c>
      <c r="E148" s="165" t="e">
        <f t="shared" si="6"/>
        <v>#NUM!</v>
      </c>
      <c r="F148" s="81">
        <f t="shared" si="7"/>
        <v>-163307.96616258941</v>
      </c>
      <c r="G148" s="22">
        <f>IF(DomesticRenotioningFlag,ForeignNotional/E147^DomesticUnitFx,G147)</f>
        <v>163307.96616258941</v>
      </c>
      <c r="H148" s="170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</row>
    <row r="149" spans="1:52" s="1" customFormat="1" x14ac:dyDescent="0.2">
      <c r="A149" s="109">
        <v>55372</v>
      </c>
      <c r="B149" s="110">
        <f>_xll.qlCalendarAdjust(DomesticPaymentCalendar,A149)</f>
        <v>55372</v>
      </c>
      <c r="C149" s="17" t="e">
        <v>#NUM!</v>
      </c>
      <c r="D149" s="164">
        <v>0.34742308440887992</v>
      </c>
      <c r="E149" s="165" t="e">
        <f t="shared" si="6"/>
        <v>#NUM!</v>
      </c>
      <c r="F149" s="81">
        <f t="shared" si="7"/>
        <v>-163307.96616258941</v>
      </c>
      <c r="G149" s="22">
        <f>IF(DomesticRenotioningFlag,ForeignNotional/E148^DomesticUnitFx,G148)</f>
        <v>163307.96616258941</v>
      </c>
      <c r="H149" s="170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</row>
    <row r="150" spans="1:52" s="1" customFormat="1" x14ac:dyDescent="0.2">
      <c r="A150" s="109">
        <v>55463</v>
      </c>
      <c r="B150" s="110">
        <f>_xll.qlCalendarAdjust(DomesticPaymentCalendar,A150)</f>
        <v>55463</v>
      </c>
      <c r="C150" s="17" t="e">
        <v>#NUM!</v>
      </c>
      <c r="D150" s="164">
        <v>0.34498787284199878</v>
      </c>
      <c r="E150" s="165" t="e">
        <f t="shared" si="6"/>
        <v>#NUM!</v>
      </c>
      <c r="F150" s="81">
        <f t="shared" si="7"/>
        <v>-163307.96616258941</v>
      </c>
      <c r="G150" s="22">
        <f>IF(DomesticRenotioningFlag,ForeignNotional/E149^DomesticUnitFx,G149)</f>
        <v>163307.96616258941</v>
      </c>
      <c r="H150" s="170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</row>
    <row r="151" spans="1:52" s="1" customFormat="1" x14ac:dyDescent="0.2">
      <c r="A151" s="109">
        <v>55555</v>
      </c>
      <c r="B151" s="110">
        <f>_xll.qlCalendarAdjust(DomesticPaymentCalendar,A151)</f>
        <v>55555</v>
      </c>
      <c r="C151" s="17" t="e">
        <v>#NUM!</v>
      </c>
      <c r="D151" s="164">
        <v>0.34255035915986953</v>
      </c>
      <c r="E151" s="165" t="e">
        <f t="shared" si="6"/>
        <v>#NUM!</v>
      </c>
      <c r="F151" s="81">
        <f t="shared" si="7"/>
        <v>-163307.96616258941</v>
      </c>
      <c r="G151" s="22">
        <f>IF(DomesticRenotioningFlag,ForeignNotional/E150^DomesticUnitFx,G150)</f>
        <v>163307.96616258941</v>
      </c>
      <c r="H151" s="170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</row>
    <row r="152" spans="1:52" s="1" customFormat="1" x14ac:dyDescent="0.2">
      <c r="A152" s="109">
        <v>55645</v>
      </c>
      <c r="B152" s="110">
        <f>_xll.qlCalendarAdjust(DomesticPaymentCalendar,A152)</f>
        <v>55645</v>
      </c>
      <c r="C152" s="17" t="e">
        <v>#NUM!</v>
      </c>
      <c r="D152" s="164">
        <v>0.34018951708258449</v>
      </c>
      <c r="E152" s="165" t="e">
        <f t="shared" si="6"/>
        <v>#NUM!</v>
      </c>
      <c r="F152" s="81">
        <f t="shared" si="7"/>
        <v>-163307.96616258941</v>
      </c>
      <c r="G152" s="22">
        <f>IF(DomesticRenotioningFlag,ForeignNotional/E151^DomesticUnitFx,G151)</f>
        <v>163307.96616258941</v>
      </c>
      <c r="H152" s="170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</row>
    <row r="153" spans="1:52" s="1" customFormat="1" x14ac:dyDescent="0.2">
      <c r="A153" s="109">
        <v>55737</v>
      </c>
      <c r="B153" s="110">
        <f>_xll.qlCalendarAdjust(DomesticPaymentCalendar,A153)</f>
        <v>55737</v>
      </c>
      <c r="C153" s="17" t="e">
        <v>#NUM!</v>
      </c>
      <c r="D153" s="164">
        <v>0.33780030261203836</v>
      </c>
      <c r="E153" s="165" t="e">
        <f t="shared" si="6"/>
        <v>#NUM!</v>
      </c>
      <c r="F153" s="81">
        <f t="shared" si="7"/>
        <v>-163307.96616258941</v>
      </c>
      <c r="G153" s="22">
        <f>IF(DomesticRenotioningFlag,ForeignNotional/E152^DomesticUnitFx,G152)</f>
        <v>163307.96616258941</v>
      </c>
      <c r="H153" s="170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</row>
    <row r="154" spans="1:52" s="1" customFormat="1" x14ac:dyDescent="0.2">
      <c r="A154" s="109">
        <v>55829</v>
      </c>
      <c r="B154" s="110">
        <f>_xll.qlCalendarAdjust(DomesticPaymentCalendar,A154)</f>
        <v>55829</v>
      </c>
      <c r="C154" s="17" t="e">
        <v>#NUM!</v>
      </c>
      <c r="D154" s="164">
        <v>0.33543532380574387</v>
      </c>
      <c r="E154" s="165" t="e">
        <f t="shared" si="6"/>
        <v>#NUM!</v>
      </c>
      <c r="F154" s="81">
        <f t="shared" si="7"/>
        <v>-163307.96616258941</v>
      </c>
      <c r="G154" s="22">
        <f>IF(DomesticRenotioningFlag,ForeignNotional/E153^DomesticUnitFx,G153)</f>
        <v>163307.96616258941</v>
      </c>
      <c r="H154" s="170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</row>
    <row r="155" spans="1:52" s="1" customFormat="1" x14ac:dyDescent="0.2">
      <c r="A155" s="109">
        <v>55921</v>
      </c>
      <c r="B155" s="110">
        <f>_xll.qlCalendarAdjust(DomesticPaymentCalendar,A155)</f>
        <v>55921</v>
      </c>
      <c r="C155" s="17" t="e">
        <v>#NUM!</v>
      </c>
      <c r="D155" s="164">
        <v>0.33309445915426877</v>
      </c>
      <c r="E155" s="165" t="e">
        <f t="shared" si="6"/>
        <v>#NUM!</v>
      </c>
      <c r="F155" s="81">
        <f t="shared" si="7"/>
        <v>-163307.96616258941</v>
      </c>
      <c r="G155" s="22">
        <f>IF(DomesticRenotioningFlag,ForeignNotional/E154^DomesticUnitFx,G154)</f>
        <v>163307.96616258941</v>
      </c>
      <c r="H155" s="170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</row>
    <row r="156" spans="1:52" s="1" customFormat="1" x14ac:dyDescent="0.2">
      <c r="A156" s="109">
        <v>56010</v>
      </c>
      <c r="B156" s="110">
        <f>_xll.qlCalendarAdjust(DomesticPaymentCalendar,A156)</f>
        <v>56010</v>
      </c>
      <c r="C156" s="17" t="e">
        <v>#NUM!</v>
      </c>
      <c r="D156" s="164">
        <v>0.33085275945499043</v>
      </c>
      <c r="E156" s="165" t="e">
        <f t="shared" si="6"/>
        <v>#NUM!</v>
      </c>
      <c r="F156" s="81">
        <f t="shared" si="7"/>
        <v>-163307.96616258941</v>
      </c>
      <c r="G156" s="22">
        <f>IF(DomesticRenotioningFlag,ForeignNotional/E155^DomesticUnitFx,G155)</f>
        <v>163307.96616258941</v>
      </c>
      <c r="H156" s="170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</row>
    <row r="157" spans="1:52" s="1" customFormat="1" x14ac:dyDescent="0.2">
      <c r="A157" s="109">
        <v>56102</v>
      </c>
      <c r="B157" s="110">
        <f>_xll.qlCalendarAdjust(DomesticPaymentCalendar,A157)</f>
        <v>56102</v>
      </c>
      <c r="C157" s="17" t="e">
        <v>#NUM!</v>
      </c>
      <c r="D157" s="164">
        <v>0.3285589792756281</v>
      </c>
      <c r="E157" s="165" t="e">
        <f t="shared" si="6"/>
        <v>#NUM!</v>
      </c>
      <c r="F157" s="81">
        <f t="shared" si="7"/>
        <v>-163307.96616258941</v>
      </c>
      <c r="G157" s="22">
        <f>IF(DomesticRenotioningFlag,ForeignNotional/E156^DomesticUnitFx,G156)</f>
        <v>163307.96616258941</v>
      </c>
      <c r="H157" s="170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</row>
    <row r="158" spans="1:52" s="1" customFormat="1" x14ac:dyDescent="0.2">
      <c r="A158" s="109">
        <v>56194</v>
      </c>
      <c r="B158" s="110">
        <f>_xll.qlCalendarAdjust(DomesticPaymentCalendar,A158)</f>
        <v>56194</v>
      </c>
      <c r="C158" s="17" t="e">
        <v>#NUM!</v>
      </c>
      <c r="D158" s="164">
        <v>0.3262889485315853</v>
      </c>
      <c r="E158" s="165" t="e">
        <f t="shared" si="6"/>
        <v>#NUM!</v>
      </c>
      <c r="F158" s="81">
        <f t="shared" si="7"/>
        <v>-163307.96616258941</v>
      </c>
      <c r="G158" s="22">
        <f>IF(DomesticRenotioningFlag,ForeignNotional/E157^DomesticUnitFx,G157)</f>
        <v>163307.96616258941</v>
      </c>
      <c r="H158" s="170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</row>
    <row r="159" spans="1:52" s="1" customFormat="1" x14ac:dyDescent="0.2">
      <c r="A159" s="109">
        <v>56286</v>
      </c>
      <c r="B159" s="110">
        <f>_xll.qlCalendarAdjust(DomesticPaymentCalendar,A159)</f>
        <v>56286</v>
      </c>
      <c r="C159" s="17" t="e">
        <v>#NUM!</v>
      </c>
      <c r="D159" s="164">
        <v>0.32404254310788916</v>
      </c>
      <c r="E159" s="165" t="e">
        <f t="shared" si="6"/>
        <v>#NUM!</v>
      </c>
      <c r="F159" s="81">
        <f t="shared" si="7"/>
        <v>-163307.96616258941</v>
      </c>
      <c r="G159" s="22">
        <f>IF(DomesticRenotioningFlag,ForeignNotional/E158^DomesticUnitFx,G158)</f>
        <v>163307.96616258941</v>
      </c>
      <c r="H159" s="170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</row>
    <row r="160" spans="1:52" s="1" customFormat="1" x14ac:dyDescent="0.2">
      <c r="A160" s="109">
        <v>56375</v>
      </c>
      <c r="B160" s="110">
        <f>_xll.qlCalendarAdjust(DomesticPaymentCalendar,A160)</f>
        <v>56375</v>
      </c>
      <c r="C160" s="17" t="e">
        <v>#NUM!</v>
      </c>
      <c r="D160" s="164">
        <v>0.32189175502437489</v>
      </c>
      <c r="E160" s="165" t="e">
        <f t="shared" si="6"/>
        <v>#NUM!</v>
      </c>
      <c r="F160" s="81">
        <f t="shared" si="7"/>
        <v>-163307.96616258941</v>
      </c>
      <c r="G160" s="22">
        <f>IF(DomesticRenotioningFlag,ForeignNotional/E159^DomesticUnitFx,G159)</f>
        <v>163307.96616258941</v>
      </c>
      <c r="H160" s="170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</row>
    <row r="161" spans="1:52" s="1" customFormat="1" x14ac:dyDescent="0.2">
      <c r="A161" s="109">
        <v>56467</v>
      </c>
      <c r="B161" s="110">
        <f>_xll.qlCalendarAdjust(DomesticPaymentCalendar,A161)</f>
        <v>56467</v>
      </c>
      <c r="C161" s="17" t="e">
        <v>#NUM!</v>
      </c>
      <c r="D161" s="164">
        <v>0.31969146563060591</v>
      </c>
      <c r="E161" s="165" t="e">
        <f t="shared" si="6"/>
        <v>#NUM!</v>
      </c>
      <c r="F161" s="81">
        <f t="shared" si="7"/>
        <v>-163307.96616258941</v>
      </c>
      <c r="G161" s="22">
        <f>IF(DomesticRenotioningFlag,ForeignNotional/E160^DomesticUnitFx,G160)</f>
        <v>163307.96616258941</v>
      </c>
      <c r="H161" s="170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</row>
    <row r="162" spans="1:52" s="1" customFormat="1" x14ac:dyDescent="0.2">
      <c r="A162" s="109">
        <v>56559</v>
      </c>
      <c r="B162" s="110">
        <f>_xll.qlCalendarAdjust(DomesticPaymentCalendar,A162)</f>
        <v>56559</v>
      </c>
      <c r="C162" s="17" t="e">
        <v>#NUM!</v>
      </c>
      <c r="D162" s="164">
        <v>0.31751443045633548</v>
      </c>
      <c r="E162" s="165" t="e">
        <f t="shared" si="6"/>
        <v>#NUM!</v>
      </c>
      <c r="F162" s="81">
        <f t="shared" ref="F162:F193" si="8">-G163</f>
        <v>-163307.96616258941</v>
      </c>
      <c r="G162" s="22">
        <f>IF(DomesticRenotioningFlag,ForeignNotional/E161^DomesticUnitFx,G161)</f>
        <v>163307.96616258941</v>
      </c>
      <c r="H162" s="170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</row>
    <row r="163" spans="1:52" s="1" customFormat="1" x14ac:dyDescent="0.2">
      <c r="A163" s="109">
        <v>56653</v>
      </c>
      <c r="B163" s="110">
        <f>_xll.qlCalendarAdjust(DomesticPaymentCalendar,A163)</f>
        <v>56653</v>
      </c>
      <c r="C163" s="17" t="e">
        <v>#NUM!</v>
      </c>
      <c r="D163" s="164">
        <v>0.31531390154214017</v>
      </c>
      <c r="E163" s="165" t="e">
        <f t="shared" si="6"/>
        <v>#NUM!</v>
      </c>
      <c r="F163" s="81">
        <f t="shared" si="8"/>
        <v>-163307.96616258941</v>
      </c>
      <c r="G163" s="22">
        <f>IF(DomesticRenotioningFlag,ForeignNotional/E162^DomesticUnitFx,G162)</f>
        <v>163307.96616258941</v>
      </c>
      <c r="H163" s="170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</row>
    <row r="164" spans="1:52" s="1" customFormat="1" x14ac:dyDescent="0.2">
      <c r="A164" s="109">
        <v>56740</v>
      </c>
      <c r="B164" s="110">
        <f>_xll.qlCalendarAdjust(DomesticPaymentCalendar,A164)</f>
        <v>56740</v>
      </c>
      <c r="C164" s="17" t="e">
        <v>#NUM!</v>
      </c>
      <c r="D164" s="164">
        <v>0.31329836068797545</v>
      </c>
      <c r="E164" s="165" t="e">
        <f t="shared" si="6"/>
        <v>#NUM!</v>
      </c>
      <c r="F164" s="81">
        <f t="shared" si="8"/>
        <v>-163307.96616258941</v>
      </c>
      <c r="G164" s="22">
        <f>IF(DomesticRenotioningFlag,ForeignNotional/E163^DomesticUnitFx,G163)</f>
        <v>163307.96616258941</v>
      </c>
      <c r="H164" s="170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</row>
    <row r="165" spans="1:52" s="1" customFormat="1" x14ac:dyDescent="0.2">
      <c r="A165" s="109">
        <v>56832</v>
      </c>
      <c r="B165" s="110">
        <f>_xll.qlCalendarAdjust(DomesticPaymentCalendar,A165)</f>
        <v>56832</v>
      </c>
      <c r="C165" s="17" t="e">
        <v>#NUM!</v>
      </c>
      <c r="D165" s="164">
        <v>0.31118866581130267</v>
      </c>
      <c r="E165" s="165" t="e">
        <f t="shared" si="6"/>
        <v>#NUM!</v>
      </c>
      <c r="F165" s="81">
        <f t="shared" si="8"/>
        <v>-163307.96616258941</v>
      </c>
      <c r="G165" s="22">
        <f>IF(DomesticRenotioningFlag,ForeignNotional/E164^DomesticUnitFx,G164)</f>
        <v>163307.96616258941</v>
      </c>
      <c r="H165" s="170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</row>
    <row r="166" spans="1:52" s="1" customFormat="1" x14ac:dyDescent="0.2">
      <c r="A166" s="109">
        <v>56926</v>
      </c>
      <c r="B166" s="110">
        <f>_xll.qlCalendarAdjust(DomesticPaymentCalendar,A166)</f>
        <v>56926</v>
      </c>
      <c r="C166" s="17" t="e">
        <v>#NUM!</v>
      </c>
      <c r="D166" s="164">
        <v>0.30905570605943389</v>
      </c>
      <c r="E166" s="165" t="e">
        <f t="shared" si="6"/>
        <v>#NUM!</v>
      </c>
      <c r="F166" s="81">
        <f t="shared" si="8"/>
        <v>-163307.96616258941</v>
      </c>
      <c r="G166" s="22">
        <f>IF(DomesticRenotioningFlag,ForeignNotional/E165^DomesticUnitFx,G165)</f>
        <v>163307.96616258941</v>
      </c>
      <c r="H166" s="170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</row>
    <row r="167" spans="1:52" s="1" customFormat="1" x14ac:dyDescent="0.2">
      <c r="A167" s="109">
        <v>57017</v>
      </c>
      <c r="B167" s="110">
        <f>_xll.qlCalendarAdjust(DomesticPaymentCalendar,A167)</f>
        <v>57017</v>
      </c>
      <c r="C167" s="17" t="e">
        <v>#NUM!</v>
      </c>
      <c r="D167" s="164">
        <v>0.30701217461088287</v>
      </c>
      <c r="E167" s="165" t="e">
        <f t="shared" si="6"/>
        <v>#NUM!</v>
      </c>
      <c r="F167" s="81">
        <f t="shared" si="8"/>
        <v>-163307.96616258941</v>
      </c>
      <c r="G167" s="22">
        <f>IF(DomesticRenotioningFlag,ForeignNotional/E166^DomesticUnitFx,G166)</f>
        <v>163307.96616258941</v>
      </c>
      <c r="H167" s="170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</row>
    <row r="168" spans="1:52" s="1" customFormat="1" x14ac:dyDescent="0.2">
      <c r="A168" s="109">
        <v>57108</v>
      </c>
      <c r="B168" s="110">
        <f>_xll.qlCalendarAdjust(DomesticPaymentCalendar,A168)</f>
        <v>57108</v>
      </c>
      <c r="C168" s="17" t="e">
        <v>#NUM!</v>
      </c>
      <c r="D168" s="164">
        <v>0.30498926310982938</v>
      </c>
      <c r="E168" s="165" t="e">
        <f t="shared" si="6"/>
        <v>#NUM!</v>
      </c>
      <c r="F168" s="81">
        <f t="shared" si="8"/>
        <v>-163307.96616258941</v>
      </c>
      <c r="G168" s="22">
        <f>IF(DomesticRenotioningFlag,ForeignNotional/E167^DomesticUnitFx,G167)</f>
        <v>163307.96616258941</v>
      </c>
      <c r="H168" s="170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</row>
    <row r="169" spans="1:52" s="1" customFormat="1" x14ac:dyDescent="0.2">
      <c r="A169" s="109">
        <v>57199</v>
      </c>
      <c r="B169" s="110">
        <f>_xll.qlCalendarAdjust(DomesticPaymentCalendar,A169)</f>
        <v>57199</v>
      </c>
      <c r="C169" s="17" t="e">
        <v>#NUM!</v>
      </c>
      <c r="D169" s="164">
        <v>0.30298659390962468</v>
      </c>
      <c r="E169" s="165" t="e">
        <f t="shared" si="6"/>
        <v>#NUM!</v>
      </c>
      <c r="F169" s="81">
        <f t="shared" si="8"/>
        <v>-163307.96616258941</v>
      </c>
      <c r="G169" s="22">
        <f>IF(DomesticRenotioningFlag,ForeignNotional/E168^DomesticUnitFx,G168)</f>
        <v>163307.96616258941</v>
      </c>
      <c r="H169" s="170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</row>
    <row r="170" spans="1:52" s="1" customFormat="1" x14ac:dyDescent="0.2">
      <c r="A170" s="109">
        <v>57290</v>
      </c>
      <c r="B170" s="110">
        <f>_xll.qlCalendarAdjust(DomesticPaymentCalendar,A170)</f>
        <v>57290</v>
      </c>
      <c r="C170" s="17" t="e">
        <v>#NUM!</v>
      </c>
      <c r="D170" s="164">
        <v>0.30100379616487399</v>
      </c>
      <c r="E170" s="165" t="e">
        <f t="shared" si="6"/>
        <v>#NUM!</v>
      </c>
      <c r="F170" s="81">
        <f t="shared" si="8"/>
        <v>-163307.96616258941</v>
      </c>
      <c r="G170" s="22">
        <f>IF(DomesticRenotioningFlag,ForeignNotional/E169^DomesticUnitFx,G169)</f>
        <v>163307.96616258941</v>
      </c>
      <c r="H170" s="170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</row>
    <row r="171" spans="1:52" s="1" customFormat="1" x14ac:dyDescent="0.2">
      <c r="A171" s="109">
        <v>57382</v>
      </c>
      <c r="B171" s="110">
        <f>_xll.qlCalendarAdjust(DomesticPaymentCalendar,A171)</f>
        <v>57382</v>
      </c>
      <c r="C171" s="17" t="e">
        <v>#NUM!</v>
      </c>
      <c r="D171" s="164">
        <v>0.29901903809731151</v>
      </c>
      <c r="E171" s="165" t="e">
        <f t="shared" si="6"/>
        <v>#NUM!</v>
      </c>
      <c r="F171" s="81">
        <f t="shared" si="8"/>
        <v>-163307.96616258941</v>
      </c>
      <c r="G171" s="22">
        <f>IF(DomesticRenotioningFlag,ForeignNotional/E170^DomesticUnitFx,G170)</f>
        <v>163307.96616258941</v>
      </c>
      <c r="H171" s="170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</row>
    <row r="172" spans="1:52" s="1" customFormat="1" x14ac:dyDescent="0.2">
      <c r="A172" s="109">
        <v>57472</v>
      </c>
      <c r="B172" s="110">
        <f>_xll.qlCalendarAdjust(DomesticPaymentCalendar,A172)</f>
        <v>57472</v>
      </c>
      <c r="C172" s="17" t="e">
        <v>#NUM!</v>
      </c>
      <c r="D172" s="164">
        <v>0.2970963648505327</v>
      </c>
      <c r="E172" s="165" t="e">
        <f t="shared" si="6"/>
        <v>#NUM!</v>
      </c>
      <c r="F172" s="81">
        <f t="shared" si="8"/>
        <v>-163307.96616258941</v>
      </c>
      <c r="G172" s="22">
        <f>IF(DomesticRenotioningFlag,ForeignNotional/E171^DomesticUnitFx,G171)</f>
        <v>163307.96616258941</v>
      </c>
      <c r="H172" s="170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</row>
    <row r="173" spans="1:52" s="1" customFormat="1" x14ac:dyDescent="0.2">
      <c r="A173" s="109">
        <v>57563</v>
      </c>
      <c r="B173" s="110">
        <f>_xll.qlCalendarAdjust(DomesticPaymentCalendar,A173)</f>
        <v>57563</v>
      </c>
      <c r="C173" s="17" t="e">
        <v>#NUM!</v>
      </c>
      <c r="D173" s="164">
        <v>0.29517102238447795</v>
      </c>
      <c r="E173" s="165" t="e">
        <f t="shared" si="6"/>
        <v>#NUM!</v>
      </c>
      <c r="F173" s="81">
        <f t="shared" si="8"/>
        <v>-163307.96616258941</v>
      </c>
      <c r="G173" s="22">
        <f>IF(DomesticRenotioningFlag,ForeignNotional/E172^DomesticUnitFx,G172)</f>
        <v>163307.96616258941</v>
      </c>
      <c r="H173" s="170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</row>
    <row r="174" spans="1:52" s="1" customFormat="1" x14ac:dyDescent="0.2">
      <c r="A174" s="109">
        <v>57655</v>
      </c>
      <c r="B174" s="110">
        <f>_xll.qlCalendarAdjust(DomesticPaymentCalendar,A174)</f>
        <v>57655</v>
      </c>
      <c r="C174" s="17" t="e">
        <v>#NUM!</v>
      </c>
      <c r="D174" s="164">
        <v>0.29324327973909331</v>
      </c>
      <c r="E174" s="165" t="e">
        <f t="shared" si="6"/>
        <v>#NUM!</v>
      </c>
      <c r="F174" s="81">
        <f t="shared" si="8"/>
        <v>-163307.96616258941</v>
      </c>
      <c r="G174" s="22">
        <f>IF(DomesticRenotioningFlag,ForeignNotional/E173^DomesticUnitFx,G173)</f>
        <v>163307.96616258941</v>
      </c>
      <c r="H174" s="170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</row>
    <row r="175" spans="1:52" s="1" customFormat="1" x14ac:dyDescent="0.2">
      <c r="A175" s="109">
        <v>57747</v>
      </c>
      <c r="B175" s="110">
        <f>_xll.qlCalendarAdjust(DomesticPaymentCalendar,A175)</f>
        <v>57747</v>
      </c>
      <c r="C175" s="17" t="e">
        <v>#NUM!</v>
      </c>
      <c r="D175" s="164">
        <v>0.29133404823014347</v>
      </c>
      <c r="E175" s="165" t="e">
        <f t="shared" si="6"/>
        <v>#NUM!</v>
      </c>
      <c r="F175" s="81">
        <f t="shared" si="8"/>
        <v>-163307.96616258941</v>
      </c>
      <c r="G175" s="22">
        <f>IF(DomesticRenotioningFlag,ForeignNotional/E174^DomesticUnitFx,G174)</f>
        <v>163307.96616258941</v>
      </c>
      <c r="H175" s="170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</row>
    <row r="176" spans="1:52" s="1" customFormat="1" x14ac:dyDescent="0.2">
      <c r="A176" s="109">
        <v>57836</v>
      </c>
      <c r="B176" s="110">
        <f>_xll.qlCalendarAdjust(DomesticPaymentCalendar,A176)</f>
        <v>57836</v>
      </c>
      <c r="C176" s="17" t="e">
        <v>#NUM!</v>
      </c>
      <c r="D176" s="164">
        <v>0.28950436617402775</v>
      </c>
      <c r="E176" s="165" t="e">
        <f t="shared" si="6"/>
        <v>#NUM!</v>
      </c>
      <c r="F176" s="81">
        <f t="shared" si="8"/>
        <v>-163307.96616258941</v>
      </c>
      <c r="G176" s="22">
        <f>IF(DomesticRenotioningFlag,ForeignNotional/E175^DomesticUnitFx,G175)</f>
        <v>163307.96616258941</v>
      </c>
      <c r="H176" s="170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</row>
    <row r="177" spans="1:52" s="1" customFormat="1" x14ac:dyDescent="0.2">
      <c r="A177" s="109">
        <v>57928</v>
      </c>
      <c r="B177" s="110">
        <f>_xll.qlCalendarAdjust(DomesticPaymentCalendar,A177)</f>
        <v>57928</v>
      </c>
      <c r="C177" s="17" t="e">
        <v>#NUM!</v>
      </c>
      <c r="D177" s="164">
        <v>0.28763055563274093</v>
      </c>
      <c r="E177" s="165" t="e">
        <f t="shared" si="6"/>
        <v>#NUM!</v>
      </c>
      <c r="F177" s="81">
        <f t="shared" si="8"/>
        <v>-163307.96616258941</v>
      </c>
      <c r="G177" s="22">
        <f>IF(DomesticRenotioningFlag,ForeignNotional/E176^DomesticUnitFx,G176)</f>
        <v>163307.96616258941</v>
      </c>
      <c r="H177" s="170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</row>
    <row r="178" spans="1:52" s="1" customFormat="1" x14ac:dyDescent="0.2">
      <c r="A178" s="109">
        <v>58020</v>
      </c>
      <c r="B178" s="110">
        <f>_xll.qlCalendarAdjust(DomesticPaymentCalendar,A178)</f>
        <v>58020</v>
      </c>
      <c r="C178" s="17" t="e">
        <v>#NUM!</v>
      </c>
      <c r="D178" s="164">
        <v>0.2857742540139554</v>
      </c>
      <c r="E178" s="165" t="e">
        <f t="shared" si="6"/>
        <v>#NUM!</v>
      </c>
      <c r="F178" s="81">
        <f t="shared" si="8"/>
        <v>-163307.96616258941</v>
      </c>
      <c r="G178" s="22">
        <f>IF(DomesticRenotioningFlag,ForeignNotional/E177^DomesticUnitFx,G177)</f>
        <v>163307.96616258941</v>
      </c>
      <c r="H178" s="170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</row>
    <row r="179" spans="1:52" s="1" customFormat="1" x14ac:dyDescent="0.2">
      <c r="A179" s="109">
        <v>58112</v>
      </c>
      <c r="B179" s="110">
        <f>_xll.qlCalendarAdjust(DomesticPaymentCalendar,A179)</f>
        <v>58112</v>
      </c>
      <c r="C179" s="17" t="e">
        <v>#NUM!</v>
      </c>
      <c r="D179" s="164">
        <v>0.28393513551525468</v>
      </c>
      <c r="E179" s="165" t="e">
        <f t="shared" si="6"/>
        <v>#NUM!</v>
      </c>
      <c r="F179" s="81">
        <f t="shared" si="8"/>
        <v>-163307.96616258941</v>
      </c>
      <c r="G179" s="22">
        <f>IF(DomesticRenotioningFlag,ForeignNotional/E178^DomesticUnitFx,G178)</f>
        <v>163307.96616258941</v>
      </c>
      <c r="H179" s="170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</row>
    <row r="180" spans="1:52" s="1" customFormat="1" x14ac:dyDescent="0.2">
      <c r="A180" s="109">
        <v>58201</v>
      </c>
      <c r="B180" s="110">
        <f>_xll.qlCalendarAdjust(DomesticPaymentCalendar,A180)</f>
        <v>58201</v>
      </c>
      <c r="C180" s="17" t="e">
        <v>#NUM!</v>
      </c>
      <c r="D180" s="164">
        <v>0.28217203881972441</v>
      </c>
      <c r="E180" s="165" t="e">
        <f t="shared" si="6"/>
        <v>#NUM!</v>
      </c>
      <c r="F180" s="81">
        <f t="shared" si="8"/>
        <v>-163307.96616258941</v>
      </c>
      <c r="G180" s="22">
        <f>IF(DomesticRenotioningFlag,ForeignNotional/E179^DomesticUnitFx,G179)</f>
        <v>163307.96616258941</v>
      </c>
      <c r="H180" s="170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</row>
    <row r="181" spans="1:52" s="1" customFormat="1" x14ac:dyDescent="0.2">
      <c r="A181" s="109">
        <v>58293</v>
      </c>
      <c r="B181" s="110">
        <f>_xll.qlCalendarAdjust(DomesticPaymentCalendar,A181)</f>
        <v>58293</v>
      </c>
      <c r="C181" s="17" t="e">
        <v>#NUM!</v>
      </c>
      <c r="D181" s="164">
        <v>0.28036579760943281</v>
      </c>
      <c r="E181" s="165" t="e">
        <f t="shared" si="6"/>
        <v>#NUM!</v>
      </c>
      <c r="F181" s="81">
        <f t="shared" si="8"/>
        <v>-163307.96616258941</v>
      </c>
      <c r="G181" s="22">
        <f>IF(DomesticRenotioningFlag,ForeignNotional/E180^DomesticUnitFx,G180)</f>
        <v>163307.96616258941</v>
      </c>
      <c r="H181" s="170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</row>
    <row r="182" spans="1:52" s="1" customFormat="1" x14ac:dyDescent="0.2">
      <c r="A182" s="109">
        <v>58385</v>
      </c>
      <c r="B182" s="110">
        <f>_xll.qlCalendarAdjust(DomesticPaymentCalendar,A182)</f>
        <v>58385</v>
      </c>
      <c r="C182" s="17" t="e">
        <v>#NUM!</v>
      </c>
      <c r="D182" s="164">
        <v>0.27857580660440834</v>
      </c>
      <c r="E182" s="165" t="e">
        <f t="shared" si="6"/>
        <v>#NUM!</v>
      </c>
      <c r="F182" s="81">
        <f t="shared" si="8"/>
        <v>-163307.96616258941</v>
      </c>
      <c r="G182" s="22">
        <f>IF(DomesticRenotioningFlag,ForeignNotional/E181^DomesticUnitFx,G181)</f>
        <v>163307.96616258941</v>
      </c>
      <c r="H182" s="170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</row>
    <row r="183" spans="1:52" s="1" customFormat="1" x14ac:dyDescent="0.2">
      <c r="A183" s="109">
        <v>58477</v>
      </c>
      <c r="B183" s="110">
        <f>_xll.qlCalendarAdjust(DomesticPaymentCalendar,A183)</f>
        <v>58477</v>
      </c>
      <c r="C183" s="17" t="e">
        <v>#NUM!</v>
      </c>
      <c r="D183" s="164">
        <v>0.27680174780164979</v>
      </c>
      <c r="E183" s="165" t="e">
        <f t="shared" si="6"/>
        <v>#NUM!</v>
      </c>
      <c r="F183" s="81">
        <f t="shared" si="8"/>
        <v>-163307.96616258941</v>
      </c>
      <c r="G183" s="22">
        <f>IF(DomesticRenotioningFlag,ForeignNotional/E182^DomesticUnitFx,G182)</f>
        <v>163307.96616258941</v>
      </c>
      <c r="H183" s="170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</row>
    <row r="184" spans="1:52" s="1" customFormat="1" x14ac:dyDescent="0.2">
      <c r="A184" s="109">
        <v>58567</v>
      </c>
      <c r="B184" s="110">
        <f>_xll.qlCalendarAdjust(DomesticPaymentCalendar,A184)</f>
        <v>58567</v>
      </c>
      <c r="C184" s="17" t="e">
        <v>#NUM!</v>
      </c>
      <c r="D184" s="164">
        <v>0.27508131605590791</v>
      </c>
      <c r="E184" s="165" t="e">
        <f t="shared" si="6"/>
        <v>#NUM!</v>
      </c>
      <c r="F184" s="81">
        <f t="shared" si="8"/>
        <v>-163307.96616258941</v>
      </c>
      <c r="G184" s="22">
        <f>IF(DomesticRenotioningFlag,ForeignNotional/E183^DomesticUnitFx,G183)</f>
        <v>163307.96616258941</v>
      </c>
      <c r="H184" s="170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</row>
    <row r="185" spans="1:52" s="1" customFormat="1" x14ac:dyDescent="0.2">
      <c r="A185" s="109">
        <v>58659</v>
      </c>
      <c r="B185" s="110">
        <f>_xll.qlCalendarAdjust(DomesticPaymentCalendar,A185)</f>
        <v>58659</v>
      </c>
      <c r="C185" s="17" t="e">
        <v>#NUM!</v>
      </c>
      <c r="D185" s="164">
        <v>0.27333767659245672</v>
      </c>
      <c r="E185" s="165" t="e">
        <f t="shared" si="6"/>
        <v>#NUM!</v>
      </c>
      <c r="F185" s="81">
        <f t="shared" si="8"/>
        <v>-163307.96616258941</v>
      </c>
      <c r="G185" s="22">
        <f>IF(DomesticRenotioningFlag,ForeignNotional/E184^DomesticUnitFx,G184)</f>
        <v>163307.96616258941</v>
      </c>
      <c r="H185" s="170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</row>
    <row r="186" spans="1:52" s="1" customFormat="1" x14ac:dyDescent="0.2">
      <c r="A186" s="109">
        <v>58753</v>
      </c>
      <c r="B186" s="110">
        <f>_xll.qlCalendarAdjust(DomesticPaymentCalendar,A186)</f>
        <v>58753</v>
      </c>
      <c r="C186" s="17" t="e">
        <v>#NUM!</v>
      </c>
      <c r="D186" s="164">
        <v>0.27157143725066418</v>
      </c>
      <c r="E186" s="165" t="e">
        <f t="shared" si="6"/>
        <v>#NUM!</v>
      </c>
      <c r="F186" s="81">
        <f t="shared" si="8"/>
        <v>-163307.96616258941</v>
      </c>
      <c r="G186" s="22">
        <f>IF(DomesticRenotioningFlag,ForeignNotional/E185^DomesticUnitFx,G185)</f>
        <v>163307.96616258941</v>
      </c>
      <c r="H186" s="170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</row>
    <row r="187" spans="1:52" s="1" customFormat="1" x14ac:dyDescent="0.2">
      <c r="A187" s="109">
        <v>58844</v>
      </c>
      <c r="B187" s="110">
        <f>_xll.qlCalendarAdjust(DomesticPaymentCalendar,A187)</f>
        <v>58844</v>
      </c>
      <c r="C187" s="17" t="e">
        <v>#NUM!</v>
      </c>
      <c r="D187" s="164">
        <v>0.26987594175633578</v>
      </c>
      <c r="E187" s="165" t="e">
        <f t="shared" si="6"/>
        <v>#NUM!</v>
      </c>
      <c r="F187" s="81">
        <f t="shared" si="8"/>
        <v>-163307.96616258941</v>
      </c>
      <c r="G187" s="22">
        <f>IF(DomesticRenotioningFlag,ForeignNotional/E186^DomesticUnitFx,G186)</f>
        <v>163307.96616258941</v>
      </c>
      <c r="H187" s="170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</row>
    <row r="188" spans="1:52" s="1" customFormat="1" x14ac:dyDescent="0.2">
      <c r="A188" s="109">
        <v>58932</v>
      </c>
      <c r="B188" s="110">
        <f>_xll.qlCalendarAdjust(DomesticPaymentCalendar,A188)</f>
        <v>58932</v>
      </c>
      <c r="C188" s="17" t="e">
        <v>#NUM!</v>
      </c>
      <c r="D188" s="164">
        <v>0.26824946352478496</v>
      </c>
      <c r="E188" s="165" t="e">
        <f t="shared" si="6"/>
        <v>#NUM!</v>
      </c>
      <c r="F188" s="81">
        <f t="shared" si="8"/>
        <v>-163307.96616258941</v>
      </c>
      <c r="G188" s="22">
        <f>IF(DomesticRenotioningFlag,ForeignNotional/E187^DomesticUnitFx,G187)</f>
        <v>163307.96616258941</v>
      </c>
      <c r="H188" s="170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</row>
    <row r="189" spans="1:52" s="1" customFormat="1" x14ac:dyDescent="0.2">
      <c r="A189" s="109">
        <v>59026</v>
      </c>
      <c r="B189" s="110">
        <f>_xll.qlCalendarAdjust(DomesticPaymentCalendar,A189)</f>
        <v>59026</v>
      </c>
      <c r="C189" s="17" t="e">
        <v>#NUM!</v>
      </c>
      <c r="D189" s="164">
        <v>0.26652599115972331</v>
      </c>
      <c r="E189" s="165" t="e">
        <f t="shared" si="6"/>
        <v>#NUM!</v>
      </c>
      <c r="F189" s="81">
        <f t="shared" si="8"/>
        <v>-163307.96616258941</v>
      </c>
      <c r="G189" s="22">
        <f>IF(DomesticRenotioningFlag,ForeignNotional/E188^DomesticUnitFx,G188)</f>
        <v>163307.96616258941</v>
      </c>
      <c r="H189" s="170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</row>
    <row r="190" spans="1:52" s="1" customFormat="1" x14ac:dyDescent="0.2">
      <c r="A190" s="109">
        <v>59117</v>
      </c>
      <c r="B190" s="110">
        <f>_xll.qlCalendarAdjust(DomesticPaymentCalendar,A190)</f>
        <v>59117</v>
      </c>
      <c r="C190" s="17" t="e">
        <v>#NUM!</v>
      </c>
      <c r="D190" s="164">
        <v>0.2648708664417283</v>
      </c>
      <c r="E190" s="165" t="e">
        <f t="shared" si="6"/>
        <v>#NUM!</v>
      </c>
      <c r="F190" s="81">
        <f t="shared" si="8"/>
        <v>-163307.96616258941</v>
      </c>
      <c r="G190" s="22">
        <f>IF(DomesticRenotioningFlag,ForeignNotional/E189^DomesticUnitFx,G189)</f>
        <v>163307.96616258941</v>
      </c>
      <c r="H190" s="170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</row>
    <row r="191" spans="1:52" s="1" customFormat="1" x14ac:dyDescent="0.2">
      <c r="A191" s="109">
        <v>59208</v>
      </c>
      <c r="B191" s="110">
        <f>_xll.qlCalendarAdjust(DomesticPaymentCalendar,A191)</f>
        <v>59208</v>
      </c>
      <c r="C191" s="17" t="e">
        <v>#NUM!</v>
      </c>
      <c r="D191" s="164">
        <v>0.26322853981420552</v>
      </c>
      <c r="E191" s="165" t="e">
        <f t="shared" si="6"/>
        <v>#NUM!</v>
      </c>
      <c r="F191" s="81">
        <f t="shared" si="8"/>
        <v>-163307.96616258941</v>
      </c>
      <c r="G191" s="22">
        <f>IF(DomesticRenotioningFlag,ForeignNotional/E190^DomesticUnitFx,G190)</f>
        <v>163307.96616258941</v>
      </c>
      <c r="H191" s="170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</row>
    <row r="192" spans="1:52" s="1" customFormat="1" x14ac:dyDescent="0.2">
      <c r="A192" s="109">
        <v>59299</v>
      </c>
      <c r="B192" s="110">
        <f>_xll.qlCalendarAdjust(DomesticPaymentCalendar,A192)</f>
        <v>59299</v>
      </c>
      <c r="C192" s="17" t="e">
        <v>#NUM!</v>
      </c>
      <c r="D192" s="164">
        <v>0.26159869246684969</v>
      </c>
      <c r="E192" s="165" t="e">
        <f t="shared" si="6"/>
        <v>#NUM!</v>
      </c>
      <c r="F192" s="81">
        <f t="shared" si="8"/>
        <v>-163307.96616258941</v>
      </c>
      <c r="G192" s="22">
        <f>IF(DomesticRenotioningFlag,ForeignNotional/E191^DomesticUnitFx,G191)</f>
        <v>163307.96616258941</v>
      </c>
      <c r="H192" s="170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</row>
    <row r="193" spans="1:52" s="1" customFormat="1" x14ac:dyDescent="0.2">
      <c r="A193" s="109">
        <v>59390</v>
      </c>
      <c r="B193" s="110">
        <f>_xll.qlCalendarAdjust(DomesticPaymentCalendar,A193)</f>
        <v>59390</v>
      </c>
      <c r="C193" s="17" t="e">
        <v>#NUM!</v>
      </c>
      <c r="D193" s="164">
        <v>0.25998101178513983</v>
      </c>
      <c r="E193" s="165" t="e">
        <f t="shared" si="6"/>
        <v>#NUM!</v>
      </c>
      <c r="F193" s="81">
        <f t="shared" si="8"/>
        <v>-163307.96616258941</v>
      </c>
      <c r="G193" s="22">
        <f>IF(DomesticRenotioningFlag,ForeignNotional/E192^DomesticUnitFx,G192)</f>
        <v>163307.96616258941</v>
      </c>
      <c r="H193" s="170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</row>
    <row r="194" spans="1:52" s="1" customFormat="1" x14ac:dyDescent="0.2">
      <c r="A194" s="109">
        <v>59481</v>
      </c>
      <c r="B194" s="110">
        <f>_xll.qlCalendarAdjust(DomesticPaymentCalendar,A194)</f>
        <v>59481</v>
      </c>
      <c r="C194" s="17" t="e">
        <v>#NUM!</v>
      </c>
      <c r="D194" s="164">
        <v>0.25837519124288527</v>
      </c>
      <c r="E194" s="165" t="e">
        <f t="shared" ref="E194:E202" si="9">SpotExchangeValue*(C194/D194)^(-1/DomesticUnitFx)</f>
        <v>#NUM!</v>
      </c>
      <c r="F194" s="81">
        <f t="shared" ref="F194:F201" si="10">-G195</f>
        <v>-163307.96616258941</v>
      </c>
      <c r="G194" s="22">
        <f>IF(DomesticRenotioningFlag,ForeignNotional/E193^DomesticUnitFx,G193)</f>
        <v>163307.96616258941</v>
      </c>
      <c r="H194" s="170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</row>
    <row r="195" spans="1:52" s="1" customFormat="1" x14ac:dyDescent="0.2">
      <c r="A195" s="109">
        <v>59573</v>
      </c>
      <c r="B195" s="110">
        <f>_xll.qlCalendarAdjust(DomesticPaymentCalendar,A195)</f>
        <v>59573</v>
      </c>
      <c r="C195" s="17" t="e">
        <v>#NUM!</v>
      </c>
      <c r="D195" s="164">
        <v>0.25676347405676941</v>
      </c>
      <c r="E195" s="165" t="e">
        <f t="shared" si="9"/>
        <v>#NUM!</v>
      </c>
      <c r="F195" s="81">
        <f t="shared" si="10"/>
        <v>-163307.96616258941</v>
      </c>
      <c r="G195" s="22">
        <f>IF(DomesticRenotioningFlag,ForeignNotional/E194^DomesticUnitFx,G194)</f>
        <v>163307.96616258941</v>
      </c>
      <c r="H195" s="170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</row>
    <row r="196" spans="1:52" s="1" customFormat="1" x14ac:dyDescent="0.2">
      <c r="A196" s="109">
        <v>59663</v>
      </c>
      <c r="B196" s="110">
        <f>_xll.qlCalendarAdjust(DomesticPaymentCalendar,A196)</f>
        <v>59663</v>
      </c>
      <c r="C196" s="17" t="e">
        <v>#NUM!</v>
      </c>
      <c r="D196" s="164">
        <v>0.255197934292343</v>
      </c>
      <c r="E196" s="165" t="e">
        <f t="shared" si="9"/>
        <v>#NUM!</v>
      </c>
      <c r="F196" s="81">
        <f t="shared" si="10"/>
        <v>-163307.96616258941</v>
      </c>
      <c r="G196" s="22">
        <f>IF(DomesticRenotioningFlag,ForeignNotional/E195^DomesticUnitFx,G195)</f>
        <v>163307.96616258941</v>
      </c>
      <c r="H196" s="170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</row>
    <row r="197" spans="1:52" s="1" customFormat="1" x14ac:dyDescent="0.2">
      <c r="A197" s="109">
        <v>59754</v>
      </c>
      <c r="B197" s="110">
        <f>_xll.qlCalendarAdjust(DomesticPaymentCalendar,A197)</f>
        <v>59754</v>
      </c>
      <c r="C197" s="17" t="e">
        <v>#NUM!</v>
      </c>
      <c r="D197" s="164">
        <v>0.25362591435272858</v>
      </c>
      <c r="E197" s="165" t="e">
        <f t="shared" si="9"/>
        <v>#NUM!</v>
      </c>
      <c r="F197" s="81">
        <f t="shared" si="10"/>
        <v>-163307.96616258941</v>
      </c>
      <c r="G197" s="22">
        <f>IF(DomesticRenotioningFlag,ForeignNotional/E196^DomesticUnitFx,G196)</f>
        <v>163307.96616258941</v>
      </c>
      <c r="H197" s="170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</row>
    <row r="198" spans="1:52" s="1" customFormat="1" x14ac:dyDescent="0.2">
      <c r="A198" s="109">
        <v>59846</v>
      </c>
      <c r="B198" s="110">
        <f>_xll.qlCalendarAdjust(DomesticPaymentCalendar,A198)</f>
        <v>59846</v>
      </c>
      <c r="C198" s="17" t="e">
        <v>#NUM!</v>
      </c>
      <c r="D198" s="164">
        <v>0.25204748821654432</v>
      </c>
      <c r="E198" s="165" t="e">
        <f t="shared" si="9"/>
        <v>#NUM!</v>
      </c>
      <c r="F198" s="81">
        <f t="shared" si="10"/>
        <v>-163307.96616258941</v>
      </c>
      <c r="G198" s="22">
        <f>IF(DomesticRenotioningFlag,ForeignNotional/E197^DomesticUnitFx,G197)</f>
        <v>163307.96616258941</v>
      </c>
      <c r="H198" s="170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</row>
    <row r="199" spans="1:52" s="1" customFormat="1" x14ac:dyDescent="0.2">
      <c r="A199" s="109">
        <v>59938</v>
      </c>
      <c r="B199" s="110">
        <f>_xll.qlCalendarAdjust(DomesticPaymentCalendar,A199)</f>
        <v>59938</v>
      </c>
      <c r="C199" s="17" t="e">
        <v>#NUM!</v>
      </c>
      <c r="D199" s="164">
        <v>0.25047970447244694</v>
      </c>
      <c r="E199" s="165" t="e">
        <f t="shared" si="9"/>
        <v>#NUM!</v>
      </c>
      <c r="F199" s="81">
        <f t="shared" si="10"/>
        <v>-163307.96616258941</v>
      </c>
      <c r="G199" s="22">
        <f>IF(DomesticRenotioningFlag,ForeignNotional/E198^DomesticUnitFx,G198)</f>
        <v>163307.96616258941</v>
      </c>
      <c r="H199" s="170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</row>
    <row r="200" spans="1:52" s="1" customFormat="1" x14ac:dyDescent="0.2">
      <c r="A200" s="109">
        <v>60028</v>
      </c>
      <c r="B200" s="110">
        <f>_xll.qlCalendarAdjust(DomesticPaymentCalendar,A200)</f>
        <v>60028</v>
      </c>
      <c r="C200" s="17" t="e">
        <v>#NUM!</v>
      </c>
      <c r="D200" s="164">
        <v>0.24895603084851742</v>
      </c>
      <c r="E200" s="165" t="e">
        <f t="shared" si="9"/>
        <v>#NUM!</v>
      </c>
      <c r="F200" s="81">
        <f t="shared" si="10"/>
        <v>-163307.96616258941</v>
      </c>
      <c r="G200" s="22">
        <f>IF(DomesticRenotioningFlag,ForeignNotional/E199^DomesticUnitFx,G199)</f>
        <v>163307.96616258941</v>
      </c>
      <c r="H200" s="170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</row>
    <row r="201" spans="1:52" s="1" customFormat="1" x14ac:dyDescent="0.2">
      <c r="A201" s="109">
        <v>60120</v>
      </c>
      <c r="B201" s="110">
        <f>_xll.qlCalendarAdjust(DomesticPaymentCalendar,A201)</f>
        <v>60120</v>
      </c>
      <c r="C201" s="17" t="e">
        <v>#NUM!</v>
      </c>
      <c r="D201" s="164">
        <v>0.2474084780432512</v>
      </c>
      <c r="E201" s="165" t="e">
        <f t="shared" si="9"/>
        <v>#NUM!</v>
      </c>
      <c r="F201" s="81">
        <f t="shared" si="10"/>
        <v>-163307.96616258941</v>
      </c>
      <c r="G201" s="22">
        <f>IF(DomesticRenotioningFlag,ForeignNotional/E200^DomesticUnitFx,G200)</f>
        <v>163307.96616258941</v>
      </c>
      <c r="H201" s="170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</row>
    <row r="202" spans="1:52" s="1" customFormat="1" x14ac:dyDescent="0.2">
      <c r="A202" s="112">
        <v>60212</v>
      </c>
      <c r="B202" s="114">
        <f>_xll.qlCalendarAdjust(DomesticPaymentCalendar,A202)</f>
        <v>60212</v>
      </c>
      <c r="C202" s="72" t="e">
        <v>#NUM!</v>
      </c>
      <c r="D202" s="166">
        <v>0.24587074720574609</v>
      </c>
      <c r="E202" s="167" t="e">
        <f t="shared" si="9"/>
        <v>#NUM!</v>
      </c>
      <c r="F202" s="82"/>
      <c r="G202" s="157">
        <f>IF(DomesticRenotioningFlag,ForeignNotional/E201^DomesticUnitFx,G201)</f>
        <v>163307.96616258941</v>
      </c>
      <c r="H202" s="170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</row>
    <row r="203" spans="1:52" s="1" customFormat="1" x14ac:dyDescent="0.2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</row>
    <row r="204" spans="1:52" s="1" customFormat="1" x14ac:dyDescent="0.2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</row>
    <row r="205" spans="1:52" s="1" customFormat="1" x14ac:dyDescent="0.2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</row>
    <row r="206" spans="1:52" s="1" customFormat="1" x14ac:dyDescent="0.2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</row>
    <row r="207" spans="1:52" s="1" customFormat="1" x14ac:dyDescent="0.2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</row>
    <row r="208" spans="1:52" s="1" customFormat="1" x14ac:dyDescent="0.2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</row>
    <row r="209" spans="1:52" s="1" customFormat="1" x14ac:dyDescent="0.2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</row>
    <row r="210" spans="1:52" s="1" customFormat="1" x14ac:dyDescent="0.2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</row>
    <row r="211" spans="1:52" s="1" customFormat="1" x14ac:dyDescent="0.2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</row>
    <row r="212" spans="1:52" s="1" customFormat="1" x14ac:dyDescent="0.2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</row>
    <row r="213" spans="1:52" s="1" customFormat="1" x14ac:dyDescent="0.2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</row>
    <row r="214" spans="1:52" s="1" customFormat="1" x14ac:dyDescent="0.2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</row>
    <row r="215" spans="1:52" s="1" customFormat="1" x14ac:dyDescent="0.2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</row>
    <row r="216" spans="1:52" s="1" customFormat="1" x14ac:dyDescent="0.2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</row>
    <row r="217" spans="1:52" s="1" customFormat="1" x14ac:dyDescent="0.2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</row>
    <row r="218" spans="1:52" s="1" customFormat="1" x14ac:dyDescent="0.2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</row>
    <row r="219" spans="1:52" s="1" customFormat="1" x14ac:dyDescent="0.2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</row>
    <row r="220" spans="1:52" s="1" customFormat="1" x14ac:dyDescent="0.2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</row>
    <row r="221" spans="1:52" s="1" customFormat="1" x14ac:dyDescent="0.2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</row>
    <row r="222" spans="1:52" s="1" customFormat="1" x14ac:dyDescent="0.2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</row>
    <row r="223" spans="1:52" s="1" customFormat="1" x14ac:dyDescent="0.2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</row>
    <row r="224" spans="1:52" s="1" customFormat="1" x14ac:dyDescent="0.2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</row>
    <row r="225" spans="1:52" s="1" customFormat="1" x14ac:dyDescent="0.2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</row>
    <row r="226" spans="1:52" s="1" customFormat="1" x14ac:dyDescent="0.2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</row>
    <row r="227" spans="1:52" s="1" customFormat="1" x14ac:dyDescent="0.2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</row>
    <row r="228" spans="1:52" s="1" customFormat="1" x14ac:dyDescent="0.2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</row>
    <row r="229" spans="1:52" s="1" customFormat="1" x14ac:dyDescent="0.2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</row>
    <row r="230" spans="1:52" s="1" customFormat="1" x14ac:dyDescent="0.2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</row>
    <row r="231" spans="1:52" s="1" customFormat="1" x14ac:dyDescent="0.2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</row>
    <row r="232" spans="1:52" s="1" customFormat="1" x14ac:dyDescent="0.2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</row>
    <row r="233" spans="1:52" s="1" customFormat="1" x14ac:dyDescent="0.2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</row>
    <row r="234" spans="1:52" s="1" customFormat="1" x14ac:dyDescent="0.2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</row>
    <row r="235" spans="1:52" s="1" customFormat="1" x14ac:dyDescent="0.2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</row>
    <row r="236" spans="1:52" s="1" customFormat="1" x14ac:dyDescent="0.2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</row>
    <row r="237" spans="1:52" s="1" customFormat="1" x14ac:dyDescent="0.2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</row>
    <row r="238" spans="1:52" s="1" customFormat="1" x14ac:dyDescent="0.2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</row>
    <row r="239" spans="1:52" s="1" customFormat="1" x14ac:dyDescent="0.2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</row>
    <row r="240" spans="1:52" s="1" customFormat="1" x14ac:dyDescent="0.2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</row>
    <row r="241" spans="1:52" s="1" customFormat="1" x14ac:dyDescent="0.2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</row>
    <row r="242" spans="1:52" s="1" customFormat="1" x14ac:dyDescent="0.2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</row>
    <row r="243" spans="1:52" s="1" customFormat="1" x14ac:dyDescent="0.2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</row>
    <row r="244" spans="1:52" s="1" customFormat="1" x14ac:dyDescent="0.2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</row>
    <row r="245" spans="1:52" s="1" customFormat="1" x14ac:dyDescent="0.2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</row>
    <row r="246" spans="1:52" s="1" customFormat="1" x14ac:dyDescent="0.2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</row>
    <row r="247" spans="1:52" s="1" customFormat="1" x14ac:dyDescent="0.2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</row>
    <row r="248" spans="1:52" s="1" customFormat="1" x14ac:dyDescent="0.2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</row>
    <row r="249" spans="1:52" s="1" customFormat="1" x14ac:dyDescent="0.2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</row>
    <row r="250" spans="1:52" s="1" customFormat="1" x14ac:dyDescent="0.2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</row>
    <row r="251" spans="1:52" s="1" customFormat="1" x14ac:dyDescent="0.2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</row>
    <row r="252" spans="1:52" s="1" customFormat="1" x14ac:dyDescent="0.2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</row>
    <row r="253" spans="1:52" s="1" customFormat="1" x14ac:dyDescent="0.2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</row>
    <row r="254" spans="1:52" s="1" customFormat="1" x14ac:dyDescent="0.2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</row>
    <row r="255" spans="1:52" s="1" customFormat="1" x14ac:dyDescent="0.2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</row>
    <row r="256" spans="1:52" s="1" customFormat="1" x14ac:dyDescent="0.2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</row>
    <row r="257" spans="1:52" s="1" customFormat="1" x14ac:dyDescent="0.2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</row>
    <row r="258" spans="1:52" s="1" customFormat="1" x14ac:dyDescent="0.2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</row>
    <row r="259" spans="1:52" s="1" customFormat="1" x14ac:dyDescent="0.2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</row>
    <row r="260" spans="1:52" s="1" customFormat="1" x14ac:dyDescent="0.2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</row>
    <row r="261" spans="1:52" s="1" customFormat="1" x14ac:dyDescent="0.2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</row>
    <row r="262" spans="1:52" s="1" customFormat="1" x14ac:dyDescent="0.2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</row>
    <row r="263" spans="1:52" s="1" customFormat="1" x14ac:dyDescent="0.2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</row>
    <row r="264" spans="1:52" s="1" customFormat="1" x14ac:dyDescent="0.2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</row>
    <row r="265" spans="1:52" s="1" customFormat="1" x14ac:dyDescent="0.2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</row>
    <row r="266" spans="1:52" s="1" customFormat="1" x14ac:dyDescent="0.2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</row>
    <row r="267" spans="1:52" s="1" customFormat="1" x14ac:dyDescent="0.2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</row>
    <row r="268" spans="1:52" s="1" customFormat="1" x14ac:dyDescent="0.2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</row>
    <row r="269" spans="1:52" s="1" customFormat="1" x14ac:dyDescent="0.2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</row>
    <row r="270" spans="1:52" s="1" customFormat="1" x14ac:dyDescent="0.2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</row>
    <row r="271" spans="1:52" s="1" customFormat="1" x14ac:dyDescent="0.2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</row>
    <row r="272" spans="1:52" s="1" customFormat="1" x14ac:dyDescent="0.2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</row>
    <row r="273" spans="1:52" s="1" customFormat="1" x14ac:dyDescent="0.2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</row>
    <row r="274" spans="1:52" s="1" customFormat="1" x14ac:dyDescent="0.2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</row>
    <row r="275" spans="1:52" s="1" customFormat="1" x14ac:dyDescent="0.2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</row>
    <row r="276" spans="1:52" s="1" customFormat="1" x14ac:dyDescent="0.2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</row>
    <row r="277" spans="1:52" s="1" customFormat="1" x14ac:dyDescent="0.2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</row>
    <row r="278" spans="1:52" s="1" customFormat="1" x14ac:dyDescent="0.2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</row>
    <row r="279" spans="1:52" s="1" customFormat="1" x14ac:dyDescent="0.2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</row>
    <row r="280" spans="1:52" s="1" customFormat="1" x14ac:dyDescent="0.2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</row>
    <row r="281" spans="1:52" s="1" customFormat="1" x14ac:dyDescent="0.2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</row>
    <row r="282" spans="1:52" s="1" customFormat="1" x14ac:dyDescent="0.2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</row>
    <row r="283" spans="1:52" s="1" customFormat="1" x14ac:dyDescent="0.2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</row>
    <row r="284" spans="1:52" s="1" customFormat="1" x14ac:dyDescent="0.2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</row>
    <row r="285" spans="1:52" s="1" customFormat="1" x14ac:dyDescent="0.2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</row>
    <row r="286" spans="1:52" s="1" customFormat="1" x14ac:dyDescent="0.2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</row>
    <row r="287" spans="1:52" s="1" customFormat="1" x14ac:dyDescent="0.2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</row>
    <row r="288" spans="1:52" s="1" customFormat="1" x14ac:dyDescent="0.2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</row>
    <row r="289" spans="1:52" s="1" customFormat="1" x14ac:dyDescent="0.2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</row>
    <row r="290" spans="1:52" s="1" customFormat="1" x14ac:dyDescent="0.2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</row>
    <row r="291" spans="1:52" s="1" customFormat="1" x14ac:dyDescent="0.2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</row>
    <row r="292" spans="1:52" s="1" customFormat="1" x14ac:dyDescent="0.2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</row>
    <row r="293" spans="1:52" s="1" customFormat="1" x14ac:dyDescent="0.2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</row>
    <row r="294" spans="1:52" s="1" customFormat="1" x14ac:dyDescent="0.2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</row>
    <row r="295" spans="1:52" s="1" customFormat="1" x14ac:dyDescent="0.2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</row>
    <row r="296" spans="1:52" s="1" customFormat="1" x14ac:dyDescent="0.2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</row>
    <row r="297" spans="1:52" s="1" customFormat="1" x14ac:dyDescent="0.2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</row>
    <row r="298" spans="1:52" s="1" customFormat="1" x14ac:dyDescent="0.2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</row>
    <row r="299" spans="1:52" s="1" customFormat="1" x14ac:dyDescent="0.2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</row>
    <row r="300" spans="1:52" s="1" customFormat="1" x14ac:dyDescent="0.2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</row>
    <row r="301" spans="1:52" s="1" customFormat="1" x14ac:dyDescent="0.2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</row>
    <row r="302" spans="1:52" s="1" customFormat="1" x14ac:dyDescent="0.2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</row>
    <row r="303" spans="1:52" s="1" customFormat="1" x14ac:dyDescent="0.2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</row>
    <row r="304" spans="1:52" s="1" customFormat="1" x14ac:dyDescent="0.2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</row>
    <row r="305" spans="1:52" s="1" customFormat="1" x14ac:dyDescent="0.2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</row>
    <row r="306" spans="1:52" s="1" customFormat="1" x14ac:dyDescent="0.2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</row>
    <row r="307" spans="1:52" s="1" customFormat="1" x14ac:dyDescent="0.2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</row>
    <row r="308" spans="1:52" s="1" customFormat="1" x14ac:dyDescent="0.2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</row>
    <row r="309" spans="1:52" s="1" customFormat="1" x14ac:dyDescent="0.2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</row>
    <row r="310" spans="1:52" s="1" customFormat="1" x14ac:dyDescent="0.2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</row>
    <row r="311" spans="1:52" s="1" customFormat="1" x14ac:dyDescent="0.2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</row>
    <row r="312" spans="1:52" s="1" customFormat="1" x14ac:dyDescent="0.2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</row>
    <row r="313" spans="1:52" s="1" customFormat="1" x14ac:dyDescent="0.2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</row>
    <row r="314" spans="1:52" s="1" customFormat="1" x14ac:dyDescent="0.2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</row>
    <row r="315" spans="1:52" s="1" customFormat="1" x14ac:dyDescent="0.2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</row>
    <row r="316" spans="1:52" s="1" customFormat="1" x14ac:dyDescent="0.2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</row>
    <row r="317" spans="1:52" s="1" customFormat="1" x14ac:dyDescent="0.2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</row>
    <row r="318" spans="1:52" s="1" customFormat="1" x14ac:dyDescent="0.2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</row>
    <row r="319" spans="1:52" s="1" customFormat="1" x14ac:dyDescent="0.2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</row>
    <row r="320" spans="1:52" s="1" customFormat="1" x14ac:dyDescent="0.2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</row>
    <row r="321" spans="1:52" s="1" customFormat="1" x14ac:dyDescent="0.2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</row>
    <row r="322" spans="1:52" s="1" customFormat="1" x14ac:dyDescent="0.2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</row>
    <row r="323" spans="1:52" s="1" customFormat="1" x14ac:dyDescent="0.2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</row>
    <row r="324" spans="1:52" s="1" customFormat="1" x14ac:dyDescent="0.2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</row>
    <row r="325" spans="1:52" s="1" customFormat="1" x14ac:dyDescent="0.2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</row>
    <row r="326" spans="1:52" s="1" customFormat="1" x14ac:dyDescent="0.2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</row>
    <row r="327" spans="1:52" s="1" customFormat="1" x14ac:dyDescent="0.2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</row>
    <row r="328" spans="1:52" s="1" customFormat="1" x14ac:dyDescent="0.2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</row>
    <row r="329" spans="1:52" s="1" customFormat="1" x14ac:dyDescent="0.2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</row>
    <row r="330" spans="1:52" s="1" customFormat="1" x14ac:dyDescent="0.2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</row>
    <row r="331" spans="1:52" s="1" customFormat="1" x14ac:dyDescent="0.2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</row>
    <row r="332" spans="1:52" s="1" customFormat="1" x14ac:dyDescent="0.2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</row>
    <row r="333" spans="1:52" s="1" customFormat="1" x14ac:dyDescent="0.2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</row>
    <row r="334" spans="1:52" s="1" customFormat="1" x14ac:dyDescent="0.2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</row>
    <row r="335" spans="1:52" s="1" customFormat="1" x14ac:dyDescent="0.2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</row>
    <row r="336" spans="1:52" s="1" customFormat="1" x14ac:dyDescent="0.2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</row>
    <row r="337" spans="1:52" s="1" customFormat="1" x14ac:dyDescent="0.2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</row>
    <row r="338" spans="1:52" s="1" customFormat="1" x14ac:dyDescent="0.2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</row>
    <row r="339" spans="1:52" s="1" customFormat="1" x14ac:dyDescent="0.2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</row>
    <row r="340" spans="1:52" s="1" customFormat="1" x14ac:dyDescent="0.2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</row>
    <row r="341" spans="1:52" s="1" customFormat="1" x14ac:dyDescent="0.2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</row>
    <row r="342" spans="1:52" s="1" customFormat="1" x14ac:dyDescent="0.2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</row>
    <row r="343" spans="1:52" s="1" customFormat="1" x14ac:dyDescent="0.2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</row>
    <row r="344" spans="1:52" s="1" customFormat="1" x14ac:dyDescent="0.2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</row>
    <row r="345" spans="1:52" s="1" customFormat="1" x14ac:dyDescent="0.2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</row>
    <row r="346" spans="1:52" s="1" customFormat="1" x14ac:dyDescent="0.2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</row>
    <row r="347" spans="1:52" s="1" customFormat="1" x14ac:dyDescent="0.2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</row>
    <row r="348" spans="1:52" s="1" customFormat="1" x14ac:dyDescent="0.2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</row>
    <row r="349" spans="1:52" s="1" customFormat="1" x14ac:dyDescent="0.2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</row>
    <row r="350" spans="1:52" s="1" customFormat="1" x14ac:dyDescent="0.2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</row>
    <row r="351" spans="1:52" s="1" customFormat="1" x14ac:dyDescent="0.2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</row>
    <row r="352" spans="1:52" s="1" customFormat="1" x14ac:dyDescent="0.2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</row>
    <row r="353" spans="1:52" s="1" customFormat="1" x14ac:dyDescent="0.2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</row>
    <row r="354" spans="1:52" s="1" customFormat="1" x14ac:dyDescent="0.2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</row>
    <row r="355" spans="1:52" s="1" customFormat="1" x14ac:dyDescent="0.2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</row>
    <row r="356" spans="1:52" s="1" customFormat="1" x14ac:dyDescent="0.2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</row>
    <row r="357" spans="1:52" s="1" customFormat="1" x14ac:dyDescent="0.2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</row>
    <row r="358" spans="1:52" s="1" customFormat="1" x14ac:dyDescent="0.2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</row>
    <row r="359" spans="1:52" s="1" customFormat="1" x14ac:dyDescent="0.2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</row>
    <row r="360" spans="1:52" s="1" customFormat="1" x14ac:dyDescent="0.2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</row>
    <row r="361" spans="1:52" s="1" customFormat="1" x14ac:dyDescent="0.2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</row>
    <row r="362" spans="1:52" s="1" customFormat="1" x14ac:dyDescent="0.2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</row>
    <row r="363" spans="1:52" s="1" customFormat="1" x14ac:dyDescent="0.2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</row>
    <row r="364" spans="1:52" s="1" customFormat="1" x14ac:dyDescent="0.2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</row>
    <row r="365" spans="1:52" s="1" customFormat="1" x14ac:dyDescent="0.2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</row>
    <row r="366" spans="1:52" s="1" customFormat="1" x14ac:dyDescent="0.2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</row>
    <row r="367" spans="1:52" s="1" customFormat="1" x14ac:dyDescent="0.2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</row>
    <row r="368" spans="1:52" s="1" customFormat="1" x14ac:dyDescent="0.2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</row>
    <row r="369" spans="1:52" s="1" customFormat="1" x14ac:dyDescent="0.2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</row>
    <row r="370" spans="1:52" s="1" customFormat="1" x14ac:dyDescent="0.2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</row>
    <row r="371" spans="1:52" s="1" customFormat="1" x14ac:dyDescent="0.2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</row>
    <row r="372" spans="1:52" s="1" customFormat="1" x14ac:dyDescent="0.2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</row>
    <row r="373" spans="1:52" s="1" customFormat="1" x14ac:dyDescent="0.2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</row>
    <row r="374" spans="1:52" s="1" customFormat="1" x14ac:dyDescent="0.2">
      <c r="A374" s="99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</row>
    <row r="375" spans="1:52" s="1" customFormat="1" x14ac:dyDescent="0.2">
      <c r="A375" s="99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</row>
    <row r="376" spans="1:52" s="1" customFormat="1" x14ac:dyDescent="0.2">
      <c r="A376" s="99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</row>
    <row r="377" spans="1:52" s="1" customFormat="1" x14ac:dyDescent="0.2">
      <c r="A377" s="99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</row>
    <row r="378" spans="1:52" s="1" customFormat="1" x14ac:dyDescent="0.2">
      <c r="A378" s="99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</row>
    <row r="379" spans="1:52" s="1" customFormat="1" x14ac:dyDescent="0.2">
      <c r="A379" s="99"/>
      <c r="B379" s="99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</row>
    <row r="380" spans="1:52" s="1" customFormat="1" x14ac:dyDescent="0.2">
      <c r="A380" s="99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</row>
    <row r="381" spans="1:52" s="1" customFormat="1" x14ac:dyDescent="0.2">
      <c r="A381" s="99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</row>
    <row r="382" spans="1:52" s="1" customFormat="1" x14ac:dyDescent="0.2">
      <c r="A382" s="99"/>
      <c r="B382" s="99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</row>
    <row r="383" spans="1:52" s="1" customFormat="1" x14ac:dyDescent="0.2">
      <c r="A383" s="99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</row>
    <row r="384" spans="1:52" s="1" customFormat="1" x14ac:dyDescent="0.2">
      <c r="A384" s="99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</row>
    <row r="385" spans="1:52" s="1" customFormat="1" x14ac:dyDescent="0.2">
      <c r="A385" s="99"/>
      <c r="B385" s="99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</row>
    <row r="386" spans="1:52" s="1" customFormat="1" x14ac:dyDescent="0.2">
      <c r="A386" s="99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</row>
    <row r="387" spans="1:52" s="1" customFormat="1" x14ac:dyDescent="0.2">
      <c r="A387" s="99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</row>
    <row r="388" spans="1:52" s="1" customFormat="1" x14ac:dyDescent="0.2">
      <c r="A388" s="99"/>
      <c r="B388" s="99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</row>
    <row r="389" spans="1:52" s="1" customFormat="1" x14ac:dyDescent="0.2">
      <c r="A389" s="99"/>
      <c r="B389" s="99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</row>
    <row r="390" spans="1:52" s="1" customFormat="1" x14ac:dyDescent="0.2">
      <c r="A390" s="99"/>
      <c r="B390" s="99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</row>
    <row r="391" spans="1:52" s="1" customFormat="1" x14ac:dyDescent="0.2">
      <c r="A391" s="99"/>
      <c r="B391" s="99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</row>
    <row r="392" spans="1:52" s="1" customFormat="1" x14ac:dyDescent="0.2">
      <c r="A392" s="99"/>
      <c r="B392" s="99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</row>
    <row r="393" spans="1:52" s="1" customFormat="1" x14ac:dyDescent="0.2">
      <c r="A393" s="99"/>
      <c r="B393" s="99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</row>
    <row r="394" spans="1:52" s="1" customFormat="1" x14ac:dyDescent="0.2">
      <c r="A394" s="99"/>
      <c r="B394" s="99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</row>
    <row r="395" spans="1:52" s="1" customFormat="1" x14ac:dyDescent="0.2">
      <c r="A395" s="99"/>
      <c r="B395" s="99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</row>
    <row r="396" spans="1:52" s="1" customFormat="1" x14ac:dyDescent="0.2">
      <c r="A396" s="99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</row>
    <row r="397" spans="1:52" s="1" customFormat="1" x14ac:dyDescent="0.2">
      <c r="A397" s="99"/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</row>
    <row r="398" spans="1:52" s="1" customFormat="1" x14ac:dyDescent="0.2">
      <c r="A398" s="99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</row>
    <row r="399" spans="1:52" s="1" customFormat="1" x14ac:dyDescent="0.2">
      <c r="A399" s="99"/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</row>
    <row r="400" spans="1:52" s="1" customFormat="1" x14ac:dyDescent="0.2">
      <c r="A400" s="99"/>
      <c r="B400" s="99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</row>
    <row r="401" spans="1:52" s="1" customFormat="1" x14ac:dyDescent="0.2">
      <c r="A401" s="99"/>
      <c r="B401" s="99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</row>
    <row r="402" spans="1:52" s="1" customFormat="1" x14ac:dyDescent="0.2">
      <c r="A402" s="99"/>
      <c r="B402" s="99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</row>
    <row r="403" spans="1:52" s="1" customFormat="1" x14ac:dyDescent="0.2">
      <c r="A403" s="99"/>
      <c r="B403" s="99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</row>
    <row r="404" spans="1:52" s="1" customFormat="1" x14ac:dyDescent="0.2">
      <c r="A404" s="99"/>
      <c r="B404" s="99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</row>
    <row r="405" spans="1:52" s="1" customFormat="1" x14ac:dyDescent="0.2">
      <c r="A405" s="99"/>
      <c r="B405" s="99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</row>
    <row r="406" spans="1:52" s="1" customFormat="1" x14ac:dyDescent="0.2">
      <c r="A406" s="99"/>
      <c r="B406" s="99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</row>
    <row r="407" spans="1:52" s="1" customFormat="1" x14ac:dyDescent="0.2">
      <c r="A407" s="99"/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</row>
    <row r="408" spans="1:52" s="1" customFormat="1" x14ac:dyDescent="0.2">
      <c r="A408" s="99"/>
      <c r="B408" s="99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</row>
    <row r="409" spans="1:52" s="1" customFormat="1" x14ac:dyDescent="0.2">
      <c r="A409" s="99"/>
      <c r="B409" s="99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</row>
    <row r="410" spans="1:52" s="1" customFormat="1" x14ac:dyDescent="0.2">
      <c r="A410" s="99"/>
      <c r="B410" s="99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</row>
    <row r="411" spans="1:52" s="1" customFormat="1" x14ac:dyDescent="0.2">
      <c r="A411" s="99"/>
      <c r="B411" s="99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</row>
    <row r="412" spans="1:52" s="1" customFormat="1" x14ac:dyDescent="0.2">
      <c r="A412" s="99"/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</row>
    <row r="413" spans="1:52" s="1" customFormat="1" x14ac:dyDescent="0.2">
      <c r="A413" s="99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</row>
    <row r="414" spans="1:52" s="1" customFormat="1" x14ac:dyDescent="0.2">
      <c r="A414" s="99"/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</row>
    <row r="415" spans="1:52" s="1" customFormat="1" x14ac:dyDescent="0.2">
      <c r="A415" s="99"/>
      <c r="B415" s="99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</row>
    <row r="416" spans="1:52" s="1" customFormat="1" x14ac:dyDescent="0.2">
      <c r="A416" s="99"/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</row>
    <row r="417" spans="1:52" s="1" customFormat="1" x14ac:dyDescent="0.2">
      <c r="A417" s="99"/>
      <c r="B417" s="99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</row>
    <row r="418" spans="1:52" s="1" customFormat="1" x14ac:dyDescent="0.2">
      <c r="A418" s="99"/>
      <c r="B418" s="99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</row>
    <row r="419" spans="1:52" s="1" customFormat="1" x14ac:dyDescent="0.2">
      <c r="A419" s="99"/>
      <c r="B419" s="99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</row>
    <row r="420" spans="1:52" s="1" customFormat="1" x14ac:dyDescent="0.2">
      <c r="A420" s="99"/>
      <c r="B420" s="99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</row>
    <row r="421" spans="1:52" s="1" customFormat="1" x14ac:dyDescent="0.2">
      <c r="A421" s="99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</row>
    <row r="422" spans="1:52" s="1" customFormat="1" x14ac:dyDescent="0.2">
      <c r="A422" s="99"/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</row>
    <row r="423" spans="1:52" s="1" customFormat="1" x14ac:dyDescent="0.2">
      <c r="A423" s="99"/>
      <c r="B423" s="99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</row>
    <row r="424" spans="1:52" s="1" customFormat="1" x14ac:dyDescent="0.2">
      <c r="A424" s="99"/>
      <c r="B424" s="99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</row>
    <row r="425" spans="1:52" s="1" customFormat="1" x14ac:dyDescent="0.2">
      <c r="A425" s="99"/>
      <c r="B425" s="99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</row>
    <row r="426" spans="1:52" s="1" customFormat="1" x14ac:dyDescent="0.2">
      <c r="A426" s="99"/>
      <c r="B426" s="99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</row>
    <row r="427" spans="1:52" s="1" customFormat="1" x14ac:dyDescent="0.2">
      <c r="A427" s="99"/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</row>
    <row r="428" spans="1:52" s="1" customFormat="1" x14ac:dyDescent="0.2">
      <c r="A428" s="99"/>
      <c r="B428" s="99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</row>
    <row r="429" spans="1:52" s="1" customFormat="1" x14ac:dyDescent="0.2">
      <c r="A429" s="99"/>
      <c r="B429" s="99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</row>
    <row r="430" spans="1:52" s="1" customFormat="1" x14ac:dyDescent="0.2">
      <c r="A430" s="99"/>
      <c r="B430" s="99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</row>
    <row r="431" spans="1:52" s="1" customFormat="1" x14ac:dyDescent="0.2">
      <c r="A431" s="99"/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</row>
    <row r="432" spans="1:52" s="1" customFormat="1" x14ac:dyDescent="0.2">
      <c r="A432" s="99"/>
      <c r="B432" s="99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</row>
    <row r="433" spans="1:52" s="1" customFormat="1" x14ac:dyDescent="0.2">
      <c r="A433" s="99"/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</row>
    <row r="434" spans="1:52" s="1" customFormat="1" x14ac:dyDescent="0.2">
      <c r="A434" s="99"/>
      <c r="B434" s="99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</row>
    <row r="435" spans="1:52" s="1" customFormat="1" x14ac:dyDescent="0.2">
      <c r="A435" s="99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</row>
    <row r="436" spans="1:52" s="1" customFormat="1" x14ac:dyDescent="0.2">
      <c r="A436" s="99"/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</row>
    <row r="437" spans="1:52" s="1" customFormat="1" x14ac:dyDescent="0.2">
      <c r="A437" s="99"/>
      <c r="B437" s="99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</row>
    <row r="438" spans="1:52" s="1" customFormat="1" x14ac:dyDescent="0.2">
      <c r="A438" s="99"/>
      <c r="B438" s="99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</row>
    <row r="439" spans="1:52" s="1" customFormat="1" x14ac:dyDescent="0.2">
      <c r="A439" s="99"/>
      <c r="B439" s="99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</row>
    <row r="440" spans="1:52" s="1" customFormat="1" x14ac:dyDescent="0.2">
      <c r="A440" s="99"/>
      <c r="B440" s="99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</row>
    <row r="441" spans="1:52" s="1" customFormat="1" x14ac:dyDescent="0.2">
      <c r="A441" s="99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</row>
    <row r="442" spans="1:52" s="1" customFormat="1" x14ac:dyDescent="0.2">
      <c r="A442" s="99"/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</row>
    <row r="443" spans="1:52" s="1" customFormat="1" x14ac:dyDescent="0.2">
      <c r="A443" s="99"/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</row>
    <row r="444" spans="1:52" s="1" customFormat="1" x14ac:dyDescent="0.2">
      <c r="A444" s="99"/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</row>
    <row r="445" spans="1:52" s="1" customFormat="1" x14ac:dyDescent="0.2">
      <c r="A445" s="99"/>
      <c r="B445" s="99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</row>
    <row r="446" spans="1:52" s="1" customFormat="1" x14ac:dyDescent="0.2">
      <c r="A446" s="99"/>
      <c r="B446" s="99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</row>
    <row r="447" spans="1:52" s="1" customFormat="1" x14ac:dyDescent="0.2">
      <c r="A447" s="99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</row>
    <row r="448" spans="1:52" s="1" customFormat="1" x14ac:dyDescent="0.2">
      <c r="A448" s="99"/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</row>
    <row r="449" spans="1:52" s="1" customFormat="1" x14ac:dyDescent="0.2">
      <c r="A449" s="99"/>
      <c r="B449" s="99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</row>
    <row r="450" spans="1:52" s="1" customFormat="1" x14ac:dyDescent="0.2">
      <c r="A450" s="99"/>
      <c r="B450" s="99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</row>
    <row r="451" spans="1:52" s="1" customFormat="1" x14ac:dyDescent="0.2">
      <c r="A451" s="99"/>
      <c r="B451" s="99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</row>
    <row r="452" spans="1:52" s="1" customFormat="1" x14ac:dyDescent="0.2">
      <c r="A452" s="99"/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</row>
    <row r="453" spans="1:52" s="1" customFormat="1" x14ac:dyDescent="0.2">
      <c r="A453" s="99"/>
      <c r="B453" s="99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</row>
    <row r="454" spans="1:52" s="1" customFormat="1" x14ac:dyDescent="0.2">
      <c r="A454" s="99"/>
      <c r="B454" s="99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</row>
    <row r="455" spans="1:52" s="1" customFormat="1" x14ac:dyDescent="0.2">
      <c r="A455" s="99"/>
      <c r="B455" s="99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</row>
    <row r="456" spans="1:52" s="1" customFormat="1" x14ac:dyDescent="0.2">
      <c r="A456" s="99"/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</row>
    <row r="457" spans="1:52" s="1" customFormat="1" x14ac:dyDescent="0.2">
      <c r="A457" s="99"/>
      <c r="B457" s="99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</row>
    <row r="458" spans="1:52" s="1" customFormat="1" x14ac:dyDescent="0.2">
      <c r="A458" s="99"/>
      <c r="B458" s="99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</row>
    <row r="459" spans="1:52" s="1" customFormat="1" x14ac:dyDescent="0.2">
      <c r="A459" s="99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</row>
    <row r="460" spans="1:52" s="1" customFormat="1" x14ac:dyDescent="0.2">
      <c r="A460" s="99"/>
      <c r="B460" s="99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</row>
    <row r="461" spans="1:52" s="1" customFormat="1" x14ac:dyDescent="0.2">
      <c r="A461" s="99"/>
      <c r="B461" s="99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</row>
    <row r="462" spans="1:52" s="1" customFormat="1" x14ac:dyDescent="0.2">
      <c r="A462" s="99"/>
      <c r="B462" s="99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</row>
    <row r="463" spans="1:52" s="1" customFormat="1" x14ac:dyDescent="0.2">
      <c r="A463" s="99"/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</row>
    <row r="464" spans="1:52" s="1" customFormat="1" x14ac:dyDescent="0.2">
      <c r="A464" s="99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</row>
    <row r="465" spans="1:52" s="1" customFormat="1" x14ac:dyDescent="0.2">
      <c r="A465" s="99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</row>
    <row r="466" spans="1:52" s="1" customFormat="1" x14ac:dyDescent="0.2">
      <c r="A466" s="99"/>
      <c r="B466" s="99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</row>
    <row r="467" spans="1:52" s="1" customFormat="1" x14ac:dyDescent="0.2">
      <c r="A467" s="99"/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</row>
    <row r="468" spans="1:52" s="1" customFormat="1" x14ac:dyDescent="0.2">
      <c r="A468" s="99"/>
      <c r="B468" s="99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</row>
    <row r="469" spans="1:52" s="1" customFormat="1" x14ac:dyDescent="0.2">
      <c r="A469" s="99"/>
      <c r="B469" s="99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</row>
    <row r="470" spans="1:52" s="1" customFormat="1" x14ac:dyDescent="0.2">
      <c r="A470" s="99"/>
      <c r="B470" s="99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</row>
    <row r="471" spans="1:52" s="1" customFormat="1" x14ac:dyDescent="0.2">
      <c r="A471" s="99"/>
      <c r="B471" s="99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</row>
    <row r="472" spans="1:52" s="1" customFormat="1" x14ac:dyDescent="0.2">
      <c r="A472" s="99"/>
      <c r="B472" s="99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</row>
    <row r="473" spans="1:52" s="1" customFormat="1" x14ac:dyDescent="0.2">
      <c r="A473" s="99"/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</row>
    <row r="474" spans="1:52" s="1" customFormat="1" x14ac:dyDescent="0.2">
      <c r="A474" s="99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</row>
    <row r="475" spans="1:52" s="1" customFormat="1" x14ac:dyDescent="0.2">
      <c r="A475" s="99"/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</row>
    <row r="476" spans="1:52" s="1" customFormat="1" x14ac:dyDescent="0.2">
      <c r="A476" s="99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</row>
    <row r="477" spans="1:52" s="1" customFormat="1" x14ac:dyDescent="0.2">
      <c r="A477" s="99"/>
      <c r="B477" s="99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</row>
    <row r="478" spans="1:52" s="1" customFormat="1" x14ac:dyDescent="0.2">
      <c r="A478" s="99"/>
      <c r="B478" s="99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</row>
    <row r="479" spans="1:52" s="1" customFormat="1" x14ac:dyDescent="0.2">
      <c r="A479" s="99"/>
      <c r="B479" s="99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</row>
    <row r="480" spans="1:52" s="1" customFormat="1" x14ac:dyDescent="0.2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</row>
    <row r="481" spans="1:52" s="1" customFormat="1" x14ac:dyDescent="0.2">
      <c r="A481" s="99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</row>
    <row r="482" spans="1:52" s="1" customFormat="1" x14ac:dyDescent="0.2">
      <c r="A482" s="99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</row>
    <row r="483" spans="1:52" s="1" customFormat="1" x14ac:dyDescent="0.2">
      <c r="A483" s="99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</row>
    <row r="484" spans="1:52" s="1" customFormat="1" x14ac:dyDescent="0.2">
      <c r="A484" s="99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</row>
    <row r="485" spans="1:52" s="1" customFormat="1" x14ac:dyDescent="0.2">
      <c r="A485" s="99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</row>
    <row r="486" spans="1:52" s="1" customFormat="1" x14ac:dyDescent="0.2">
      <c r="A486" s="99"/>
      <c r="B486" s="99"/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  <c r="AA486" s="99"/>
      <c r="AB486" s="99"/>
      <c r="AC486" s="99"/>
      <c r="AD486" s="99"/>
      <c r="AE486" s="99"/>
      <c r="AF486" s="99"/>
      <c r="AG486" s="99"/>
      <c r="AH486" s="99"/>
      <c r="AI486" s="99"/>
      <c r="AJ486" s="99"/>
      <c r="AK486" s="99"/>
      <c r="AL486" s="99"/>
      <c r="AM486" s="99"/>
      <c r="AN486" s="99"/>
      <c r="AO486" s="99"/>
      <c r="AP486" s="99"/>
      <c r="AQ486" s="99"/>
      <c r="AR486" s="99"/>
      <c r="AS486" s="99"/>
      <c r="AT486" s="99"/>
      <c r="AU486" s="99"/>
      <c r="AV486" s="99"/>
      <c r="AW486" s="99"/>
      <c r="AX486" s="99"/>
      <c r="AY486" s="99"/>
      <c r="AZ486" s="99"/>
    </row>
    <row r="487" spans="1:52" s="1" customFormat="1" x14ac:dyDescent="0.2">
      <c r="A487" s="99"/>
      <c r="B487" s="99"/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  <c r="AA487" s="99"/>
      <c r="AB487" s="99"/>
      <c r="AC487" s="99"/>
      <c r="AD487" s="99"/>
      <c r="AE487" s="99"/>
      <c r="AF487" s="99"/>
      <c r="AG487" s="99"/>
      <c r="AH487" s="99"/>
      <c r="AI487" s="99"/>
      <c r="AJ487" s="99"/>
      <c r="AK487" s="99"/>
      <c r="AL487" s="99"/>
      <c r="AM487" s="99"/>
      <c r="AN487" s="99"/>
      <c r="AO487" s="99"/>
      <c r="AP487" s="99"/>
      <c r="AQ487" s="99"/>
      <c r="AR487" s="99"/>
      <c r="AS487" s="99"/>
      <c r="AT487" s="99"/>
      <c r="AU487" s="99"/>
      <c r="AV487" s="99"/>
      <c r="AW487" s="99"/>
      <c r="AX487" s="99"/>
      <c r="AY487" s="99"/>
      <c r="AZ487" s="99"/>
    </row>
    <row r="488" spans="1:52" s="1" customFormat="1" x14ac:dyDescent="0.2">
      <c r="A488" s="99"/>
      <c r="B488" s="99"/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  <c r="AA488" s="99"/>
      <c r="AB488" s="99"/>
      <c r="AC488" s="99"/>
      <c r="AD488" s="99"/>
      <c r="AE488" s="99"/>
      <c r="AF488" s="99"/>
      <c r="AG488" s="99"/>
      <c r="AH488" s="99"/>
      <c r="AI488" s="99"/>
      <c r="AJ488" s="99"/>
      <c r="AK488" s="99"/>
      <c r="AL488" s="99"/>
      <c r="AM488" s="99"/>
      <c r="AN488" s="99"/>
      <c r="AO488" s="99"/>
      <c r="AP488" s="99"/>
      <c r="AQ488" s="99"/>
      <c r="AR488" s="99"/>
      <c r="AS488" s="99"/>
      <c r="AT488" s="99"/>
      <c r="AU488" s="99"/>
      <c r="AV488" s="99"/>
      <c r="AW488" s="99"/>
      <c r="AX488" s="99"/>
      <c r="AY488" s="99"/>
      <c r="AZ488" s="99"/>
    </row>
    <row r="489" spans="1:52" s="1" customFormat="1" x14ac:dyDescent="0.2">
      <c r="A489" s="99"/>
      <c r="B489" s="99"/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  <c r="AA489" s="99"/>
      <c r="AB489" s="99"/>
      <c r="AC489" s="99"/>
      <c r="AD489" s="99"/>
      <c r="AE489" s="99"/>
      <c r="AF489" s="99"/>
      <c r="AG489" s="99"/>
      <c r="AH489" s="99"/>
      <c r="AI489" s="99"/>
      <c r="AJ489" s="99"/>
      <c r="AK489" s="99"/>
      <c r="AL489" s="99"/>
      <c r="AM489" s="99"/>
      <c r="AN489" s="99"/>
      <c r="AO489" s="99"/>
      <c r="AP489" s="99"/>
      <c r="AQ489" s="99"/>
      <c r="AR489" s="99"/>
      <c r="AS489" s="99"/>
      <c r="AT489" s="99"/>
      <c r="AU489" s="99"/>
      <c r="AV489" s="99"/>
      <c r="AW489" s="99"/>
      <c r="AX489" s="99"/>
      <c r="AY489" s="99"/>
      <c r="AZ489" s="99"/>
    </row>
    <row r="490" spans="1:52" s="1" customFormat="1" x14ac:dyDescent="0.2">
      <c r="A490" s="99"/>
      <c r="B490" s="99"/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  <c r="AA490" s="99"/>
      <c r="AB490" s="99"/>
      <c r="AC490" s="99"/>
      <c r="AD490" s="99"/>
      <c r="AE490" s="99"/>
      <c r="AF490" s="99"/>
      <c r="AG490" s="99"/>
      <c r="AH490" s="99"/>
      <c r="AI490" s="99"/>
      <c r="AJ490" s="99"/>
      <c r="AK490" s="99"/>
      <c r="AL490" s="99"/>
      <c r="AM490" s="99"/>
      <c r="AN490" s="99"/>
      <c r="AO490" s="99"/>
      <c r="AP490" s="99"/>
      <c r="AQ490" s="99"/>
      <c r="AR490" s="99"/>
      <c r="AS490" s="99"/>
      <c r="AT490" s="99"/>
      <c r="AU490" s="99"/>
      <c r="AV490" s="99"/>
      <c r="AW490" s="99"/>
      <c r="AX490" s="99"/>
      <c r="AY490" s="99"/>
      <c r="AZ490" s="99"/>
    </row>
    <row r="491" spans="1:52" s="1" customFormat="1" x14ac:dyDescent="0.2">
      <c r="A491" s="99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  <c r="AA491" s="99"/>
      <c r="AB491" s="99"/>
      <c r="AC491" s="99"/>
      <c r="AD491" s="99"/>
      <c r="AE491" s="99"/>
      <c r="AF491" s="99"/>
      <c r="AG491" s="99"/>
      <c r="AH491" s="99"/>
      <c r="AI491" s="99"/>
      <c r="AJ491" s="99"/>
      <c r="AK491" s="99"/>
      <c r="AL491" s="99"/>
      <c r="AM491" s="99"/>
      <c r="AN491" s="99"/>
      <c r="AO491" s="99"/>
      <c r="AP491" s="99"/>
      <c r="AQ491" s="99"/>
      <c r="AR491" s="99"/>
      <c r="AS491" s="99"/>
      <c r="AT491" s="99"/>
      <c r="AU491" s="99"/>
      <c r="AV491" s="99"/>
      <c r="AW491" s="99"/>
      <c r="AX491" s="99"/>
      <c r="AY491" s="99"/>
      <c r="AZ491" s="99"/>
    </row>
    <row r="492" spans="1:52" s="1" customFormat="1" x14ac:dyDescent="0.2">
      <c r="A492" s="99"/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  <c r="AA492" s="99"/>
      <c r="AB492" s="99"/>
      <c r="AC492" s="99"/>
      <c r="AD492" s="99"/>
      <c r="AE492" s="99"/>
      <c r="AF492" s="99"/>
      <c r="AG492" s="99"/>
      <c r="AH492" s="99"/>
      <c r="AI492" s="99"/>
      <c r="AJ492" s="99"/>
      <c r="AK492" s="99"/>
      <c r="AL492" s="99"/>
      <c r="AM492" s="99"/>
      <c r="AN492" s="99"/>
      <c r="AO492" s="99"/>
      <c r="AP492" s="99"/>
      <c r="AQ492" s="99"/>
      <c r="AR492" s="99"/>
      <c r="AS492" s="99"/>
      <c r="AT492" s="99"/>
      <c r="AU492" s="99"/>
      <c r="AV492" s="99"/>
      <c r="AW492" s="99"/>
      <c r="AX492" s="99"/>
      <c r="AY492" s="99"/>
      <c r="AZ492" s="99"/>
    </row>
    <row r="493" spans="1:52" s="1" customFormat="1" x14ac:dyDescent="0.2">
      <c r="A493" s="99"/>
      <c r="B493" s="99"/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  <c r="AA493" s="99"/>
      <c r="AB493" s="99"/>
      <c r="AC493" s="99"/>
      <c r="AD493" s="99"/>
      <c r="AE493" s="99"/>
      <c r="AF493" s="99"/>
      <c r="AG493" s="99"/>
      <c r="AH493" s="99"/>
      <c r="AI493" s="99"/>
      <c r="AJ493" s="99"/>
      <c r="AK493" s="99"/>
      <c r="AL493" s="99"/>
      <c r="AM493" s="99"/>
      <c r="AN493" s="99"/>
      <c r="AO493" s="99"/>
      <c r="AP493" s="99"/>
      <c r="AQ493" s="99"/>
      <c r="AR493" s="99"/>
      <c r="AS493" s="99"/>
      <c r="AT493" s="99"/>
      <c r="AU493" s="99"/>
      <c r="AV493" s="99"/>
      <c r="AW493" s="99"/>
      <c r="AX493" s="99"/>
      <c r="AY493" s="99"/>
      <c r="AZ493" s="99"/>
    </row>
    <row r="494" spans="1:52" s="1" customFormat="1" x14ac:dyDescent="0.2">
      <c r="A494" s="99"/>
      <c r="B494" s="99"/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  <c r="AN494" s="99"/>
      <c r="AO494" s="99"/>
      <c r="AP494" s="99"/>
      <c r="AQ494" s="99"/>
      <c r="AR494" s="99"/>
      <c r="AS494" s="99"/>
      <c r="AT494" s="99"/>
      <c r="AU494" s="99"/>
      <c r="AV494" s="99"/>
      <c r="AW494" s="99"/>
      <c r="AX494" s="99"/>
      <c r="AY494" s="99"/>
      <c r="AZ494" s="99"/>
    </row>
    <row r="495" spans="1:52" s="1" customFormat="1" x14ac:dyDescent="0.2">
      <c r="A495" s="99"/>
      <c r="B495" s="99"/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  <c r="AN495" s="99"/>
      <c r="AO495" s="99"/>
      <c r="AP495" s="99"/>
      <c r="AQ495" s="99"/>
      <c r="AR495" s="99"/>
      <c r="AS495" s="99"/>
      <c r="AT495" s="99"/>
      <c r="AU495" s="99"/>
      <c r="AV495" s="99"/>
      <c r="AW495" s="99"/>
      <c r="AX495" s="99"/>
      <c r="AY495" s="99"/>
      <c r="AZ495" s="99"/>
    </row>
    <row r="496" spans="1:52" s="1" customFormat="1" x14ac:dyDescent="0.2">
      <c r="A496" s="99"/>
      <c r="B496" s="99"/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  <c r="AA496" s="99"/>
      <c r="AB496" s="99"/>
      <c r="AC496" s="99"/>
      <c r="AD496" s="99"/>
      <c r="AE496" s="99"/>
      <c r="AF496" s="99"/>
      <c r="AG496" s="99"/>
      <c r="AH496" s="99"/>
      <c r="AI496" s="99"/>
      <c r="AJ496" s="99"/>
      <c r="AK496" s="99"/>
      <c r="AL496" s="99"/>
      <c r="AM496" s="99"/>
      <c r="AN496" s="99"/>
      <c r="AO496" s="99"/>
      <c r="AP496" s="99"/>
      <c r="AQ496" s="99"/>
      <c r="AR496" s="99"/>
      <c r="AS496" s="99"/>
      <c r="AT496" s="99"/>
      <c r="AU496" s="99"/>
      <c r="AV496" s="99"/>
      <c r="AW496" s="99"/>
      <c r="AX496" s="99"/>
      <c r="AY496" s="99"/>
      <c r="AZ496" s="99"/>
    </row>
    <row r="497" spans="1:52" s="1" customFormat="1" x14ac:dyDescent="0.2">
      <c r="A497" s="99"/>
      <c r="B497" s="99"/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  <c r="AA497" s="99"/>
      <c r="AB497" s="99"/>
      <c r="AC497" s="99"/>
      <c r="AD497" s="99"/>
      <c r="AE497" s="99"/>
      <c r="AF497" s="99"/>
      <c r="AG497" s="99"/>
      <c r="AH497" s="99"/>
      <c r="AI497" s="99"/>
      <c r="AJ497" s="99"/>
      <c r="AK497" s="99"/>
      <c r="AL497" s="99"/>
      <c r="AM497" s="99"/>
      <c r="AN497" s="99"/>
      <c r="AO497" s="99"/>
      <c r="AP497" s="99"/>
      <c r="AQ497" s="99"/>
      <c r="AR497" s="99"/>
      <c r="AS497" s="99"/>
      <c r="AT497" s="99"/>
      <c r="AU497" s="99"/>
      <c r="AV497" s="99"/>
      <c r="AW497" s="99"/>
      <c r="AX497" s="99"/>
      <c r="AY497" s="99"/>
      <c r="AZ497" s="99"/>
    </row>
    <row r="498" spans="1:52" s="1" customFormat="1" x14ac:dyDescent="0.2">
      <c r="A498" s="99"/>
      <c r="B498" s="99"/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  <c r="AA498" s="99"/>
      <c r="AB498" s="99"/>
      <c r="AC498" s="99"/>
      <c r="AD498" s="99"/>
      <c r="AE498" s="99"/>
      <c r="AF498" s="99"/>
      <c r="AG498" s="99"/>
      <c r="AH498" s="99"/>
      <c r="AI498" s="99"/>
      <c r="AJ498" s="99"/>
      <c r="AK498" s="99"/>
      <c r="AL498" s="99"/>
      <c r="AM498" s="99"/>
      <c r="AN498" s="99"/>
      <c r="AO498" s="99"/>
      <c r="AP498" s="99"/>
      <c r="AQ498" s="99"/>
      <c r="AR498" s="99"/>
      <c r="AS498" s="99"/>
      <c r="AT498" s="99"/>
      <c r="AU498" s="99"/>
      <c r="AV498" s="99"/>
      <c r="AW498" s="99"/>
      <c r="AX498" s="99"/>
      <c r="AY498" s="99"/>
      <c r="AZ498" s="99"/>
    </row>
    <row r="499" spans="1:52" s="1" customFormat="1" x14ac:dyDescent="0.2">
      <c r="A499" s="99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  <c r="AG499" s="99"/>
      <c r="AH499" s="99"/>
      <c r="AI499" s="99"/>
      <c r="AJ499" s="99"/>
      <c r="AK499" s="99"/>
      <c r="AL499" s="99"/>
      <c r="AM499" s="99"/>
      <c r="AN499" s="99"/>
      <c r="AO499" s="99"/>
      <c r="AP499" s="99"/>
      <c r="AQ499" s="99"/>
      <c r="AR499" s="99"/>
      <c r="AS499" s="99"/>
      <c r="AT499" s="99"/>
      <c r="AU499" s="99"/>
      <c r="AV499" s="99"/>
      <c r="AW499" s="99"/>
      <c r="AX499" s="99"/>
      <c r="AY499" s="99"/>
      <c r="AZ499" s="99"/>
    </row>
    <row r="500" spans="1:52" s="1" customFormat="1" x14ac:dyDescent="0.2">
      <c r="A500" s="99"/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99"/>
      <c r="AE500" s="99"/>
      <c r="AF500" s="99"/>
      <c r="AG500" s="99"/>
      <c r="AH500" s="99"/>
      <c r="AI500" s="99"/>
      <c r="AJ500" s="99"/>
      <c r="AK500" s="99"/>
      <c r="AL500" s="99"/>
      <c r="AM500" s="99"/>
      <c r="AN500" s="99"/>
      <c r="AO500" s="99"/>
      <c r="AP500" s="99"/>
      <c r="AQ500" s="99"/>
      <c r="AR500" s="99"/>
      <c r="AS500" s="99"/>
      <c r="AT500" s="99"/>
      <c r="AU500" s="99"/>
      <c r="AV500" s="99"/>
      <c r="AW500" s="99"/>
      <c r="AX500" s="99"/>
      <c r="AY500" s="99"/>
      <c r="AZ500" s="9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Q100"/>
  <sheetViews>
    <sheetView showGridLines="0" tabSelected="1" topLeftCell="T1" workbookViewId="0">
      <selection activeCell="V2" sqref="V2"/>
    </sheetView>
  </sheetViews>
  <sheetFormatPr defaultRowHeight="11.25" outlineLevelCol="1" x14ac:dyDescent="0.2"/>
  <cols>
    <col min="1" max="1" width="4" style="1" bestFit="1" customWidth="1"/>
    <col min="2" max="2" width="5" style="1" bestFit="1" customWidth="1"/>
    <col min="3" max="3" width="17.28515625" style="1" bestFit="1" customWidth="1"/>
    <col min="4" max="4" width="15.140625" style="1" hidden="1" customWidth="1" outlineLevel="1"/>
    <col min="5" max="5" width="18.28515625" style="1" hidden="1" customWidth="1" outlineLevel="1"/>
    <col min="6" max="6" width="25.5703125" style="1" hidden="1" customWidth="1" outlineLevel="1"/>
    <col min="7" max="7" width="27.5703125" style="1" hidden="1" customWidth="1" outlineLevel="1"/>
    <col min="8" max="8" width="17.28515625" style="1" hidden="1" customWidth="1" outlineLevel="1"/>
    <col min="9" max="9" width="17.28515625" style="1" customWidth="1" collapsed="1"/>
    <col min="10" max="10" width="18.28515625" style="1" customWidth="1"/>
    <col min="11" max="12" width="17.28515625" style="1" hidden="1" customWidth="1" outlineLevel="1"/>
    <col min="13" max="13" width="24.42578125" style="1" hidden="1" customWidth="1" outlineLevel="1"/>
    <col min="14" max="14" width="26.5703125" style="1" hidden="1" customWidth="1" outlineLevel="1"/>
    <col min="15" max="15" width="17.28515625" style="1" hidden="1" customWidth="1" outlineLevel="1"/>
    <col min="16" max="16" width="16.140625" style="1" customWidth="1" collapsed="1"/>
    <col min="17" max="17" width="16.140625" style="1" bestFit="1" customWidth="1"/>
    <col min="18" max="18" width="13.140625" style="1" bestFit="1" customWidth="1"/>
    <col min="19" max="19" width="15.140625" style="1" bestFit="1" customWidth="1"/>
    <col min="20" max="20" width="2.7109375" style="1" customWidth="1"/>
    <col min="21" max="21" width="13.140625" style="1" bestFit="1" customWidth="1"/>
    <col min="22" max="22" width="18.28515625" style="1" bestFit="1" customWidth="1"/>
    <col min="23" max="24" width="9.140625" style="1"/>
    <col min="25" max="25" width="12" style="1" bestFit="1" customWidth="1"/>
    <col min="26" max="26" width="9.140625" style="1"/>
    <col min="27" max="27" width="11" style="1" bestFit="1" customWidth="1"/>
    <col min="28" max="28" width="15.140625" style="1" bestFit="1" customWidth="1"/>
    <col min="29" max="16384" width="9.140625" style="1"/>
  </cols>
  <sheetData>
    <row r="1" spans="1:43" x14ac:dyDescent="0.2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</row>
    <row r="2" spans="1:43" x14ac:dyDescent="0.2">
      <c r="A2" s="99"/>
      <c r="B2" s="93"/>
      <c r="C2" s="93" t="s">
        <v>91</v>
      </c>
      <c r="D2" s="78" t="s">
        <v>64</v>
      </c>
      <c r="E2" s="79"/>
      <c r="F2" s="143"/>
      <c r="G2" s="79"/>
      <c r="H2" s="79"/>
      <c r="I2" s="78" t="s">
        <v>93</v>
      </c>
      <c r="J2" s="80"/>
      <c r="K2" s="79" t="s">
        <v>65</v>
      </c>
      <c r="L2" s="79"/>
      <c r="M2" s="79"/>
      <c r="N2" s="143"/>
      <c r="O2" s="80"/>
      <c r="P2" s="80" t="s">
        <v>128</v>
      </c>
      <c r="Q2" s="80" t="s">
        <v>129</v>
      </c>
      <c r="R2" s="80" t="s">
        <v>59</v>
      </c>
      <c r="S2" s="119" t="s">
        <v>95</v>
      </c>
      <c r="T2" s="99"/>
      <c r="U2" s="189" t="s">
        <v>97</v>
      </c>
      <c r="V2" s="86" t="s">
        <v>137</v>
      </c>
      <c r="W2" s="122" t="s">
        <v>94</v>
      </c>
      <c r="X2" s="190"/>
      <c r="Y2" s="128" t="s">
        <v>130</v>
      </c>
      <c r="Z2" s="123" t="s">
        <v>103</v>
      </c>
      <c r="AA2" s="128" t="s">
        <v>104</v>
      </c>
      <c r="AB2" s="128" t="s">
        <v>105</v>
      </c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</row>
    <row r="3" spans="1:43" ht="22.5" x14ac:dyDescent="0.2">
      <c r="A3" s="99"/>
      <c r="B3" s="120"/>
      <c r="C3" s="120"/>
      <c r="D3" s="91" t="s">
        <v>46</v>
      </c>
      <c r="E3" s="95" t="s">
        <v>66</v>
      </c>
      <c r="F3" s="171" t="s">
        <v>123</v>
      </c>
      <c r="G3" s="171" t="s">
        <v>124</v>
      </c>
      <c r="H3" s="92" t="s">
        <v>67</v>
      </c>
      <c r="I3" s="91" t="str">
        <f>DomesticCurrency</f>
        <v>USD</v>
      </c>
      <c r="J3" s="92" t="str">
        <f>ForeignCurrency</f>
        <v>CNH</v>
      </c>
      <c r="K3" s="95" t="s">
        <v>46</v>
      </c>
      <c r="L3" s="95" t="s">
        <v>66</v>
      </c>
      <c r="M3" s="95" t="s">
        <v>132</v>
      </c>
      <c r="N3" s="95" t="s">
        <v>133</v>
      </c>
      <c r="O3" s="92" t="s">
        <v>67</v>
      </c>
      <c r="P3" s="92" t="str">
        <f>ForeignCurrency</f>
        <v>CNH</v>
      </c>
      <c r="Q3" s="92" t="str">
        <f>ForeignCurrency</f>
        <v>CNH</v>
      </c>
      <c r="R3" s="92" t="str">
        <f>ForeignCurrency</f>
        <v>CNH</v>
      </c>
      <c r="S3" s="121"/>
      <c r="T3" s="99"/>
      <c r="U3" s="191"/>
      <c r="V3" s="85" t="str">
        <f>_xll.RData(V4:V24,Fields,"RTFEED:IDN",,,W4)</f>
        <v>Paused at 14:53:04</v>
      </c>
      <c r="W3" s="124" t="s">
        <v>68</v>
      </c>
      <c r="X3" s="125" t="s">
        <v>69</v>
      </c>
      <c r="Y3" s="129" t="s">
        <v>127</v>
      </c>
      <c r="Z3" s="126"/>
      <c r="AA3" s="129"/>
      <c r="AB3" s="12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</row>
    <row r="4" spans="1:43" x14ac:dyDescent="0.2">
      <c r="A4" s="99">
        <f>MATCH(_xll.qlCalendarAdjust(DomesticCalendar,CCSPricing!C4),PaymentDates,0)</f>
        <v>2</v>
      </c>
      <c r="B4" s="148" t="s">
        <v>6</v>
      </c>
      <c r="C4" s="149">
        <f>_xll.qlCalendarAdvance(DomesticPaymentCalendar,EffectiveDate,B4,"unadjusted",TRUE)</f>
        <v>42041</v>
      </c>
      <c r="D4" s="41" t="str">
        <f>_xll.qlSchedule(,EffectiveDate,$C4,DomesticTenor,DomesticPaymentCalendar,DomesticBDC,DomesticTDC,DomesticDateGeneration,DomesticEOM)</f>
        <v>obj_014f6#0006</v>
      </c>
      <c r="E4" s="150" t="str">
        <f>_xll.qlIborLeg(,DomesticPaymentBDC,INDEX(DomesticFinalNotionals,1,1):INDEX(DomesticFinalNotionals,$A4-1,1),$D4,DomesticFixingDays,DomesticArrearFlag,DomesticDayCounter,,DomesticGearing,DomesticIndex)</f>
        <v>obj_01477#0080</v>
      </c>
      <c r="F4" s="150" t="str">
        <f>_xll.qlLeg(,INDEX(DomesticFinalNotionals,1,1):INDEX(DomesticFinalNotionals,$A4-1,1),INDEX(PaymentDates,2,1):INDEX(PaymentDates,$A4,1))</f>
        <v>obj_01476#0080</v>
      </c>
      <c r="G4" s="150" t="str">
        <f>_xll.qlLeg(,INDEX(DomesticInitialNotionals,1,1):INDEX(DomesticInitialNotionals,$A4-1,1),INDEX(PaymentDates,1,1):INDEX(PaymentDates,$A4-1,1))</f>
        <v>obj_01478#0080</v>
      </c>
      <c r="H4" s="153" t="str">
        <f>_xll.qlMultiPhaseLeg(,E4:G4)</f>
        <v>obj_014b8#0080</v>
      </c>
      <c r="I4" s="151">
        <f>_xll.qlLegNPV($H4,DomesticDiscountCurve,TRUE,EffectiveDate,,)</f>
        <v>56.682083609397523</v>
      </c>
      <c r="J4" s="152">
        <f t="shared" ref="J4:J24" si="0">$I4*SpotExchangeValue^DomesticUnitFx</f>
        <v>347.08707077378483</v>
      </c>
      <c r="K4" s="41" t="str">
        <f>_xll.qlSchedule(,EffectiveDate,$C4,ForeignTenor,ForeignPaymentCalendar,ForeignBDC,ForeignTDC,ForeignDateGeneration,ForeignEOM)</f>
        <v>obj_014f7#0006</v>
      </c>
      <c r="L4" s="150" t="str">
        <f>_xll.qlIborLeg(,ForeignPaymentBDC,ForeignNotional,$K4,ForeignFixingDays,ForeignArrearFlag,ForeignDayCounter,,ForeignGearing,ForeignIndex)</f>
        <v>obj_01503#0009</v>
      </c>
      <c r="M4" s="150" t="str">
        <f>_xll.qlLeg(,ForeignNotional,_xll.qlCalendarAdjust(ForeignPaymentCalendar,C4))</f>
        <v>obj_01522#0006</v>
      </c>
      <c r="N4" s="150" t="str">
        <f>_xll.qlLeg(,-ForeignNotional,_xll.qlCalendarAdjust(ForeignPaymentCalendar,EffectiveDate))</f>
        <v>obj_014de#0006</v>
      </c>
      <c r="O4" s="153" t="str">
        <f>_xll.qlMultiPhaseLeg(,L4:N4)</f>
        <v>obj_01539#0008</v>
      </c>
      <c r="P4" s="154">
        <f>_xll.qlLegNPV($O4,ForeignDiscountCurve,TRUE,EffectiveDate,,)</f>
        <v>-7868.4545960609103</v>
      </c>
      <c r="Q4" s="154">
        <f>_xll.qlLegBPS($O4,ForeignDiscountCurve,TRUE,EffectiveDate,,)</f>
        <v>25.354472826989554</v>
      </c>
      <c r="R4" s="154">
        <f t="shared" ref="R4:R24" si="1">$J4-P4</f>
        <v>8215.5416668346952</v>
      </c>
      <c r="S4" s="155">
        <f>R4/Q4/100</f>
        <v>3.2402731158698526</v>
      </c>
      <c r="T4" s="99"/>
      <c r="U4" s="88" t="str">
        <f>ForeignCurrency&amp;"USQM3L"&amp;$B4</f>
        <v>CNHUSQM3L3M</v>
      </c>
      <c r="V4" s="88" t="str">
        <f t="array" ref="V4:V24">Instruments&amp;"="&amp;Contributor</f>
        <v>CNHUSQM3L3M=TRHK</v>
      </c>
      <c r="W4" s="172">
        <v>3.17</v>
      </c>
      <c r="X4" s="181">
        <v>3.27</v>
      </c>
      <c r="Y4" s="178">
        <f>IF(ISERROR(S4),"--",S4)</f>
        <v>3.2402731158698526</v>
      </c>
      <c r="Z4" s="182">
        <f>IF(AND(ISNUMBER(W4),ISNUMBER(Y4)),ABS(Y4-AVERAGE(W4:X4)),"--")</f>
        <v>2.0273115869852809E-2</v>
      </c>
      <c r="AA4" s="14" t="b">
        <f>IF(AND(ISNUMBER(W4),ISNUMBER(Y4)),AND($Y4&gt;$W4,$Y4&lt;$X4),"--")</f>
        <v>1</v>
      </c>
      <c r="AB4" s="176">
        <f t="shared" ref="AB4:AB24" si="2">IF(ISNUMBER(X4),X4-W4,"--")</f>
        <v>0.10000000000000009</v>
      </c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</row>
    <row r="5" spans="1:43" x14ac:dyDescent="0.2">
      <c r="A5" s="99">
        <f>MATCH(_xll.qlCalendarAdjust(DomesticCalendar,CCSPricing!C5),PaymentDates,0)</f>
        <v>3</v>
      </c>
      <c r="B5" s="7" t="s">
        <v>9</v>
      </c>
      <c r="C5" s="16">
        <f>_xll.qlCalendarAdvance(DomesticPaymentCalendar,EffectiveDate,B5,"unadjusted",TRUE)</f>
        <v>42130</v>
      </c>
      <c r="D5" s="24" t="str">
        <f>_xll.qlSchedule(,EffectiveDate,$C5,DomesticTenor,DomesticPaymentCalendar,DomesticBDC,DomesticTDC,DomesticDateGeneration,DomesticEOM)</f>
        <v>obj_014ed#0006</v>
      </c>
      <c r="E5" s="17" t="str">
        <f>_xll.qlIborLeg(,DomesticPaymentBDC,INDEX(DomesticFinalNotionals,1,1):INDEX(DomesticFinalNotionals,$A5-1,1),$D5,DomesticFixingDays,DomesticArrearFlag,DomesticDayCounter,,DomesticGearing,DomesticIndex)</f>
        <v>obj_01496#0080</v>
      </c>
      <c r="F5" s="17" t="str">
        <f>_xll.qlLeg(,INDEX(DomesticFinalNotionals,1,1):INDEX(DomesticFinalNotionals,$A5-1,1),INDEX(PaymentDates,2,1):INDEX(PaymentDates,$A5,1))</f>
        <v>obj_0148a#0080</v>
      </c>
      <c r="G5" s="17" t="str">
        <f>_xll.qlLeg(,INDEX(DomesticInitialNotionals,1,1):INDEX(DomesticInitialNotionals,$A5-1,1),INDEX(PaymentDates,1,1):INDEX(PaymentDates,$A5-1,1))</f>
        <v>obj_01479#0080</v>
      </c>
      <c r="H5" s="118" t="str">
        <f>_xll.qlMultiPhaseLeg(,E5:G5)</f>
        <v>obj_014a4#0080</v>
      </c>
      <c r="I5" s="81">
        <f>_xll.qlLegNPV($H5,DomesticDiscountCurve,TRUE,EffectiveDate,,)</f>
        <v>109.23321083706105</v>
      </c>
      <c r="J5" s="22">
        <f t="shared" si="0"/>
        <v>668.87864323965971</v>
      </c>
      <c r="K5" s="24" t="str">
        <f>_xll.qlSchedule(,EffectiveDate,$C5,ForeignTenor,ForeignPaymentCalendar,ForeignBDC,ForeignTDC,ForeignDateGeneration,ForeignEOM)</f>
        <v>obj_014ec#0006</v>
      </c>
      <c r="L5" s="17" t="str">
        <f>_xll.qlIborLeg(,ForeignPaymentBDC,ForeignNotional,$K5,ForeignFixingDays,ForeignArrearFlag,ForeignDayCounter,,ForeignGearing,ForeignIndex)</f>
        <v>obj_014fe#0009</v>
      </c>
      <c r="M5" s="17" t="str">
        <f>_xll.qlLeg(,ForeignNotional,_xll.qlCalendarAdjust(ForeignPaymentCalendar,C5))</f>
        <v>obj_01501#0006</v>
      </c>
      <c r="N5" s="17" t="str">
        <f>_xll.qlLeg(,-ForeignNotional,_xll.qlCalendarAdjust(ForeignPaymentCalendar,EffectiveDate))</f>
        <v>obj_014d7#0006</v>
      </c>
      <c r="O5" s="118" t="str">
        <f>_xll.qlMultiPhaseLeg(,L5:N5)</f>
        <v>obj_0152d#0009</v>
      </c>
      <c r="P5" s="83">
        <f>_xll.qlLegNPV($O5,ForeignDiscountCurve,TRUE,EffectiveDate,,)</f>
        <v>-14271.113775499514</v>
      </c>
      <c r="Q5" s="83">
        <f>_xll.qlLegBPS($O5,ForeignDiscountCurve,TRUE,EffectiveDate,,)</f>
        <v>49.723881403095262</v>
      </c>
      <c r="R5" s="83">
        <f t="shared" si="1"/>
        <v>14939.992418739173</v>
      </c>
      <c r="S5" s="144">
        <f t="shared" ref="S5:S24" si="3">R5/Q5/100</f>
        <v>3.0045909525094259</v>
      </c>
      <c r="T5" s="99"/>
      <c r="U5" s="89" t="str">
        <f>ForeignCurrency&amp;"USQM3L"&amp;$B5</f>
        <v>CNHUSQM3L6M</v>
      </c>
      <c r="V5" s="89" t="str">
        <v>CNHUSQM3L6M=TRHK</v>
      </c>
      <c r="W5" s="173">
        <v>2.96</v>
      </c>
      <c r="X5" s="174">
        <v>3.06</v>
      </c>
      <c r="Y5" s="179">
        <f t="shared" ref="Y5:Y24" si="4">IF(ISERROR(S5),"--",S5)</f>
        <v>3.0045909525094259</v>
      </c>
      <c r="Z5" s="175">
        <f t="shared" ref="Z5:Z24" si="5">IF(AND(ISNUMBER(W5),ISNUMBER(Y5)),ABS(Y5-AVERAGE(W5:X5)),"--")</f>
        <v>5.409047490573915E-3</v>
      </c>
      <c r="AA5" s="15" t="b">
        <f t="shared" ref="AA5:AA24" si="6">IF(AND(ISNUMBER(W5),ISNUMBER(Y5)),AND($Y5&gt;$W5,$Y5&lt;$X5),"--")</f>
        <v>1</v>
      </c>
      <c r="AB5" s="177">
        <f t="shared" si="2"/>
        <v>0.10000000000000009</v>
      </c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</row>
    <row r="6" spans="1:43" x14ac:dyDescent="0.2">
      <c r="A6" s="99">
        <f>MATCH(_xll.qlCalendarAdjust(DomesticCalendar,CCSPricing!C6),PaymentDates,0)</f>
        <v>4</v>
      </c>
      <c r="B6" s="7" t="s">
        <v>12</v>
      </c>
      <c r="C6" s="16">
        <f>_xll.qlCalendarAdvance(DomesticPaymentCalendar,EffectiveDate,B6,"unadjusted",TRUE)</f>
        <v>42222</v>
      </c>
      <c r="D6" s="24" t="str">
        <f>_xll.qlSchedule(,EffectiveDate,$C6,DomesticTenor,DomesticPaymentCalendar,DomesticBDC,DomesticTDC,DomesticDateGeneration,DomesticEOM)</f>
        <v>obj_01505#0006</v>
      </c>
      <c r="E6" s="17" t="str">
        <f>_xll.qlIborLeg(,DomesticPaymentBDC,INDEX(DomesticFinalNotionals,1,1):INDEX(DomesticFinalNotionals,$A6-1,1),$D6,DomesticFixingDays,DomesticArrearFlag,DomesticDayCounter,,DomesticGearing,DomesticIndex)</f>
        <v>obj_01489#0080</v>
      </c>
      <c r="F6" s="17" t="str">
        <f>_xll.qlLeg(,INDEX(DomesticFinalNotionals,1,1):INDEX(DomesticFinalNotionals,$A6-1,1),INDEX(PaymentDates,2,1):INDEX(PaymentDates,$A6,1))</f>
        <v>obj_01485#0080</v>
      </c>
      <c r="G6" s="17" t="str">
        <f>_xll.qlLeg(,INDEX(DomesticInitialNotionals,1,1):INDEX(DomesticInitialNotionals,$A6-1,1),INDEX(PaymentDates,1,1):INDEX(PaymentDates,$A6-1,1))</f>
        <v>obj_0148f#0080</v>
      </c>
      <c r="H6" s="118" t="str">
        <f>_xll.qlMultiPhaseLeg(,E6:G6)</f>
        <v>obj_014b7#0080</v>
      </c>
      <c r="I6" s="81">
        <f>_xll.qlLegNPV($H6,DomesticDiscountCurve,TRUE,EffectiveDate,,)</f>
        <v>166.72728252311936</v>
      </c>
      <c r="J6" s="22">
        <f t="shared" si="0"/>
        <v>1020.9378418020691</v>
      </c>
      <c r="K6" s="24" t="str">
        <f>_xll.qlSchedule(,EffectiveDate,$C6,ForeignTenor,ForeignPaymentCalendar,ForeignBDC,ForeignTDC,ForeignDateGeneration,ForeignEOM)</f>
        <v>obj_0150d#0006</v>
      </c>
      <c r="L6" s="17" t="str">
        <f>_xll.qlIborLeg(,ForeignPaymentBDC,ForeignNotional,$K6,ForeignFixingDays,ForeignArrearFlag,ForeignDayCounter,,ForeignGearing,ForeignIndex)</f>
        <v>obj_0150e#0009</v>
      </c>
      <c r="M6" s="17" t="str">
        <f>_xll.qlLeg(,ForeignNotional,_xll.qlCalendarAdjust(ForeignPaymentCalendar,C6))</f>
        <v>obj_01502#0006</v>
      </c>
      <c r="N6" s="17" t="str">
        <f>_xll.qlLeg(,-ForeignNotional,_xll.qlCalendarAdjust(ForeignPaymentCalendar,EffectiveDate))</f>
        <v>obj_014ca#0006</v>
      </c>
      <c r="O6" s="118" t="str">
        <f>_xll.qlMultiPhaseLeg(,L6:N6)</f>
        <v>obj_0152e#0009</v>
      </c>
      <c r="P6" s="83">
        <f>_xll.qlLegNPV($O6,ForeignDiscountCurve,TRUE,EffectiveDate,,)</f>
        <v>-20234.154910799349</v>
      </c>
      <c r="Q6" s="83">
        <f>_xll.qlLegBPS($O6,ForeignDiscountCurve,TRUE,EffectiveDate,,)</f>
        <v>74.762341888708164</v>
      </c>
      <c r="R6" s="83">
        <f t="shared" si="1"/>
        <v>21255.092752601417</v>
      </c>
      <c r="S6" s="144">
        <f t="shared" si="3"/>
        <v>2.8430212611908172</v>
      </c>
      <c r="T6" s="99"/>
      <c r="U6" s="89" t="str">
        <f>ForeignCurrency&amp;"USQM3L"&amp;$B6</f>
        <v>CNHUSQM3L9M</v>
      </c>
      <c r="V6" s="89" t="str">
        <v>CNHUSQM3L9M=TRHK</v>
      </c>
      <c r="W6" s="173">
        <v>2.81</v>
      </c>
      <c r="X6" s="174">
        <v>2.91</v>
      </c>
      <c r="Y6" s="179">
        <f t="shared" si="4"/>
        <v>2.8430212611908172</v>
      </c>
      <c r="Z6" s="175">
        <f t="shared" si="5"/>
        <v>1.6978738809183103E-2</v>
      </c>
      <c r="AA6" s="15" t="b">
        <f t="shared" si="6"/>
        <v>1</v>
      </c>
      <c r="AB6" s="177">
        <f t="shared" si="2"/>
        <v>0.10000000000000009</v>
      </c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</row>
    <row r="7" spans="1:43" x14ac:dyDescent="0.2">
      <c r="A7" s="99">
        <f>MATCH(_xll.qlCalendarAdjust(DomesticCalendar,CCSPricing!C7),PaymentDates,0)</f>
        <v>5</v>
      </c>
      <c r="B7" s="7" t="s">
        <v>15</v>
      </c>
      <c r="C7" s="16">
        <f>_xll.qlCalendarAdvance(DomesticPaymentCalendar,EffectiveDate,B7,"unadjusted",TRUE)</f>
        <v>42314</v>
      </c>
      <c r="D7" s="24" t="str">
        <f>_xll.qlSchedule(,EffectiveDate,$C7,DomesticTenor,DomesticPaymentCalendar,DomesticBDC,DomesticTDC,DomesticDateGeneration,DomesticEOM)</f>
        <v>obj_014d6#0006</v>
      </c>
      <c r="E7" s="17" t="str">
        <f>_xll.qlIborLeg(,DomesticPaymentBDC,INDEX(DomesticFinalNotionals,1,1):INDEX(DomesticFinalNotionals,$A7-1,1),$D7,DomesticFixingDays,DomesticArrearFlag,DomesticDayCounter,,DomesticGearing,DomesticIndex)</f>
        <v>obj_0148d#0080</v>
      </c>
      <c r="F7" s="17" t="str">
        <f>_xll.qlLeg(,INDEX(DomesticFinalNotionals,1,1):INDEX(DomesticFinalNotionals,$A7-1,1),INDEX(PaymentDates,2,1):INDEX(PaymentDates,$A7,1))</f>
        <v>obj_01488#0080</v>
      </c>
      <c r="G7" s="17" t="str">
        <f>_xll.qlLeg(,INDEX(DomesticInitialNotionals,1,1):INDEX(DomesticInitialNotionals,$A7-1,1),INDEX(PaymentDates,1,1):INDEX(PaymentDates,$A7-1,1))</f>
        <v>obj_01487#0080</v>
      </c>
      <c r="H7" s="118" t="str">
        <f>_xll.qlMultiPhaseLeg(,E7:G7)</f>
        <v>obj_014b2#0080</v>
      </c>
      <c r="I7" s="81">
        <f>_xll.qlLegNPV($H7,DomesticDiscountCurve,TRUE,EffectiveDate,,)</f>
        <v>231.73172967799474</v>
      </c>
      <c r="J7" s="22">
        <f t="shared" si="0"/>
        <v>1418.9860735102329</v>
      </c>
      <c r="K7" s="24" t="str">
        <f>_xll.qlSchedule(,EffectiveDate,$C7,ForeignTenor,ForeignPaymentCalendar,ForeignBDC,ForeignTDC,ForeignDateGeneration,ForeignEOM)</f>
        <v>obj_014dc#0006</v>
      </c>
      <c r="L7" s="17" t="str">
        <f>_xll.qlIborLeg(,ForeignPaymentBDC,ForeignNotional,$K7,ForeignFixingDays,ForeignArrearFlag,ForeignDayCounter,,ForeignGearing,ForeignIndex)</f>
        <v>obj_01515#0009</v>
      </c>
      <c r="M7" s="17" t="str">
        <f>_xll.qlLeg(,ForeignNotional,_xll.qlCalendarAdjust(ForeignPaymentCalendar,C7))</f>
        <v>obj_014fd#0006</v>
      </c>
      <c r="N7" s="17" t="str">
        <f>_xll.qlLeg(,-ForeignNotional,_xll.qlCalendarAdjust(ForeignPaymentCalendar,EffectiveDate))</f>
        <v>obj_014c9#0006</v>
      </c>
      <c r="O7" s="118" t="str">
        <f>_xll.qlMultiPhaseLeg(,L7:N7)</f>
        <v>obj_01527#0009</v>
      </c>
      <c r="P7" s="83">
        <f>_xll.qlLegNPV($O7,ForeignDiscountCurve,TRUE,EffectiveDate,,)</f>
        <v>-25682.926890184288</v>
      </c>
      <c r="Q7" s="83">
        <f>_xll.qlLegBPS($O7,ForeignDiscountCurve,TRUE,EffectiveDate,,)</f>
        <v>99.661555979292359</v>
      </c>
      <c r="R7" s="83">
        <f t="shared" si="1"/>
        <v>27101.912963694522</v>
      </c>
      <c r="S7" s="144">
        <f t="shared" si="3"/>
        <v>2.719394925895573</v>
      </c>
      <c r="T7" s="99"/>
      <c r="U7" s="89" t="str">
        <f>ForeignCurrency&amp;"USQM3L"&amp;$B7</f>
        <v>CNHUSQM3L1Y</v>
      </c>
      <c r="V7" s="89" t="str">
        <v>CNHUSQM3L1Y=TRHK</v>
      </c>
      <c r="W7" s="173">
        <v>2.7</v>
      </c>
      <c r="X7" s="174">
        <v>2.8</v>
      </c>
      <c r="Y7" s="179">
        <f t="shared" si="4"/>
        <v>2.719394925895573</v>
      </c>
      <c r="Z7" s="175">
        <f t="shared" si="5"/>
        <v>3.0605074104427032E-2</v>
      </c>
      <c r="AA7" s="15" t="b">
        <f t="shared" si="6"/>
        <v>1</v>
      </c>
      <c r="AB7" s="177">
        <f t="shared" si="2"/>
        <v>9.9999999999999645E-2</v>
      </c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</row>
    <row r="8" spans="1:43" x14ac:dyDescent="0.2">
      <c r="A8" s="99">
        <f>MATCH(_xll.qlCalendarAdjust(DomesticCalendar,CCSPricing!C8),PaymentDates,0)</f>
        <v>7</v>
      </c>
      <c r="B8" s="7" t="s">
        <v>17</v>
      </c>
      <c r="C8" s="16">
        <f>_xll.qlCalendarAdvance(DomesticPaymentCalendar,EffectiveDate,B8,"unadjusted",TRUE)</f>
        <v>42496</v>
      </c>
      <c r="D8" s="24" t="str">
        <f>_xll.qlSchedule(,EffectiveDate,$C8,DomesticTenor,DomesticPaymentCalendar,DomesticBDC,DomesticTDC,DomesticDateGeneration,DomesticEOM)</f>
        <v>obj_014f0#0006</v>
      </c>
      <c r="E8" s="17" t="str">
        <f>_xll.qlIborLeg(,DomesticPaymentBDC,INDEX(DomesticFinalNotionals,1,1):INDEX(DomesticFinalNotionals,$A8-1,1),$D8,DomesticFixingDays,DomesticArrearFlag,DomesticDayCounter,,DomesticGearing,DomesticIndex)</f>
        <v>obj_0149a#0080</v>
      </c>
      <c r="F8" s="17" t="str">
        <f>_xll.qlLeg(,INDEX(DomesticFinalNotionals,1,1):INDEX(DomesticFinalNotionals,$A8-1,1),INDEX(PaymentDates,2,1):INDEX(PaymentDates,$A8,1))</f>
        <v>obj_0147e#0080</v>
      </c>
      <c r="G8" s="17" t="str">
        <f>_xll.qlLeg(,INDEX(DomesticInitialNotionals,1,1):INDEX(DomesticInitialNotionals,$A8-1,1),INDEX(PaymentDates,1,1):INDEX(PaymentDates,$A8-1,1))</f>
        <v>obj_01494#0080</v>
      </c>
      <c r="H8" s="118" t="str">
        <f>_xll.qlMultiPhaseLeg(,E8:G8)</f>
        <v>obj_014a8#0079</v>
      </c>
      <c r="I8" s="81">
        <f>_xll.qlLegNPV($H8,DomesticDiscountCurve,TRUE,EffectiveDate,,)</f>
        <v>383.19257186964387</v>
      </c>
      <c r="J8" s="22">
        <f t="shared" si="0"/>
        <v>2346.4413945865772</v>
      </c>
      <c r="K8" s="24" t="str">
        <f>_xll.qlSchedule(,EffectiveDate,$C8,ForeignTenor,ForeignPaymentCalendar,ForeignBDC,ForeignTDC,ForeignDateGeneration,ForeignEOM)</f>
        <v>obj_014f1#0006</v>
      </c>
      <c r="L8" s="17" t="str">
        <f>_xll.qlIborLeg(,ForeignPaymentBDC,ForeignNotional,$K8,ForeignFixingDays,ForeignArrearFlag,ForeignDayCounter,,ForeignGearing,ForeignIndex)</f>
        <v>obj_01518#0009</v>
      </c>
      <c r="M8" s="17" t="str">
        <f>_xll.qlLeg(,ForeignNotional,_xll.qlCalendarAdjust(ForeignPaymentCalendar,C8))</f>
        <v>obj_014f2#0006</v>
      </c>
      <c r="N8" s="17" t="str">
        <f>_xll.qlLeg(,-ForeignNotional,_xll.qlCalendarAdjust(ForeignPaymentCalendar,EffectiveDate))</f>
        <v>obj_014d5#0006</v>
      </c>
      <c r="O8" s="118" t="str">
        <f>_xll.qlMultiPhaseLeg(,L8:N8)</f>
        <v>obj_01519#0009</v>
      </c>
      <c r="P8" s="83">
        <f>_xll.qlLegNPV($O8,ForeignDiscountCurve,TRUE,EffectiveDate,,)</f>
        <v>-36722.626686810865</v>
      </c>
      <c r="Q8" s="83">
        <f>_xll.qlLegBPS($O8,ForeignDiscountCurve,TRUE,EffectiveDate,,)</f>
        <v>148.50813390559298</v>
      </c>
      <c r="R8" s="83">
        <f t="shared" si="1"/>
        <v>39069.06808139744</v>
      </c>
      <c r="S8" s="144">
        <f t="shared" si="3"/>
        <v>2.6307695783339216</v>
      </c>
      <c r="T8" s="99"/>
      <c r="U8" s="89" t="str">
        <f>ForeignCurrency&amp;"USQM3L"&amp;$B8</f>
        <v>CNHUSQM3L18M</v>
      </c>
      <c r="V8" s="89" t="str">
        <v>CNHUSQM3L18M=TRHK</v>
      </c>
      <c r="W8" s="173">
        <v>2.63</v>
      </c>
      <c r="X8" s="174">
        <v>2.73</v>
      </c>
      <c r="Y8" s="179">
        <f t="shared" si="4"/>
        <v>2.6307695783339216</v>
      </c>
      <c r="Z8" s="175">
        <f t="shared" si="5"/>
        <v>4.9230421666078161E-2</v>
      </c>
      <c r="AA8" s="15" t="b">
        <f t="shared" si="6"/>
        <v>1</v>
      </c>
      <c r="AB8" s="177">
        <f t="shared" si="2"/>
        <v>0.10000000000000009</v>
      </c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</row>
    <row r="9" spans="1:43" x14ac:dyDescent="0.2">
      <c r="A9" s="99">
        <f>MATCH(_xll.qlCalendarAdjust(DomesticCalendar,CCSPricing!C9),PaymentDates,0)</f>
        <v>9</v>
      </c>
      <c r="B9" s="7" t="s">
        <v>19</v>
      </c>
      <c r="C9" s="16">
        <f>_xll.qlCalendarAdvance(DomesticPaymentCalendar,EffectiveDate,B9,"unadjusted",TRUE)</f>
        <v>42680</v>
      </c>
      <c r="D9" s="24" t="str">
        <f>_xll.qlSchedule(,EffectiveDate,$C9,DomesticTenor,DomesticPaymentCalendar,DomesticBDC,DomesticTDC,DomesticDateGeneration,DomesticEOM)</f>
        <v>obj_01504#0006</v>
      </c>
      <c r="E9" s="17" t="str">
        <f>_xll.qlIborLeg(,DomesticPaymentBDC,INDEX(DomesticFinalNotionals,1,1):INDEX(DomesticFinalNotionals,$A9-1,1),$D9,DomesticFixingDays,DomesticArrearFlag,DomesticDayCounter,,DomesticGearing,DomesticIndex)</f>
        <v>obj_01483#0080</v>
      </c>
      <c r="F9" s="17" t="str">
        <f>_xll.qlLeg(,INDEX(DomesticFinalNotionals,1,1):INDEX(DomesticFinalNotionals,$A9-1,1),INDEX(PaymentDates,2,1):INDEX(PaymentDates,$A9,1))</f>
        <v>obj_014a1#0080</v>
      </c>
      <c r="G9" s="17" t="str">
        <f>_xll.qlLeg(,INDEX(DomesticInitialNotionals,1,1):INDEX(DomesticInitialNotionals,$A9-1,1),INDEX(PaymentDates,1,1):INDEX(PaymentDates,$A9-1,1))</f>
        <v>obj_0147f#0080</v>
      </c>
      <c r="H9" s="118" t="str">
        <f>_xll.qlMultiPhaseLeg(,E9:G9)</f>
        <v>obj_014a2#0080</v>
      </c>
      <c r="I9" s="81">
        <f>_xll.qlLegNPV($H9,DomesticDiscountCurve,TRUE,EffectiveDate,,)</f>
        <v>541.44743076033774</v>
      </c>
      <c r="J9" s="22">
        <f t="shared" si="0"/>
        <v>3315.4991975178523</v>
      </c>
      <c r="K9" s="24" t="str">
        <f>_xll.qlSchedule(,EffectiveDate,$C9,ForeignTenor,ForeignPaymentCalendar,ForeignBDC,ForeignTDC,ForeignDateGeneration,ForeignEOM)</f>
        <v>obj_014d9#0006</v>
      </c>
      <c r="L9" s="17" t="str">
        <f>_xll.qlIborLeg(,ForeignPaymentBDC,ForeignNotional,$K9,ForeignFixingDays,ForeignArrearFlag,ForeignDayCounter,,ForeignGearing,ForeignIndex)</f>
        <v>obj_0150f#0009</v>
      </c>
      <c r="M9" s="17" t="str">
        <f>_xll.qlLeg(,ForeignNotional,_xll.qlCalendarAdjust(ForeignPaymentCalendar,C9))</f>
        <v>obj_014e8#0006</v>
      </c>
      <c r="N9" s="17" t="str">
        <f>_xll.qlLeg(,-ForeignNotional,_xll.qlCalendarAdjust(ForeignPaymentCalendar,EffectiveDate))</f>
        <v>obj_014c8#0006</v>
      </c>
      <c r="O9" s="118" t="str">
        <f>_xll.qlMultiPhaseLeg(,L9:N9)</f>
        <v>obj_01510#0009</v>
      </c>
      <c r="P9" s="83">
        <f>_xll.qlLegNPV($O9,ForeignDiscountCurve,TRUE,EffectiveDate,,)</f>
        <v>-49483.788957486046</v>
      </c>
      <c r="Q9" s="83">
        <f>_xll.qlLegBPS($O9,ForeignDiscountCurve,TRUE,EffectiveDate,,)</f>
        <v>197.2554183085025</v>
      </c>
      <c r="R9" s="83">
        <f t="shared" si="1"/>
        <v>52799.288155003895</v>
      </c>
      <c r="S9" s="144">
        <f t="shared" si="3"/>
        <v>2.6766964683538954</v>
      </c>
      <c r="T9" s="99"/>
      <c r="U9" s="89" t="str">
        <f>ForeignCurrency&amp;"USQM3L"&amp;$B9</f>
        <v>CNHUSQM3L2Y</v>
      </c>
      <c r="V9" s="89" t="str">
        <v>CNHUSQM3L2Y=TRHK</v>
      </c>
      <c r="W9" s="173">
        <v>2.63</v>
      </c>
      <c r="X9" s="174">
        <v>2.73</v>
      </c>
      <c r="Y9" s="179">
        <f t="shared" si="4"/>
        <v>2.6766964683538954</v>
      </c>
      <c r="Z9" s="175">
        <f t="shared" si="5"/>
        <v>3.3035316461043074E-3</v>
      </c>
      <c r="AA9" s="15" t="b">
        <f t="shared" si="6"/>
        <v>1</v>
      </c>
      <c r="AB9" s="177">
        <f t="shared" si="2"/>
        <v>0.10000000000000009</v>
      </c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</row>
    <row r="10" spans="1:43" x14ac:dyDescent="0.2">
      <c r="A10" s="99">
        <f>MATCH(_xll.qlCalendarAdjust(DomesticCalendar,CCSPricing!C10),PaymentDates,0)</f>
        <v>13</v>
      </c>
      <c r="B10" s="7" t="s">
        <v>20</v>
      </c>
      <c r="C10" s="16">
        <f>_xll.qlCalendarAdvance(DomesticPaymentCalendar,EffectiveDate,B10,"unadjusted",TRUE)</f>
        <v>43045</v>
      </c>
      <c r="D10" s="24" t="str">
        <f>_xll.qlSchedule(,EffectiveDate,$C10,DomesticTenor,DomesticPaymentCalendar,DomesticBDC,DomesticTDC,DomesticDateGeneration,DomesticEOM)</f>
        <v>obj_014bd#0006</v>
      </c>
      <c r="E10" s="17" t="str">
        <f>_xll.qlIborLeg(,DomesticPaymentBDC,INDEX(DomesticFinalNotionals,1,1):INDEX(DomesticFinalNotionals,$A10-1,1),$D10,DomesticFixingDays,DomesticArrearFlag,DomesticDayCounter,,DomesticGearing,DomesticIndex)</f>
        <v>obj_0149b#0080</v>
      </c>
      <c r="F10" s="17" t="str">
        <f>_xll.qlLeg(,INDEX(DomesticFinalNotionals,1,1):INDEX(DomesticFinalNotionals,$A10-1,1),INDEX(PaymentDates,2,1):INDEX(PaymentDates,$A10,1))</f>
        <v>obj_0149e#0080</v>
      </c>
      <c r="G10" s="17" t="str">
        <f>_xll.qlLeg(,INDEX(DomesticInitialNotionals,1,1):INDEX(DomesticInitialNotionals,$A10-1,1),INDEX(PaymentDates,1,1):INDEX(PaymentDates,$A10-1,1))</f>
        <v>obj_0147d#0080</v>
      </c>
      <c r="H10" s="118" t="str">
        <f>_xll.qlMultiPhaseLeg(,E10:G10)</f>
        <v>obj_014b6#0079</v>
      </c>
      <c r="I10" s="81">
        <f>_xll.qlLegNPV($H10,DomesticDiscountCurve,TRUE,EffectiveDate,,)</f>
        <v>887.59989884097013</v>
      </c>
      <c r="J10" s="22">
        <f t="shared" si="0"/>
        <v>5435.1292205627969</v>
      </c>
      <c r="K10" s="24" t="str">
        <f>_xll.qlSchedule(,EffectiveDate,$C10,ForeignTenor,ForeignPaymentCalendar,ForeignBDC,ForeignTDC,ForeignDateGeneration,ForeignEOM)</f>
        <v>obj_014cd#0006</v>
      </c>
      <c r="L10" s="17" t="str">
        <f>_xll.qlIborLeg(,ForeignPaymentBDC,ForeignNotional,$K10,ForeignFixingDays,ForeignArrearFlag,ForeignDayCounter,,ForeignGearing,ForeignIndex)</f>
        <v>obj_0151e#0009</v>
      </c>
      <c r="M10" s="17" t="str">
        <f>_xll.qlLeg(,ForeignNotional,_xll.qlCalendarAdjust(ForeignPaymentCalendar,C10))</f>
        <v>obj_014c4#0006</v>
      </c>
      <c r="N10" s="17" t="str">
        <f>_xll.qlLeg(,-ForeignNotional,_xll.qlCalendarAdjust(ForeignPaymentCalendar,EffectiveDate))</f>
        <v>obj_014c2#0006</v>
      </c>
      <c r="O10" s="118" t="str">
        <f>_xll.qlMultiPhaseLeg(,L10:N10)</f>
        <v>obj_01526#0009</v>
      </c>
      <c r="P10" s="83">
        <f>_xll.qlLegNPV($O10,ForeignDiscountCurve,TRUE,EffectiveDate,,)</f>
        <v>-74390.128082861193</v>
      </c>
      <c r="Q10" s="83">
        <f>_xll.qlLegBPS($O10,ForeignDiscountCurve,TRUE,EffectiveDate,,)</f>
        <v>292.05767170788681</v>
      </c>
      <c r="R10" s="83">
        <f t="shared" si="1"/>
        <v>79825.25730342399</v>
      </c>
      <c r="S10" s="144">
        <f t="shared" si="3"/>
        <v>2.733201865118764</v>
      </c>
      <c r="T10" s="99"/>
      <c r="U10" s="89" t="str">
        <f>ForeignCurrency&amp;"USQM3L"&amp;$B10</f>
        <v>CNHUSQM3L3Y</v>
      </c>
      <c r="V10" s="89" t="str">
        <v>CNHUSQM3L3Y=TRHK</v>
      </c>
      <c r="W10" s="173">
        <v>2.72</v>
      </c>
      <c r="X10" s="174">
        <v>2.82</v>
      </c>
      <c r="Y10" s="179">
        <f t="shared" si="4"/>
        <v>2.733201865118764</v>
      </c>
      <c r="Z10" s="175">
        <f t="shared" si="5"/>
        <v>3.6798134881236066E-2</v>
      </c>
      <c r="AA10" s="15" t="b">
        <f t="shared" si="6"/>
        <v>1</v>
      </c>
      <c r="AB10" s="177">
        <f t="shared" si="2"/>
        <v>9.9999999999999645E-2</v>
      </c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</row>
    <row r="11" spans="1:43" x14ac:dyDescent="0.2">
      <c r="A11" s="99">
        <f>MATCH(_xll.qlCalendarAdjust(DomesticCalendar,CCSPricing!C11),PaymentDates,0)</f>
        <v>17</v>
      </c>
      <c r="B11" s="7" t="s">
        <v>21</v>
      </c>
      <c r="C11" s="16">
        <f>_xll.qlCalendarAdvance(DomesticPaymentCalendar,EffectiveDate,B11,"unadjusted",TRUE)</f>
        <v>43410</v>
      </c>
      <c r="D11" s="24" t="str">
        <f>_xll.qlSchedule(,EffectiveDate,$C11,DomesticTenor,DomesticPaymentCalendar,DomesticBDC,DomesticTDC,DomesticDateGeneration,DomesticEOM)</f>
        <v>obj_014c5#0006</v>
      </c>
      <c r="E11" s="17" t="str">
        <f>_xll.qlIborLeg(,DomesticPaymentBDC,INDEX(DomesticFinalNotionals,1,1):INDEX(DomesticFinalNotionals,$A11-1,1),$D11,DomesticFixingDays,DomesticArrearFlag,DomesticDayCounter,,DomesticGearing,DomesticIndex)</f>
        <v>obj_01497#0080</v>
      </c>
      <c r="F11" s="17" t="str">
        <f>_xll.qlLeg(,INDEX(DomesticFinalNotionals,1,1):INDEX(DomesticFinalNotionals,$A11-1,1),INDEX(PaymentDates,2,1):INDEX(PaymentDates,$A11,1))</f>
        <v>obj_0148c#0080</v>
      </c>
      <c r="G11" s="17" t="str">
        <f>_xll.qlLeg(,INDEX(DomesticInitialNotionals,1,1):INDEX(DomesticInitialNotionals,$A11-1,1),INDEX(PaymentDates,1,1):INDEX(PaymentDates,$A11-1,1))</f>
        <v>obj_01482#0080</v>
      </c>
      <c r="H11" s="118" t="str">
        <f>_xll.qlMultiPhaseLeg(,E11:G11)</f>
        <v>obj_014a0#0079</v>
      </c>
      <c r="I11" s="81">
        <f>_xll.qlLegNPV($H11,DomesticDiscountCurve,TRUE,EffectiveDate,,)</f>
        <v>1282.6872102385387</v>
      </c>
      <c r="J11" s="22">
        <f t="shared" si="0"/>
        <v>7854.4068631746677</v>
      </c>
      <c r="K11" s="24" t="str">
        <f>_xll.qlSchedule(,EffectiveDate,$C11,ForeignTenor,ForeignPaymentCalendar,ForeignBDC,ForeignTDC,ForeignDateGeneration,ForeignEOM)</f>
        <v>obj_014d8#0006</v>
      </c>
      <c r="L11" s="17" t="str">
        <f>_xll.qlIborLeg(,ForeignPaymentBDC,ForeignNotional,$K11,ForeignFixingDays,ForeignArrearFlag,ForeignDayCounter,,ForeignGearing,ForeignIndex)</f>
        <v>obj_01514#0009</v>
      </c>
      <c r="M11" s="17" t="str">
        <f>_xll.qlLeg(,ForeignNotional,_xll.qlCalendarAdjust(ForeignPaymentCalendar,C11))</f>
        <v>obj_014c1#0006</v>
      </c>
      <c r="N11" s="17" t="str">
        <f>_xll.qlLeg(,-ForeignNotional,_xll.qlCalendarAdjust(ForeignPaymentCalendar,EffectiveDate))</f>
        <v>obj_014db#0006</v>
      </c>
      <c r="O11" s="118" t="str">
        <f>_xll.qlMultiPhaseLeg(,L11:N11)</f>
        <v>obj_0152c#0009</v>
      </c>
      <c r="P11" s="83">
        <f>_xll.qlLegNPV($O11,ForeignDiscountCurve,TRUE,EffectiveDate,,)</f>
        <v>-101504.71712268225</v>
      </c>
      <c r="Q11" s="83">
        <f>_xll.qlLegBPS($O11,ForeignDiscountCurve,TRUE,EffectiveDate,,)</f>
        <v>384.20285848464448</v>
      </c>
      <c r="R11" s="83">
        <f t="shared" si="1"/>
        <v>109359.12398585692</v>
      </c>
      <c r="S11" s="144">
        <f t="shared" si="3"/>
        <v>2.8463901704736458</v>
      </c>
      <c r="T11" s="99"/>
      <c r="U11" s="89" t="str">
        <f>ForeignCurrency&amp;"USQM3L"&amp;$B11</f>
        <v>CNHUSQM3L4Y</v>
      </c>
      <c r="V11" s="89" t="str">
        <v>CNHUSQM3L4Y=TRHK</v>
      </c>
      <c r="W11" s="173">
        <v>2.83</v>
      </c>
      <c r="X11" s="174">
        <v>2.93</v>
      </c>
      <c r="Y11" s="179">
        <f t="shared" si="4"/>
        <v>2.8463901704736458</v>
      </c>
      <c r="Z11" s="175">
        <f t="shared" si="5"/>
        <v>3.3609829526354051E-2</v>
      </c>
      <c r="AA11" s="15" t="b">
        <f t="shared" si="6"/>
        <v>1</v>
      </c>
      <c r="AB11" s="177">
        <f t="shared" si="2"/>
        <v>0.10000000000000009</v>
      </c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</row>
    <row r="12" spans="1:43" x14ac:dyDescent="0.2">
      <c r="A12" s="99">
        <f>MATCH(_xll.qlCalendarAdjust(DomesticCalendar,CCSPricing!C12),PaymentDates,0)</f>
        <v>21</v>
      </c>
      <c r="B12" s="7" t="s">
        <v>22</v>
      </c>
      <c r="C12" s="16">
        <f>_xll.qlCalendarAdvance(DomesticPaymentCalendar,EffectiveDate,B12,"unadjusted",TRUE)</f>
        <v>43775</v>
      </c>
      <c r="D12" s="24" t="str">
        <f>_xll.qlSchedule(,EffectiveDate,$C12,DomesticTenor,DomesticPaymentCalendar,DomesticBDC,DomesticTDC,DomesticDateGeneration,DomesticEOM)</f>
        <v>obj_014ee#0006</v>
      </c>
      <c r="E12" s="17" t="str">
        <f>_xll.qlIborLeg(,DomesticPaymentBDC,INDEX(DomesticFinalNotionals,1,1):INDEX(DomesticFinalNotionals,$A12-1,1),$D12,DomesticFixingDays,DomesticArrearFlag,DomesticDayCounter,,DomesticGearing,DomesticIndex)</f>
        <v>obj_014a7#0080</v>
      </c>
      <c r="F12" s="17" t="str">
        <f>_xll.qlLeg(,INDEX(DomesticFinalNotionals,1,1):INDEX(DomesticFinalNotionals,$A12-1,1),INDEX(PaymentDates,2,1):INDEX(PaymentDates,$A12,1))</f>
        <v>obj_014b0#0080</v>
      </c>
      <c r="G12" s="17" t="str">
        <f>_xll.qlLeg(,INDEX(DomesticInitialNotionals,1,1):INDEX(DomesticInitialNotionals,$A12-1,1),INDEX(PaymentDates,1,1):INDEX(PaymentDates,$A12-1,1))</f>
        <v>obj_01481#0080</v>
      </c>
      <c r="H12" s="118" t="str">
        <f>_xll.qlMultiPhaseLeg(,E12:G12)</f>
        <v>obj_014b1#0080</v>
      </c>
      <c r="I12" s="81">
        <f>_xll.qlLegNPV($H12,DomesticDiscountCurve,TRUE,EffectiveDate,,)</f>
        <v>1642.2574798295682</v>
      </c>
      <c r="J12" s="22">
        <f t="shared" si="0"/>
        <v>10056.199451988377</v>
      </c>
      <c r="K12" s="24" t="str">
        <f>_xll.qlSchedule(,EffectiveDate,$C12,ForeignTenor,ForeignPaymentCalendar,ForeignBDC,ForeignTDC,ForeignDateGeneration,ForeignEOM)</f>
        <v>obj_014ef#0006</v>
      </c>
      <c r="L12" s="17" t="str">
        <f>_xll.qlIborLeg(,ForeignPaymentBDC,ForeignNotional,$K12,ForeignFixingDays,ForeignArrearFlag,ForeignDayCounter,,ForeignGearing,ForeignIndex)</f>
        <v>obj_0151a#0009</v>
      </c>
      <c r="M12" s="17" t="str">
        <f>_xll.qlLeg(,ForeignNotional,_xll.qlCalendarAdjust(ForeignPaymentCalendar,C12))</f>
        <v>obj_014ff#0006</v>
      </c>
      <c r="N12" s="17" t="str">
        <f>_xll.qlLeg(,-ForeignNotional,_xll.qlCalendarAdjust(ForeignPaymentCalendar,EffectiveDate))</f>
        <v>obj_014cc#0006</v>
      </c>
      <c r="O12" s="118" t="str">
        <f>_xll.qlMultiPhaseLeg(,L12:N12)</f>
        <v>obj_01528#0009</v>
      </c>
      <c r="P12" s="83">
        <f>_xll.qlLegNPV($O12,ForeignDiscountCurve,TRUE,EffectiveDate,,)</f>
        <v>-129468.49005490344</v>
      </c>
      <c r="Q12" s="83">
        <f>_xll.qlLegBPS($O12,ForeignDiscountCurve,TRUE,EffectiveDate,,)</f>
        <v>473.52692930745195</v>
      </c>
      <c r="R12" s="83">
        <f t="shared" si="1"/>
        <v>139524.68950689182</v>
      </c>
      <c r="S12" s="144">
        <f t="shared" si="3"/>
        <v>2.9464995731277854</v>
      </c>
      <c r="T12" s="99"/>
      <c r="U12" s="89" t="str">
        <f>ForeignCurrency&amp;"USQM3L"&amp;$B12</f>
        <v>CNHUSQM3L5Y</v>
      </c>
      <c r="V12" s="89" t="str">
        <v>CNHUSQM3L5Y=TRHK</v>
      </c>
      <c r="W12" s="173">
        <v>2.89</v>
      </c>
      <c r="X12" s="174">
        <v>2.99</v>
      </c>
      <c r="Y12" s="179">
        <f t="shared" si="4"/>
        <v>2.9464995731277854</v>
      </c>
      <c r="Z12" s="175">
        <f t="shared" si="5"/>
        <v>6.499573127785041E-3</v>
      </c>
      <c r="AA12" s="15" t="b">
        <f t="shared" si="6"/>
        <v>1</v>
      </c>
      <c r="AB12" s="177">
        <f t="shared" si="2"/>
        <v>0.10000000000000009</v>
      </c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</row>
    <row r="13" spans="1:43" x14ac:dyDescent="0.2">
      <c r="A13" s="99">
        <f>MATCH(_xll.qlCalendarAdjust(DomesticCalendar,CCSPricing!C13),PaymentDates,0)</f>
        <v>25</v>
      </c>
      <c r="B13" s="7" t="s">
        <v>23</v>
      </c>
      <c r="C13" s="16">
        <f>_xll.qlCalendarAdvance(DomesticPaymentCalendar,EffectiveDate,B13,"unadjusted",TRUE)</f>
        <v>44141</v>
      </c>
      <c r="D13" s="24" t="str">
        <f>_xll.qlSchedule(,EffectiveDate,$C13,DomesticTenor,DomesticPaymentCalendar,DomesticBDC,DomesticTDC,DomesticDateGeneration,DomesticEOM)</f>
        <v>obj_014f9#0006</v>
      </c>
      <c r="E13" s="17" t="str">
        <f>_xll.qlIborLeg(,DomesticPaymentBDC,INDEX(DomesticFinalNotionals,1,1):INDEX(DomesticFinalNotionals,$A13-1,1),$D13,DomesticFixingDays,DomesticArrearFlag,DomesticDayCounter,,DomesticGearing,DomesticIndex)</f>
        <v>obj_01492#0075</v>
      </c>
      <c r="F13" s="17" t="str">
        <f>_xll.qlLeg(,INDEX(DomesticFinalNotionals,1,1):INDEX(DomesticFinalNotionals,$A13-1,1),INDEX(PaymentDates,2,1):INDEX(PaymentDates,$A13,1))</f>
        <v>obj_0149d#0075</v>
      </c>
      <c r="G13" s="17" t="str">
        <f>_xll.qlLeg(,INDEX(DomesticInitialNotionals,1,1):INDEX(DomesticInitialNotionals,$A13-1,1),INDEX(PaymentDates,1,1):INDEX(PaymentDates,$A13-1,1))</f>
        <v>obj_014a3#0075</v>
      </c>
      <c r="H13" s="118" t="str">
        <f>_xll.qlMultiPhaseLeg(,E13:G13)</f>
        <v>obj_014b4#0074</v>
      </c>
      <c r="I13" s="81">
        <f>_xll.qlLegNPV($H13,DomesticDiscountCurve,TRUE,EffectiveDate,,)</f>
        <v>2014.9896374145756</v>
      </c>
      <c r="J13" s="22">
        <f t="shared" si="0"/>
        <v>12338.587545744413</v>
      </c>
      <c r="K13" s="24" t="str">
        <f>_xll.qlSchedule(,EffectiveDate,$C13,ForeignTenor,ForeignPaymentCalendar,ForeignBDC,ForeignTDC,ForeignDateGeneration,ForeignEOM)</f>
        <v>obj_014f8#0006</v>
      </c>
      <c r="L13" s="17" t="str">
        <f>_xll.qlIborLeg(,ForeignPaymentBDC,ForeignNotional,$K13,ForeignFixingDays,ForeignArrearFlag,ForeignDayCounter,,ForeignGearing,ForeignIndex)</f>
        <v>obj_0150b#0009</v>
      </c>
      <c r="M13" s="17" t="str">
        <f>_xll.qlLeg(,ForeignNotional,_xll.qlCalendarAdjust(ForeignPaymentCalendar,C13))</f>
        <v>obj_014fa#0006</v>
      </c>
      <c r="N13" s="17" t="str">
        <f>_xll.qlLeg(,-ForeignNotional,_xll.qlCalendarAdjust(ForeignPaymentCalendar,EffectiveDate))</f>
        <v>obj_014df#0006</v>
      </c>
      <c r="O13" s="118" t="str">
        <f>_xll.qlMultiPhaseLeg(,L13:N13)</f>
        <v>obj_01529#0009</v>
      </c>
      <c r="P13" s="83" t="e">
        <f>_xll.qlLegNPV($O13,ForeignDiscountCurve,TRUE,EffectiveDate,,)</f>
        <v>#NUM!</v>
      </c>
      <c r="Q13" s="83" t="e">
        <f>_xll.qlLegBPS($O13,ForeignDiscountCurve,TRUE,EffectiveDate,,)</f>
        <v>#NUM!</v>
      </c>
      <c r="R13" s="83" t="e">
        <f t="shared" si="1"/>
        <v>#NUM!</v>
      </c>
      <c r="S13" s="144" t="e">
        <f t="shared" si="3"/>
        <v>#NUM!</v>
      </c>
      <c r="T13" s="99"/>
      <c r="U13" s="89" t="str">
        <f>ForeignCurrency&amp;"USQM3L"&amp;$B13</f>
        <v>CNHUSQM3L6Y</v>
      </c>
      <c r="V13" s="89" t="str">
        <v>CNHUSQM3L6Y=TRHK</v>
      </c>
      <c r="W13" s="173" t="s">
        <v>136</v>
      </c>
      <c r="X13" s="174" t="s">
        <v>136</v>
      </c>
      <c r="Y13" s="179" t="str">
        <f t="shared" si="4"/>
        <v>--</v>
      </c>
      <c r="Z13" s="175" t="str">
        <f t="shared" si="5"/>
        <v>--</v>
      </c>
      <c r="AA13" s="15" t="str">
        <f t="shared" si="6"/>
        <v>--</v>
      </c>
      <c r="AB13" s="177" t="str">
        <f t="shared" si="2"/>
        <v>--</v>
      </c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</row>
    <row r="14" spans="1:43" x14ac:dyDescent="0.2">
      <c r="A14" s="99">
        <f>MATCH(_xll.qlCalendarAdjust(DomesticCalendar,CCSPricing!C14),PaymentDates,0)</f>
        <v>29</v>
      </c>
      <c r="B14" s="7" t="s">
        <v>24</v>
      </c>
      <c r="C14" s="16">
        <f>_xll.qlCalendarAdvance(DomesticPaymentCalendar,EffectiveDate,B14,"unadjusted",TRUE)</f>
        <v>44506</v>
      </c>
      <c r="D14" s="24" t="str">
        <f>_xll.qlSchedule(,EffectiveDate,$C14,DomesticTenor,DomesticPaymentCalendar,DomesticBDC,DomesticTDC,DomesticDateGeneration,DomesticEOM)</f>
        <v>obj_014ce#0006</v>
      </c>
      <c r="E14" s="17" t="str">
        <f>_xll.qlIborLeg(,DomesticPaymentBDC,INDEX(DomesticFinalNotionals,1,1):INDEX(DomesticFinalNotionals,$A14-1,1),$D14,DomesticFixingDays,DomesticArrearFlag,DomesticDayCounter,,DomesticGearing,DomesticIndex)</f>
        <v>obj_0147c#0075</v>
      </c>
      <c r="F14" s="17" t="str">
        <f>_xll.qlLeg(,INDEX(DomesticFinalNotionals,1,1):INDEX(DomesticFinalNotionals,$A14-1,1),INDEX(PaymentDates,2,1):INDEX(PaymentDates,$A14,1))</f>
        <v>obj_0147b#0075</v>
      </c>
      <c r="G14" s="17" t="str">
        <f>_xll.qlLeg(,INDEX(DomesticInitialNotionals,1,1):INDEX(DomesticInitialNotionals,$A14-1,1),INDEX(PaymentDates,1,1):INDEX(PaymentDates,$A14-1,1))</f>
        <v>obj_01499#0075</v>
      </c>
      <c r="H14" s="118" t="str">
        <f>_xll.qlMultiPhaseLeg(,E14:G14)</f>
        <v>obj_014b5#0074</v>
      </c>
      <c r="I14" s="81">
        <f>_xll.qlLegNPV($H14,DomesticDiscountCurve,TRUE,EffectiveDate,,)</f>
        <v>2385.8067934231658</v>
      </c>
      <c r="J14" s="22">
        <f t="shared" si="0"/>
        <v>14609.249318847415</v>
      </c>
      <c r="K14" s="24" t="str">
        <f>_xll.qlSchedule(,EffectiveDate,$C14,ForeignTenor,ForeignPaymentCalendar,ForeignBDC,ForeignTDC,ForeignDateGeneration,ForeignEOM)</f>
        <v>obj_014e6#0006</v>
      </c>
      <c r="L14" s="17" t="str">
        <f>_xll.qlIborLeg(,ForeignPaymentBDC,ForeignNotional,$K14,ForeignFixingDays,ForeignArrearFlag,ForeignDayCounter,,ForeignGearing,ForeignIndex)</f>
        <v>obj_0151c#0009</v>
      </c>
      <c r="M14" s="17" t="str">
        <f>_xll.qlLeg(,ForeignNotional,_xll.qlCalendarAdjust(ForeignPaymentCalendar,C14))</f>
        <v>obj_01512#0006</v>
      </c>
      <c r="N14" s="17" t="str">
        <f>_xll.qlLeg(,-ForeignNotional,_xll.qlCalendarAdjust(ForeignPaymentCalendar,EffectiveDate))</f>
        <v>obj_014c0#0006</v>
      </c>
      <c r="O14" s="118" t="str">
        <f>_xll.qlMultiPhaseLeg(,L14:N14)</f>
        <v>obj_0152b#0009</v>
      </c>
      <c r="P14" s="83" t="e">
        <f>_xll.qlLegNPV($O14,ForeignDiscountCurve,TRUE,EffectiveDate,,)</f>
        <v>#NUM!</v>
      </c>
      <c r="Q14" s="83" t="e">
        <f>_xll.qlLegBPS($O14,ForeignDiscountCurve,TRUE,EffectiveDate,,)</f>
        <v>#NUM!</v>
      </c>
      <c r="R14" s="83" t="e">
        <f t="shared" si="1"/>
        <v>#NUM!</v>
      </c>
      <c r="S14" s="144" t="e">
        <f t="shared" si="3"/>
        <v>#NUM!</v>
      </c>
      <c r="T14" s="99"/>
      <c r="U14" s="89" t="str">
        <f>ForeignCurrency&amp;"USQM3L"&amp;$B14</f>
        <v>CNHUSQM3L7Y</v>
      </c>
      <c r="V14" s="89" t="str">
        <v>CNHUSQM3L7Y=TRHK</v>
      </c>
      <c r="W14" s="173">
        <v>3.0249999999999999</v>
      </c>
      <c r="X14" s="174">
        <v>3.1749999999999998</v>
      </c>
      <c r="Y14" s="179" t="str">
        <f t="shared" si="4"/>
        <v>--</v>
      </c>
      <c r="Z14" s="175" t="str">
        <f t="shared" si="5"/>
        <v>--</v>
      </c>
      <c r="AA14" s="15" t="str">
        <f t="shared" si="6"/>
        <v>--</v>
      </c>
      <c r="AB14" s="177">
        <f t="shared" si="2"/>
        <v>0.14999999999999991</v>
      </c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</row>
    <row r="15" spans="1:43" x14ac:dyDescent="0.2">
      <c r="A15" s="99">
        <f>MATCH(_xll.qlCalendarAdjust(DomesticCalendar,CCSPricing!C15),PaymentDates,0)</f>
        <v>33</v>
      </c>
      <c r="B15" s="7" t="s">
        <v>25</v>
      </c>
      <c r="C15" s="16">
        <f>_xll.qlCalendarAdvance(DomesticPaymentCalendar,EffectiveDate,B15,"unadjusted",TRUE)</f>
        <v>44871</v>
      </c>
      <c r="D15" s="24" t="str">
        <f>_xll.qlSchedule(,EffectiveDate,$C15,DomesticTenor,DomesticPaymentCalendar,DomesticBDC,DomesticTDC,DomesticDateGeneration,DomesticEOM)</f>
        <v>obj_014d4#0006</v>
      </c>
      <c r="E15" s="17" t="str">
        <f>_xll.qlIborLeg(,DomesticPaymentBDC,INDEX(DomesticFinalNotionals,1,1):INDEX(DomesticFinalNotionals,$A15-1,1),$D15,DomesticFixingDays,DomesticArrearFlag,DomesticDayCounter,,DomesticGearing,DomesticIndex)</f>
        <v>obj_014af#0075</v>
      </c>
      <c r="F15" s="17" t="str">
        <f>_xll.qlLeg(,INDEX(DomesticFinalNotionals,1,1):INDEX(DomesticFinalNotionals,$A15-1,1),INDEX(PaymentDates,2,1):INDEX(PaymentDates,$A15,1))</f>
        <v>obj_01493#0075</v>
      </c>
      <c r="G15" s="17" t="str">
        <f>_xll.qlLeg(,INDEX(DomesticInitialNotionals,1,1):INDEX(DomesticInitialNotionals,$A15-1,1),INDEX(PaymentDates,1,1):INDEX(PaymentDates,$A15-1,1))</f>
        <v>obj_01480#0075</v>
      </c>
      <c r="H15" s="118" t="str">
        <f>_xll.qlMultiPhaseLeg(,E15:G15)</f>
        <v>obj_014b9#0074</v>
      </c>
      <c r="I15" s="81">
        <f>_xll.qlLegNPV($H15,DomesticDiscountCurve,TRUE,EffectiveDate,,)</f>
        <v>2755.9879017369822</v>
      </c>
      <c r="J15" s="22">
        <f t="shared" si="0"/>
        <v>16876.016317496236</v>
      </c>
      <c r="K15" s="24" t="str">
        <f>_xll.qlSchedule(,EffectiveDate,$C15,ForeignTenor,ForeignPaymentCalendar,ForeignBDC,ForeignTDC,ForeignDateGeneration,ForeignEOM)</f>
        <v>obj_014e1#0006</v>
      </c>
      <c r="L15" s="17" t="str">
        <f>_xll.qlIborLeg(,ForeignPaymentBDC,ForeignNotional,$K15,ForeignFixingDays,ForeignArrearFlag,ForeignDayCounter,,ForeignGearing,ForeignIndex)</f>
        <v>obj_01508#0009</v>
      </c>
      <c r="M15" s="17" t="str">
        <f>_xll.qlLeg(,ForeignNotional,_xll.qlCalendarAdjust(ForeignPaymentCalendar,C15))</f>
        <v>obj_014e2#0006</v>
      </c>
      <c r="N15" s="17" t="str">
        <f>_xll.qlLeg(,-ForeignNotional,_xll.qlCalendarAdjust(ForeignPaymentCalendar,EffectiveDate))</f>
        <v>obj_014dd#0006</v>
      </c>
      <c r="O15" s="118" t="str">
        <f>_xll.qlMultiPhaseLeg(,L15:N15)</f>
        <v>obj_0152a#0009</v>
      </c>
      <c r="P15" s="83" t="e">
        <f>_xll.qlLegNPV($O15,ForeignDiscountCurve,TRUE,EffectiveDate,,)</f>
        <v>#NUM!</v>
      </c>
      <c r="Q15" s="83" t="e">
        <f>_xll.qlLegBPS($O15,ForeignDiscountCurve,TRUE,EffectiveDate,,)</f>
        <v>#NUM!</v>
      </c>
      <c r="R15" s="83" t="e">
        <f t="shared" si="1"/>
        <v>#NUM!</v>
      </c>
      <c r="S15" s="144" t="e">
        <f t="shared" si="3"/>
        <v>#NUM!</v>
      </c>
      <c r="T15" s="99"/>
      <c r="U15" s="89" t="str">
        <f>ForeignCurrency&amp;"USQM3L"&amp;$B15</f>
        <v>CNHUSQM3L8Y</v>
      </c>
      <c r="V15" s="89" t="str">
        <v>CNHUSQM3L8Y=TRHK</v>
      </c>
      <c r="W15" s="173" t="s">
        <v>136</v>
      </c>
      <c r="X15" s="174" t="s">
        <v>136</v>
      </c>
      <c r="Y15" s="179" t="str">
        <f t="shared" si="4"/>
        <v>--</v>
      </c>
      <c r="Z15" s="175" t="str">
        <f t="shared" si="5"/>
        <v>--</v>
      </c>
      <c r="AA15" s="15" t="str">
        <f>IF(AND(ISNUMBER(W15),ISNUMBER(Y15)),AND($Y15&gt;$W15,$Y15&lt;$X15),"--")</f>
        <v>--</v>
      </c>
      <c r="AB15" s="177" t="str">
        <f t="shared" si="2"/>
        <v>--</v>
      </c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</row>
    <row r="16" spans="1:43" x14ac:dyDescent="0.2">
      <c r="A16" s="99">
        <f>MATCH(_xll.qlCalendarAdjust(DomesticCalendar,CCSPricing!C16),PaymentDates,0)</f>
        <v>37</v>
      </c>
      <c r="B16" s="7" t="s">
        <v>26</v>
      </c>
      <c r="C16" s="16">
        <f>_xll.qlCalendarAdvance(DomesticPaymentCalendar,EffectiveDate,B16,"unadjusted",TRUE)</f>
        <v>45236</v>
      </c>
      <c r="D16" s="24" t="str">
        <f>_xll.qlSchedule(,EffectiveDate,$C16,DomesticTenor,DomesticPaymentCalendar,DomesticBDC,DomesticTDC,DomesticDateGeneration,DomesticEOM)</f>
        <v>obj_014ea#0006</v>
      </c>
      <c r="E16" s="17" t="str">
        <f>_xll.qlIborLeg(,DomesticPaymentBDC,INDEX(DomesticFinalNotionals,1,1):INDEX(DomesticFinalNotionals,$A16-1,1),$D16,DomesticFixingDays,DomesticArrearFlag,DomesticDayCounter,,DomesticGearing,DomesticIndex)</f>
        <v>obj_014a5#0075</v>
      </c>
      <c r="F16" s="17" t="str">
        <f>_xll.qlLeg(,INDEX(DomesticFinalNotionals,1,1):INDEX(DomesticFinalNotionals,$A16-1,1),INDEX(PaymentDates,2,1):INDEX(PaymentDates,$A16,1))</f>
        <v>obj_0148e#0075</v>
      </c>
      <c r="G16" s="17" t="str">
        <f>_xll.qlLeg(,INDEX(DomesticInitialNotionals,1,1):INDEX(DomesticInitialNotionals,$A16-1,1),INDEX(PaymentDates,1,1):INDEX(PaymentDates,$A16-1,1))</f>
        <v>obj_01498#0075</v>
      </c>
      <c r="H16" s="118" t="str">
        <f>_xll.qlMultiPhaseLeg(,E16:G16)</f>
        <v>obj_014a6#0075</v>
      </c>
      <c r="I16" s="81">
        <f>_xll.qlLegNPV($H16,DomesticDiscountCurve,TRUE,EffectiveDate,,)</f>
        <v>3113.8116067714</v>
      </c>
      <c r="J16" s="22">
        <f t="shared" si="0"/>
        <v>19067.113992903993</v>
      </c>
      <c r="K16" s="24" t="str">
        <f>_xll.qlSchedule(,EffectiveDate,$C16,ForeignTenor,ForeignPaymentCalendar,ForeignBDC,ForeignTDC,ForeignDateGeneration,ForeignEOM)</f>
        <v>obj_014e9#0006</v>
      </c>
      <c r="L16" s="17" t="str">
        <f>_xll.qlIborLeg(,ForeignPaymentBDC,ForeignNotional,$K16,ForeignFixingDays,ForeignArrearFlag,ForeignDayCounter,,ForeignGearing,ForeignIndex)</f>
        <v>obj_01517#0009</v>
      </c>
      <c r="M16" s="17" t="str">
        <f>_xll.qlLeg(,ForeignNotional,_xll.qlCalendarAdjust(ForeignPaymentCalendar,C16))</f>
        <v>obj_014eb#0006</v>
      </c>
      <c r="N16" s="17" t="str">
        <f>_xll.qlLeg(,-ForeignNotional,_xll.qlCalendarAdjust(ForeignPaymentCalendar,EffectiveDate))</f>
        <v>obj_014da#0006</v>
      </c>
      <c r="O16" s="118" t="str">
        <f>_xll.qlMultiPhaseLeg(,L16:N16)</f>
        <v>obj_0152f#0009</v>
      </c>
      <c r="P16" s="83" t="e">
        <f>_xll.qlLegNPV($O16,ForeignDiscountCurve,TRUE,EffectiveDate,,)</f>
        <v>#NUM!</v>
      </c>
      <c r="Q16" s="83" t="e">
        <f>_xll.qlLegBPS($O16,ForeignDiscountCurve,TRUE,EffectiveDate,,)</f>
        <v>#NUM!</v>
      </c>
      <c r="R16" s="83" t="e">
        <f t="shared" si="1"/>
        <v>#NUM!</v>
      </c>
      <c r="S16" s="144" t="e">
        <f t="shared" si="3"/>
        <v>#NUM!</v>
      </c>
      <c r="T16" s="99"/>
      <c r="U16" s="89" t="str">
        <f>ForeignCurrency&amp;"USQM3L"&amp;$B16</f>
        <v>CNHUSQM3L9Y</v>
      </c>
      <c r="V16" s="89" t="str">
        <v>CNHUSQM3L9Y=TRHK</v>
      </c>
      <c r="W16" s="173" t="s">
        <v>136</v>
      </c>
      <c r="X16" s="174" t="s">
        <v>136</v>
      </c>
      <c r="Y16" s="179" t="str">
        <f t="shared" si="4"/>
        <v>--</v>
      </c>
      <c r="Z16" s="175" t="str">
        <f t="shared" si="5"/>
        <v>--</v>
      </c>
      <c r="AA16" s="15" t="str">
        <f t="shared" si="6"/>
        <v>--</v>
      </c>
      <c r="AB16" s="177" t="str">
        <f t="shared" si="2"/>
        <v>--</v>
      </c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</row>
    <row r="17" spans="1:43" x14ac:dyDescent="0.2">
      <c r="A17" s="99">
        <f>MATCH(_xll.qlCalendarAdjust(DomesticCalendar,CCSPricing!C17),PaymentDates,0)</f>
        <v>41</v>
      </c>
      <c r="B17" s="7" t="s">
        <v>27</v>
      </c>
      <c r="C17" s="16">
        <f>_xll.qlCalendarAdvance(DomesticPaymentCalendar,EffectiveDate,B17,"unadjusted",TRUE)</f>
        <v>45602</v>
      </c>
      <c r="D17" s="24" t="str">
        <f>_xll.qlSchedule(,EffectiveDate,$C17,DomesticTenor,DomesticPaymentCalendar,DomesticBDC,DomesticTDC,DomesticDateGeneration,DomesticEOM)</f>
        <v>obj_014e4#0006</v>
      </c>
      <c r="E17" s="17" t="str">
        <f>_xll.qlIborLeg(,DomesticPaymentBDC,INDEX(DomesticFinalNotionals,1,1):INDEX(DomesticFinalNotionals,$A17-1,1),$D17,DomesticFixingDays,DomesticArrearFlag,DomesticDayCounter,,DomesticGearing,DomesticIndex)</f>
        <v>obj_014a9#0075</v>
      </c>
      <c r="F17" s="17" t="str">
        <f>_xll.qlLeg(,INDEX(DomesticFinalNotionals,1,1):INDEX(DomesticFinalNotionals,$A17-1,1),INDEX(PaymentDates,2,1):INDEX(PaymentDates,$A17,1))</f>
        <v>obj_01495#0075</v>
      </c>
      <c r="G17" s="17" t="str">
        <f>_xll.qlLeg(,INDEX(DomesticInitialNotionals,1,1):INDEX(DomesticInitialNotionals,$A17-1,1),INDEX(PaymentDates,1,1):INDEX(PaymentDates,$A17-1,1))</f>
        <v>obj_0147a#0075</v>
      </c>
      <c r="H17" s="118" t="str">
        <f>_xll.qlMultiPhaseLeg(,E17:G17)</f>
        <v>obj_014aa#0075</v>
      </c>
      <c r="I17" s="81">
        <f>_xll.qlLegNPV($H17,DomesticDiscountCurve,TRUE,EffectiveDate,,)</f>
        <v>3459.2806163616187</v>
      </c>
      <c r="J17" s="22">
        <f t="shared" si="0"/>
        <v>21182.558926228736</v>
      </c>
      <c r="K17" s="24" t="str">
        <f>_xll.qlSchedule(,EffectiveDate,$C17,ForeignTenor,ForeignPaymentCalendar,ForeignBDC,ForeignTDC,ForeignDateGeneration,ForeignEOM)</f>
        <v>obj_014c7#0006</v>
      </c>
      <c r="L17" s="17" t="str">
        <f>_xll.qlIborLeg(,ForeignPaymentBDC,ForeignNotional,$K17,ForeignFixingDays,ForeignArrearFlag,ForeignDayCounter,,ForeignGearing,ForeignIndex)</f>
        <v>obj_0150a#0009</v>
      </c>
      <c r="M17" s="17" t="str">
        <f>_xll.qlLeg(,ForeignNotional,_xll.qlCalendarAdjust(ForeignPaymentCalendar,C17))</f>
        <v>obj_014e5#0006</v>
      </c>
      <c r="N17" s="17" t="str">
        <f>_xll.qlLeg(,-ForeignNotional,_xll.qlCalendarAdjust(ForeignPaymentCalendar,EffectiveDate))</f>
        <v>obj_014be#0006</v>
      </c>
      <c r="O17" s="118" t="str">
        <f>_xll.qlMultiPhaseLeg(,L17:N17)</f>
        <v>obj_01530#0009</v>
      </c>
      <c r="P17" s="83" t="e">
        <f>_xll.qlLegNPV($O17,ForeignDiscountCurve,TRUE,EffectiveDate,,)</f>
        <v>#NUM!</v>
      </c>
      <c r="Q17" s="83" t="e">
        <f>_xll.qlLegBPS($O17,ForeignDiscountCurve,TRUE,EffectiveDate,,)</f>
        <v>#NUM!</v>
      </c>
      <c r="R17" s="83" t="e">
        <f t="shared" si="1"/>
        <v>#NUM!</v>
      </c>
      <c r="S17" s="144" t="e">
        <f t="shared" si="3"/>
        <v>#NUM!</v>
      </c>
      <c r="T17" s="99"/>
      <c r="U17" s="89" t="str">
        <f>ForeignCurrency&amp;"USQM3L"&amp;$B17</f>
        <v>CNHUSQM3L10Y</v>
      </c>
      <c r="V17" s="89" t="str">
        <v>CNHUSQM3L10Y=TRHK</v>
      </c>
      <c r="W17" s="173">
        <v>3.06</v>
      </c>
      <c r="X17" s="174">
        <v>3.36</v>
      </c>
      <c r="Y17" s="179" t="str">
        <f t="shared" si="4"/>
        <v>--</v>
      </c>
      <c r="Z17" s="175" t="str">
        <f t="shared" si="5"/>
        <v>--</v>
      </c>
      <c r="AA17" s="15" t="str">
        <f t="shared" si="6"/>
        <v>--</v>
      </c>
      <c r="AB17" s="177">
        <f t="shared" si="2"/>
        <v>0.29999999999999982</v>
      </c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</row>
    <row r="18" spans="1:43" ht="11.25" customHeight="1" x14ac:dyDescent="0.2">
      <c r="A18" s="99">
        <f>MATCH(_xll.qlCalendarAdjust(DomesticCalendar,CCSPricing!C18),PaymentDates,0)</f>
        <v>49</v>
      </c>
      <c r="B18" s="7" t="s">
        <v>110</v>
      </c>
      <c r="C18" s="16">
        <f>_xll.qlCalendarAdvance(DomesticPaymentCalendar,EffectiveDate,B18,"unadjusted",TRUE)</f>
        <v>46332</v>
      </c>
      <c r="D18" s="24" t="str">
        <f>_xll.qlSchedule(,EffectiveDate,$C18,DomesticTenor,DomesticPaymentCalendar,DomesticBDC,DomesticTDC,DomesticDateGeneration,DomesticEOM)</f>
        <v>obj_01507#0006</v>
      </c>
      <c r="E18" s="17" t="str">
        <f>_xll.qlIborLeg(,DomesticPaymentBDC,INDEX(DomesticFinalNotionals,1,1):INDEX(DomesticFinalNotionals,$A18-1,1),$D18,DomesticFixingDays,DomesticArrearFlag,DomesticDayCounter,,DomesticGearing,DomesticIndex)</f>
        <v>obj_014ae#0075</v>
      </c>
      <c r="F18" s="17" t="str">
        <f>_xll.qlLeg(,INDEX(DomesticFinalNotionals,1,1):INDEX(DomesticFinalNotionals,$A18-1,1),INDEX(PaymentDates,2,1):INDEX(PaymentDates,$A18,1))</f>
        <v>obj_0148b#0075</v>
      </c>
      <c r="G18" s="17" t="str">
        <f>_xll.qlLeg(,INDEX(DomesticInitialNotionals,1,1):INDEX(DomesticInitialNotionals,$A18-1,1),INDEX(PaymentDates,1,1):INDEX(PaymentDates,$A18-1,1))</f>
        <v>obj_014ad#0074</v>
      </c>
      <c r="H18" s="118" t="str">
        <f>_xll.qlMultiPhaseLeg(,E18:G18)</f>
        <v>obj_014b3#0074</v>
      </c>
      <c r="I18" s="81">
        <f>_xll.qlLegNPV($H18,DomesticDiscountCurve,TRUE,EffectiveDate,,)</f>
        <v>4107.7504034425801</v>
      </c>
      <c r="J18" s="22">
        <f t="shared" si="0"/>
        <v>25153.398820440296</v>
      </c>
      <c r="K18" s="24" t="str">
        <f>_xll.qlSchedule(,EffectiveDate,$C18,ForeignTenor,ForeignPaymentCalendar,ForeignBDC,ForeignTDC,ForeignDateGeneration,ForeignEOM)</f>
        <v>obj_014e7#0006</v>
      </c>
      <c r="L18" s="17" t="str">
        <f>_xll.qlIborLeg(,ForeignPaymentBDC,ForeignNotional,$K18,ForeignFixingDays,ForeignArrearFlag,ForeignDayCounter,,ForeignGearing,ForeignIndex)</f>
        <v>obj_01525#0009</v>
      </c>
      <c r="M18" s="17" t="str">
        <f>_xll.qlLeg(,ForeignNotional,_xll.qlCalendarAdjust(ForeignPaymentCalendar,C18))</f>
        <v>obj_01509#0006</v>
      </c>
      <c r="N18" s="17" t="str">
        <f>_xll.qlLeg(,-ForeignNotional,_xll.qlCalendarAdjust(ForeignPaymentCalendar,EffectiveDate))</f>
        <v>obj_014c3#0006</v>
      </c>
      <c r="O18" s="118" t="str">
        <f>_xll.qlMultiPhaseLeg(,L18:N18)</f>
        <v>obj_01535#0008</v>
      </c>
      <c r="P18" s="83" t="e">
        <f>_xll.qlLegNPV($O18,ForeignDiscountCurve,TRUE,EffectiveDate,,)</f>
        <v>#NUM!</v>
      </c>
      <c r="Q18" s="83" t="e">
        <f>_xll.qlLegBPS($O18,ForeignDiscountCurve,TRUE,EffectiveDate,,)</f>
        <v>#NUM!</v>
      </c>
      <c r="R18" s="83" t="e">
        <f t="shared" si="1"/>
        <v>#NUM!</v>
      </c>
      <c r="S18" s="144" t="e">
        <f t="shared" si="3"/>
        <v>#NUM!</v>
      </c>
      <c r="T18" s="99"/>
      <c r="U18" s="89" t="str">
        <f>ForeignCurrency&amp;"USQM3L"&amp;$B18</f>
        <v>CNHUSQM3L12Y</v>
      </c>
      <c r="V18" s="89" t="str">
        <v>CNHUSQM3L12Y=TRHK</v>
      </c>
      <c r="W18" s="173" t="s">
        <v>136</v>
      </c>
      <c r="X18" s="174" t="s">
        <v>136</v>
      </c>
      <c r="Y18" s="179" t="str">
        <f t="shared" si="4"/>
        <v>--</v>
      </c>
      <c r="Z18" s="175" t="str">
        <f t="shared" si="5"/>
        <v>--</v>
      </c>
      <c r="AA18" s="15" t="str">
        <f t="shared" si="6"/>
        <v>--</v>
      </c>
      <c r="AB18" s="177" t="str">
        <f t="shared" si="2"/>
        <v>--</v>
      </c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</row>
    <row r="19" spans="1:43" ht="11.25" customHeight="1" x14ac:dyDescent="0.2">
      <c r="A19" s="99">
        <f>MATCH(_xll.qlCalendarAdjust(DomesticCalendar,CCSPricing!C19),PaymentDates,0)</f>
        <v>61</v>
      </c>
      <c r="B19" s="7" t="s">
        <v>111</v>
      </c>
      <c r="C19" s="16">
        <f>_xll.qlCalendarAdvance(DomesticPaymentCalendar,EffectiveDate,B19,"unadjusted",TRUE)</f>
        <v>47428</v>
      </c>
      <c r="D19" s="24" t="str">
        <f>_xll.qlSchedule(,EffectiveDate,$C19,DomesticTenor,DomesticPaymentCalendar,DomesticBDC,DomesticTDC,DomesticDateGeneration,DomesticEOM)</f>
        <v>obj_01513#0006</v>
      </c>
      <c r="E19" s="17" t="str">
        <f>_xll.qlIborLeg(,DomesticPaymentBDC,INDEX(DomesticFinalNotionals,1,1):INDEX(DomesticFinalNotionals,$A19-1,1),$D19,DomesticFixingDays,DomesticArrearFlag,DomesticDayCounter,,DomesticGearing,DomesticIndex)</f>
        <v>obj_01490#0074</v>
      </c>
      <c r="F19" s="17" t="str">
        <f>_xll.qlLeg(,INDEX(DomesticFinalNotionals,1,1):INDEX(DomesticFinalNotionals,$A19-1,1),INDEX(PaymentDates,2,1):INDEX(PaymentDates,$A19,1))</f>
        <v>obj_01486#0074</v>
      </c>
      <c r="G19" s="17" t="str">
        <f>_xll.qlLeg(,INDEX(DomesticInitialNotionals,1,1):INDEX(DomesticInitialNotionals,$A19-1,1),INDEX(PaymentDates,1,1):INDEX(PaymentDates,$A19-1,1))</f>
        <v>obj_01484#0074</v>
      </c>
      <c r="H19" s="118" t="str">
        <f>_xll.qlMultiPhaseLeg(,E19:G19)</f>
        <v>obj_01491#0074</v>
      </c>
      <c r="I19" s="81">
        <f>_xll.qlLegNPV($H19,DomesticDiscountCurve,TRUE,EffectiveDate,,)</f>
        <v>5090.8622746181936</v>
      </c>
      <c r="J19" s="22">
        <f t="shared" si="0"/>
        <v>31173.386052397047</v>
      </c>
      <c r="K19" s="24" t="str">
        <f>_xll.qlSchedule(,EffectiveDate,$C19,ForeignTenor,ForeignPaymentCalendar,ForeignBDC,ForeignTDC,ForeignDateGeneration,ForeignEOM)</f>
        <v>obj_014e0#0006</v>
      </c>
      <c r="L19" s="17" t="str">
        <f>_xll.qlIborLeg(,ForeignPaymentBDC,ForeignNotional,$K19,ForeignFixingDays,ForeignArrearFlag,ForeignDayCounter,,ForeignGearing,ForeignIndex)</f>
        <v>obj_0150c#0009</v>
      </c>
      <c r="M19" s="17" t="str">
        <f>_xll.qlLeg(,ForeignNotional,_xll.qlCalendarAdjust(ForeignPaymentCalendar,C19))</f>
        <v>obj_01523#0006</v>
      </c>
      <c r="N19" s="17" t="str">
        <f>_xll.qlLeg(,-ForeignNotional,_xll.qlCalendarAdjust(ForeignPaymentCalendar,EffectiveDate))</f>
        <v>obj_014d3#0006</v>
      </c>
      <c r="O19" s="118" t="str">
        <f>_xll.qlMultiPhaseLeg(,L19:N19)</f>
        <v>obj_01536#0008</v>
      </c>
      <c r="P19" s="83" t="e">
        <f>_xll.qlLegNPV($O19,ForeignDiscountCurve,TRUE,EffectiveDate,,)</f>
        <v>#NUM!</v>
      </c>
      <c r="Q19" s="83" t="e">
        <f>_xll.qlLegBPS($O19,ForeignDiscountCurve,TRUE,EffectiveDate,,)</f>
        <v>#NUM!</v>
      </c>
      <c r="R19" s="83" t="e">
        <f t="shared" si="1"/>
        <v>#NUM!</v>
      </c>
      <c r="S19" s="144" t="e">
        <f t="shared" si="3"/>
        <v>#NUM!</v>
      </c>
      <c r="T19" s="99"/>
      <c r="U19" s="89" t="str">
        <f>ForeignCurrency&amp;"USQM3L"&amp;$B19</f>
        <v>CNHUSQM3L15Y</v>
      </c>
      <c r="V19" s="89" t="str">
        <v>CNHUSQM3L15Y=TRHK</v>
      </c>
      <c r="W19" s="173" t="s">
        <v>136</v>
      </c>
      <c r="X19" s="174" t="s">
        <v>136</v>
      </c>
      <c r="Y19" s="179" t="str">
        <f t="shared" si="4"/>
        <v>--</v>
      </c>
      <c r="Z19" s="175" t="str">
        <f t="shared" si="5"/>
        <v>--</v>
      </c>
      <c r="AA19" s="15" t="str">
        <f t="shared" si="6"/>
        <v>--</v>
      </c>
      <c r="AB19" s="177" t="str">
        <f t="shared" si="2"/>
        <v>--</v>
      </c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</row>
    <row r="20" spans="1:43" ht="11.25" customHeight="1" x14ac:dyDescent="0.2">
      <c r="A20" s="99">
        <f>MATCH(_xll.qlCalendarAdjust(DomesticCalendar,CCSPricing!C20),PaymentDates,0)</f>
        <v>81</v>
      </c>
      <c r="B20" s="7" t="s">
        <v>112</v>
      </c>
      <c r="C20" s="16">
        <f>_xll.qlCalendarAdvance(DomesticPaymentCalendar,EffectiveDate,B20,"unadjusted",TRUE)</f>
        <v>49254</v>
      </c>
      <c r="D20" s="24" t="str">
        <f>_xll.qlSchedule(,EffectiveDate,$C20,DomesticTenor,DomesticPaymentCalendar,DomesticBDC,DomesticTDC,DomesticDateGeneration,DomesticEOM)</f>
        <v>obj_01516#0006</v>
      </c>
      <c r="E20" s="17" t="str">
        <f>_xll.qlIborLeg(,DomesticPaymentBDC,INDEX(DomesticFinalNotionals,1,1):INDEX(DomesticFinalNotionals,$A20-1,1),$D20,DomesticFixingDays,DomesticArrearFlag,DomesticDayCounter,,DomesticGearing,DomesticIndex)</f>
        <v>obj_0149c#0074</v>
      </c>
      <c r="F20" s="17" t="str">
        <f>_xll.qlLeg(,INDEX(DomesticFinalNotionals,1,1):INDEX(DomesticFinalNotionals,$A20-1,1),INDEX(PaymentDates,2,1):INDEX(PaymentDates,$A20,1))</f>
        <v>obj_014ab#0074</v>
      </c>
      <c r="G20" s="17" t="str">
        <f>_xll.qlLeg(,INDEX(DomesticInitialNotionals,1,1):INDEX(DomesticInitialNotionals,$A20-1,1),INDEX(PaymentDates,1,1):INDEX(PaymentDates,$A20-1,1))</f>
        <v>obj_0149f#0074</v>
      </c>
      <c r="H20" s="118" t="str">
        <f>_xll.qlMultiPhaseLeg(,E20:G20)</f>
        <v>obj_014ac#0074</v>
      </c>
      <c r="I20" s="81">
        <f>_xll.qlLegNPV($H20,DomesticDiscountCurve,TRUE,EffectiveDate,,)</f>
        <v>6271.8810458038643</v>
      </c>
      <c r="J20" s="22">
        <f t="shared" si="0"/>
        <v>38405.236395875385</v>
      </c>
      <c r="K20" s="24" t="str">
        <f>_xll.qlSchedule(,EffectiveDate,$C20,ForeignTenor,ForeignPaymentCalendar,ForeignBDC,ForeignTDC,ForeignDateGeneration,ForeignEOM)</f>
        <v>obj_014d0#0006</v>
      </c>
      <c r="L20" s="17" t="str">
        <f>_xll.qlIborLeg(,ForeignPaymentBDC,ForeignNotional,$K20,ForeignFixingDays,ForeignArrearFlag,ForeignDayCounter,,ForeignGearing,ForeignIndex)</f>
        <v>obj_01506#0009</v>
      </c>
      <c r="M20" s="17" t="str">
        <f>_xll.qlLeg(,ForeignNotional,_xll.qlCalendarAdjust(ForeignPaymentCalendar,C20))</f>
        <v>obj_014c6#0006</v>
      </c>
      <c r="N20" s="17" t="str">
        <f>_xll.qlLeg(,-ForeignNotional,_xll.qlCalendarAdjust(ForeignPaymentCalendar,EffectiveDate))</f>
        <v>obj_014d1#0006</v>
      </c>
      <c r="O20" s="118" t="str">
        <f>_xll.qlMultiPhaseLeg(,L20:N20)</f>
        <v>obj_01533#0008</v>
      </c>
      <c r="P20" s="83" t="e">
        <f>_xll.qlLegNPV($O20,ForeignDiscountCurve,TRUE,EffectiveDate,,)</f>
        <v>#NUM!</v>
      </c>
      <c r="Q20" s="83" t="e">
        <f>_xll.qlLegBPS($O20,ForeignDiscountCurve,TRUE,EffectiveDate,,)</f>
        <v>#NUM!</v>
      </c>
      <c r="R20" s="83" t="e">
        <f t="shared" si="1"/>
        <v>#NUM!</v>
      </c>
      <c r="S20" s="144" t="e">
        <f t="shared" si="3"/>
        <v>#NUM!</v>
      </c>
      <c r="T20" s="99"/>
      <c r="U20" s="89" t="str">
        <f>ForeignCurrency&amp;"USQM3L"&amp;$B20</f>
        <v>CNHUSQM3L20Y</v>
      </c>
      <c r="V20" s="89" t="str">
        <v>CNHUSQM3L20Y=TRHK</v>
      </c>
      <c r="W20" s="173" t="s">
        <v>136</v>
      </c>
      <c r="X20" s="174" t="s">
        <v>136</v>
      </c>
      <c r="Y20" s="179" t="str">
        <f t="shared" si="4"/>
        <v>--</v>
      </c>
      <c r="Z20" s="175" t="str">
        <f t="shared" si="5"/>
        <v>--</v>
      </c>
      <c r="AA20" s="15" t="str">
        <f t="shared" si="6"/>
        <v>--</v>
      </c>
      <c r="AB20" s="177" t="str">
        <f t="shared" si="2"/>
        <v>--</v>
      </c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</row>
    <row r="21" spans="1:43" ht="11.25" customHeight="1" x14ac:dyDescent="0.2">
      <c r="A21" s="99">
        <f>MATCH(_xll.qlCalendarAdjust(DomesticCalendar,CCSPricing!C21),PaymentDates,0)</f>
        <v>101</v>
      </c>
      <c r="B21" s="7" t="s">
        <v>114</v>
      </c>
      <c r="C21" s="16">
        <f>_xll.qlCalendarAdvance(DomesticPaymentCalendar,EffectiveDate,B21,"unadjusted",TRUE)</f>
        <v>51080</v>
      </c>
      <c r="D21" s="24" t="str">
        <f>_xll.qlSchedule(,EffectiveDate,$C21,DomesticTenor,DomesticPaymentCalendar,DomesticBDC,DomesticTDC,DomesticDateGeneration,DomesticEOM)</f>
        <v>obj_0151b#0006</v>
      </c>
      <c r="E21" s="17" t="str">
        <f>_xll.qlIborLeg(,DomesticPaymentBDC,INDEX(DomesticFinalNotionals,1,1):INDEX(DomesticFinalNotionals,$A21-1,1),$D21,DomesticFixingDays,DomesticArrearFlag,DomesticDayCounter,,DomesticGearing,DomesticIndex)</f>
        <v>obj_015af#0070</v>
      </c>
      <c r="F21" s="17" t="str">
        <f>_xll.qlLeg(,INDEX(DomesticFinalNotionals,1,1):INDEX(DomesticFinalNotionals,$A21-1,1),INDEX(PaymentDates,2,1):INDEX(PaymentDates,$A21,1))</f>
        <v>obj_015ae#0070</v>
      </c>
      <c r="G21" s="17" t="str">
        <f>_xll.qlLeg(,INDEX(DomesticInitialNotionals,1,1):INDEX(DomesticInitialNotionals,$A21-1,1),INDEX(PaymentDates,1,1):INDEX(PaymentDates,$A21-1,1))</f>
        <v>obj_015b0#0070</v>
      </c>
      <c r="H21" s="118" t="str">
        <f>_xll.qlMultiPhaseLeg(,E21:G21)</f>
        <v>obj_015b1#0070</v>
      </c>
      <c r="I21" s="81">
        <f>_xll.qlLegNPV($H21,DomesticDiscountCurve,TRUE,EffectiveDate,,)</f>
        <v>7307.6299194623134</v>
      </c>
      <c r="J21" s="22">
        <f t="shared" si="0"/>
        <v>44747.541048835534</v>
      </c>
      <c r="K21" s="24" t="str">
        <f>_xll.qlSchedule(,EffectiveDate,$C21,ForeignTenor,ForeignPaymentCalendar,ForeignBDC,ForeignTDC,ForeignDateGeneration,ForeignEOM)</f>
        <v>obj_014bc#0006</v>
      </c>
      <c r="L21" s="17" t="str">
        <f>_xll.qlIborLeg(,ForeignPaymentBDC,ForeignNotional,$K21,ForeignFixingDays,ForeignArrearFlag,ForeignDayCounter,,ForeignGearing,ForeignIndex)</f>
        <v>obj_01521#0009</v>
      </c>
      <c r="M21" s="17" t="str">
        <f>_xll.qlLeg(,ForeignNotional,_xll.qlCalendarAdjust(ForeignPaymentCalendar,C21))</f>
        <v>obj_014bf#0006</v>
      </c>
      <c r="N21" s="17" t="str">
        <f>_xll.qlLeg(,-ForeignNotional,_xll.qlCalendarAdjust(ForeignPaymentCalendar,EffectiveDate))</f>
        <v>obj_014bb#0006</v>
      </c>
      <c r="O21" s="118" t="str">
        <f>_xll.qlMultiPhaseLeg(,L21:N21)</f>
        <v>obj_01534#0008</v>
      </c>
      <c r="P21" s="83" t="e">
        <f>_xll.qlLegNPV($O21,ForeignDiscountCurve,TRUE,EffectiveDate,,)</f>
        <v>#NUM!</v>
      </c>
      <c r="Q21" s="83" t="e">
        <f>_xll.qlLegBPS($O21,ForeignDiscountCurve,TRUE,EffectiveDate,,)</f>
        <v>#NUM!</v>
      </c>
      <c r="R21" s="83" t="e">
        <f t="shared" si="1"/>
        <v>#NUM!</v>
      </c>
      <c r="S21" s="144" t="e">
        <f t="shared" si="3"/>
        <v>#NUM!</v>
      </c>
      <c r="T21" s="99"/>
      <c r="U21" s="89" t="str">
        <f>ForeignCurrency&amp;"USQM3L"&amp;$B21</f>
        <v>CNHUSQM3L25Y</v>
      </c>
      <c r="V21" s="89" t="str">
        <v>CNHUSQM3L25Y=TRHK</v>
      </c>
      <c r="W21" s="173" t="s">
        <v>136</v>
      </c>
      <c r="X21" s="174" t="s">
        <v>136</v>
      </c>
      <c r="Y21" s="179" t="str">
        <f t="shared" si="4"/>
        <v>--</v>
      </c>
      <c r="Z21" s="175" t="str">
        <f t="shared" si="5"/>
        <v>--</v>
      </c>
      <c r="AA21" s="15" t="str">
        <f t="shared" si="6"/>
        <v>--</v>
      </c>
      <c r="AB21" s="177" t="str">
        <f t="shared" si="2"/>
        <v>--</v>
      </c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</row>
    <row r="22" spans="1:43" ht="11.25" customHeight="1" x14ac:dyDescent="0.2">
      <c r="A22" s="99">
        <f>MATCH(_xll.qlCalendarAdjust(DomesticCalendar,CCSPricing!C22),PaymentDates,0)</f>
        <v>121</v>
      </c>
      <c r="B22" s="7" t="s">
        <v>115</v>
      </c>
      <c r="C22" s="16">
        <f>_xll.qlCalendarAdvance(DomesticPaymentCalendar,EffectiveDate,B22,"unadjusted",TRUE)</f>
        <v>52907</v>
      </c>
      <c r="D22" s="24" t="str">
        <f>_xll.qlSchedule(,EffectiveDate,$C22,DomesticTenor,DomesticPaymentCalendar,DomesticBDC,DomesticTDC,DomesticDateGeneration,DomesticEOM)</f>
        <v>obj_01524#0006</v>
      </c>
      <c r="E22" s="17" t="str">
        <f>_xll.qlIborLeg(,DomesticPaymentBDC,INDEX(DomesticFinalNotionals,1,1):INDEX(DomesticFinalNotionals,$A22-1,1),$D22,DomesticFixingDays,DomesticArrearFlag,DomesticDayCounter,,DomesticGearing,DomesticIndex)</f>
        <v>obj_015b3#0070</v>
      </c>
      <c r="F22" s="17" t="str">
        <f>_xll.qlLeg(,INDEX(DomesticFinalNotionals,1,1):INDEX(DomesticFinalNotionals,$A22-1,1),INDEX(PaymentDates,2,1):INDEX(PaymentDates,$A22,1))</f>
        <v>obj_015b2#0070</v>
      </c>
      <c r="G22" s="17" t="str">
        <f>_xll.qlLeg(,INDEX(DomesticInitialNotionals,1,1):INDEX(DomesticInitialNotionals,$A22-1,1),INDEX(PaymentDates,1,1):INDEX(PaymentDates,$A22-1,1))</f>
        <v>obj_015b4#0070</v>
      </c>
      <c r="H22" s="118" t="str">
        <f>_xll.qlMultiPhaseLeg(,E22:G22)</f>
        <v>obj_015bc#0070</v>
      </c>
      <c r="I22" s="81">
        <f>_xll.qlLegNPV($H22,DomesticDiscountCurve,TRUE,EffectiveDate,,)</f>
        <v>8275.3660584425161</v>
      </c>
      <c r="J22" s="22">
        <f t="shared" si="0"/>
        <v>50673.376522266903</v>
      </c>
      <c r="K22" s="24" t="str">
        <f>_xll.qlSchedule(,EffectiveDate,$C22,ForeignTenor,ForeignPaymentCalendar,ForeignBDC,ForeignTDC,ForeignDateGeneration,ForeignEOM)</f>
        <v>obj_014f3#0006</v>
      </c>
      <c r="L22" s="17" t="str">
        <f>_xll.qlIborLeg(,ForeignPaymentBDC,ForeignNotional,$K22,ForeignFixingDays,ForeignArrearFlag,ForeignDayCounter,,ForeignGearing,ForeignIndex)</f>
        <v>obj_014fc#0009</v>
      </c>
      <c r="M22" s="17" t="str">
        <f>_xll.qlLeg(,ForeignNotional,_xll.qlCalendarAdjust(ForeignPaymentCalendar,C22))</f>
        <v>obj_014fb#0006</v>
      </c>
      <c r="N22" s="17" t="str">
        <f>_xll.qlLeg(,-ForeignNotional,_xll.qlCalendarAdjust(ForeignPaymentCalendar,EffectiveDate))</f>
        <v>obj_014cf#0006</v>
      </c>
      <c r="O22" s="118" t="str">
        <f>_xll.qlMultiPhaseLeg(,L22:N22)</f>
        <v>obj_01537#0008</v>
      </c>
      <c r="P22" s="83" t="e">
        <f>_xll.qlLegNPV($O22,ForeignDiscountCurve,TRUE,EffectiveDate,,)</f>
        <v>#NUM!</v>
      </c>
      <c r="Q22" s="83" t="e">
        <f>_xll.qlLegBPS($O22,ForeignDiscountCurve,TRUE,EffectiveDate,,)</f>
        <v>#NUM!</v>
      </c>
      <c r="R22" s="83" t="e">
        <f t="shared" si="1"/>
        <v>#NUM!</v>
      </c>
      <c r="S22" s="144" t="e">
        <f t="shared" si="3"/>
        <v>#NUM!</v>
      </c>
      <c r="T22" s="99"/>
      <c r="U22" s="89" t="str">
        <f>ForeignCurrency&amp;"USQM3L"&amp;$B22</f>
        <v>CNHUSQM3L30Y</v>
      </c>
      <c r="V22" s="89" t="str">
        <v>CNHUSQM3L30Y=TRHK</v>
      </c>
      <c r="W22" s="173" t="s">
        <v>136</v>
      </c>
      <c r="X22" s="174" t="s">
        <v>136</v>
      </c>
      <c r="Y22" s="179" t="str">
        <f t="shared" si="4"/>
        <v>--</v>
      </c>
      <c r="Z22" s="175" t="str">
        <f t="shared" si="5"/>
        <v>--</v>
      </c>
      <c r="AA22" s="15" t="str">
        <f t="shared" si="6"/>
        <v>--</v>
      </c>
      <c r="AB22" s="177" t="str">
        <f t="shared" si="2"/>
        <v>--</v>
      </c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</row>
    <row r="23" spans="1:43" ht="11.25" customHeight="1" x14ac:dyDescent="0.2">
      <c r="A23" s="99">
        <f>MATCH(_xll.qlCalendarAdjust(DomesticCalendar,CCSPricing!C23),PaymentDates,0)</f>
        <v>161</v>
      </c>
      <c r="B23" s="7" t="s">
        <v>116</v>
      </c>
      <c r="C23" s="16">
        <f>_xll.qlCalendarAdvance(DomesticPaymentCalendar,EffectiveDate,B23,"unadjusted",TRUE)</f>
        <v>56559</v>
      </c>
      <c r="D23" s="24" t="str">
        <f>_xll.qlSchedule(,EffectiveDate,$C23,DomesticTenor,DomesticPaymentCalendar,DomesticBDC,DomesticTDC,DomesticDateGeneration,DomesticEOM)</f>
        <v>obj_0151d#0006</v>
      </c>
      <c r="E23" s="17" t="str">
        <f>_xll.qlIborLeg(,DomesticPaymentBDC,INDEX(DomesticFinalNotionals,1,1):INDEX(DomesticFinalNotionals,$A23-1,1),$D23,DomesticFixingDays,DomesticArrearFlag,DomesticDayCounter,,DomesticGearing,DomesticIndex)</f>
        <v>obj_015b5#0070</v>
      </c>
      <c r="F23" s="17" t="str">
        <f>_xll.qlLeg(,INDEX(DomesticFinalNotionals,1,1):INDEX(DomesticFinalNotionals,$A23-1,1),INDEX(PaymentDates,2,1):INDEX(PaymentDates,$A23,1))</f>
        <v>obj_015b6#0070</v>
      </c>
      <c r="G23" s="17" t="str">
        <f>_xll.qlLeg(,INDEX(DomesticInitialNotionals,1,1):INDEX(DomesticInitialNotionals,$A23-1,1),INDEX(PaymentDates,1,1):INDEX(PaymentDates,$A23-1,1))</f>
        <v>obj_015b7#0070</v>
      </c>
      <c r="H23" s="118" t="str">
        <f>_xll.qlMultiPhaseLeg(,E23:G23)</f>
        <v>obj_015bd#0070</v>
      </c>
      <c r="I23" s="81">
        <f>_xll.qlLegNPV($H23,DomesticDiscountCurve,TRUE,EffectiveDate,,)</f>
        <v>9767.6276761899862</v>
      </c>
      <c r="J23" s="22">
        <f t="shared" si="0"/>
        <v>59811.091312381766</v>
      </c>
      <c r="K23" s="24" t="str">
        <f>_xll.qlSchedule(,EffectiveDate,$C23,ForeignTenor,ForeignPaymentCalendar,ForeignBDC,ForeignTDC,ForeignDateGeneration,ForeignEOM)</f>
        <v>obj_0151f#0006</v>
      </c>
      <c r="L23" s="17" t="str">
        <f>_xll.qlIborLeg(,ForeignPaymentBDC,ForeignNotional,$K23,ForeignFixingDays,ForeignArrearFlag,ForeignDayCounter,,ForeignGearing,ForeignIndex)</f>
        <v>obj_01520#0009</v>
      </c>
      <c r="M23" s="17" t="str">
        <f>_xll.qlLeg(,ForeignNotional,_xll.qlCalendarAdjust(ForeignPaymentCalendar,C23))</f>
        <v>obj_014e3#0006</v>
      </c>
      <c r="N23" s="17" t="str">
        <f>_xll.qlLeg(,-ForeignNotional,_xll.qlCalendarAdjust(ForeignPaymentCalendar,EffectiveDate))</f>
        <v>obj_014cb#0006</v>
      </c>
      <c r="O23" s="118" t="str">
        <f>_xll.qlMultiPhaseLeg(,L23:N23)</f>
        <v>obj_01531#0008</v>
      </c>
      <c r="P23" s="83" t="e">
        <f>_xll.qlLegNPV($O23,ForeignDiscountCurve,TRUE,EffectiveDate,,)</f>
        <v>#NUM!</v>
      </c>
      <c r="Q23" s="83" t="e">
        <f>_xll.qlLegBPS($O23,ForeignDiscountCurve,TRUE,EffectiveDate,,)</f>
        <v>#NUM!</v>
      </c>
      <c r="R23" s="83" t="e">
        <f t="shared" si="1"/>
        <v>#NUM!</v>
      </c>
      <c r="S23" s="144" t="e">
        <f t="shared" si="3"/>
        <v>#NUM!</v>
      </c>
      <c r="T23" s="99"/>
      <c r="U23" s="89" t="str">
        <f>ForeignCurrency&amp;"USQM3L"&amp;$B23</f>
        <v>CNHUSQM3L40Y</v>
      </c>
      <c r="V23" s="89" t="str">
        <v>CNHUSQM3L40Y=TRHK</v>
      </c>
      <c r="W23" s="173" t="s">
        <v>136</v>
      </c>
      <c r="X23" s="174" t="s">
        <v>136</v>
      </c>
      <c r="Y23" s="179" t="str">
        <f t="shared" si="4"/>
        <v>--</v>
      </c>
      <c r="Z23" s="175" t="str">
        <f t="shared" si="5"/>
        <v>--</v>
      </c>
      <c r="AA23" s="15" t="str">
        <f t="shared" si="6"/>
        <v>--</v>
      </c>
      <c r="AB23" s="177" t="str">
        <f t="shared" si="2"/>
        <v>--</v>
      </c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</row>
    <row r="24" spans="1:43" ht="11.25" customHeight="1" x14ac:dyDescent="0.2">
      <c r="A24" s="99">
        <f>MATCH(_xll.qlCalendarAdjust(DomesticCalendar,CCSPricing!C24),PaymentDates,0)</f>
        <v>201</v>
      </c>
      <c r="B24" s="5" t="s">
        <v>117</v>
      </c>
      <c r="C24" s="156">
        <f>_xll.qlCalendarAdvance(DomesticPaymentCalendar,EffectiveDate,B24,"unadjusted",TRUE)</f>
        <v>60212</v>
      </c>
      <c r="D24" s="44" t="str">
        <f>_xll.qlSchedule(,EffectiveDate,$C24,DomesticTenor,DomesticPaymentCalendar,DomesticBDC,DomesticTDC,DomesticDateGeneration,DomesticEOM)</f>
        <v>obj_01511#0006</v>
      </c>
      <c r="E24" s="72" t="str">
        <f>_xll.qlIborLeg(,DomesticPaymentBDC,INDEX(DomesticFinalNotionals,1,1):INDEX(DomesticFinalNotionals,$A24-1,1),$D24,DomesticFixingDays,DomesticArrearFlag,DomesticDayCounter,,DomesticGearing,DomesticIndex)</f>
        <v>obj_015b8#0070</v>
      </c>
      <c r="F24" s="72" t="str">
        <f>_xll.qlLeg(,INDEX(DomesticFinalNotionals,1,1):INDEX(DomesticFinalNotionals,$A24-1,1),INDEX(PaymentDates,2,1):INDEX(PaymentDates,$A24,1))</f>
        <v>obj_015b9#0070</v>
      </c>
      <c r="G24" s="72" t="str">
        <f>_xll.qlLeg(,INDEX(DomesticInitialNotionals,1,1):INDEX(DomesticInitialNotionals,$A24-1,1),INDEX(PaymentDates,1,1):INDEX(PaymentDates,$A24-1,1))</f>
        <v>obj_015ba#0070</v>
      </c>
      <c r="H24" s="158" t="str">
        <f>_xll.qlMultiPhaseLeg(,E24:G24)</f>
        <v>obj_015bb#0070</v>
      </c>
      <c r="I24" s="82">
        <f>_xll.qlLegNPV($H24,DomesticDiscountCurve,TRUE,EffectiveDate,,)</f>
        <v>11013.476247922488</v>
      </c>
      <c r="J24" s="157">
        <f t="shared" si="0"/>
        <v>67439.920456528562</v>
      </c>
      <c r="K24" s="44" t="str">
        <f>_xll.qlSchedule(,EffectiveDate,$C24,ForeignTenor,ForeignPaymentCalendar,ForeignBDC,ForeignTDC,ForeignDateGeneration,ForeignEOM)</f>
        <v>obj_014f4#0006</v>
      </c>
      <c r="L24" s="72" t="str">
        <f>_xll.qlIborLeg(,ForeignPaymentBDC,ForeignNotional,$K24,ForeignFixingDays,ForeignArrearFlag,ForeignDayCounter,,ForeignGearing,ForeignIndex)</f>
        <v>obj_01500#0009</v>
      </c>
      <c r="M24" s="72" t="str">
        <f>_xll.qlLeg(,ForeignNotional,_xll.qlCalendarAdjust(ForeignPaymentCalendar,C24))</f>
        <v>obj_014f5#0006</v>
      </c>
      <c r="N24" s="72" t="str">
        <f>_xll.qlLeg(,-ForeignNotional,_xll.qlCalendarAdjust(ForeignPaymentCalendar,EffectiveDate))</f>
        <v>obj_014d2#0006</v>
      </c>
      <c r="O24" s="158" t="str">
        <f>_xll.qlMultiPhaseLeg(,L24:N24)</f>
        <v>obj_01532#0008</v>
      </c>
      <c r="P24" s="84" t="e">
        <f>_xll.qlLegNPV($O24,ForeignDiscountCurve,TRUE,EffectiveDate,,)</f>
        <v>#NUM!</v>
      </c>
      <c r="Q24" s="84" t="e">
        <f>_xll.qlLegBPS($O24,ForeignDiscountCurve,TRUE,EffectiveDate,,)</f>
        <v>#NUM!</v>
      </c>
      <c r="R24" s="84" t="e">
        <f t="shared" si="1"/>
        <v>#NUM!</v>
      </c>
      <c r="S24" s="159" t="e">
        <f t="shared" si="3"/>
        <v>#NUM!</v>
      </c>
      <c r="T24" s="99"/>
      <c r="U24" s="183" t="str">
        <f>ForeignCurrency&amp;"USQM3L"&amp;$B24</f>
        <v>CNHUSQM3L50Y</v>
      </c>
      <c r="V24" s="183" t="str">
        <v>CNHUSQM3L50Y=TRHK</v>
      </c>
      <c r="W24" s="184" t="s">
        <v>136</v>
      </c>
      <c r="X24" s="185" t="s">
        <v>136</v>
      </c>
      <c r="Y24" s="186" t="str">
        <f t="shared" si="4"/>
        <v>--</v>
      </c>
      <c r="Z24" s="188" t="str">
        <f t="shared" si="5"/>
        <v>--</v>
      </c>
      <c r="AA24" s="142" t="str">
        <f t="shared" si="6"/>
        <v>--</v>
      </c>
      <c r="AB24" s="187" t="str">
        <f t="shared" si="2"/>
        <v>--</v>
      </c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</row>
    <row r="25" spans="1:43" ht="11.25" customHeight="1" x14ac:dyDescent="0.25">
      <c r="A25" s="99"/>
      <c r="B25" s="100"/>
      <c r="C25" s="134"/>
      <c r="D25" s="101"/>
      <c r="E25" s="101"/>
      <c r="F25" s="101"/>
      <c r="G25" s="135"/>
      <c r="H25" s="135"/>
      <c r="I25" s="135"/>
      <c r="J25" s="135"/>
      <c r="K25" s="100"/>
      <c r="L25" s="100"/>
      <c r="M25" s="100"/>
      <c r="N25" s="100"/>
      <c r="O25" s="100"/>
      <c r="P25" s="135"/>
      <c r="Q25" s="135"/>
      <c r="R25" s="135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</row>
    <row r="26" spans="1:43" ht="11.25" customHeight="1" x14ac:dyDescent="0.25">
      <c r="A26" s="99"/>
      <c r="B26" s="100"/>
      <c r="C26" s="134"/>
      <c r="D26" s="101"/>
      <c r="E26" s="101"/>
      <c r="F26" s="101"/>
      <c r="G26" s="135"/>
      <c r="H26" s="135"/>
      <c r="I26" s="135"/>
      <c r="J26" s="135"/>
      <c r="K26" s="100"/>
      <c r="L26" s="100"/>
      <c r="M26" s="100"/>
      <c r="N26" s="100"/>
      <c r="O26" s="100"/>
      <c r="P26" s="135"/>
      <c r="Q26" s="135"/>
      <c r="R26" s="135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</row>
    <row r="27" spans="1:43" ht="11.25" customHeight="1" x14ac:dyDescent="0.25">
      <c r="A27" s="99"/>
      <c r="B27" s="100"/>
      <c r="C27" s="134"/>
      <c r="D27" s="101"/>
      <c r="E27" s="101"/>
      <c r="F27" s="101"/>
      <c r="G27" s="135"/>
      <c r="H27" s="135"/>
      <c r="I27" s="135"/>
      <c r="J27" s="135"/>
      <c r="K27" s="100"/>
      <c r="L27" s="100"/>
      <c r="M27" s="100"/>
      <c r="N27" s="100"/>
      <c r="O27" s="100"/>
      <c r="P27" s="135"/>
      <c r="Q27" s="135"/>
      <c r="R27" s="135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</row>
    <row r="28" spans="1:43" ht="11.25" customHeight="1" x14ac:dyDescent="0.25">
      <c r="A28" s="99"/>
      <c r="B28" s="100"/>
      <c r="C28" s="134"/>
      <c r="D28" s="101"/>
      <c r="E28" s="101"/>
      <c r="F28" s="101"/>
      <c r="G28" s="135"/>
      <c r="H28" s="135"/>
      <c r="I28" s="135"/>
      <c r="J28" s="135"/>
      <c r="K28" s="100"/>
      <c r="L28" s="100"/>
      <c r="M28" s="100"/>
      <c r="N28" s="100"/>
      <c r="O28" s="100"/>
      <c r="P28" s="135"/>
      <c r="Q28" s="135"/>
      <c r="R28" s="135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</row>
    <row r="29" spans="1:43" ht="11.25" customHeight="1" x14ac:dyDescent="0.25">
      <c r="A29" s="99"/>
      <c r="B29" s="100"/>
      <c r="C29" s="134"/>
      <c r="D29" s="101"/>
      <c r="E29" s="101"/>
      <c r="F29" s="101"/>
      <c r="G29" s="135"/>
      <c r="H29" s="135"/>
      <c r="I29" s="135"/>
      <c r="J29" s="135"/>
      <c r="K29" s="100"/>
      <c r="L29" s="100"/>
      <c r="M29" s="100"/>
      <c r="N29" s="100"/>
      <c r="O29" s="100"/>
      <c r="P29" s="135"/>
      <c r="Q29" s="135"/>
      <c r="R29" s="135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</row>
    <row r="30" spans="1:43" ht="11.25" customHeight="1" x14ac:dyDescent="0.25">
      <c r="A30" s="99"/>
      <c r="B30" s="100"/>
      <c r="C30" s="134"/>
      <c r="D30" s="101"/>
      <c r="E30" s="101"/>
      <c r="F30" s="101"/>
      <c r="G30" s="135"/>
      <c r="H30" s="135"/>
      <c r="I30" s="135"/>
      <c r="J30" s="135"/>
      <c r="K30" s="100"/>
      <c r="L30" s="100"/>
      <c r="M30" s="100"/>
      <c r="N30" s="100"/>
      <c r="O30" s="100"/>
      <c r="P30" s="135"/>
      <c r="Q30" s="135"/>
      <c r="R30" s="135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</row>
    <row r="31" spans="1:43" ht="11.25" customHeight="1" x14ac:dyDescent="0.25">
      <c r="A31" s="99"/>
      <c r="B31" s="100"/>
      <c r="C31" s="134"/>
      <c r="D31" s="101"/>
      <c r="E31" s="101"/>
      <c r="F31" s="101"/>
      <c r="G31" s="135"/>
      <c r="H31" s="135"/>
      <c r="I31" s="135"/>
      <c r="J31" s="135"/>
      <c r="K31" s="100"/>
      <c r="L31" s="100"/>
      <c r="M31" s="100"/>
      <c r="N31" s="100"/>
      <c r="O31" s="100"/>
      <c r="P31" s="135"/>
      <c r="Q31" s="135"/>
      <c r="R31" s="135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</row>
    <row r="32" spans="1:43" ht="11.25" customHeight="1" x14ac:dyDescent="0.25">
      <c r="A32" s="99"/>
      <c r="B32" s="100"/>
      <c r="C32" s="134"/>
      <c r="D32" s="101"/>
      <c r="E32" s="101"/>
      <c r="F32" s="101"/>
      <c r="G32" s="135"/>
      <c r="H32" s="135"/>
      <c r="I32" s="135"/>
      <c r="J32" s="135"/>
      <c r="K32" s="100"/>
      <c r="L32" s="100"/>
      <c r="M32" s="100"/>
      <c r="N32" s="100"/>
      <c r="O32" s="100"/>
      <c r="P32" s="135"/>
      <c r="Q32" s="135"/>
      <c r="R32" s="135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</row>
    <row r="33" spans="1:43" ht="11.25" customHeight="1" x14ac:dyDescent="0.25">
      <c r="A33" s="99"/>
      <c r="B33" s="100"/>
      <c r="C33" s="134"/>
      <c r="D33" s="101"/>
      <c r="E33" s="101"/>
      <c r="F33" s="101"/>
      <c r="G33" s="135"/>
      <c r="H33" s="135"/>
      <c r="I33" s="135"/>
      <c r="J33" s="135"/>
      <c r="K33" s="100"/>
      <c r="L33" s="100"/>
      <c r="M33" s="100"/>
      <c r="N33" s="100"/>
      <c r="O33" s="100"/>
      <c r="P33" s="135"/>
      <c r="Q33" s="135"/>
      <c r="R33" s="135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</row>
    <row r="34" spans="1:43" ht="11.25" customHeight="1" x14ac:dyDescent="0.25">
      <c r="A34" s="99"/>
      <c r="B34" s="100"/>
      <c r="C34" s="134"/>
      <c r="D34" s="101"/>
      <c r="E34" s="101"/>
      <c r="F34" s="101"/>
      <c r="G34" s="135"/>
      <c r="H34" s="135"/>
      <c r="I34" s="135"/>
      <c r="J34" s="135"/>
      <c r="K34" s="100"/>
      <c r="L34" s="100"/>
      <c r="M34" s="100"/>
      <c r="N34" s="100"/>
      <c r="O34" s="100"/>
      <c r="P34" s="135"/>
      <c r="Q34" s="135"/>
      <c r="R34" s="135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</row>
    <row r="35" spans="1:43" ht="15" x14ac:dyDescent="0.25">
      <c r="A35" s="99"/>
      <c r="B35" s="100"/>
      <c r="C35" s="134"/>
      <c r="D35" s="101"/>
      <c r="E35" s="101"/>
      <c r="F35" s="101"/>
      <c r="G35" s="135"/>
      <c r="H35" s="135"/>
      <c r="I35" s="135"/>
      <c r="J35" s="135"/>
      <c r="K35" s="100"/>
      <c r="L35" s="100"/>
      <c r="M35" s="100"/>
      <c r="N35" s="100"/>
      <c r="O35" s="100"/>
      <c r="P35" s="135"/>
      <c r="Q35" s="135"/>
      <c r="R35" s="135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</row>
    <row r="36" spans="1:43" ht="15" x14ac:dyDescent="0.25">
      <c r="A36" s="99"/>
      <c r="B36" s="100"/>
      <c r="C36" s="134"/>
      <c r="D36" s="101"/>
      <c r="E36" s="101"/>
      <c r="F36" s="101"/>
      <c r="G36" s="135"/>
      <c r="H36" s="135"/>
      <c r="I36" s="135"/>
      <c r="J36" s="135"/>
      <c r="K36" s="100"/>
      <c r="L36" s="100"/>
      <c r="M36" s="100"/>
      <c r="N36" s="100"/>
      <c r="O36" s="100"/>
      <c r="P36" s="135"/>
      <c r="Q36" s="135"/>
      <c r="R36" s="135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</row>
    <row r="37" spans="1:43" ht="15" x14ac:dyDescent="0.25">
      <c r="A37" s="99"/>
      <c r="B37" s="100"/>
      <c r="C37" s="134"/>
      <c r="D37" s="101"/>
      <c r="E37" s="101"/>
      <c r="F37" s="101"/>
      <c r="G37" s="135"/>
      <c r="H37" s="135"/>
      <c r="I37" s="135"/>
      <c r="J37" s="135"/>
      <c r="K37" s="100"/>
      <c r="L37" s="100"/>
      <c r="M37" s="100"/>
      <c r="N37" s="100"/>
      <c r="O37" s="100"/>
      <c r="P37" s="135"/>
      <c r="Q37" s="135"/>
      <c r="R37" s="135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</row>
    <row r="38" spans="1:43" ht="15" x14ac:dyDescent="0.25">
      <c r="A38" s="99"/>
      <c r="B38" s="100"/>
      <c r="C38" s="134"/>
      <c r="D38" s="101"/>
      <c r="E38" s="101"/>
      <c r="F38" s="101"/>
      <c r="G38" s="135"/>
      <c r="H38" s="135"/>
      <c r="I38" s="135"/>
      <c r="J38" s="135"/>
      <c r="K38" s="100"/>
      <c r="L38" s="100"/>
      <c r="M38" s="100"/>
      <c r="N38" s="100"/>
      <c r="O38" s="100"/>
      <c r="P38" s="135"/>
      <c r="Q38" s="135"/>
      <c r="R38" s="135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</row>
    <row r="39" spans="1:43" ht="15" x14ac:dyDescent="0.25">
      <c r="A39" s="99"/>
      <c r="B39" s="100"/>
      <c r="C39" s="134"/>
      <c r="D39" s="101"/>
      <c r="E39" s="101"/>
      <c r="F39" s="101"/>
      <c r="G39" s="135"/>
      <c r="H39" s="135"/>
      <c r="I39" s="135"/>
      <c r="J39" s="135"/>
      <c r="K39" s="100"/>
      <c r="L39" s="100"/>
      <c r="M39" s="100"/>
      <c r="N39" s="100"/>
      <c r="O39" s="100"/>
      <c r="P39" s="135"/>
      <c r="Q39" s="135"/>
      <c r="R39" s="135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</row>
    <row r="40" spans="1:43" ht="15" x14ac:dyDescent="0.25">
      <c r="A40" s="99"/>
      <c r="B40" s="100"/>
      <c r="C40" s="134"/>
      <c r="D40" s="101"/>
      <c r="E40" s="101"/>
      <c r="F40" s="101"/>
      <c r="G40" s="135"/>
      <c r="H40" s="135"/>
      <c r="I40" s="135"/>
      <c r="J40" s="135"/>
      <c r="K40" s="100"/>
      <c r="L40" s="100"/>
      <c r="M40" s="100"/>
      <c r="N40" s="100"/>
      <c r="O40" s="100"/>
      <c r="P40" s="135"/>
      <c r="Q40" s="135"/>
      <c r="R40" s="135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</row>
    <row r="41" spans="1:43" ht="15" x14ac:dyDescent="0.25">
      <c r="A41" s="99"/>
      <c r="B41" s="100"/>
      <c r="C41" s="134"/>
      <c r="D41" s="101"/>
      <c r="E41" s="101"/>
      <c r="F41" s="101"/>
      <c r="G41" s="135"/>
      <c r="H41" s="135"/>
      <c r="I41" s="135"/>
      <c r="J41" s="135"/>
      <c r="K41" s="100"/>
      <c r="L41" s="100"/>
      <c r="M41" s="100"/>
      <c r="N41" s="100"/>
      <c r="O41" s="100"/>
      <c r="P41" s="135"/>
      <c r="Q41" s="135"/>
      <c r="R41" s="135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</row>
    <row r="42" spans="1:43" ht="15" x14ac:dyDescent="0.25">
      <c r="A42" s="99"/>
      <c r="B42" s="100"/>
      <c r="C42" s="134"/>
      <c r="D42" s="101"/>
      <c r="E42" s="101"/>
      <c r="F42" s="101"/>
      <c r="G42" s="135"/>
      <c r="H42" s="135"/>
      <c r="I42" s="135"/>
      <c r="J42" s="135"/>
      <c r="K42" s="100"/>
      <c r="L42" s="100"/>
      <c r="M42" s="100"/>
      <c r="N42" s="100"/>
      <c r="O42" s="100"/>
      <c r="P42" s="135"/>
      <c r="Q42" s="135"/>
      <c r="R42" s="135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</row>
    <row r="43" spans="1:43" ht="15" x14ac:dyDescent="0.25">
      <c r="A43" s="101"/>
      <c r="B43" s="101"/>
      <c r="C43" s="134"/>
      <c r="D43" s="101"/>
      <c r="E43" s="101"/>
      <c r="F43" s="101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</row>
    <row r="44" spans="1:43" ht="15" x14ac:dyDescent="0.25">
      <c r="A44" s="101"/>
      <c r="B44" s="101"/>
      <c r="C44" s="134"/>
      <c r="D44" s="101"/>
      <c r="E44" s="101"/>
      <c r="F44" s="101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</row>
    <row r="45" spans="1:43" x14ac:dyDescent="0.2">
      <c r="A45" s="99"/>
      <c r="B45" s="99"/>
      <c r="C45" s="134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</row>
    <row r="46" spans="1:43" x14ac:dyDescent="0.2">
      <c r="A46" s="99"/>
      <c r="B46" s="99"/>
      <c r="C46" s="134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</row>
    <row r="47" spans="1:43" x14ac:dyDescent="0.2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</row>
    <row r="48" spans="1:43" x14ac:dyDescent="0.2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</row>
    <row r="49" spans="1:43" x14ac:dyDescent="0.2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</row>
    <row r="50" spans="1:43" x14ac:dyDescent="0.2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</row>
    <row r="51" spans="1:43" x14ac:dyDescent="0.2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</row>
    <row r="52" spans="1:43" x14ac:dyDescent="0.2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</row>
    <row r="53" spans="1:43" x14ac:dyDescent="0.2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</row>
    <row r="54" spans="1:43" x14ac:dyDescent="0.2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</row>
    <row r="55" spans="1:43" x14ac:dyDescent="0.2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</row>
    <row r="56" spans="1:43" x14ac:dyDescent="0.2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</row>
    <row r="57" spans="1:43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</row>
    <row r="58" spans="1:43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</row>
    <row r="59" spans="1:43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</row>
    <row r="60" spans="1:43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</row>
    <row r="61" spans="1:43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</row>
    <row r="62" spans="1:43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</row>
    <row r="63" spans="1:43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</row>
    <row r="64" spans="1:43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</row>
    <row r="65" spans="1:43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</row>
    <row r="66" spans="1:43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</row>
    <row r="67" spans="1:43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</row>
    <row r="68" spans="1:43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</row>
    <row r="69" spans="1:43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</row>
    <row r="70" spans="1:43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</row>
    <row r="71" spans="1:43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</row>
    <row r="72" spans="1:43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</row>
    <row r="73" spans="1:43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</row>
    <row r="74" spans="1:43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</row>
    <row r="75" spans="1:43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</row>
    <row r="76" spans="1:43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</row>
    <row r="77" spans="1:43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</row>
    <row r="78" spans="1:43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</row>
    <row r="79" spans="1:43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</row>
    <row r="80" spans="1:43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</row>
    <row r="81" spans="1:43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</row>
    <row r="82" spans="1:43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</row>
    <row r="83" spans="1:43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</row>
    <row r="84" spans="1:43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</row>
    <row r="85" spans="1:43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</row>
    <row r="86" spans="1:43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</row>
    <row r="87" spans="1:43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</row>
    <row r="88" spans="1:43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</row>
    <row r="89" spans="1:43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</row>
    <row r="90" spans="1:43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</row>
    <row r="91" spans="1:43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</row>
    <row r="92" spans="1:43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</row>
    <row r="93" spans="1:43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</row>
    <row r="94" spans="1:43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</row>
    <row r="95" spans="1:43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</row>
    <row r="96" spans="1:43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</row>
    <row r="97" spans="1:43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</row>
    <row r="98" spans="1:43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</row>
    <row r="99" spans="1:43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</row>
    <row r="100" spans="1:43" x14ac:dyDescent="0.2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</row>
  </sheetData>
  <dataValidations count="1">
    <dataValidation type="list" allowBlank="1" showInputMessage="1" showErrorMessage="1" sqref="V2">
      <formula1>"ICHK,TRHK,PREA"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X200"/>
  <sheetViews>
    <sheetView showGridLines="0" workbookViewId="0"/>
  </sheetViews>
  <sheetFormatPr defaultRowHeight="11.25" x14ac:dyDescent="0.2"/>
  <cols>
    <col min="1" max="1" width="12" style="1" bestFit="1" customWidth="1"/>
    <col min="2" max="2" width="17.42578125" style="1" bestFit="1" customWidth="1"/>
    <col min="3" max="3" width="16.28515625" style="1" bestFit="1" customWidth="1"/>
    <col min="4" max="4" width="16.140625" style="1" bestFit="1" customWidth="1"/>
    <col min="5" max="5" width="19.42578125" style="1" bestFit="1" customWidth="1"/>
    <col min="6" max="6" width="17.42578125" style="1" bestFit="1" customWidth="1"/>
    <col min="7" max="7" width="13.28515625" style="1" bestFit="1" customWidth="1"/>
    <col min="8" max="8" width="22.5703125" style="1" bestFit="1" customWidth="1"/>
    <col min="9" max="9" width="12.140625" style="1" bestFit="1" customWidth="1"/>
    <col min="10" max="10" width="17.42578125" style="1" bestFit="1" customWidth="1"/>
    <col min="11" max="11" width="12.140625" style="1" bestFit="1" customWidth="1"/>
    <col min="12" max="13" width="15.28515625" style="1" bestFit="1" customWidth="1"/>
    <col min="14" max="14" width="6.140625" style="1" bestFit="1" customWidth="1"/>
    <col min="15" max="15" width="8.140625" style="1" bestFit="1" customWidth="1"/>
    <col min="16" max="17" width="13.28515625" style="1" bestFit="1" customWidth="1"/>
    <col min="18" max="18" width="7.140625" style="1" bestFit="1" customWidth="1"/>
    <col min="19" max="19" width="5.140625" style="1" bestFit="1" customWidth="1"/>
    <col min="20" max="20" width="20.42578125" style="1" bestFit="1" customWidth="1"/>
    <col min="21" max="21" width="19.42578125" style="1" bestFit="1" customWidth="1"/>
    <col min="22" max="22" width="19.28515625" style="1" bestFit="1" customWidth="1"/>
    <col min="23" max="16384" width="9.140625" style="1"/>
  </cols>
  <sheetData>
    <row r="1" spans="1:50" x14ac:dyDescent="0.2">
      <c r="A1" s="133" t="s">
        <v>15</v>
      </c>
      <c r="B1" s="103" t="str">
        <f t="array" ref="B1:U121">_xll.qlLegFlowAnalysis(VLOOKUP($A$1,CCSPricing!$B$4:$H$17,7,0))</f>
        <v>Payment Date</v>
      </c>
      <c r="C1" s="104" t="str">
        <v>Amount</v>
      </c>
      <c r="D1" s="104" t="str">
        <v>Nominal</v>
      </c>
      <c r="E1" s="105" t="str">
        <v>Accrual Start Date</v>
      </c>
      <c r="F1" s="105" t="str">
        <v>Accrual End Date</v>
      </c>
      <c r="G1" s="106" t="str">
        <v>Accrual Days</v>
      </c>
      <c r="H1" s="106" t="str">
        <v>Index</v>
      </c>
      <c r="I1" s="106" t="str">
        <v>Fixing Days</v>
      </c>
      <c r="J1" s="105" t="str">
        <v>Fixing Dates</v>
      </c>
      <c r="K1" s="106" t="str">
        <v>Day Counter</v>
      </c>
      <c r="L1" s="106" t="str">
        <v>Accrual Period</v>
      </c>
      <c r="M1" s="107" t="str">
        <v>Effective Rate</v>
      </c>
      <c r="N1" s="106" t="str">
        <v>Floor</v>
      </c>
      <c r="O1" s="106" t="str">
        <v>Gearing</v>
      </c>
      <c r="P1" s="107" t="str">
        <v>Index Fixing</v>
      </c>
      <c r="Q1" s="106" t="str">
        <v>Conv. Adj.</v>
      </c>
      <c r="R1" s="106" t="str">
        <v>Spread</v>
      </c>
      <c r="S1" s="106" t="str">
        <v>Cap</v>
      </c>
      <c r="T1" s="106" t="str">
        <v>Call Digital Payoff</v>
      </c>
      <c r="U1" s="108" t="str">
        <v>Put Digital Payoff</v>
      </c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</row>
    <row r="2" spans="1:50" x14ac:dyDescent="0.2">
      <c r="A2" s="131">
        <f t="array" ref="A2:A121">_xll.qlYieldTSDiscount(DomesticDiscountCurve,_xll.ohPack(B2:B121))</f>
        <v>1</v>
      </c>
      <c r="B2" s="109">
        <v>41949</v>
      </c>
      <c r="C2" s="21">
        <v>-163307.96616258941</v>
      </c>
      <c r="D2" s="21" t="str">
        <v>#N/A</v>
      </c>
      <c r="E2" s="110" t="str">
        <v>#N/A</v>
      </c>
      <c r="F2" s="110" t="str">
        <v>#N/A</v>
      </c>
      <c r="G2" s="17" t="str">
        <v>#N/A</v>
      </c>
      <c r="H2" s="17" t="str">
        <v>#N/A</v>
      </c>
      <c r="I2" s="17" t="str">
        <v>#N/A</v>
      </c>
      <c r="J2" s="110" t="str">
        <v>#N/A</v>
      </c>
      <c r="K2" s="17" t="str">
        <v>#N/A</v>
      </c>
      <c r="L2" s="116" t="str">
        <v>#N/A</v>
      </c>
      <c r="M2" s="111" t="str">
        <v>#N/A</v>
      </c>
      <c r="N2" s="17" t="str">
        <v>#N/A</v>
      </c>
      <c r="O2" s="17" t="str">
        <v>#N/A</v>
      </c>
      <c r="P2" s="111" t="str">
        <v>#N/A</v>
      </c>
      <c r="Q2" s="17" t="str">
        <v>#N/A</v>
      </c>
      <c r="R2" s="17" t="str">
        <v>#N/A</v>
      </c>
      <c r="S2" s="17" t="str">
        <v>#N/A</v>
      </c>
      <c r="T2" s="17" t="str">
        <v>#N/A</v>
      </c>
      <c r="U2" s="71" t="str">
        <v>#N/A</v>
      </c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</row>
    <row r="3" spans="1:50" x14ac:dyDescent="0.2">
      <c r="A3" s="13">
        <v>0.99975472684092759</v>
      </c>
      <c r="B3" s="109">
        <v>42041</v>
      </c>
      <c r="C3" s="21">
        <v>96.760877217812904</v>
      </c>
      <c r="D3" s="21">
        <v>163307.96616258941</v>
      </c>
      <c r="E3" s="110">
        <v>41949</v>
      </c>
      <c r="F3" s="110">
        <v>42041</v>
      </c>
      <c r="G3" s="17">
        <v>92</v>
      </c>
      <c r="H3" s="17" t="str">
        <v>USDLibor3M Actual/360</v>
      </c>
      <c r="I3" s="17">
        <v>2</v>
      </c>
      <c r="J3" s="110">
        <v>41947</v>
      </c>
      <c r="K3" s="17" t="str">
        <v>Actual/360</v>
      </c>
      <c r="L3" s="116">
        <v>0.25555555555555554</v>
      </c>
      <c r="M3" s="111">
        <v>2.3185000000000002E-3</v>
      </c>
      <c r="N3" s="17" t="str">
        <v>#N/A</v>
      </c>
      <c r="O3" s="17">
        <v>1</v>
      </c>
      <c r="P3" s="111">
        <v>2.3184999999999998E-3</v>
      </c>
      <c r="Q3" s="17">
        <v>4.3368086899420177E-19</v>
      </c>
      <c r="R3" s="17">
        <v>0</v>
      </c>
      <c r="S3" s="17" t="str">
        <v>#N/A</v>
      </c>
      <c r="T3" s="17" t="str">
        <v>#N/A</v>
      </c>
      <c r="U3" s="71" t="str">
        <v>#N/A</v>
      </c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</row>
    <row r="4" spans="1:50" x14ac:dyDescent="0.2">
      <c r="A4" s="13">
        <v>0.99975472684092759</v>
      </c>
      <c r="B4" s="109">
        <v>42041</v>
      </c>
      <c r="C4" s="21">
        <v>163307.96616258941</v>
      </c>
      <c r="D4" s="21" t="str">
        <v>#N/A</v>
      </c>
      <c r="E4" s="110" t="str">
        <v>#N/A</v>
      </c>
      <c r="F4" s="110" t="str">
        <v>#N/A</v>
      </c>
      <c r="G4" s="17" t="str">
        <v>#N/A</v>
      </c>
      <c r="H4" s="17" t="str">
        <v>#N/A</v>
      </c>
      <c r="I4" s="17" t="str">
        <v>#N/A</v>
      </c>
      <c r="J4" s="110" t="str">
        <v>#N/A</v>
      </c>
      <c r="K4" s="17" t="str">
        <v>#N/A</v>
      </c>
      <c r="L4" s="116" t="str">
        <v>#N/A</v>
      </c>
      <c r="M4" s="111" t="str">
        <v>#N/A</v>
      </c>
      <c r="N4" s="17" t="str">
        <v>#N/A</v>
      </c>
      <c r="O4" s="17" t="str">
        <v>#N/A</v>
      </c>
      <c r="P4" s="111" t="str">
        <v>#N/A</v>
      </c>
      <c r="Q4" s="17" t="str">
        <v>#N/A</v>
      </c>
      <c r="R4" s="17" t="str">
        <v>#N/A</v>
      </c>
      <c r="S4" s="17" t="str">
        <v>#N/A</v>
      </c>
      <c r="T4" s="17" t="str">
        <v>#N/A</v>
      </c>
      <c r="U4" s="71" t="str">
        <v>#N/A</v>
      </c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</row>
    <row r="5" spans="1:50" x14ac:dyDescent="0.2">
      <c r="A5" s="13">
        <v>0.99975472684092759</v>
      </c>
      <c r="B5" s="109">
        <v>42041</v>
      </c>
      <c r="C5" s="21">
        <v>-163307.96616258941</v>
      </c>
      <c r="D5" s="21" t="str">
        <v>#N/A</v>
      </c>
      <c r="E5" s="110" t="str">
        <v>#N/A</v>
      </c>
      <c r="F5" s="110" t="str">
        <v>#N/A</v>
      </c>
      <c r="G5" s="17" t="str">
        <v>#N/A</v>
      </c>
      <c r="H5" s="17" t="str">
        <v>#N/A</v>
      </c>
      <c r="I5" s="17" t="str">
        <v>#N/A</v>
      </c>
      <c r="J5" s="110" t="str">
        <v>#N/A</v>
      </c>
      <c r="K5" s="17" t="str">
        <v>#N/A</v>
      </c>
      <c r="L5" s="116" t="str">
        <v>#N/A</v>
      </c>
      <c r="M5" s="111" t="str">
        <v>#N/A</v>
      </c>
      <c r="N5" s="17" t="str">
        <v>#N/A</v>
      </c>
      <c r="O5" s="17" t="str">
        <v>#N/A</v>
      </c>
      <c r="P5" s="111" t="str">
        <v>#N/A</v>
      </c>
      <c r="Q5" s="17" t="str">
        <v>#N/A</v>
      </c>
      <c r="R5" s="17" t="str">
        <v>#N/A</v>
      </c>
      <c r="S5" s="17" t="str">
        <v>#N/A</v>
      </c>
      <c r="T5" s="17" t="str">
        <v>#N/A</v>
      </c>
      <c r="U5" s="71" t="str">
        <v>#N/A</v>
      </c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</row>
    <row r="6" spans="1:50" x14ac:dyDescent="0.2">
      <c r="A6" s="13">
        <v>0.99949245218004723</v>
      </c>
      <c r="B6" s="109">
        <v>42130</v>
      </c>
      <c r="C6" s="21">
        <v>95.431104521064995</v>
      </c>
      <c r="D6" s="21">
        <v>163307.96616258941</v>
      </c>
      <c r="E6" s="110">
        <v>42041</v>
      </c>
      <c r="F6" s="110">
        <v>42130</v>
      </c>
      <c r="G6" s="17">
        <v>89</v>
      </c>
      <c r="H6" s="17" t="str">
        <v>USDLibor3M Actual/360</v>
      </c>
      <c r="I6" s="17">
        <v>2</v>
      </c>
      <c r="J6" s="110">
        <v>42039</v>
      </c>
      <c r="K6" s="17" t="str">
        <v>Actual/360</v>
      </c>
      <c r="L6" s="116">
        <v>0.24722222222222223</v>
      </c>
      <c r="M6" s="111">
        <v>2.3637147994690355E-3</v>
      </c>
      <c r="N6" s="17" t="str">
        <v>#N/A</v>
      </c>
      <c r="O6" s="17">
        <v>1</v>
      </c>
      <c r="P6" s="111">
        <v>2.3637147994690359E-3</v>
      </c>
      <c r="Q6" s="17">
        <v>-4.3368086899420177E-19</v>
      </c>
      <c r="R6" s="17">
        <v>0</v>
      </c>
      <c r="S6" s="17" t="str">
        <v>#N/A</v>
      </c>
      <c r="T6" s="17" t="str">
        <v>#N/A</v>
      </c>
      <c r="U6" s="71" t="str">
        <v>#N/A</v>
      </c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</row>
    <row r="7" spans="1:50" x14ac:dyDescent="0.2">
      <c r="A7" s="13">
        <v>0.99949245218004723</v>
      </c>
      <c r="B7" s="109">
        <v>42130</v>
      </c>
      <c r="C7" s="21">
        <v>163307.96616258941</v>
      </c>
      <c r="D7" s="21" t="str">
        <v>#N/A</v>
      </c>
      <c r="E7" s="110" t="str">
        <v>#N/A</v>
      </c>
      <c r="F7" s="110" t="str">
        <v>#N/A</v>
      </c>
      <c r="G7" s="17" t="str">
        <v>#N/A</v>
      </c>
      <c r="H7" s="17" t="str">
        <v>#N/A</v>
      </c>
      <c r="I7" s="17" t="str">
        <v>#N/A</v>
      </c>
      <c r="J7" s="110" t="str">
        <v>#N/A</v>
      </c>
      <c r="K7" s="17" t="str">
        <v>#N/A</v>
      </c>
      <c r="L7" s="116" t="str">
        <v>#N/A</v>
      </c>
      <c r="M7" s="111" t="str">
        <v>#N/A</v>
      </c>
      <c r="N7" s="17" t="str">
        <v>#N/A</v>
      </c>
      <c r="O7" s="17" t="str">
        <v>#N/A</v>
      </c>
      <c r="P7" s="111" t="str">
        <v>#N/A</v>
      </c>
      <c r="Q7" s="17" t="str">
        <v>#N/A</v>
      </c>
      <c r="R7" s="17" t="str">
        <v>#N/A</v>
      </c>
      <c r="S7" s="17" t="str">
        <v>#N/A</v>
      </c>
      <c r="T7" s="17" t="str">
        <v>#N/A</v>
      </c>
      <c r="U7" s="71" t="str">
        <v>#N/A</v>
      </c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</row>
    <row r="8" spans="1:50" x14ac:dyDescent="0.2">
      <c r="A8" s="13">
        <v>0.99949245218004723</v>
      </c>
      <c r="B8" s="109">
        <v>42130</v>
      </c>
      <c r="C8" s="21">
        <v>-163307.96616258941</v>
      </c>
      <c r="D8" s="21" t="str">
        <v>#N/A</v>
      </c>
      <c r="E8" s="110" t="str">
        <v>#N/A</v>
      </c>
      <c r="F8" s="110" t="str">
        <v>#N/A</v>
      </c>
      <c r="G8" s="17" t="str">
        <v>#N/A</v>
      </c>
      <c r="H8" s="17" t="str">
        <v>#N/A</v>
      </c>
      <c r="I8" s="17" t="str">
        <v>#N/A</v>
      </c>
      <c r="J8" s="110" t="str">
        <v>#N/A</v>
      </c>
      <c r="K8" s="17" t="str">
        <v>#N/A</v>
      </c>
      <c r="L8" s="116" t="str">
        <v>#N/A</v>
      </c>
      <c r="M8" s="111" t="str">
        <v>#N/A</v>
      </c>
      <c r="N8" s="17" t="str">
        <v>#N/A</v>
      </c>
      <c r="O8" s="17" t="str">
        <v>#N/A</v>
      </c>
      <c r="P8" s="111" t="str">
        <v>#N/A</v>
      </c>
      <c r="Q8" s="17" t="str">
        <v>#N/A</v>
      </c>
      <c r="R8" s="17" t="str">
        <v>#N/A</v>
      </c>
      <c r="S8" s="17" t="str">
        <v>#N/A</v>
      </c>
      <c r="T8" s="17" t="str">
        <v>#N/A</v>
      </c>
      <c r="U8" s="71" t="str">
        <v>#N/A</v>
      </c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</row>
    <row r="9" spans="1:50" x14ac:dyDescent="0.2">
      <c r="A9" s="13">
        <v>0.99903027461344196</v>
      </c>
      <c r="B9" s="109">
        <v>42222</v>
      </c>
      <c r="C9" s="21">
        <v>133.10042095149009</v>
      </c>
      <c r="D9" s="21">
        <v>163307.96616258941</v>
      </c>
      <c r="E9" s="110">
        <v>42130</v>
      </c>
      <c r="F9" s="110">
        <v>42222</v>
      </c>
      <c r="G9" s="17">
        <v>92</v>
      </c>
      <c r="H9" s="17" t="str">
        <v>USDLibor3M Actual/360</v>
      </c>
      <c r="I9" s="17">
        <v>2</v>
      </c>
      <c r="J9" s="110">
        <v>42125</v>
      </c>
      <c r="K9" s="17" t="str">
        <v>Actual/360</v>
      </c>
      <c r="L9" s="116">
        <v>0.25555555555555554</v>
      </c>
      <c r="M9" s="111">
        <v>3.1892365473431264E-3</v>
      </c>
      <c r="N9" s="17" t="str">
        <v>#N/A</v>
      </c>
      <c r="O9" s="17">
        <v>1</v>
      </c>
      <c r="P9" s="111">
        <v>3.1892365473431264E-3</v>
      </c>
      <c r="Q9" s="17">
        <v>0</v>
      </c>
      <c r="R9" s="17">
        <v>0</v>
      </c>
      <c r="S9" s="17" t="str">
        <v>#N/A</v>
      </c>
      <c r="T9" s="17" t="str">
        <v>#N/A</v>
      </c>
      <c r="U9" s="71" t="str">
        <v>#N/A</v>
      </c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</row>
    <row r="10" spans="1:50" x14ac:dyDescent="0.2">
      <c r="A10" s="13">
        <v>0.99903027461344196</v>
      </c>
      <c r="B10" s="109">
        <v>42222</v>
      </c>
      <c r="C10" s="21">
        <v>163307.96616258941</v>
      </c>
      <c r="D10" s="21" t="str">
        <v>#N/A</v>
      </c>
      <c r="E10" s="110" t="str">
        <v>#N/A</v>
      </c>
      <c r="F10" s="110" t="str">
        <v>#N/A</v>
      </c>
      <c r="G10" s="17" t="str">
        <v>#N/A</v>
      </c>
      <c r="H10" s="17" t="str">
        <v>#N/A</v>
      </c>
      <c r="I10" s="17" t="str">
        <v>#N/A</v>
      </c>
      <c r="J10" s="110" t="str">
        <v>#N/A</v>
      </c>
      <c r="K10" s="17" t="str">
        <v>#N/A</v>
      </c>
      <c r="L10" s="116" t="str">
        <v>#N/A</v>
      </c>
      <c r="M10" s="111" t="str">
        <v>#N/A</v>
      </c>
      <c r="N10" s="17" t="str">
        <v>#N/A</v>
      </c>
      <c r="O10" s="17" t="str">
        <v>#N/A</v>
      </c>
      <c r="P10" s="111" t="str">
        <v>#N/A</v>
      </c>
      <c r="Q10" s="17" t="str">
        <v>#N/A</v>
      </c>
      <c r="R10" s="17" t="str">
        <v>#N/A</v>
      </c>
      <c r="S10" s="17" t="str">
        <v>#N/A</v>
      </c>
      <c r="T10" s="17" t="str">
        <v>#N/A</v>
      </c>
      <c r="U10" s="71" t="str">
        <v>#N/A</v>
      </c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</row>
    <row r="11" spans="1:50" x14ac:dyDescent="0.2">
      <c r="A11" s="13">
        <v>0.99903027461344196</v>
      </c>
      <c r="B11" s="109">
        <v>42222</v>
      </c>
      <c r="C11" s="21">
        <v>-163307.96616258941</v>
      </c>
      <c r="D11" s="21" t="str">
        <v>#N/A</v>
      </c>
      <c r="E11" s="110" t="str">
        <v>#N/A</v>
      </c>
      <c r="F11" s="110" t="str">
        <v>#N/A</v>
      </c>
      <c r="G11" s="17" t="str">
        <v>#N/A</v>
      </c>
      <c r="H11" s="17" t="str">
        <v>#N/A</v>
      </c>
      <c r="I11" s="17" t="str">
        <v>#N/A</v>
      </c>
      <c r="J11" s="110" t="str">
        <v>#N/A</v>
      </c>
      <c r="K11" s="17" t="str">
        <v>#N/A</v>
      </c>
      <c r="L11" s="116" t="str">
        <v>#N/A</v>
      </c>
      <c r="M11" s="111" t="str">
        <v>#N/A</v>
      </c>
      <c r="N11" s="17" t="str">
        <v>#N/A</v>
      </c>
      <c r="O11" s="17" t="str">
        <v>#N/A</v>
      </c>
      <c r="P11" s="111" t="str">
        <v>#N/A</v>
      </c>
      <c r="Q11" s="17" t="str">
        <v>#N/A</v>
      </c>
      <c r="R11" s="17" t="str">
        <v>#N/A</v>
      </c>
      <c r="S11" s="17" t="str">
        <v>#N/A</v>
      </c>
      <c r="T11" s="17" t="str">
        <v>#N/A</v>
      </c>
      <c r="U11" s="71" t="str">
        <v>#N/A</v>
      </c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</row>
    <row r="12" spans="1:50" x14ac:dyDescent="0.2">
      <c r="A12" s="13">
        <v>0.99816822267691263</v>
      </c>
      <c r="B12" s="109">
        <v>42314</v>
      </c>
      <c r="C12" s="21">
        <v>206.16203858316814</v>
      </c>
      <c r="D12" s="21">
        <v>163307.96616258941</v>
      </c>
      <c r="E12" s="110">
        <v>42222</v>
      </c>
      <c r="F12" s="110">
        <v>42314</v>
      </c>
      <c r="G12" s="17">
        <v>92</v>
      </c>
      <c r="H12" s="17" t="str">
        <v>USDLibor3M Actual/360</v>
      </c>
      <c r="I12" s="17">
        <v>2</v>
      </c>
      <c r="J12" s="110">
        <v>42220</v>
      </c>
      <c r="K12" s="17" t="str">
        <v>Actual/360</v>
      </c>
      <c r="L12" s="116">
        <v>0.25555555555555554</v>
      </c>
      <c r="M12" s="111">
        <v>4.9398754971919775E-3</v>
      </c>
      <c r="N12" s="17" t="str">
        <v>#N/A</v>
      </c>
      <c r="O12" s="17">
        <v>1</v>
      </c>
      <c r="P12" s="111">
        <v>4.9398754971919784E-3</v>
      </c>
      <c r="Q12" s="17">
        <v>-8.6736173798840355E-19</v>
      </c>
      <c r="R12" s="17">
        <v>0</v>
      </c>
      <c r="S12" s="17" t="str">
        <v>#N/A</v>
      </c>
      <c r="T12" s="17" t="str">
        <v>#N/A</v>
      </c>
      <c r="U12" s="71" t="str">
        <v>#N/A</v>
      </c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</row>
    <row r="13" spans="1:50" x14ac:dyDescent="0.2">
      <c r="A13" s="13">
        <v>0.99816822267691263</v>
      </c>
      <c r="B13" s="109">
        <v>42314</v>
      </c>
      <c r="C13" s="21">
        <v>163307.96616258941</v>
      </c>
      <c r="D13" s="21" t="str">
        <v>#N/A</v>
      </c>
      <c r="E13" s="110" t="str">
        <v>#N/A</v>
      </c>
      <c r="F13" s="110" t="str">
        <v>#N/A</v>
      </c>
      <c r="G13" s="17" t="str">
        <v>#N/A</v>
      </c>
      <c r="H13" s="17" t="str">
        <v>#N/A</v>
      </c>
      <c r="I13" s="17" t="str">
        <v>#N/A</v>
      </c>
      <c r="J13" s="110" t="str">
        <v>#N/A</v>
      </c>
      <c r="K13" s="17" t="str">
        <v>#N/A</v>
      </c>
      <c r="L13" s="116" t="str">
        <v>#N/A</v>
      </c>
      <c r="M13" s="111" t="str">
        <v>#N/A</v>
      </c>
      <c r="N13" s="17" t="str">
        <v>#N/A</v>
      </c>
      <c r="O13" s="17" t="str">
        <v>#N/A</v>
      </c>
      <c r="P13" s="111" t="str">
        <v>#N/A</v>
      </c>
      <c r="Q13" s="17" t="str">
        <v>#N/A</v>
      </c>
      <c r="R13" s="17" t="str">
        <v>#N/A</v>
      </c>
      <c r="S13" s="17" t="str">
        <v>#N/A</v>
      </c>
      <c r="T13" s="17" t="str">
        <v>#N/A</v>
      </c>
      <c r="U13" s="71" t="str">
        <v>#N/A</v>
      </c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</row>
    <row r="14" spans="1:50" x14ac:dyDescent="0.2">
      <c r="A14" s="13" t="e">
        <v>#N/A</v>
      </c>
      <c r="B14" s="109" t="e">
        <v>#N/A</v>
      </c>
      <c r="C14" s="21" t="e">
        <v>#N/A</v>
      </c>
      <c r="D14" s="21" t="e">
        <v>#N/A</v>
      </c>
      <c r="E14" s="110" t="e">
        <v>#N/A</v>
      </c>
      <c r="F14" s="110" t="e">
        <v>#N/A</v>
      </c>
      <c r="G14" s="17" t="e">
        <v>#N/A</v>
      </c>
      <c r="H14" s="17" t="e">
        <v>#N/A</v>
      </c>
      <c r="I14" s="17" t="e">
        <v>#N/A</v>
      </c>
      <c r="J14" s="110" t="e">
        <v>#N/A</v>
      </c>
      <c r="K14" s="17" t="e">
        <v>#N/A</v>
      </c>
      <c r="L14" s="116" t="e">
        <v>#N/A</v>
      </c>
      <c r="M14" s="111" t="e">
        <v>#N/A</v>
      </c>
      <c r="N14" s="17" t="e">
        <v>#N/A</v>
      </c>
      <c r="O14" s="17" t="e">
        <v>#N/A</v>
      </c>
      <c r="P14" s="111" t="e">
        <v>#N/A</v>
      </c>
      <c r="Q14" s="17" t="e">
        <v>#N/A</v>
      </c>
      <c r="R14" s="17" t="e">
        <v>#N/A</v>
      </c>
      <c r="S14" s="17" t="e">
        <v>#N/A</v>
      </c>
      <c r="T14" s="17" t="e">
        <v>#N/A</v>
      </c>
      <c r="U14" s="71" t="e">
        <v>#N/A</v>
      </c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</row>
    <row r="15" spans="1:50" x14ac:dyDescent="0.2">
      <c r="A15" s="13" t="e">
        <v>#N/A</v>
      </c>
      <c r="B15" s="109" t="e">
        <v>#N/A</v>
      </c>
      <c r="C15" s="21" t="e">
        <v>#N/A</v>
      </c>
      <c r="D15" s="21" t="e">
        <v>#N/A</v>
      </c>
      <c r="E15" s="110" t="e">
        <v>#N/A</v>
      </c>
      <c r="F15" s="110" t="e">
        <v>#N/A</v>
      </c>
      <c r="G15" s="17" t="e">
        <v>#N/A</v>
      </c>
      <c r="H15" s="17" t="e">
        <v>#N/A</v>
      </c>
      <c r="I15" s="17" t="e">
        <v>#N/A</v>
      </c>
      <c r="J15" s="110" t="e">
        <v>#N/A</v>
      </c>
      <c r="K15" s="17" t="e">
        <v>#N/A</v>
      </c>
      <c r="L15" s="116" t="e">
        <v>#N/A</v>
      </c>
      <c r="M15" s="111" t="e">
        <v>#N/A</v>
      </c>
      <c r="N15" s="17" t="e">
        <v>#N/A</v>
      </c>
      <c r="O15" s="17" t="e">
        <v>#N/A</v>
      </c>
      <c r="P15" s="111" t="e">
        <v>#N/A</v>
      </c>
      <c r="Q15" s="17" t="e">
        <v>#N/A</v>
      </c>
      <c r="R15" s="17" t="e">
        <v>#N/A</v>
      </c>
      <c r="S15" s="17" t="e">
        <v>#N/A</v>
      </c>
      <c r="T15" s="17" t="e">
        <v>#N/A</v>
      </c>
      <c r="U15" s="71" t="e">
        <v>#N/A</v>
      </c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</row>
    <row r="16" spans="1:50" x14ac:dyDescent="0.2">
      <c r="A16" s="13" t="e">
        <v>#N/A</v>
      </c>
      <c r="B16" s="109" t="e">
        <v>#N/A</v>
      </c>
      <c r="C16" s="21" t="e">
        <v>#N/A</v>
      </c>
      <c r="D16" s="21" t="e">
        <v>#N/A</v>
      </c>
      <c r="E16" s="110" t="e">
        <v>#N/A</v>
      </c>
      <c r="F16" s="110" t="e">
        <v>#N/A</v>
      </c>
      <c r="G16" s="17" t="e">
        <v>#N/A</v>
      </c>
      <c r="H16" s="17" t="e">
        <v>#N/A</v>
      </c>
      <c r="I16" s="17" t="e">
        <v>#N/A</v>
      </c>
      <c r="J16" s="110" t="e">
        <v>#N/A</v>
      </c>
      <c r="K16" s="17" t="e">
        <v>#N/A</v>
      </c>
      <c r="L16" s="116" t="e">
        <v>#N/A</v>
      </c>
      <c r="M16" s="111" t="e">
        <v>#N/A</v>
      </c>
      <c r="N16" s="17" t="e">
        <v>#N/A</v>
      </c>
      <c r="O16" s="17" t="e">
        <v>#N/A</v>
      </c>
      <c r="P16" s="111" t="e">
        <v>#N/A</v>
      </c>
      <c r="Q16" s="17" t="e">
        <v>#N/A</v>
      </c>
      <c r="R16" s="17" t="e">
        <v>#N/A</v>
      </c>
      <c r="S16" s="17" t="e">
        <v>#N/A</v>
      </c>
      <c r="T16" s="17" t="e">
        <v>#N/A</v>
      </c>
      <c r="U16" s="71" t="e">
        <v>#N/A</v>
      </c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</row>
    <row r="17" spans="1:50" x14ac:dyDescent="0.2">
      <c r="A17" s="13" t="e">
        <v>#N/A</v>
      </c>
      <c r="B17" s="109" t="e">
        <v>#N/A</v>
      </c>
      <c r="C17" s="21" t="e">
        <v>#N/A</v>
      </c>
      <c r="D17" s="21" t="e">
        <v>#N/A</v>
      </c>
      <c r="E17" s="110" t="e">
        <v>#N/A</v>
      </c>
      <c r="F17" s="110" t="e">
        <v>#N/A</v>
      </c>
      <c r="G17" s="17" t="e">
        <v>#N/A</v>
      </c>
      <c r="H17" s="17" t="e">
        <v>#N/A</v>
      </c>
      <c r="I17" s="17" t="e">
        <v>#N/A</v>
      </c>
      <c r="J17" s="110" t="e">
        <v>#N/A</v>
      </c>
      <c r="K17" s="17" t="e">
        <v>#N/A</v>
      </c>
      <c r="L17" s="116" t="e">
        <v>#N/A</v>
      </c>
      <c r="M17" s="111" t="e">
        <v>#N/A</v>
      </c>
      <c r="N17" s="17" t="e">
        <v>#N/A</v>
      </c>
      <c r="O17" s="17" t="e">
        <v>#N/A</v>
      </c>
      <c r="P17" s="111" t="e">
        <v>#N/A</v>
      </c>
      <c r="Q17" s="17" t="e">
        <v>#N/A</v>
      </c>
      <c r="R17" s="17" t="e">
        <v>#N/A</v>
      </c>
      <c r="S17" s="17" t="e">
        <v>#N/A</v>
      </c>
      <c r="T17" s="17" t="e">
        <v>#N/A</v>
      </c>
      <c r="U17" s="71" t="e">
        <v>#N/A</v>
      </c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</row>
    <row r="18" spans="1:50" x14ac:dyDescent="0.2">
      <c r="A18" s="13" t="e">
        <v>#N/A</v>
      </c>
      <c r="B18" s="109" t="e">
        <v>#N/A</v>
      </c>
      <c r="C18" s="21" t="e">
        <v>#N/A</v>
      </c>
      <c r="D18" s="21" t="e">
        <v>#N/A</v>
      </c>
      <c r="E18" s="110" t="e">
        <v>#N/A</v>
      </c>
      <c r="F18" s="110" t="e">
        <v>#N/A</v>
      </c>
      <c r="G18" s="17" t="e">
        <v>#N/A</v>
      </c>
      <c r="H18" s="17" t="e">
        <v>#N/A</v>
      </c>
      <c r="I18" s="17" t="e">
        <v>#N/A</v>
      </c>
      <c r="J18" s="110" t="e">
        <v>#N/A</v>
      </c>
      <c r="K18" s="17" t="e">
        <v>#N/A</v>
      </c>
      <c r="L18" s="116" t="e">
        <v>#N/A</v>
      </c>
      <c r="M18" s="111" t="e">
        <v>#N/A</v>
      </c>
      <c r="N18" s="17" t="e">
        <v>#N/A</v>
      </c>
      <c r="O18" s="17" t="e">
        <v>#N/A</v>
      </c>
      <c r="P18" s="111" t="e">
        <v>#N/A</v>
      </c>
      <c r="Q18" s="17" t="e">
        <v>#N/A</v>
      </c>
      <c r="R18" s="17" t="e">
        <v>#N/A</v>
      </c>
      <c r="S18" s="17" t="e">
        <v>#N/A</v>
      </c>
      <c r="T18" s="17" t="e">
        <v>#N/A</v>
      </c>
      <c r="U18" s="71" t="e">
        <v>#N/A</v>
      </c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</row>
    <row r="19" spans="1:50" x14ac:dyDescent="0.2">
      <c r="A19" s="13" t="e">
        <v>#N/A</v>
      </c>
      <c r="B19" s="109" t="e">
        <v>#N/A</v>
      </c>
      <c r="C19" s="21" t="e">
        <v>#N/A</v>
      </c>
      <c r="D19" s="21" t="e">
        <v>#N/A</v>
      </c>
      <c r="E19" s="110" t="e">
        <v>#N/A</v>
      </c>
      <c r="F19" s="110" t="e">
        <v>#N/A</v>
      </c>
      <c r="G19" s="17" t="e">
        <v>#N/A</v>
      </c>
      <c r="H19" s="17" t="e">
        <v>#N/A</v>
      </c>
      <c r="I19" s="17" t="e">
        <v>#N/A</v>
      </c>
      <c r="J19" s="110" t="e">
        <v>#N/A</v>
      </c>
      <c r="K19" s="17" t="e">
        <v>#N/A</v>
      </c>
      <c r="L19" s="116" t="e">
        <v>#N/A</v>
      </c>
      <c r="M19" s="111" t="e">
        <v>#N/A</v>
      </c>
      <c r="N19" s="17" t="e">
        <v>#N/A</v>
      </c>
      <c r="O19" s="17" t="e">
        <v>#N/A</v>
      </c>
      <c r="P19" s="111" t="e">
        <v>#N/A</v>
      </c>
      <c r="Q19" s="17" t="e">
        <v>#N/A</v>
      </c>
      <c r="R19" s="17" t="e">
        <v>#N/A</v>
      </c>
      <c r="S19" s="17" t="e">
        <v>#N/A</v>
      </c>
      <c r="T19" s="17" t="e">
        <v>#N/A</v>
      </c>
      <c r="U19" s="71" t="e">
        <v>#N/A</v>
      </c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</row>
    <row r="20" spans="1:50" x14ac:dyDescent="0.2">
      <c r="A20" s="13" t="e">
        <v>#N/A</v>
      </c>
      <c r="B20" s="109" t="e">
        <v>#N/A</v>
      </c>
      <c r="C20" s="21" t="e">
        <v>#N/A</v>
      </c>
      <c r="D20" s="21" t="e">
        <v>#N/A</v>
      </c>
      <c r="E20" s="110" t="e">
        <v>#N/A</v>
      </c>
      <c r="F20" s="110" t="e">
        <v>#N/A</v>
      </c>
      <c r="G20" s="17" t="e">
        <v>#N/A</v>
      </c>
      <c r="H20" s="17" t="e">
        <v>#N/A</v>
      </c>
      <c r="I20" s="17" t="e">
        <v>#N/A</v>
      </c>
      <c r="J20" s="110" t="e">
        <v>#N/A</v>
      </c>
      <c r="K20" s="17" t="e">
        <v>#N/A</v>
      </c>
      <c r="L20" s="116" t="e">
        <v>#N/A</v>
      </c>
      <c r="M20" s="111" t="e">
        <v>#N/A</v>
      </c>
      <c r="N20" s="17" t="e">
        <v>#N/A</v>
      </c>
      <c r="O20" s="17" t="e">
        <v>#N/A</v>
      </c>
      <c r="P20" s="111" t="e">
        <v>#N/A</v>
      </c>
      <c r="Q20" s="17" t="e">
        <v>#N/A</v>
      </c>
      <c r="R20" s="17" t="e">
        <v>#N/A</v>
      </c>
      <c r="S20" s="17" t="e">
        <v>#N/A</v>
      </c>
      <c r="T20" s="17" t="e">
        <v>#N/A</v>
      </c>
      <c r="U20" s="71" t="e">
        <v>#N/A</v>
      </c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</row>
    <row r="21" spans="1:50" x14ac:dyDescent="0.2">
      <c r="A21" s="13" t="e">
        <v>#N/A</v>
      </c>
      <c r="B21" s="109" t="e">
        <v>#N/A</v>
      </c>
      <c r="C21" s="21" t="e">
        <v>#N/A</v>
      </c>
      <c r="D21" s="21" t="e">
        <v>#N/A</v>
      </c>
      <c r="E21" s="110" t="e">
        <v>#N/A</v>
      </c>
      <c r="F21" s="110" t="e">
        <v>#N/A</v>
      </c>
      <c r="G21" s="17" t="e">
        <v>#N/A</v>
      </c>
      <c r="H21" s="17" t="e">
        <v>#N/A</v>
      </c>
      <c r="I21" s="17" t="e">
        <v>#N/A</v>
      </c>
      <c r="J21" s="110" t="e">
        <v>#N/A</v>
      </c>
      <c r="K21" s="17" t="e">
        <v>#N/A</v>
      </c>
      <c r="L21" s="116" t="e">
        <v>#N/A</v>
      </c>
      <c r="M21" s="111" t="e">
        <v>#N/A</v>
      </c>
      <c r="N21" s="17" t="e">
        <v>#N/A</v>
      </c>
      <c r="O21" s="17" t="e">
        <v>#N/A</v>
      </c>
      <c r="P21" s="111" t="e">
        <v>#N/A</v>
      </c>
      <c r="Q21" s="17" t="e">
        <v>#N/A</v>
      </c>
      <c r="R21" s="17" t="e">
        <v>#N/A</v>
      </c>
      <c r="S21" s="17" t="e">
        <v>#N/A</v>
      </c>
      <c r="T21" s="17" t="e">
        <v>#N/A</v>
      </c>
      <c r="U21" s="71" t="e">
        <v>#N/A</v>
      </c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</row>
    <row r="22" spans="1:50" x14ac:dyDescent="0.2">
      <c r="A22" s="13" t="e">
        <v>#N/A</v>
      </c>
      <c r="B22" s="109" t="e">
        <v>#N/A</v>
      </c>
      <c r="C22" s="21" t="e">
        <v>#N/A</v>
      </c>
      <c r="D22" s="21" t="e">
        <v>#N/A</v>
      </c>
      <c r="E22" s="110" t="e">
        <v>#N/A</v>
      </c>
      <c r="F22" s="110" t="e">
        <v>#N/A</v>
      </c>
      <c r="G22" s="17" t="e">
        <v>#N/A</v>
      </c>
      <c r="H22" s="17" t="e">
        <v>#N/A</v>
      </c>
      <c r="I22" s="17" t="e">
        <v>#N/A</v>
      </c>
      <c r="J22" s="110" t="e">
        <v>#N/A</v>
      </c>
      <c r="K22" s="17" t="e">
        <v>#N/A</v>
      </c>
      <c r="L22" s="116" t="e">
        <v>#N/A</v>
      </c>
      <c r="M22" s="111" t="e">
        <v>#N/A</v>
      </c>
      <c r="N22" s="17" t="e">
        <v>#N/A</v>
      </c>
      <c r="O22" s="17" t="e">
        <v>#N/A</v>
      </c>
      <c r="P22" s="111" t="e">
        <v>#N/A</v>
      </c>
      <c r="Q22" s="17" t="e">
        <v>#N/A</v>
      </c>
      <c r="R22" s="17" t="e">
        <v>#N/A</v>
      </c>
      <c r="S22" s="17" t="e">
        <v>#N/A</v>
      </c>
      <c r="T22" s="17" t="e">
        <v>#N/A</v>
      </c>
      <c r="U22" s="71" t="e">
        <v>#N/A</v>
      </c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</row>
    <row r="23" spans="1:50" x14ac:dyDescent="0.2">
      <c r="A23" s="13" t="e">
        <v>#N/A</v>
      </c>
      <c r="B23" s="109" t="e">
        <v>#N/A</v>
      </c>
      <c r="C23" s="21" t="e">
        <v>#N/A</v>
      </c>
      <c r="D23" s="21" t="e">
        <v>#N/A</v>
      </c>
      <c r="E23" s="110" t="e">
        <v>#N/A</v>
      </c>
      <c r="F23" s="110" t="e">
        <v>#N/A</v>
      </c>
      <c r="G23" s="17" t="e">
        <v>#N/A</v>
      </c>
      <c r="H23" s="17" t="e">
        <v>#N/A</v>
      </c>
      <c r="I23" s="17" t="e">
        <v>#N/A</v>
      </c>
      <c r="J23" s="110" t="e">
        <v>#N/A</v>
      </c>
      <c r="K23" s="17" t="e">
        <v>#N/A</v>
      </c>
      <c r="L23" s="116" t="e">
        <v>#N/A</v>
      </c>
      <c r="M23" s="111" t="e">
        <v>#N/A</v>
      </c>
      <c r="N23" s="17" t="e">
        <v>#N/A</v>
      </c>
      <c r="O23" s="17" t="e">
        <v>#N/A</v>
      </c>
      <c r="P23" s="111" t="e">
        <v>#N/A</v>
      </c>
      <c r="Q23" s="17" t="e">
        <v>#N/A</v>
      </c>
      <c r="R23" s="17" t="e">
        <v>#N/A</v>
      </c>
      <c r="S23" s="17" t="e">
        <v>#N/A</v>
      </c>
      <c r="T23" s="17" t="e">
        <v>#N/A</v>
      </c>
      <c r="U23" s="71" t="e">
        <v>#N/A</v>
      </c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</row>
    <row r="24" spans="1:50" x14ac:dyDescent="0.2">
      <c r="A24" s="13" t="e">
        <v>#N/A</v>
      </c>
      <c r="B24" s="109" t="e">
        <v>#N/A</v>
      </c>
      <c r="C24" s="21" t="e">
        <v>#N/A</v>
      </c>
      <c r="D24" s="21" t="e">
        <v>#N/A</v>
      </c>
      <c r="E24" s="110" t="e">
        <v>#N/A</v>
      </c>
      <c r="F24" s="110" t="e">
        <v>#N/A</v>
      </c>
      <c r="G24" s="17" t="e">
        <v>#N/A</v>
      </c>
      <c r="H24" s="17" t="e">
        <v>#N/A</v>
      </c>
      <c r="I24" s="17" t="e">
        <v>#N/A</v>
      </c>
      <c r="J24" s="110" t="e">
        <v>#N/A</v>
      </c>
      <c r="K24" s="17" t="e">
        <v>#N/A</v>
      </c>
      <c r="L24" s="116" t="e">
        <v>#N/A</v>
      </c>
      <c r="M24" s="111" t="e">
        <v>#N/A</v>
      </c>
      <c r="N24" s="17" t="e">
        <v>#N/A</v>
      </c>
      <c r="O24" s="17" t="e">
        <v>#N/A</v>
      </c>
      <c r="P24" s="111" t="e">
        <v>#N/A</v>
      </c>
      <c r="Q24" s="17" t="e">
        <v>#N/A</v>
      </c>
      <c r="R24" s="17" t="e">
        <v>#N/A</v>
      </c>
      <c r="S24" s="17" t="e">
        <v>#N/A</v>
      </c>
      <c r="T24" s="17" t="e">
        <v>#N/A</v>
      </c>
      <c r="U24" s="71" t="e">
        <v>#N/A</v>
      </c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</row>
    <row r="25" spans="1:50" x14ac:dyDescent="0.2">
      <c r="A25" s="13" t="e">
        <v>#N/A</v>
      </c>
      <c r="B25" s="109" t="e">
        <v>#N/A</v>
      </c>
      <c r="C25" s="21" t="e">
        <v>#N/A</v>
      </c>
      <c r="D25" s="21" t="e">
        <v>#N/A</v>
      </c>
      <c r="E25" s="110" t="e">
        <v>#N/A</v>
      </c>
      <c r="F25" s="110" t="e">
        <v>#N/A</v>
      </c>
      <c r="G25" s="17" t="e">
        <v>#N/A</v>
      </c>
      <c r="H25" s="17" t="e">
        <v>#N/A</v>
      </c>
      <c r="I25" s="17" t="e">
        <v>#N/A</v>
      </c>
      <c r="J25" s="110" t="e">
        <v>#N/A</v>
      </c>
      <c r="K25" s="17" t="e">
        <v>#N/A</v>
      </c>
      <c r="L25" s="116" t="e">
        <v>#N/A</v>
      </c>
      <c r="M25" s="111" t="e">
        <v>#N/A</v>
      </c>
      <c r="N25" s="17" t="e">
        <v>#N/A</v>
      </c>
      <c r="O25" s="17" t="e">
        <v>#N/A</v>
      </c>
      <c r="P25" s="111" t="e">
        <v>#N/A</v>
      </c>
      <c r="Q25" s="17" t="e">
        <v>#N/A</v>
      </c>
      <c r="R25" s="17" t="e">
        <v>#N/A</v>
      </c>
      <c r="S25" s="17" t="e">
        <v>#N/A</v>
      </c>
      <c r="T25" s="17" t="e">
        <v>#N/A</v>
      </c>
      <c r="U25" s="71" t="e">
        <v>#N/A</v>
      </c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</row>
    <row r="26" spans="1:50" x14ac:dyDescent="0.2">
      <c r="A26" s="13" t="e">
        <v>#N/A</v>
      </c>
      <c r="B26" s="109" t="e">
        <v>#N/A</v>
      </c>
      <c r="C26" s="21" t="e">
        <v>#N/A</v>
      </c>
      <c r="D26" s="21" t="e">
        <v>#N/A</v>
      </c>
      <c r="E26" s="110" t="e">
        <v>#N/A</v>
      </c>
      <c r="F26" s="110" t="e">
        <v>#N/A</v>
      </c>
      <c r="G26" s="17" t="e">
        <v>#N/A</v>
      </c>
      <c r="H26" s="17" t="e">
        <v>#N/A</v>
      </c>
      <c r="I26" s="17" t="e">
        <v>#N/A</v>
      </c>
      <c r="J26" s="110" t="e">
        <v>#N/A</v>
      </c>
      <c r="K26" s="17" t="e">
        <v>#N/A</v>
      </c>
      <c r="L26" s="116" t="e">
        <v>#N/A</v>
      </c>
      <c r="M26" s="111" t="e">
        <v>#N/A</v>
      </c>
      <c r="N26" s="17" t="e">
        <v>#N/A</v>
      </c>
      <c r="O26" s="17" t="e">
        <v>#N/A</v>
      </c>
      <c r="P26" s="111" t="e">
        <v>#N/A</v>
      </c>
      <c r="Q26" s="17" t="e">
        <v>#N/A</v>
      </c>
      <c r="R26" s="17" t="e">
        <v>#N/A</v>
      </c>
      <c r="S26" s="17" t="e">
        <v>#N/A</v>
      </c>
      <c r="T26" s="17" t="e">
        <v>#N/A</v>
      </c>
      <c r="U26" s="71" t="e">
        <v>#N/A</v>
      </c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</row>
    <row r="27" spans="1:50" x14ac:dyDescent="0.2">
      <c r="A27" s="13" t="e">
        <v>#N/A</v>
      </c>
      <c r="B27" s="109" t="e">
        <v>#N/A</v>
      </c>
      <c r="C27" s="21" t="e">
        <v>#N/A</v>
      </c>
      <c r="D27" s="21" t="e">
        <v>#N/A</v>
      </c>
      <c r="E27" s="110" t="e">
        <v>#N/A</v>
      </c>
      <c r="F27" s="110" t="e">
        <v>#N/A</v>
      </c>
      <c r="G27" s="17" t="e">
        <v>#N/A</v>
      </c>
      <c r="H27" s="17" t="e">
        <v>#N/A</v>
      </c>
      <c r="I27" s="17" t="e">
        <v>#N/A</v>
      </c>
      <c r="J27" s="110" t="e">
        <v>#N/A</v>
      </c>
      <c r="K27" s="17" t="e">
        <v>#N/A</v>
      </c>
      <c r="L27" s="116" t="e">
        <v>#N/A</v>
      </c>
      <c r="M27" s="111" t="e">
        <v>#N/A</v>
      </c>
      <c r="N27" s="17" t="e">
        <v>#N/A</v>
      </c>
      <c r="O27" s="17" t="e">
        <v>#N/A</v>
      </c>
      <c r="P27" s="111" t="e">
        <v>#N/A</v>
      </c>
      <c r="Q27" s="17" t="e">
        <v>#N/A</v>
      </c>
      <c r="R27" s="17" t="e">
        <v>#N/A</v>
      </c>
      <c r="S27" s="17" t="e">
        <v>#N/A</v>
      </c>
      <c r="T27" s="17" t="e">
        <v>#N/A</v>
      </c>
      <c r="U27" s="71" t="e">
        <v>#N/A</v>
      </c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</row>
    <row r="28" spans="1:50" x14ac:dyDescent="0.2">
      <c r="A28" s="13" t="e">
        <v>#N/A</v>
      </c>
      <c r="B28" s="109" t="e">
        <v>#N/A</v>
      </c>
      <c r="C28" s="21" t="e">
        <v>#N/A</v>
      </c>
      <c r="D28" s="21" t="e">
        <v>#N/A</v>
      </c>
      <c r="E28" s="110" t="e">
        <v>#N/A</v>
      </c>
      <c r="F28" s="110" t="e">
        <v>#N/A</v>
      </c>
      <c r="G28" s="17" t="e">
        <v>#N/A</v>
      </c>
      <c r="H28" s="17" t="e">
        <v>#N/A</v>
      </c>
      <c r="I28" s="17" t="e">
        <v>#N/A</v>
      </c>
      <c r="J28" s="110" t="e">
        <v>#N/A</v>
      </c>
      <c r="K28" s="17" t="e">
        <v>#N/A</v>
      </c>
      <c r="L28" s="116" t="e">
        <v>#N/A</v>
      </c>
      <c r="M28" s="111" t="e">
        <v>#N/A</v>
      </c>
      <c r="N28" s="17" t="e">
        <v>#N/A</v>
      </c>
      <c r="O28" s="17" t="e">
        <v>#N/A</v>
      </c>
      <c r="P28" s="111" t="e">
        <v>#N/A</v>
      </c>
      <c r="Q28" s="17" t="e">
        <v>#N/A</v>
      </c>
      <c r="R28" s="17" t="e">
        <v>#N/A</v>
      </c>
      <c r="S28" s="17" t="e">
        <v>#N/A</v>
      </c>
      <c r="T28" s="17" t="e">
        <v>#N/A</v>
      </c>
      <c r="U28" s="71" t="e">
        <v>#N/A</v>
      </c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</row>
    <row r="29" spans="1:50" x14ac:dyDescent="0.2">
      <c r="A29" s="13" t="e">
        <v>#N/A</v>
      </c>
      <c r="B29" s="109" t="e">
        <v>#N/A</v>
      </c>
      <c r="C29" s="21" t="e">
        <v>#N/A</v>
      </c>
      <c r="D29" s="21" t="e">
        <v>#N/A</v>
      </c>
      <c r="E29" s="110" t="e">
        <v>#N/A</v>
      </c>
      <c r="F29" s="110" t="e">
        <v>#N/A</v>
      </c>
      <c r="G29" s="17" t="e">
        <v>#N/A</v>
      </c>
      <c r="H29" s="17" t="e">
        <v>#N/A</v>
      </c>
      <c r="I29" s="17" t="e">
        <v>#N/A</v>
      </c>
      <c r="J29" s="110" t="e">
        <v>#N/A</v>
      </c>
      <c r="K29" s="17" t="e">
        <v>#N/A</v>
      </c>
      <c r="L29" s="116" t="e">
        <v>#N/A</v>
      </c>
      <c r="M29" s="111" t="e">
        <v>#N/A</v>
      </c>
      <c r="N29" s="17" t="e">
        <v>#N/A</v>
      </c>
      <c r="O29" s="17" t="e">
        <v>#N/A</v>
      </c>
      <c r="P29" s="111" t="e">
        <v>#N/A</v>
      </c>
      <c r="Q29" s="17" t="e">
        <v>#N/A</v>
      </c>
      <c r="R29" s="17" t="e">
        <v>#N/A</v>
      </c>
      <c r="S29" s="17" t="e">
        <v>#N/A</v>
      </c>
      <c r="T29" s="17" t="e">
        <v>#N/A</v>
      </c>
      <c r="U29" s="71" t="e">
        <v>#N/A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</row>
    <row r="30" spans="1:50" x14ac:dyDescent="0.2">
      <c r="A30" s="13" t="e">
        <v>#N/A</v>
      </c>
      <c r="B30" s="109" t="e">
        <v>#N/A</v>
      </c>
      <c r="C30" s="21" t="e">
        <v>#N/A</v>
      </c>
      <c r="D30" s="21" t="e">
        <v>#N/A</v>
      </c>
      <c r="E30" s="110" t="e">
        <v>#N/A</v>
      </c>
      <c r="F30" s="110" t="e">
        <v>#N/A</v>
      </c>
      <c r="G30" s="17" t="e">
        <v>#N/A</v>
      </c>
      <c r="H30" s="17" t="e">
        <v>#N/A</v>
      </c>
      <c r="I30" s="17" t="e">
        <v>#N/A</v>
      </c>
      <c r="J30" s="110" t="e">
        <v>#N/A</v>
      </c>
      <c r="K30" s="17" t="e">
        <v>#N/A</v>
      </c>
      <c r="L30" s="116" t="e">
        <v>#N/A</v>
      </c>
      <c r="M30" s="111" t="e">
        <v>#N/A</v>
      </c>
      <c r="N30" s="17" t="e">
        <v>#N/A</v>
      </c>
      <c r="O30" s="17" t="e">
        <v>#N/A</v>
      </c>
      <c r="P30" s="111" t="e">
        <v>#N/A</v>
      </c>
      <c r="Q30" s="17" t="e">
        <v>#N/A</v>
      </c>
      <c r="R30" s="17" t="e">
        <v>#N/A</v>
      </c>
      <c r="S30" s="17" t="e">
        <v>#N/A</v>
      </c>
      <c r="T30" s="17" t="e">
        <v>#N/A</v>
      </c>
      <c r="U30" s="71" t="e">
        <v>#N/A</v>
      </c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</row>
    <row r="31" spans="1:50" x14ac:dyDescent="0.2">
      <c r="A31" s="13" t="e">
        <v>#N/A</v>
      </c>
      <c r="B31" s="109" t="e">
        <v>#N/A</v>
      </c>
      <c r="C31" s="21" t="e">
        <v>#N/A</v>
      </c>
      <c r="D31" s="21" t="e">
        <v>#N/A</v>
      </c>
      <c r="E31" s="110" t="e">
        <v>#N/A</v>
      </c>
      <c r="F31" s="110" t="e">
        <v>#N/A</v>
      </c>
      <c r="G31" s="17" t="e">
        <v>#N/A</v>
      </c>
      <c r="H31" s="17" t="e">
        <v>#N/A</v>
      </c>
      <c r="I31" s="17" t="e">
        <v>#N/A</v>
      </c>
      <c r="J31" s="110" t="e">
        <v>#N/A</v>
      </c>
      <c r="K31" s="17" t="e">
        <v>#N/A</v>
      </c>
      <c r="L31" s="116" t="e">
        <v>#N/A</v>
      </c>
      <c r="M31" s="111" t="e">
        <v>#N/A</v>
      </c>
      <c r="N31" s="17" t="e">
        <v>#N/A</v>
      </c>
      <c r="O31" s="17" t="e">
        <v>#N/A</v>
      </c>
      <c r="P31" s="111" t="e">
        <v>#N/A</v>
      </c>
      <c r="Q31" s="17" t="e">
        <v>#N/A</v>
      </c>
      <c r="R31" s="17" t="e">
        <v>#N/A</v>
      </c>
      <c r="S31" s="17" t="e">
        <v>#N/A</v>
      </c>
      <c r="T31" s="17" t="e">
        <v>#N/A</v>
      </c>
      <c r="U31" s="71" t="e">
        <v>#N/A</v>
      </c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</row>
    <row r="32" spans="1:50" x14ac:dyDescent="0.2">
      <c r="A32" s="13" t="e">
        <v>#N/A</v>
      </c>
      <c r="B32" s="109" t="e">
        <v>#N/A</v>
      </c>
      <c r="C32" s="21" t="e">
        <v>#N/A</v>
      </c>
      <c r="D32" s="21" t="e">
        <v>#N/A</v>
      </c>
      <c r="E32" s="110" t="e">
        <v>#N/A</v>
      </c>
      <c r="F32" s="110" t="e">
        <v>#N/A</v>
      </c>
      <c r="G32" s="17" t="e">
        <v>#N/A</v>
      </c>
      <c r="H32" s="17" t="e">
        <v>#N/A</v>
      </c>
      <c r="I32" s="17" t="e">
        <v>#N/A</v>
      </c>
      <c r="J32" s="110" t="e">
        <v>#N/A</v>
      </c>
      <c r="K32" s="17" t="e">
        <v>#N/A</v>
      </c>
      <c r="L32" s="116" t="e">
        <v>#N/A</v>
      </c>
      <c r="M32" s="111" t="e">
        <v>#N/A</v>
      </c>
      <c r="N32" s="17" t="e">
        <v>#N/A</v>
      </c>
      <c r="O32" s="17" t="e">
        <v>#N/A</v>
      </c>
      <c r="P32" s="111" t="e">
        <v>#N/A</v>
      </c>
      <c r="Q32" s="17" t="e">
        <v>#N/A</v>
      </c>
      <c r="R32" s="17" t="e">
        <v>#N/A</v>
      </c>
      <c r="S32" s="17" t="e">
        <v>#N/A</v>
      </c>
      <c r="T32" s="17" t="e">
        <v>#N/A</v>
      </c>
      <c r="U32" s="71" t="e">
        <v>#N/A</v>
      </c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</row>
    <row r="33" spans="1:50" x14ac:dyDescent="0.2">
      <c r="A33" s="13" t="e">
        <v>#N/A</v>
      </c>
      <c r="B33" s="109" t="e">
        <v>#N/A</v>
      </c>
      <c r="C33" s="21" t="e">
        <v>#N/A</v>
      </c>
      <c r="D33" s="21" t="e">
        <v>#N/A</v>
      </c>
      <c r="E33" s="110" t="e">
        <v>#N/A</v>
      </c>
      <c r="F33" s="110" t="e">
        <v>#N/A</v>
      </c>
      <c r="G33" s="17" t="e">
        <v>#N/A</v>
      </c>
      <c r="H33" s="17" t="e">
        <v>#N/A</v>
      </c>
      <c r="I33" s="17" t="e">
        <v>#N/A</v>
      </c>
      <c r="J33" s="110" t="e">
        <v>#N/A</v>
      </c>
      <c r="K33" s="17" t="e">
        <v>#N/A</v>
      </c>
      <c r="L33" s="116" t="e">
        <v>#N/A</v>
      </c>
      <c r="M33" s="111" t="e">
        <v>#N/A</v>
      </c>
      <c r="N33" s="17" t="e">
        <v>#N/A</v>
      </c>
      <c r="O33" s="17" t="e">
        <v>#N/A</v>
      </c>
      <c r="P33" s="111" t="e">
        <v>#N/A</v>
      </c>
      <c r="Q33" s="17" t="e">
        <v>#N/A</v>
      </c>
      <c r="R33" s="17" t="e">
        <v>#N/A</v>
      </c>
      <c r="S33" s="17" t="e">
        <v>#N/A</v>
      </c>
      <c r="T33" s="17" t="e">
        <v>#N/A</v>
      </c>
      <c r="U33" s="71" t="e">
        <v>#N/A</v>
      </c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</row>
    <row r="34" spans="1:50" x14ac:dyDescent="0.2">
      <c r="A34" s="13" t="e">
        <v>#N/A</v>
      </c>
      <c r="B34" s="109" t="e">
        <v>#N/A</v>
      </c>
      <c r="C34" s="21" t="e">
        <v>#N/A</v>
      </c>
      <c r="D34" s="21" t="e">
        <v>#N/A</v>
      </c>
      <c r="E34" s="110" t="e">
        <v>#N/A</v>
      </c>
      <c r="F34" s="110" t="e">
        <v>#N/A</v>
      </c>
      <c r="G34" s="17" t="e">
        <v>#N/A</v>
      </c>
      <c r="H34" s="17" t="e">
        <v>#N/A</v>
      </c>
      <c r="I34" s="17" t="e">
        <v>#N/A</v>
      </c>
      <c r="J34" s="110" t="e">
        <v>#N/A</v>
      </c>
      <c r="K34" s="17" t="e">
        <v>#N/A</v>
      </c>
      <c r="L34" s="116" t="e">
        <v>#N/A</v>
      </c>
      <c r="M34" s="111" t="e">
        <v>#N/A</v>
      </c>
      <c r="N34" s="17" t="e">
        <v>#N/A</v>
      </c>
      <c r="O34" s="17" t="e">
        <v>#N/A</v>
      </c>
      <c r="P34" s="111" t="e">
        <v>#N/A</v>
      </c>
      <c r="Q34" s="17" t="e">
        <v>#N/A</v>
      </c>
      <c r="R34" s="17" t="e">
        <v>#N/A</v>
      </c>
      <c r="S34" s="17" t="e">
        <v>#N/A</v>
      </c>
      <c r="T34" s="17" t="e">
        <v>#N/A</v>
      </c>
      <c r="U34" s="71" t="e">
        <v>#N/A</v>
      </c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</row>
    <row r="35" spans="1:50" x14ac:dyDescent="0.2">
      <c r="A35" s="13" t="e">
        <v>#N/A</v>
      </c>
      <c r="B35" s="109" t="e">
        <v>#N/A</v>
      </c>
      <c r="C35" s="21" t="e">
        <v>#N/A</v>
      </c>
      <c r="D35" s="21" t="e">
        <v>#N/A</v>
      </c>
      <c r="E35" s="110" t="e">
        <v>#N/A</v>
      </c>
      <c r="F35" s="110" t="e">
        <v>#N/A</v>
      </c>
      <c r="G35" s="17" t="e">
        <v>#N/A</v>
      </c>
      <c r="H35" s="17" t="e">
        <v>#N/A</v>
      </c>
      <c r="I35" s="17" t="e">
        <v>#N/A</v>
      </c>
      <c r="J35" s="110" t="e">
        <v>#N/A</v>
      </c>
      <c r="K35" s="17" t="e">
        <v>#N/A</v>
      </c>
      <c r="L35" s="116" t="e">
        <v>#N/A</v>
      </c>
      <c r="M35" s="111" t="e">
        <v>#N/A</v>
      </c>
      <c r="N35" s="17" t="e">
        <v>#N/A</v>
      </c>
      <c r="O35" s="17" t="e">
        <v>#N/A</v>
      </c>
      <c r="P35" s="111" t="e">
        <v>#N/A</v>
      </c>
      <c r="Q35" s="17" t="e">
        <v>#N/A</v>
      </c>
      <c r="R35" s="17" t="e">
        <v>#N/A</v>
      </c>
      <c r="S35" s="17" t="e">
        <v>#N/A</v>
      </c>
      <c r="T35" s="17" t="e">
        <v>#N/A</v>
      </c>
      <c r="U35" s="71" t="e">
        <v>#N/A</v>
      </c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</row>
    <row r="36" spans="1:50" x14ac:dyDescent="0.2">
      <c r="A36" s="13" t="e">
        <v>#N/A</v>
      </c>
      <c r="B36" s="109" t="e">
        <v>#N/A</v>
      </c>
      <c r="C36" s="21" t="e">
        <v>#N/A</v>
      </c>
      <c r="D36" s="21" t="e">
        <v>#N/A</v>
      </c>
      <c r="E36" s="110" t="e">
        <v>#N/A</v>
      </c>
      <c r="F36" s="110" t="e">
        <v>#N/A</v>
      </c>
      <c r="G36" s="17" t="e">
        <v>#N/A</v>
      </c>
      <c r="H36" s="17" t="e">
        <v>#N/A</v>
      </c>
      <c r="I36" s="17" t="e">
        <v>#N/A</v>
      </c>
      <c r="J36" s="110" t="e">
        <v>#N/A</v>
      </c>
      <c r="K36" s="17" t="e">
        <v>#N/A</v>
      </c>
      <c r="L36" s="116" t="e">
        <v>#N/A</v>
      </c>
      <c r="M36" s="111" t="e">
        <v>#N/A</v>
      </c>
      <c r="N36" s="17" t="e">
        <v>#N/A</v>
      </c>
      <c r="O36" s="17" t="e">
        <v>#N/A</v>
      </c>
      <c r="P36" s="111" t="e">
        <v>#N/A</v>
      </c>
      <c r="Q36" s="17" t="e">
        <v>#N/A</v>
      </c>
      <c r="R36" s="17" t="e">
        <v>#N/A</v>
      </c>
      <c r="S36" s="17" t="e">
        <v>#N/A</v>
      </c>
      <c r="T36" s="17" t="e">
        <v>#N/A</v>
      </c>
      <c r="U36" s="71" t="e">
        <v>#N/A</v>
      </c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</row>
    <row r="37" spans="1:50" x14ac:dyDescent="0.2">
      <c r="A37" s="13" t="e">
        <v>#N/A</v>
      </c>
      <c r="B37" s="109" t="e">
        <v>#N/A</v>
      </c>
      <c r="C37" s="21" t="e">
        <v>#N/A</v>
      </c>
      <c r="D37" s="21" t="e">
        <v>#N/A</v>
      </c>
      <c r="E37" s="110" t="e">
        <v>#N/A</v>
      </c>
      <c r="F37" s="110" t="e">
        <v>#N/A</v>
      </c>
      <c r="G37" s="17" t="e">
        <v>#N/A</v>
      </c>
      <c r="H37" s="17" t="e">
        <v>#N/A</v>
      </c>
      <c r="I37" s="17" t="e">
        <v>#N/A</v>
      </c>
      <c r="J37" s="110" t="e">
        <v>#N/A</v>
      </c>
      <c r="K37" s="17" t="e">
        <v>#N/A</v>
      </c>
      <c r="L37" s="116" t="e">
        <v>#N/A</v>
      </c>
      <c r="M37" s="111" t="e">
        <v>#N/A</v>
      </c>
      <c r="N37" s="17" t="e">
        <v>#N/A</v>
      </c>
      <c r="O37" s="17" t="e">
        <v>#N/A</v>
      </c>
      <c r="P37" s="111" t="e">
        <v>#N/A</v>
      </c>
      <c r="Q37" s="17" t="e">
        <v>#N/A</v>
      </c>
      <c r="R37" s="17" t="e">
        <v>#N/A</v>
      </c>
      <c r="S37" s="17" t="e">
        <v>#N/A</v>
      </c>
      <c r="T37" s="17" t="e">
        <v>#N/A</v>
      </c>
      <c r="U37" s="71" t="e">
        <v>#N/A</v>
      </c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</row>
    <row r="38" spans="1:50" x14ac:dyDescent="0.2">
      <c r="A38" s="13" t="e">
        <v>#N/A</v>
      </c>
      <c r="B38" s="109" t="e">
        <v>#N/A</v>
      </c>
      <c r="C38" s="21" t="e">
        <v>#N/A</v>
      </c>
      <c r="D38" s="21" t="e">
        <v>#N/A</v>
      </c>
      <c r="E38" s="110" t="e">
        <v>#N/A</v>
      </c>
      <c r="F38" s="110" t="e">
        <v>#N/A</v>
      </c>
      <c r="G38" s="17" t="e">
        <v>#N/A</v>
      </c>
      <c r="H38" s="17" t="e">
        <v>#N/A</v>
      </c>
      <c r="I38" s="17" t="e">
        <v>#N/A</v>
      </c>
      <c r="J38" s="110" t="e">
        <v>#N/A</v>
      </c>
      <c r="K38" s="17" t="e">
        <v>#N/A</v>
      </c>
      <c r="L38" s="116" t="e">
        <v>#N/A</v>
      </c>
      <c r="M38" s="111" t="e">
        <v>#N/A</v>
      </c>
      <c r="N38" s="17" t="e">
        <v>#N/A</v>
      </c>
      <c r="O38" s="17" t="e">
        <v>#N/A</v>
      </c>
      <c r="P38" s="111" t="e">
        <v>#N/A</v>
      </c>
      <c r="Q38" s="17" t="e">
        <v>#N/A</v>
      </c>
      <c r="R38" s="17" t="e">
        <v>#N/A</v>
      </c>
      <c r="S38" s="17" t="e">
        <v>#N/A</v>
      </c>
      <c r="T38" s="17" t="e">
        <v>#N/A</v>
      </c>
      <c r="U38" s="71" t="e">
        <v>#N/A</v>
      </c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</row>
    <row r="39" spans="1:50" x14ac:dyDescent="0.2">
      <c r="A39" s="13" t="e">
        <v>#N/A</v>
      </c>
      <c r="B39" s="109" t="e">
        <v>#N/A</v>
      </c>
      <c r="C39" s="21" t="e">
        <v>#N/A</v>
      </c>
      <c r="D39" s="21" t="e">
        <v>#N/A</v>
      </c>
      <c r="E39" s="110" t="e">
        <v>#N/A</v>
      </c>
      <c r="F39" s="110" t="e">
        <v>#N/A</v>
      </c>
      <c r="G39" s="17" t="e">
        <v>#N/A</v>
      </c>
      <c r="H39" s="17" t="e">
        <v>#N/A</v>
      </c>
      <c r="I39" s="17" t="e">
        <v>#N/A</v>
      </c>
      <c r="J39" s="110" t="e">
        <v>#N/A</v>
      </c>
      <c r="K39" s="17" t="e">
        <v>#N/A</v>
      </c>
      <c r="L39" s="116" t="e">
        <v>#N/A</v>
      </c>
      <c r="M39" s="111" t="e">
        <v>#N/A</v>
      </c>
      <c r="N39" s="17" t="e">
        <v>#N/A</v>
      </c>
      <c r="O39" s="17" t="e">
        <v>#N/A</v>
      </c>
      <c r="P39" s="111" t="e">
        <v>#N/A</v>
      </c>
      <c r="Q39" s="17" t="e">
        <v>#N/A</v>
      </c>
      <c r="R39" s="17" t="e">
        <v>#N/A</v>
      </c>
      <c r="S39" s="17" t="e">
        <v>#N/A</v>
      </c>
      <c r="T39" s="17" t="e">
        <v>#N/A</v>
      </c>
      <c r="U39" s="71" t="e">
        <v>#N/A</v>
      </c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</row>
    <row r="40" spans="1:50" x14ac:dyDescent="0.2">
      <c r="A40" s="13" t="e">
        <v>#N/A</v>
      </c>
      <c r="B40" s="109" t="e">
        <v>#N/A</v>
      </c>
      <c r="C40" s="21" t="e">
        <v>#N/A</v>
      </c>
      <c r="D40" s="21" t="e">
        <v>#N/A</v>
      </c>
      <c r="E40" s="110" t="e">
        <v>#N/A</v>
      </c>
      <c r="F40" s="110" t="e">
        <v>#N/A</v>
      </c>
      <c r="G40" s="17" t="e">
        <v>#N/A</v>
      </c>
      <c r="H40" s="17" t="e">
        <v>#N/A</v>
      </c>
      <c r="I40" s="17" t="e">
        <v>#N/A</v>
      </c>
      <c r="J40" s="110" t="e">
        <v>#N/A</v>
      </c>
      <c r="K40" s="17" t="e">
        <v>#N/A</v>
      </c>
      <c r="L40" s="116" t="e">
        <v>#N/A</v>
      </c>
      <c r="M40" s="111" t="e">
        <v>#N/A</v>
      </c>
      <c r="N40" s="17" t="e">
        <v>#N/A</v>
      </c>
      <c r="O40" s="17" t="e">
        <v>#N/A</v>
      </c>
      <c r="P40" s="111" t="e">
        <v>#N/A</v>
      </c>
      <c r="Q40" s="17" t="e">
        <v>#N/A</v>
      </c>
      <c r="R40" s="17" t="e">
        <v>#N/A</v>
      </c>
      <c r="S40" s="17" t="e">
        <v>#N/A</v>
      </c>
      <c r="T40" s="17" t="e">
        <v>#N/A</v>
      </c>
      <c r="U40" s="71" t="e">
        <v>#N/A</v>
      </c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</row>
    <row r="41" spans="1:50" x14ac:dyDescent="0.2">
      <c r="A41" s="13" t="e">
        <v>#N/A</v>
      </c>
      <c r="B41" s="109" t="e">
        <v>#N/A</v>
      </c>
      <c r="C41" s="21" t="e">
        <v>#N/A</v>
      </c>
      <c r="D41" s="21" t="e">
        <v>#N/A</v>
      </c>
      <c r="E41" s="110" t="e">
        <v>#N/A</v>
      </c>
      <c r="F41" s="110" t="e">
        <v>#N/A</v>
      </c>
      <c r="G41" s="17" t="e">
        <v>#N/A</v>
      </c>
      <c r="H41" s="17" t="e">
        <v>#N/A</v>
      </c>
      <c r="I41" s="17" t="e">
        <v>#N/A</v>
      </c>
      <c r="J41" s="110" t="e">
        <v>#N/A</v>
      </c>
      <c r="K41" s="17" t="e">
        <v>#N/A</v>
      </c>
      <c r="L41" s="116" t="e">
        <v>#N/A</v>
      </c>
      <c r="M41" s="111" t="e">
        <v>#N/A</v>
      </c>
      <c r="N41" s="17" t="e">
        <v>#N/A</v>
      </c>
      <c r="O41" s="17" t="e">
        <v>#N/A</v>
      </c>
      <c r="P41" s="111" t="e">
        <v>#N/A</v>
      </c>
      <c r="Q41" s="17" t="e">
        <v>#N/A</v>
      </c>
      <c r="R41" s="17" t="e">
        <v>#N/A</v>
      </c>
      <c r="S41" s="17" t="e">
        <v>#N/A</v>
      </c>
      <c r="T41" s="17" t="e">
        <v>#N/A</v>
      </c>
      <c r="U41" s="71" t="e">
        <v>#N/A</v>
      </c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</row>
    <row r="42" spans="1:50" x14ac:dyDescent="0.2">
      <c r="A42" s="13" t="e">
        <v>#N/A</v>
      </c>
      <c r="B42" s="109" t="e">
        <v>#N/A</v>
      </c>
      <c r="C42" s="21" t="e">
        <v>#N/A</v>
      </c>
      <c r="D42" s="21" t="e">
        <v>#N/A</v>
      </c>
      <c r="E42" s="110" t="e">
        <v>#N/A</v>
      </c>
      <c r="F42" s="110" t="e">
        <v>#N/A</v>
      </c>
      <c r="G42" s="17" t="e">
        <v>#N/A</v>
      </c>
      <c r="H42" s="17" t="e">
        <v>#N/A</v>
      </c>
      <c r="I42" s="17" t="e">
        <v>#N/A</v>
      </c>
      <c r="J42" s="110" t="e">
        <v>#N/A</v>
      </c>
      <c r="K42" s="17" t="e">
        <v>#N/A</v>
      </c>
      <c r="L42" s="116" t="e">
        <v>#N/A</v>
      </c>
      <c r="M42" s="111" t="e">
        <v>#N/A</v>
      </c>
      <c r="N42" s="17" t="e">
        <v>#N/A</v>
      </c>
      <c r="O42" s="17" t="e">
        <v>#N/A</v>
      </c>
      <c r="P42" s="111" t="e">
        <v>#N/A</v>
      </c>
      <c r="Q42" s="17" t="e">
        <v>#N/A</v>
      </c>
      <c r="R42" s="17" t="e">
        <v>#N/A</v>
      </c>
      <c r="S42" s="17" t="e">
        <v>#N/A</v>
      </c>
      <c r="T42" s="17" t="e">
        <v>#N/A</v>
      </c>
      <c r="U42" s="71" t="e">
        <v>#N/A</v>
      </c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</row>
    <row r="43" spans="1:50" x14ac:dyDescent="0.2">
      <c r="A43" s="13" t="e">
        <v>#N/A</v>
      </c>
      <c r="B43" s="109" t="e">
        <v>#N/A</v>
      </c>
      <c r="C43" s="21" t="e">
        <v>#N/A</v>
      </c>
      <c r="D43" s="21" t="e">
        <v>#N/A</v>
      </c>
      <c r="E43" s="110" t="e">
        <v>#N/A</v>
      </c>
      <c r="F43" s="110" t="e">
        <v>#N/A</v>
      </c>
      <c r="G43" s="17" t="e">
        <v>#N/A</v>
      </c>
      <c r="H43" s="17" t="e">
        <v>#N/A</v>
      </c>
      <c r="I43" s="17" t="e">
        <v>#N/A</v>
      </c>
      <c r="J43" s="110" t="e">
        <v>#N/A</v>
      </c>
      <c r="K43" s="17" t="e">
        <v>#N/A</v>
      </c>
      <c r="L43" s="116" t="e">
        <v>#N/A</v>
      </c>
      <c r="M43" s="111" t="e">
        <v>#N/A</v>
      </c>
      <c r="N43" s="17" t="e">
        <v>#N/A</v>
      </c>
      <c r="O43" s="17" t="e">
        <v>#N/A</v>
      </c>
      <c r="P43" s="111" t="e">
        <v>#N/A</v>
      </c>
      <c r="Q43" s="17" t="e">
        <v>#N/A</v>
      </c>
      <c r="R43" s="17" t="e">
        <v>#N/A</v>
      </c>
      <c r="S43" s="17" t="e">
        <v>#N/A</v>
      </c>
      <c r="T43" s="17" t="e">
        <v>#N/A</v>
      </c>
      <c r="U43" s="71" t="e">
        <v>#N/A</v>
      </c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</row>
    <row r="44" spans="1:50" x14ac:dyDescent="0.2">
      <c r="A44" s="13" t="e">
        <v>#N/A</v>
      </c>
      <c r="B44" s="109" t="e">
        <v>#N/A</v>
      </c>
      <c r="C44" s="21" t="e">
        <v>#N/A</v>
      </c>
      <c r="D44" s="21" t="e">
        <v>#N/A</v>
      </c>
      <c r="E44" s="110" t="e">
        <v>#N/A</v>
      </c>
      <c r="F44" s="110" t="e">
        <v>#N/A</v>
      </c>
      <c r="G44" s="17" t="e">
        <v>#N/A</v>
      </c>
      <c r="H44" s="17" t="e">
        <v>#N/A</v>
      </c>
      <c r="I44" s="17" t="e">
        <v>#N/A</v>
      </c>
      <c r="J44" s="110" t="e">
        <v>#N/A</v>
      </c>
      <c r="K44" s="17" t="e">
        <v>#N/A</v>
      </c>
      <c r="L44" s="116" t="e">
        <v>#N/A</v>
      </c>
      <c r="M44" s="111" t="e">
        <v>#N/A</v>
      </c>
      <c r="N44" s="17" t="e">
        <v>#N/A</v>
      </c>
      <c r="O44" s="17" t="e">
        <v>#N/A</v>
      </c>
      <c r="P44" s="111" t="e">
        <v>#N/A</v>
      </c>
      <c r="Q44" s="17" t="e">
        <v>#N/A</v>
      </c>
      <c r="R44" s="17" t="e">
        <v>#N/A</v>
      </c>
      <c r="S44" s="17" t="e">
        <v>#N/A</v>
      </c>
      <c r="T44" s="17" t="e">
        <v>#N/A</v>
      </c>
      <c r="U44" s="71" t="e">
        <v>#N/A</v>
      </c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</row>
    <row r="45" spans="1:50" x14ac:dyDescent="0.2">
      <c r="A45" s="13" t="e">
        <v>#N/A</v>
      </c>
      <c r="B45" s="109" t="e">
        <v>#N/A</v>
      </c>
      <c r="C45" s="21" t="e">
        <v>#N/A</v>
      </c>
      <c r="D45" s="21" t="e">
        <v>#N/A</v>
      </c>
      <c r="E45" s="110" t="e">
        <v>#N/A</v>
      </c>
      <c r="F45" s="110" t="e">
        <v>#N/A</v>
      </c>
      <c r="G45" s="17" t="e">
        <v>#N/A</v>
      </c>
      <c r="H45" s="17" t="e">
        <v>#N/A</v>
      </c>
      <c r="I45" s="17" t="e">
        <v>#N/A</v>
      </c>
      <c r="J45" s="110" t="e">
        <v>#N/A</v>
      </c>
      <c r="K45" s="17" t="e">
        <v>#N/A</v>
      </c>
      <c r="L45" s="116" t="e">
        <v>#N/A</v>
      </c>
      <c r="M45" s="111" t="e">
        <v>#N/A</v>
      </c>
      <c r="N45" s="17" t="e">
        <v>#N/A</v>
      </c>
      <c r="O45" s="17" t="e">
        <v>#N/A</v>
      </c>
      <c r="P45" s="111" t="e">
        <v>#N/A</v>
      </c>
      <c r="Q45" s="17" t="e">
        <v>#N/A</v>
      </c>
      <c r="R45" s="17" t="e">
        <v>#N/A</v>
      </c>
      <c r="S45" s="17" t="e">
        <v>#N/A</v>
      </c>
      <c r="T45" s="17" t="e">
        <v>#N/A</v>
      </c>
      <c r="U45" s="71" t="e">
        <v>#N/A</v>
      </c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</row>
    <row r="46" spans="1:50" x14ac:dyDescent="0.2">
      <c r="A46" s="13" t="e">
        <v>#N/A</v>
      </c>
      <c r="B46" s="109" t="e">
        <v>#N/A</v>
      </c>
      <c r="C46" s="21" t="e">
        <v>#N/A</v>
      </c>
      <c r="D46" s="21" t="e">
        <v>#N/A</v>
      </c>
      <c r="E46" s="110" t="e">
        <v>#N/A</v>
      </c>
      <c r="F46" s="110" t="e">
        <v>#N/A</v>
      </c>
      <c r="G46" s="17" t="e">
        <v>#N/A</v>
      </c>
      <c r="H46" s="17" t="e">
        <v>#N/A</v>
      </c>
      <c r="I46" s="17" t="e">
        <v>#N/A</v>
      </c>
      <c r="J46" s="110" t="e">
        <v>#N/A</v>
      </c>
      <c r="K46" s="17" t="e">
        <v>#N/A</v>
      </c>
      <c r="L46" s="116" t="e">
        <v>#N/A</v>
      </c>
      <c r="M46" s="111" t="e">
        <v>#N/A</v>
      </c>
      <c r="N46" s="17" t="e">
        <v>#N/A</v>
      </c>
      <c r="O46" s="17" t="e">
        <v>#N/A</v>
      </c>
      <c r="P46" s="111" t="e">
        <v>#N/A</v>
      </c>
      <c r="Q46" s="17" t="e">
        <v>#N/A</v>
      </c>
      <c r="R46" s="17" t="e">
        <v>#N/A</v>
      </c>
      <c r="S46" s="17" t="e">
        <v>#N/A</v>
      </c>
      <c r="T46" s="17" t="e">
        <v>#N/A</v>
      </c>
      <c r="U46" s="71" t="e">
        <v>#N/A</v>
      </c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</row>
    <row r="47" spans="1:50" x14ac:dyDescent="0.2">
      <c r="A47" s="13" t="e">
        <v>#N/A</v>
      </c>
      <c r="B47" s="109" t="e">
        <v>#N/A</v>
      </c>
      <c r="C47" s="21" t="e">
        <v>#N/A</v>
      </c>
      <c r="D47" s="21" t="e">
        <v>#N/A</v>
      </c>
      <c r="E47" s="110" t="e">
        <v>#N/A</v>
      </c>
      <c r="F47" s="110" t="e">
        <v>#N/A</v>
      </c>
      <c r="G47" s="17" t="e">
        <v>#N/A</v>
      </c>
      <c r="H47" s="17" t="e">
        <v>#N/A</v>
      </c>
      <c r="I47" s="17" t="e">
        <v>#N/A</v>
      </c>
      <c r="J47" s="110" t="e">
        <v>#N/A</v>
      </c>
      <c r="K47" s="17" t="e">
        <v>#N/A</v>
      </c>
      <c r="L47" s="116" t="e">
        <v>#N/A</v>
      </c>
      <c r="M47" s="111" t="e">
        <v>#N/A</v>
      </c>
      <c r="N47" s="17" t="e">
        <v>#N/A</v>
      </c>
      <c r="O47" s="17" t="e">
        <v>#N/A</v>
      </c>
      <c r="P47" s="111" t="e">
        <v>#N/A</v>
      </c>
      <c r="Q47" s="17" t="e">
        <v>#N/A</v>
      </c>
      <c r="R47" s="17" t="e">
        <v>#N/A</v>
      </c>
      <c r="S47" s="17" t="e">
        <v>#N/A</v>
      </c>
      <c r="T47" s="17" t="e">
        <v>#N/A</v>
      </c>
      <c r="U47" s="71" t="e">
        <v>#N/A</v>
      </c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</row>
    <row r="48" spans="1:50" x14ac:dyDescent="0.2">
      <c r="A48" s="13" t="e">
        <v>#N/A</v>
      </c>
      <c r="B48" s="109" t="e">
        <v>#N/A</v>
      </c>
      <c r="C48" s="21" t="e">
        <v>#N/A</v>
      </c>
      <c r="D48" s="21" t="e">
        <v>#N/A</v>
      </c>
      <c r="E48" s="110" t="e">
        <v>#N/A</v>
      </c>
      <c r="F48" s="110" t="e">
        <v>#N/A</v>
      </c>
      <c r="G48" s="17" t="e">
        <v>#N/A</v>
      </c>
      <c r="H48" s="17" t="e">
        <v>#N/A</v>
      </c>
      <c r="I48" s="17" t="e">
        <v>#N/A</v>
      </c>
      <c r="J48" s="110" t="e">
        <v>#N/A</v>
      </c>
      <c r="K48" s="17" t="e">
        <v>#N/A</v>
      </c>
      <c r="L48" s="116" t="e">
        <v>#N/A</v>
      </c>
      <c r="M48" s="111" t="e">
        <v>#N/A</v>
      </c>
      <c r="N48" s="17" t="e">
        <v>#N/A</v>
      </c>
      <c r="O48" s="17" t="e">
        <v>#N/A</v>
      </c>
      <c r="P48" s="111" t="e">
        <v>#N/A</v>
      </c>
      <c r="Q48" s="17" t="e">
        <v>#N/A</v>
      </c>
      <c r="R48" s="17" t="e">
        <v>#N/A</v>
      </c>
      <c r="S48" s="17" t="e">
        <v>#N/A</v>
      </c>
      <c r="T48" s="17" t="e">
        <v>#N/A</v>
      </c>
      <c r="U48" s="71" t="e">
        <v>#N/A</v>
      </c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</row>
    <row r="49" spans="1:50" x14ac:dyDescent="0.2">
      <c r="A49" s="13" t="e">
        <v>#N/A</v>
      </c>
      <c r="B49" s="109" t="e">
        <v>#N/A</v>
      </c>
      <c r="C49" s="21" t="e">
        <v>#N/A</v>
      </c>
      <c r="D49" s="21" t="e">
        <v>#N/A</v>
      </c>
      <c r="E49" s="110" t="e">
        <v>#N/A</v>
      </c>
      <c r="F49" s="110" t="e">
        <v>#N/A</v>
      </c>
      <c r="G49" s="17" t="e">
        <v>#N/A</v>
      </c>
      <c r="H49" s="17" t="e">
        <v>#N/A</v>
      </c>
      <c r="I49" s="17" t="e">
        <v>#N/A</v>
      </c>
      <c r="J49" s="110" t="e">
        <v>#N/A</v>
      </c>
      <c r="K49" s="17" t="e">
        <v>#N/A</v>
      </c>
      <c r="L49" s="116" t="e">
        <v>#N/A</v>
      </c>
      <c r="M49" s="111" t="e">
        <v>#N/A</v>
      </c>
      <c r="N49" s="17" t="e">
        <v>#N/A</v>
      </c>
      <c r="O49" s="17" t="e">
        <v>#N/A</v>
      </c>
      <c r="P49" s="111" t="e">
        <v>#N/A</v>
      </c>
      <c r="Q49" s="17" t="e">
        <v>#N/A</v>
      </c>
      <c r="R49" s="17" t="e">
        <v>#N/A</v>
      </c>
      <c r="S49" s="17" t="e">
        <v>#N/A</v>
      </c>
      <c r="T49" s="17" t="e">
        <v>#N/A</v>
      </c>
      <c r="U49" s="71" t="e">
        <v>#N/A</v>
      </c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</row>
    <row r="50" spans="1:50" x14ac:dyDescent="0.2">
      <c r="A50" s="13" t="e">
        <v>#N/A</v>
      </c>
      <c r="B50" s="109" t="e">
        <v>#N/A</v>
      </c>
      <c r="C50" s="21" t="e">
        <v>#N/A</v>
      </c>
      <c r="D50" s="21" t="e">
        <v>#N/A</v>
      </c>
      <c r="E50" s="110" t="e">
        <v>#N/A</v>
      </c>
      <c r="F50" s="110" t="e">
        <v>#N/A</v>
      </c>
      <c r="G50" s="17" t="e">
        <v>#N/A</v>
      </c>
      <c r="H50" s="17" t="e">
        <v>#N/A</v>
      </c>
      <c r="I50" s="17" t="e">
        <v>#N/A</v>
      </c>
      <c r="J50" s="110" t="e">
        <v>#N/A</v>
      </c>
      <c r="K50" s="17" t="e">
        <v>#N/A</v>
      </c>
      <c r="L50" s="116" t="e">
        <v>#N/A</v>
      </c>
      <c r="M50" s="111" t="e">
        <v>#N/A</v>
      </c>
      <c r="N50" s="17" t="e">
        <v>#N/A</v>
      </c>
      <c r="O50" s="17" t="e">
        <v>#N/A</v>
      </c>
      <c r="P50" s="111" t="e">
        <v>#N/A</v>
      </c>
      <c r="Q50" s="17" t="e">
        <v>#N/A</v>
      </c>
      <c r="R50" s="17" t="e">
        <v>#N/A</v>
      </c>
      <c r="S50" s="17" t="e">
        <v>#N/A</v>
      </c>
      <c r="T50" s="17" t="e">
        <v>#N/A</v>
      </c>
      <c r="U50" s="71" t="e">
        <v>#N/A</v>
      </c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</row>
    <row r="51" spans="1:50" x14ac:dyDescent="0.2">
      <c r="A51" s="13" t="e">
        <v>#N/A</v>
      </c>
      <c r="B51" s="109" t="e">
        <v>#N/A</v>
      </c>
      <c r="C51" s="21" t="e">
        <v>#N/A</v>
      </c>
      <c r="D51" s="21" t="e">
        <v>#N/A</v>
      </c>
      <c r="E51" s="110" t="e">
        <v>#N/A</v>
      </c>
      <c r="F51" s="110" t="e">
        <v>#N/A</v>
      </c>
      <c r="G51" s="17" t="e">
        <v>#N/A</v>
      </c>
      <c r="H51" s="17" t="e">
        <v>#N/A</v>
      </c>
      <c r="I51" s="17" t="e">
        <v>#N/A</v>
      </c>
      <c r="J51" s="110" t="e">
        <v>#N/A</v>
      </c>
      <c r="K51" s="17" t="e">
        <v>#N/A</v>
      </c>
      <c r="L51" s="116" t="e">
        <v>#N/A</v>
      </c>
      <c r="M51" s="111" t="e">
        <v>#N/A</v>
      </c>
      <c r="N51" s="17" t="e">
        <v>#N/A</v>
      </c>
      <c r="O51" s="17" t="e">
        <v>#N/A</v>
      </c>
      <c r="P51" s="111" t="e">
        <v>#N/A</v>
      </c>
      <c r="Q51" s="17" t="e">
        <v>#N/A</v>
      </c>
      <c r="R51" s="17" t="e">
        <v>#N/A</v>
      </c>
      <c r="S51" s="17" t="e">
        <v>#N/A</v>
      </c>
      <c r="T51" s="17" t="e">
        <v>#N/A</v>
      </c>
      <c r="U51" s="71" t="e">
        <v>#N/A</v>
      </c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</row>
    <row r="52" spans="1:50" x14ac:dyDescent="0.2">
      <c r="A52" s="13" t="e">
        <v>#N/A</v>
      </c>
      <c r="B52" s="109" t="e">
        <v>#N/A</v>
      </c>
      <c r="C52" s="21" t="e">
        <v>#N/A</v>
      </c>
      <c r="D52" s="21" t="e">
        <v>#N/A</v>
      </c>
      <c r="E52" s="110" t="e">
        <v>#N/A</v>
      </c>
      <c r="F52" s="110" t="e">
        <v>#N/A</v>
      </c>
      <c r="G52" s="17" t="e">
        <v>#N/A</v>
      </c>
      <c r="H52" s="17" t="e">
        <v>#N/A</v>
      </c>
      <c r="I52" s="17" t="e">
        <v>#N/A</v>
      </c>
      <c r="J52" s="110" t="e">
        <v>#N/A</v>
      </c>
      <c r="K52" s="17" t="e">
        <v>#N/A</v>
      </c>
      <c r="L52" s="116" t="e">
        <v>#N/A</v>
      </c>
      <c r="M52" s="111" t="e">
        <v>#N/A</v>
      </c>
      <c r="N52" s="17" t="e">
        <v>#N/A</v>
      </c>
      <c r="O52" s="17" t="e">
        <v>#N/A</v>
      </c>
      <c r="P52" s="111" t="e">
        <v>#N/A</v>
      </c>
      <c r="Q52" s="17" t="e">
        <v>#N/A</v>
      </c>
      <c r="R52" s="17" t="e">
        <v>#N/A</v>
      </c>
      <c r="S52" s="17" t="e">
        <v>#N/A</v>
      </c>
      <c r="T52" s="17" t="e">
        <v>#N/A</v>
      </c>
      <c r="U52" s="71" t="e">
        <v>#N/A</v>
      </c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</row>
    <row r="53" spans="1:50" x14ac:dyDescent="0.2">
      <c r="A53" s="13" t="e">
        <v>#N/A</v>
      </c>
      <c r="B53" s="109" t="e">
        <v>#N/A</v>
      </c>
      <c r="C53" s="21" t="e">
        <v>#N/A</v>
      </c>
      <c r="D53" s="21" t="e">
        <v>#N/A</v>
      </c>
      <c r="E53" s="110" t="e">
        <v>#N/A</v>
      </c>
      <c r="F53" s="110" t="e">
        <v>#N/A</v>
      </c>
      <c r="G53" s="17" t="e">
        <v>#N/A</v>
      </c>
      <c r="H53" s="17" t="e">
        <v>#N/A</v>
      </c>
      <c r="I53" s="17" t="e">
        <v>#N/A</v>
      </c>
      <c r="J53" s="110" t="e">
        <v>#N/A</v>
      </c>
      <c r="K53" s="17" t="e">
        <v>#N/A</v>
      </c>
      <c r="L53" s="116" t="e">
        <v>#N/A</v>
      </c>
      <c r="M53" s="111" t="e">
        <v>#N/A</v>
      </c>
      <c r="N53" s="17" t="e">
        <v>#N/A</v>
      </c>
      <c r="O53" s="17" t="e">
        <v>#N/A</v>
      </c>
      <c r="P53" s="111" t="e">
        <v>#N/A</v>
      </c>
      <c r="Q53" s="17" t="e">
        <v>#N/A</v>
      </c>
      <c r="R53" s="17" t="e">
        <v>#N/A</v>
      </c>
      <c r="S53" s="17" t="e">
        <v>#N/A</v>
      </c>
      <c r="T53" s="17" t="e">
        <v>#N/A</v>
      </c>
      <c r="U53" s="71" t="e">
        <v>#N/A</v>
      </c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</row>
    <row r="54" spans="1:50" x14ac:dyDescent="0.2">
      <c r="A54" s="13" t="e">
        <v>#N/A</v>
      </c>
      <c r="B54" s="109" t="e">
        <v>#N/A</v>
      </c>
      <c r="C54" s="21" t="e">
        <v>#N/A</v>
      </c>
      <c r="D54" s="21" t="e">
        <v>#N/A</v>
      </c>
      <c r="E54" s="110" t="e">
        <v>#N/A</v>
      </c>
      <c r="F54" s="110" t="e">
        <v>#N/A</v>
      </c>
      <c r="G54" s="17" t="e">
        <v>#N/A</v>
      </c>
      <c r="H54" s="17" t="e">
        <v>#N/A</v>
      </c>
      <c r="I54" s="17" t="e">
        <v>#N/A</v>
      </c>
      <c r="J54" s="110" t="e">
        <v>#N/A</v>
      </c>
      <c r="K54" s="17" t="e">
        <v>#N/A</v>
      </c>
      <c r="L54" s="116" t="e">
        <v>#N/A</v>
      </c>
      <c r="M54" s="111" t="e">
        <v>#N/A</v>
      </c>
      <c r="N54" s="17" t="e">
        <v>#N/A</v>
      </c>
      <c r="O54" s="17" t="e">
        <v>#N/A</v>
      </c>
      <c r="P54" s="111" t="e">
        <v>#N/A</v>
      </c>
      <c r="Q54" s="17" t="e">
        <v>#N/A</v>
      </c>
      <c r="R54" s="17" t="e">
        <v>#N/A</v>
      </c>
      <c r="S54" s="17" t="e">
        <v>#N/A</v>
      </c>
      <c r="T54" s="17" t="e">
        <v>#N/A</v>
      </c>
      <c r="U54" s="71" t="e">
        <v>#N/A</v>
      </c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</row>
    <row r="55" spans="1:50" x14ac:dyDescent="0.2">
      <c r="A55" s="13" t="e">
        <v>#N/A</v>
      </c>
      <c r="B55" s="109" t="e">
        <v>#N/A</v>
      </c>
      <c r="C55" s="21" t="e">
        <v>#N/A</v>
      </c>
      <c r="D55" s="21" t="e">
        <v>#N/A</v>
      </c>
      <c r="E55" s="110" t="e">
        <v>#N/A</v>
      </c>
      <c r="F55" s="110" t="e">
        <v>#N/A</v>
      </c>
      <c r="G55" s="17" t="e">
        <v>#N/A</v>
      </c>
      <c r="H55" s="17" t="e">
        <v>#N/A</v>
      </c>
      <c r="I55" s="17" t="e">
        <v>#N/A</v>
      </c>
      <c r="J55" s="110" t="e">
        <v>#N/A</v>
      </c>
      <c r="K55" s="17" t="e">
        <v>#N/A</v>
      </c>
      <c r="L55" s="116" t="e">
        <v>#N/A</v>
      </c>
      <c r="M55" s="111" t="e">
        <v>#N/A</v>
      </c>
      <c r="N55" s="17" t="e">
        <v>#N/A</v>
      </c>
      <c r="O55" s="17" t="e">
        <v>#N/A</v>
      </c>
      <c r="P55" s="111" t="e">
        <v>#N/A</v>
      </c>
      <c r="Q55" s="17" t="e">
        <v>#N/A</v>
      </c>
      <c r="R55" s="17" t="e">
        <v>#N/A</v>
      </c>
      <c r="S55" s="17" t="e">
        <v>#N/A</v>
      </c>
      <c r="T55" s="17" t="e">
        <v>#N/A</v>
      </c>
      <c r="U55" s="71" t="e">
        <v>#N/A</v>
      </c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</row>
    <row r="56" spans="1:50" x14ac:dyDescent="0.2">
      <c r="A56" s="13" t="e">
        <v>#N/A</v>
      </c>
      <c r="B56" s="109" t="e">
        <v>#N/A</v>
      </c>
      <c r="C56" s="21" t="e">
        <v>#N/A</v>
      </c>
      <c r="D56" s="21" t="e">
        <v>#N/A</v>
      </c>
      <c r="E56" s="110" t="e">
        <v>#N/A</v>
      </c>
      <c r="F56" s="110" t="e">
        <v>#N/A</v>
      </c>
      <c r="G56" s="17" t="e">
        <v>#N/A</v>
      </c>
      <c r="H56" s="17" t="e">
        <v>#N/A</v>
      </c>
      <c r="I56" s="17" t="e">
        <v>#N/A</v>
      </c>
      <c r="J56" s="110" t="e">
        <v>#N/A</v>
      </c>
      <c r="K56" s="17" t="e">
        <v>#N/A</v>
      </c>
      <c r="L56" s="116" t="e">
        <v>#N/A</v>
      </c>
      <c r="M56" s="111" t="e">
        <v>#N/A</v>
      </c>
      <c r="N56" s="17" t="e">
        <v>#N/A</v>
      </c>
      <c r="O56" s="17" t="e">
        <v>#N/A</v>
      </c>
      <c r="P56" s="111" t="e">
        <v>#N/A</v>
      </c>
      <c r="Q56" s="17" t="e">
        <v>#N/A</v>
      </c>
      <c r="R56" s="17" t="e">
        <v>#N/A</v>
      </c>
      <c r="S56" s="17" t="e">
        <v>#N/A</v>
      </c>
      <c r="T56" s="17" t="e">
        <v>#N/A</v>
      </c>
      <c r="U56" s="71" t="e">
        <v>#N/A</v>
      </c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</row>
    <row r="57" spans="1:50" x14ac:dyDescent="0.2">
      <c r="A57" s="13" t="e">
        <v>#N/A</v>
      </c>
      <c r="B57" s="109" t="e">
        <v>#N/A</v>
      </c>
      <c r="C57" s="21" t="e">
        <v>#N/A</v>
      </c>
      <c r="D57" s="21" t="e">
        <v>#N/A</v>
      </c>
      <c r="E57" s="110" t="e">
        <v>#N/A</v>
      </c>
      <c r="F57" s="110" t="e">
        <v>#N/A</v>
      </c>
      <c r="G57" s="17" t="e">
        <v>#N/A</v>
      </c>
      <c r="H57" s="17" t="e">
        <v>#N/A</v>
      </c>
      <c r="I57" s="17" t="e">
        <v>#N/A</v>
      </c>
      <c r="J57" s="110" t="e">
        <v>#N/A</v>
      </c>
      <c r="K57" s="17" t="e">
        <v>#N/A</v>
      </c>
      <c r="L57" s="116" t="e">
        <v>#N/A</v>
      </c>
      <c r="M57" s="111" t="e">
        <v>#N/A</v>
      </c>
      <c r="N57" s="17" t="e">
        <v>#N/A</v>
      </c>
      <c r="O57" s="17" t="e">
        <v>#N/A</v>
      </c>
      <c r="P57" s="111" t="e">
        <v>#N/A</v>
      </c>
      <c r="Q57" s="17" t="e">
        <v>#N/A</v>
      </c>
      <c r="R57" s="17" t="e">
        <v>#N/A</v>
      </c>
      <c r="S57" s="17" t="e">
        <v>#N/A</v>
      </c>
      <c r="T57" s="17" t="e">
        <v>#N/A</v>
      </c>
      <c r="U57" s="71" t="e">
        <v>#N/A</v>
      </c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</row>
    <row r="58" spans="1:50" x14ac:dyDescent="0.2">
      <c r="A58" s="13" t="e">
        <v>#N/A</v>
      </c>
      <c r="B58" s="109" t="e">
        <v>#N/A</v>
      </c>
      <c r="C58" s="21" t="e">
        <v>#N/A</v>
      </c>
      <c r="D58" s="21" t="e">
        <v>#N/A</v>
      </c>
      <c r="E58" s="110" t="e">
        <v>#N/A</v>
      </c>
      <c r="F58" s="110" t="e">
        <v>#N/A</v>
      </c>
      <c r="G58" s="17" t="e">
        <v>#N/A</v>
      </c>
      <c r="H58" s="17" t="e">
        <v>#N/A</v>
      </c>
      <c r="I58" s="17" t="e">
        <v>#N/A</v>
      </c>
      <c r="J58" s="110" t="e">
        <v>#N/A</v>
      </c>
      <c r="K58" s="17" t="e">
        <v>#N/A</v>
      </c>
      <c r="L58" s="116" t="e">
        <v>#N/A</v>
      </c>
      <c r="M58" s="111" t="e">
        <v>#N/A</v>
      </c>
      <c r="N58" s="17" t="e">
        <v>#N/A</v>
      </c>
      <c r="O58" s="17" t="e">
        <v>#N/A</v>
      </c>
      <c r="P58" s="111" t="e">
        <v>#N/A</v>
      </c>
      <c r="Q58" s="17" t="e">
        <v>#N/A</v>
      </c>
      <c r="R58" s="17" t="e">
        <v>#N/A</v>
      </c>
      <c r="S58" s="17" t="e">
        <v>#N/A</v>
      </c>
      <c r="T58" s="17" t="e">
        <v>#N/A</v>
      </c>
      <c r="U58" s="71" t="e">
        <v>#N/A</v>
      </c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</row>
    <row r="59" spans="1:50" x14ac:dyDescent="0.2">
      <c r="A59" s="13" t="e">
        <v>#N/A</v>
      </c>
      <c r="B59" s="109" t="e">
        <v>#N/A</v>
      </c>
      <c r="C59" s="21" t="e">
        <v>#N/A</v>
      </c>
      <c r="D59" s="21" t="e">
        <v>#N/A</v>
      </c>
      <c r="E59" s="110" t="e">
        <v>#N/A</v>
      </c>
      <c r="F59" s="110" t="e">
        <v>#N/A</v>
      </c>
      <c r="G59" s="17" t="e">
        <v>#N/A</v>
      </c>
      <c r="H59" s="17" t="e">
        <v>#N/A</v>
      </c>
      <c r="I59" s="17" t="e">
        <v>#N/A</v>
      </c>
      <c r="J59" s="110" t="e">
        <v>#N/A</v>
      </c>
      <c r="K59" s="17" t="e">
        <v>#N/A</v>
      </c>
      <c r="L59" s="116" t="e">
        <v>#N/A</v>
      </c>
      <c r="M59" s="111" t="e">
        <v>#N/A</v>
      </c>
      <c r="N59" s="17" t="e">
        <v>#N/A</v>
      </c>
      <c r="O59" s="17" t="e">
        <v>#N/A</v>
      </c>
      <c r="P59" s="111" t="e">
        <v>#N/A</v>
      </c>
      <c r="Q59" s="17" t="e">
        <v>#N/A</v>
      </c>
      <c r="R59" s="17" t="e">
        <v>#N/A</v>
      </c>
      <c r="S59" s="17" t="e">
        <v>#N/A</v>
      </c>
      <c r="T59" s="17" t="e">
        <v>#N/A</v>
      </c>
      <c r="U59" s="71" t="e">
        <v>#N/A</v>
      </c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</row>
    <row r="60" spans="1:50" x14ac:dyDescent="0.2">
      <c r="A60" s="13" t="e">
        <v>#N/A</v>
      </c>
      <c r="B60" s="109" t="e">
        <v>#N/A</v>
      </c>
      <c r="C60" s="21" t="e">
        <v>#N/A</v>
      </c>
      <c r="D60" s="21" t="e">
        <v>#N/A</v>
      </c>
      <c r="E60" s="110" t="e">
        <v>#N/A</v>
      </c>
      <c r="F60" s="110" t="e">
        <v>#N/A</v>
      </c>
      <c r="G60" s="17" t="e">
        <v>#N/A</v>
      </c>
      <c r="H60" s="17" t="e">
        <v>#N/A</v>
      </c>
      <c r="I60" s="17" t="e">
        <v>#N/A</v>
      </c>
      <c r="J60" s="110" t="e">
        <v>#N/A</v>
      </c>
      <c r="K60" s="17" t="e">
        <v>#N/A</v>
      </c>
      <c r="L60" s="116" t="e">
        <v>#N/A</v>
      </c>
      <c r="M60" s="111" t="e">
        <v>#N/A</v>
      </c>
      <c r="N60" s="17" t="e">
        <v>#N/A</v>
      </c>
      <c r="O60" s="17" t="e">
        <v>#N/A</v>
      </c>
      <c r="P60" s="111" t="e">
        <v>#N/A</v>
      </c>
      <c r="Q60" s="17" t="e">
        <v>#N/A</v>
      </c>
      <c r="R60" s="17" t="e">
        <v>#N/A</v>
      </c>
      <c r="S60" s="17" t="e">
        <v>#N/A</v>
      </c>
      <c r="T60" s="17" t="e">
        <v>#N/A</v>
      </c>
      <c r="U60" s="71" t="e">
        <v>#N/A</v>
      </c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</row>
    <row r="61" spans="1:50" x14ac:dyDescent="0.2">
      <c r="A61" s="13" t="e">
        <v>#N/A</v>
      </c>
      <c r="B61" s="109" t="e">
        <v>#N/A</v>
      </c>
      <c r="C61" s="21" t="e">
        <v>#N/A</v>
      </c>
      <c r="D61" s="21" t="e">
        <v>#N/A</v>
      </c>
      <c r="E61" s="110" t="e">
        <v>#N/A</v>
      </c>
      <c r="F61" s="110" t="e">
        <v>#N/A</v>
      </c>
      <c r="G61" s="17" t="e">
        <v>#N/A</v>
      </c>
      <c r="H61" s="17" t="e">
        <v>#N/A</v>
      </c>
      <c r="I61" s="17" t="e">
        <v>#N/A</v>
      </c>
      <c r="J61" s="110" t="e">
        <v>#N/A</v>
      </c>
      <c r="K61" s="17" t="e">
        <v>#N/A</v>
      </c>
      <c r="L61" s="116" t="e">
        <v>#N/A</v>
      </c>
      <c r="M61" s="111" t="e">
        <v>#N/A</v>
      </c>
      <c r="N61" s="17" t="e">
        <v>#N/A</v>
      </c>
      <c r="O61" s="17" t="e">
        <v>#N/A</v>
      </c>
      <c r="P61" s="111" t="e">
        <v>#N/A</v>
      </c>
      <c r="Q61" s="17" t="e">
        <v>#N/A</v>
      </c>
      <c r="R61" s="17" t="e">
        <v>#N/A</v>
      </c>
      <c r="S61" s="17" t="e">
        <v>#N/A</v>
      </c>
      <c r="T61" s="17" t="e">
        <v>#N/A</v>
      </c>
      <c r="U61" s="71" t="e">
        <v>#N/A</v>
      </c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</row>
    <row r="62" spans="1:50" x14ac:dyDescent="0.2">
      <c r="A62" s="13" t="e">
        <v>#N/A</v>
      </c>
      <c r="B62" s="109" t="e">
        <v>#N/A</v>
      </c>
      <c r="C62" s="21" t="e">
        <v>#N/A</v>
      </c>
      <c r="D62" s="21" t="e">
        <v>#N/A</v>
      </c>
      <c r="E62" s="110" t="e">
        <v>#N/A</v>
      </c>
      <c r="F62" s="110" t="e">
        <v>#N/A</v>
      </c>
      <c r="G62" s="17" t="e">
        <v>#N/A</v>
      </c>
      <c r="H62" s="17" t="e">
        <v>#N/A</v>
      </c>
      <c r="I62" s="17" t="e">
        <v>#N/A</v>
      </c>
      <c r="J62" s="110" t="e">
        <v>#N/A</v>
      </c>
      <c r="K62" s="17" t="e">
        <v>#N/A</v>
      </c>
      <c r="L62" s="116" t="e">
        <v>#N/A</v>
      </c>
      <c r="M62" s="111" t="e">
        <v>#N/A</v>
      </c>
      <c r="N62" s="17" t="e">
        <v>#N/A</v>
      </c>
      <c r="O62" s="17" t="e">
        <v>#N/A</v>
      </c>
      <c r="P62" s="111" t="e">
        <v>#N/A</v>
      </c>
      <c r="Q62" s="17" t="e">
        <v>#N/A</v>
      </c>
      <c r="R62" s="17" t="e">
        <v>#N/A</v>
      </c>
      <c r="S62" s="17" t="e">
        <v>#N/A</v>
      </c>
      <c r="T62" s="17" t="e">
        <v>#N/A</v>
      </c>
      <c r="U62" s="71" t="e">
        <v>#N/A</v>
      </c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</row>
    <row r="63" spans="1:50" x14ac:dyDescent="0.2">
      <c r="A63" s="13" t="e">
        <v>#N/A</v>
      </c>
      <c r="B63" s="109" t="e">
        <v>#N/A</v>
      </c>
      <c r="C63" s="21" t="e">
        <v>#N/A</v>
      </c>
      <c r="D63" s="21" t="e">
        <v>#N/A</v>
      </c>
      <c r="E63" s="110" t="e">
        <v>#N/A</v>
      </c>
      <c r="F63" s="110" t="e">
        <v>#N/A</v>
      </c>
      <c r="G63" s="17" t="e">
        <v>#N/A</v>
      </c>
      <c r="H63" s="17" t="e">
        <v>#N/A</v>
      </c>
      <c r="I63" s="17" t="e">
        <v>#N/A</v>
      </c>
      <c r="J63" s="110" t="e">
        <v>#N/A</v>
      </c>
      <c r="K63" s="17" t="e">
        <v>#N/A</v>
      </c>
      <c r="L63" s="116" t="e">
        <v>#N/A</v>
      </c>
      <c r="M63" s="111" t="e">
        <v>#N/A</v>
      </c>
      <c r="N63" s="17" t="e">
        <v>#N/A</v>
      </c>
      <c r="O63" s="17" t="e">
        <v>#N/A</v>
      </c>
      <c r="P63" s="111" t="e">
        <v>#N/A</v>
      </c>
      <c r="Q63" s="17" t="e">
        <v>#N/A</v>
      </c>
      <c r="R63" s="17" t="e">
        <v>#N/A</v>
      </c>
      <c r="S63" s="17" t="e">
        <v>#N/A</v>
      </c>
      <c r="T63" s="17" t="e">
        <v>#N/A</v>
      </c>
      <c r="U63" s="71" t="e">
        <v>#N/A</v>
      </c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</row>
    <row r="64" spans="1:50" x14ac:dyDescent="0.2">
      <c r="A64" s="13" t="e">
        <v>#N/A</v>
      </c>
      <c r="B64" s="109" t="e">
        <v>#N/A</v>
      </c>
      <c r="C64" s="21" t="e">
        <v>#N/A</v>
      </c>
      <c r="D64" s="21" t="e">
        <v>#N/A</v>
      </c>
      <c r="E64" s="110" t="e">
        <v>#N/A</v>
      </c>
      <c r="F64" s="110" t="e">
        <v>#N/A</v>
      </c>
      <c r="G64" s="17" t="e">
        <v>#N/A</v>
      </c>
      <c r="H64" s="17" t="e">
        <v>#N/A</v>
      </c>
      <c r="I64" s="17" t="e">
        <v>#N/A</v>
      </c>
      <c r="J64" s="110" t="e">
        <v>#N/A</v>
      </c>
      <c r="K64" s="17" t="e">
        <v>#N/A</v>
      </c>
      <c r="L64" s="116" t="e">
        <v>#N/A</v>
      </c>
      <c r="M64" s="111" t="e">
        <v>#N/A</v>
      </c>
      <c r="N64" s="17" t="e">
        <v>#N/A</v>
      </c>
      <c r="O64" s="17" t="e">
        <v>#N/A</v>
      </c>
      <c r="P64" s="111" t="e">
        <v>#N/A</v>
      </c>
      <c r="Q64" s="17" t="e">
        <v>#N/A</v>
      </c>
      <c r="R64" s="17" t="e">
        <v>#N/A</v>
      </c>
      <c r="S64" s="17" t="e">
        <v>#N/A</v>
      </c>
      <c r="T64" s="17" t="e">
        <v>#N/A</v>
      </c>
      <c r="U64" s="71" t="e">
        <v>#N/A</v>
      </c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</row>
    <row r="65" spans="1:50" x14ac:dyDescent="0.2">
      <c r="A65" s="13" t="e">
        <v>#N/A</v>
      </c>
      <c r="B65" s="109" t="e">
        <v>#N/A</v>
      </c>
      <c r="C65" s="21" t="e">
        <v>#N/A</v>
      </c>
      <c r="D65" s="21" t="e">
        <v>#N/A</v>
      </c>
      <c r="E65" s="110" t="e">
        <v>#N/A</v>
      </c>
      <c r="F65" s="110" t="e">
        <v>#N/A</v>
      </c>
      <c r="G65" s="17" t="e">
        <v>#N/A</v>
      </c>
      <c r="H65" s="17" t="e">
        <v>#N/A</v>
      </c>
      <c r="I65" s="17" t="e">
        <v>#N/A</v>
      </c>
      <c r="J65" s="110" t="e">
        <v>#N/A</v>
      </c>
      <c r="K65" s="17" t="e">
        <v>#N/A</v>
      </c>
      <c r="L65" s="116" t="e">
        <v>#N/A</v>
      </c>
      <c r="M65" s="111" t="e">
        <v>#N/A</v>
      </c>
      <c r="N65" s="17" t="e">
        <v>#N/A</v>
      </c>
      <c r="O65" s="17" t="e">
        <v>#N/A</v>
      </c>
      <c r="P65" s="111" t="e">
        <v>#N/A</v>
      </c>
      <c r="Q65" s="17" t="e">
        <v>#N/A</v>
      </c>
      <c r="R65" s="17" t="e">
        <v>#N/A</v>
      </c>
      <c r="S65" s="17" t="e">
        <v>#N/A</v>
      </c>
      <c r="T65" s="17" t="e">
        <v>#N/A</v>
      </c>
      <c r="U65" s="71" t="e">
        <v>#N/A</v>
      </c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</row>
    <row r="66" spans="1:50" x14ac:dyDescent="0.2">
      <c r="A66" s="13" t="e">
        <v>#N/A</v>
      </c>
      <c r="B66" s="109" t="e">
        <v>#N/A</v>
      </c>
      <c r="C66" s="21" t="e">
        <v>#N/A</v>
      </c>
      <c r="D66" s="21" t="e">
        <v>#N/A</v>
      </c>
      <c r="E66" s="110" t="e">
        <v>#N/A</v>
      </c>
      <c r="F66" s="110" t="e">
        <v>#N/A</v>
      </c>
      <c r="G66" s="17" t="e">
        <v>#N/A</v>
      </c>
      <c r="H66" s="17" t="e">
        <v>#N/A</v>
      </c>
      <c r="I66" s="17" t="e">
        <v>#N/A</v>
      </c>
      <c r="J66" s="110" t="e">
        <v>#N/A</v>
      </c>
      <c r="K66" s="17" t="e">
        <v>#N/A</v>
      </c>
      <c r="L66" s="116" t="e">
        <v>#N/A</v>
      </c>
      <c r="M66" s="111" t="e">
        <v>#N/A</v>
      </c>
      <c r="N66" s="17" t="e">
        <v>#N/A</v>
      </c>
      <c r="O66" s="17" t="e">
        <v>#N/A</v>
      </c>
      <c r="P66" s="111" t="e">
        <v>#N/A</v>
      </c>
      <c r="Q66" s="17" t="e">
        <v>#N/A</v>
      </c>
      <c r="R66" s="17" t="e">
        <v>#N/A</v>
      </c>
      <c r="S66" s="17" t="e">
        <v>#N/A</v>
      </c>
      <c r="T66" s="17" t="e">
        <v>#N/A</v>
      </c>
      <c r="U66" s="71" t="e">
        <v>#N/A</v>
      </c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</row>
    <row r="67" spans="1:50" x14ac:dyDescent="0.2">
      <c r="A67" s="13" t="e">
        <v>#N/A</v>
      </c>
      <c r="B67" s="109" t="e">
        <v>#N/A</v>
      </c>
      <c r="C67" s="21" t="e">
        <v>#N/A</v>
      </c>
      <c r="D67" s="21" t="e">
        <v>#N/A</v>
      </c>
      <c r="E67" s="110" t="e">
        <v>#N/A</v>
      </c>
      <c r="F67" s="110" t="e">
        <v>#N/A</v>
      </c>
      <c r="G67" s="17" t="e">
        <v>#N/A</v>
      </c>
      <c r="H67" s="17" t="e">
        <v>#N/A</v>
      </c>
      <c r="I67" s="17" t="e">
        <v>#N/A</v>
      </c>
      <c r="J67" s="110" t="e">
        <v>#N/A</v>
      </c>
      <c r="K67" s="17" t="e">
        <v>#N/A</v>
      </c>
      <c r="L67" s="116" t="e">
        <v>#N/A</v>
      </c>
      <c r="M67" s="111" t="e">
        <v>#N/A</v>
      </c>
      <c r="N67" s="17" t="e">
        <v>#N/A</v>
      </c>
      <c r="O67" s="17" t="e">
        <v>#N/A</v>
      </c>
      <c r="P67" s="111" t="e">
        <v>#N/A</v>
      </c>
      <c r="Q67" s="17" t="e">
        <v>#N/A</v>
      </c>
      <c r="R67" s="17" t="e">
        <v>#N/A</v>
      </c>
      <c r="S67" s="17" t="e">
        <v>#N/A</v>
      </c>
      <c r="T67" s="17" t="e">
        <v>#N/A</v>
      </c>
      <c r="U67" s="71" t="e">
        <v>#N/A</v>
      </c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</row>
    <row r="68" spans="1:50" x14ac:dyDescent="0.2">
      <c r="A68" s="13" t="e">
        <v>#N/A</v>
      </c>
      <c r="B68" s="109" t="e">
        <v>#N/A</v>
      </c>
      <c r="C68" s="21" t="e">
        <v>#N/A</v>
      </c>
      <c r="D68" s="21" t="e">
        <v>#N/A</v>
      </c>
      <c r="E68" s="110" t="e">
        <v>#N/A</v>
      </c>
      <c r="F68" s="110" t="e">
        <v>#N/A</v>
      </c>
      <c r="G68" s="17" t="e">
        <v>#N/A</v>
      </c>
      <c r="H68" s="17" t="e">
        <v>#N/A</v>
      </c>
      <c r="I68" s="17" t="e">
        <v>#N/A</v>
      </c>
      <c r="J68" s="110" t="e">
        <v>#N/A</v>
      </c>
      <c r="K68" s="17" t="e">
        <v>#N/A</v>
      </c>
      <c r="L68" s="116" t="e">
        <v>#N/A</v>
      </c>
      <c r="M68" s="111" t="e">
        <v>#N/A</v>
      </c>
      <c r="N68" s="17" t="e">
        <v>#N/A</v>
      </c>
      <c r="O68" s="17" t="e">
        <v>#N/A</v>
      </c>
      <c r="P68" s="111" t="e">
        <v>#N/A</v>
      </c>
      <c r="Q68" s="17" t="e">
        <v>#N/A</v>
      </c>
      <c r="R68" s="17" t="e">
        <v>#N/A</v>
      </c>
      <c r="S68" s="17" t="e">
        <v>#N/A</v>
      </c>
      <c r="T68" s="17" t="e">
        <v>#N/A</v>
      </c>
      <c r="U68" s="71" t="e">
        <v>#N/A</v>
      </c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</row>
    <row r="69" spans="1:50" x14ac:dyDescent="0.2">
      <c r="A69" s="13" t="e">
        <v>#N/A</v>
      </c>
      <c r="B69" s="109" t="e">
        <v>#N/A</v>
      </c>
      <c r="C69" s="21" t="e">
        <v>#N/A</v>
      </c>
      <c r="D69" s="21" t="e">
        <v>#N/A</v>
      </c>
      <c r="E69" s="110" t="e">
        <v>#N/A</v>
      </c>
      <c r="F69" s="110" t="e">
        <v>#N/A</v>
      </c>
      <c r="G69" s="17" t="e">
        <v>#N/A</v>
      </c>
      <c r="H69" s="17" t="e">
        <v>#N/A</v>
      </c>
      <c r="I69" s="17" t="e">
        <v>#N/A</v>
      </c>
      <c r="J69" s="110" t="e">
        <v>#N/A</v>
      </c>
      <c r="K69" s="17" t="e">
        <v>#N/A</v>
      </c>
      <c r="L69" s="116" t="e">
        <v>#N/A</v>
      </c>
      <c r="M69" s="111" t="e">
        <v>#N/A</v>
      </c>
      <c r="N69" s="17" t="e">
        <v>#N/A</v>
      </c>
      <c r="O69" s="17" t="e">
        <v>#N/A</v>
      </c>
      <c r="P69" s="111" t="e">
        <v>#N/A</v>
      </c>
      <c r="Q69" s="17" t="e">
        <v>#N/A</v>
      </c>
      <c r="R69" s="17" t="e">
        <v>#N/A</v>
      </c>
      <c r="S69" s="17" t="e">
        <v>#N/A</v>
      </c>
      <c r="T69" s="17" t="e">
        <v>#N/A</v>
      </c>
      <c r="U69" s="71" t="e">
        <v>#N/A</v>
      </c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</row>
    <row r="70" spans="1:50" x14ac:dyDescent="0.2">
      <c r="A70" s="13" t="e">
        <v>#N/A</v>
      </c>
      <c r="B70" s="109" t="e">
        <v>#N/A</v>
      </c>
      <c r="C70" s="21" t="e">
        <v>#N/A</v>
      </c>
      <c r="D70" s="21" t="e">
        <v>#N/A</v>
      </c>
      <c r="E70" s="110" t="e">
        <v>#N/A</v>
      </c>
      <c r="F70" s="110" t="e">
        <v>#N/A</v>
      </c>
      <c r="G70" s="17" t="e">
        <v>#N/A</v>
      </c>
      <c r="H70" s="17" t="e">
        <v>#N/A</v>
      </c>
      <c r="I70" s="17" t="e">
        <v>#N/A</v>
      </c>
      <c r="J70" s="110" t="e">
        <v>#N/A</v>
      </c>
      <c r="K70" s="17" t="e">
        <v>#N/A</v>
      </c>
      <c r="L70" s="116" t="e">
        <v>#N/A</v>
      </c>
      <c r="M70" s="111" t="e">
        <v>#N/A</v>
      </c>
      <c r="N70" s="17" t="e">
        <v>#N/A</v>
      </c>
      <c r="O70" s="17" t="e">
        <v>#N/A</v>
      </c>
      <c r="P70" s="111" t="e">
        <v>#N/A</v>
      </c>
      <c r="Q70" s="17" t="e">
        <v>#N/A</v>
      </c>
      <c r="R70" s="17" t="e">
        <v>#N/A</v>
      </c>
      <c r="S70" s="17" t="e">
        <v>#N/A</v>
      </c>
      <c r="T70" s="17" t="e">
        <v>#N/A</v>
      </c>
      <c r="U70" s="71" t="e">
        <v>#N/A</v>
      </c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</row>
    <row r="71" spans="1:50" x14ac:dyDescent="0.2">
      <c r="A71" s="13" t="e">
        <v>#N/A</v>
      </c>
      <c r="B71" s="109" t="e">
        <v>#N/A</v>
      </c>
      <c r="C71" s="21" t="e">
        <v>#N/A</v>
      </c>
      <c r="D71" s="21" t="e">
        <v>#N/A</v>
      </c>
      <c r="E71" s="110" t="e">
        <v>#N/A</v>
      </c>
      <c r="F71" s="110" t="e">
        <v>#N/A</v>
      </c>
      <c r="G71" s="17" t="e">
        <v>#N/A</v>
      </c>
      <c r="H71" s="17" t="e">
        <v>#N/A</v>
      </c>
      <c r="I71" s="17" t="e">
        <v>#N/A</v>
      </c>
      <c r="J71" s="110" t="e">
        <v>#N/A</v>
      </c>
      <c r="K71" s="17" t="e">
        <v>#N/A</v>
      </c>
      <c r="L71" s="116" t="e">
        <v>#N/A</v>
      </c>
      <c r="M71" s="111" t="e">
        <v>#N/A</v>
      </c>
      <c r="N71" s="17" t="e">
        <v>#N/A</v>
      </c>
      <c r="O71" s="17" t="e">
        <v>#N/A</v>
      </c>
      <c r="P71" s="111" t="e">
        <v>#N/A</v>
      </c>
      <c r="Q71" s="17" t="e">
        <v>#N/A</v>
      </c>
      <c r="R71" s="17" t="e">
        <v>#N/A</v>
      </c>
      <c r="S71" s="17" t="e">
        <v>#N/A</v>
      </c>
      <c r="T71" s="17" t="e">
        <v>#N/A</v>
      </c>
      <c r="U71" s="71" t="e">
        <v>#N/A</v>
      </c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</row>
    <row r="72" spans="1:50" x14ac:dyDescent="0.2">
      <c r="A72" s="13" t="e">
        <v>#N/A</v>
      </c>
      <c r="B72" s="109" t="e">
        <v>#N/A</v>
      </c>
      <c r="C72" s="21" t="e">
        <v>#N/A</v>
      </c>
      <c r="D72" s="21" t="e">
        <v>#N/A</v>
      </c>
      <c r="E72" s="110" t="e">
        <v>#N/A</v>
      </c>
      <c r="F72" s="110" t="e">
        <v>#N/A</v>
      </c>
      <c r="G72" s="17" t="e">
        <v>#N/A</v>
      </c>
      <c r="H72" s="17" t="e">
        <v>#N/A</v>
      </c>
      <c r="I72" s="17" t="e">
        <v>#N/A</v>
      </c>
      <c r="J72" s="110" t="e">
        <v>#N/A</v>
      </c>
      <c r="K72" s="17" t="e">
        <v>#N/A</v>
      </c>
      <c r="L72" s="116" t="e">
        <v>#N/A</v>
      </c>
      <c r="M72" s="111" t="e">
        <v>#N/A</v>
      </c>
      <c r="N72" s="17" t="e">
        <v>#N/A</v>
      </c>
      <c r="O72" s="17" t="e">
        <v>#N/A</v>
      </c>
      <c r="P72" s="111" t="e">
        <v>#N/A</v>
      </c>
      <c r="Q72" s="17" t="e">
        <v>#N/A</v>
      </c>
      <c r="R72" s="17" t="e">
        <v>#N/A</v>
      </c>
      <c r="S72" s="17" t="e">
        <v>#N/A</v>
      </c>
      <c r="T72" s="17" t="e">
        <v>#N/A</v>
      </c>
      <c r="U72" s="71" t="e">
        <v>#N/A</v>
      </c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</row>
    <row r="73" spans="1:50" x14ac:dyDescent="0.2">
      <c r="A73" s="13" t="e">
        <v>#N/A</v>
      </c>
      <c r="B73" s="109" t="e">
        <v>#N/A</v>
      </c>
      <c r="C73" s="21" t="e">
        <v>#N/A</v>
      </c>
      <c r="D73" s="21" t="e">
        <v>#N/A</v>
      </c>
      <c r="E73" s="110" t="e">
        <v>#N/A</v>
      </c>
      <c r="F73" s="110" t="e">
        <v>#N/A</v>
      </c>
      <c r="G73" s="17" t="e">
        <v>#N/A</v>
      </c>
      <c r="H73" s="17" t="e">
        <v>#N/A</v>
      </c>
      <c r="I73" s="17" t="e">
        <v>#N/A</v>
      </c>
      <c r="J73" s="110" t="e">
        <v>#N/A</v>
      </c>
      <c r="K73" s="17" t="e">
        <v>#N/A</v>
      </c>
      <c r="L73" s="116" t="e">
        <v>#N/A</v>
      </c>
      <c r="M73" s="111" t="e">
        <v>#N/A</v>
      </c>
      <c r="N73" s="17" t="e">
        <v>#N/A</v>
      </c>
      <c r="O73" s="17" t="e">
        <v>#N/A</v>
      </c>
      <c r="P73" s="111" t="e">
        <v>#N/A</v>
      </c>
      <c r="Q73" s="17" t="e">
        <v>#N/A</v>
      </c>
      <c r="R73" s="17" t="e">
        <v>#N/A</v>
      </c>
      <c r="S73" s="17" t="e">
        <v>#N/A</v>
      </c>
      <c r="T73" s="17" t="e">
        <v>#N/A</v>
      </c>
      <c r="U73" s="71" t="e">
        <v>#N/A</v>
      </c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</row>
    <row r="74" spans="1:50" x14ac:dyDescent="0.2">
      <c r="A74" s="13" t="e">
        <v>#N/A</v>
      </c>
      <c r="B74" s="109" t="e">
        <v>#N/A</v>
      </c>
      <c r="C74" s="21" t="e">
        <v>#N/A</v>
      </c>
      <c r="D74" s="21" t="e">
        <v>#N/A</v>
      </c>
      <c r="E74" s="110" t="e">
        <v>#N/A</v>
      </c>
      <c r="F74" s="110" t="e">
        <v>#N/A</v>
      </c>
      <c r="G74" s="17" t="e">
        <v>#N/A</v>
      </c>
      <c r="H74" s="17" t="e">
        <v>#N/A</v>
      </c>
      <c r="I74" s="17" t="e">
        <v>#N/A</v>
      </c>
      <c r="J74" s="110" t="e">
        <v>#N/A</v>
      </c>
      <c r="K74" s="17" t="e">
        <v>#N/A</v>
      </c>
      <c r="L74" s="116" t="e">
        <v>#N/A</v>
      </c>
      <c r="M74" s="111" t="e">
        <v>#N/A</v>
      </c>
      <c r="N74" s="17" t="e">
        <v>#N/A</v>
      </c>
      <c r="O74" s="17" t="e">
        <v>#N/A</v>
      </c>
      <c r="P74" s="111" t="e">
        <v>#N/A</v>
      </c>
      <c r="Q74" s="17" t="e">
        <v>#N/A</v>
      </c>
      <c r="R74" s="17" t="e">
        <v>#N/A</v>
      </c>
      <c r="S74" s="17" t="e">
        <v>#N/A</v>
      </c>
      <c r="T74" s="17" t="e">
        <v>#N/A</v>
      </c>
      <c r="U74" s="71" t="e">
        <v>#N/A</v>
      </c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</row>
    <row r="75" spans="1:50" x14ac:dyDescent="0.2">
      <c r="A75" s="13" t="e">
        <v>#N/A</v>
      </c>
      <c r="B75" s="109" t="e">
        <v>#N/A</v>
      </c>
      <c r="C75" s="21" t="e">
        <v>#N/A</v>
      </c>
      <c r="D75" s="21" t="e">
        <v>#N/A</v>
      </c>
      <c r="E75" s="110" t="e">
        <v>#N/A</v>
      </c>
      <c r="F75" s="110" t="e">
        <v>#N/A</v>
      </c>
      <c r="G75" s="17" t="e">
        <v>#N/A</v>
      </c>
      <c r="H75" s="17" t="e">
        <v>#N/A</v>
      </c>
      <c r="I75" s="17" t="e">
        <v>#N/A</v>
      </c>
      <c r="J75" s="110" t="e">
        <v>#N/A</v>
      </c>
      <c r="K75" s="17" t="e">
        <v>#N/A</v>
      </c>
      <c r="L75" s="116" t="e">
        <v>#N/A</v>
      </c>
      <c r="M75" s="111" t="e">
        <v>#N/A</v>
      </c>
      <c r="N75" s="17" t="e">
        <v>#N/A</v>
      </c>
      <c r="O75" s="17" t="e">
        <v>#N/A</v>
      </c>
      <c r="P75" s="111" t="e">
        <v>#N/A</v>
      </c>
      <c r="Q75" s="17" t="e">
        <v>#N/A</v>
      </c>
      <c r="R75" s="17" t="e">
        <v>#N/A</v>
      </c>
      <c r="S75" s="17" t="e">
        <v>#N/A</v>
      </c>
      <c r="T75" s="17" t="e">
        <v>#N/A</v>
      </c>
      <c r="U75" s="71" t="e">
        <v>#N/A</v>
      </c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</row>
    <row r="76" spans="1:50" x14ac:dyDescent="0.2">
      <c r="A76" s="13" t="e">
        <v>#N/A</v>
      </c>
      <c r="B76" s="109" t="e">
        <v>#N/A</v>
      </c>
      <c r="C76" s="21" t="e">
        <v>#N/A</v>
      </c>
      <c r="D76" s="21" t="e">
        <v>#N/A</v>
      </c>
      <c r="E76" s="110" t="e">
        <v>#N/A</v>
      </c>
      <c r="F76" s="110" t="e">
        <v>#N/A</v>
      </c>
      <c r="G76" s="17" t="e">
        <v>#N/A</v>
      </c>
      <c r="H76" s="17" t="e">
        <v>#N/A</v>
      </c>
      <c r="I76" s="17" t="e">
        <v>#N/A</v>
      </c>
      <c r="J76" s="110" t="e">
        <v>#N/A</v>
      </c>
      <c r="K76" s="17" t="e">
        <v>#N/A</v>
      </c>
      <c r="L76" s="116" t="e">
        <v>#N/A</v>
      </c>
      <c r="M76" s="111" t="e">
        <v>#N/A</v>
      </c>
      <c r="N76" s="17" t="e">
        <v>#N/A</v>
      </c>
      <c r="O76" s="17" t="e">
        <v>#N/A</v>
      </c>
      <c r="P76" s="111" t="e">
        <v>#N/A</v>
      </c>
      <c r="Q76" s="17" t="e">
        <v>#N/A</v>
      </c>
      <c r="R76" s="17" t="e">
        <v>#N/A</v>
      </c>
      <c r="S76" s="17" t="e">
        <v>#N/A</v>
      </c>
      <c r="T76" s="17" t="e">
        <v>#N/A</v>
      </c>
      <c r="U76" s="71" t="e">
        <v>#N/A</v>
      </c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</row>
    <row r="77" spans="1:50" x14ac:dyDescent="0.2">
      <c r="A77" s="13" t="e">
        <v>#N/A</v>
      </c>
      <c r="B77" s="109" t="e">
        <v>#N/A</v>
      </c>
      <c r="C77" s="21" t="e">
        <v>#N/A</v>
      </c>
      <c r="D77" s="21" t="e">
        <v>#N/A</v>
      </c>
      <c r="E77" s="110" t="e">
        <v>#N/A</v>
      </c>
      <c r="F77" s="110" t="e">
        <v>#N/A</v>
      </c>
      <c r="G77" s="17" t="e">
        <v>#N/A</v>
      </c>
      <c r="H77" s="17" t="e">
        <v>#N/A</v>
      </c>
      <c r="I77" s="17" t="e">
        <v>#N/A</v>
      </c>
      <c r="J77" s="110" t="e">
        <v>#N/A</v>
      </c>
      <c r="K77" s="17" t="e">
        <v>#N/A</v>
      </c>
      <c r="L77" s="116" t="e">
        <v>#N/A</v>
      </c>
      <c r="M77" s="111" t="e">
        <v>#N/A</v>
      </c>
      <c r="N77" s="17" t="e">
        <v>#N/A</v>
      </c>
      <c r="O77" s="17" t="e">
        <v>#N/A</v>
      </c>
      <c r="P77" s="111" t="e">
        <v>#N/A</v>
      </c>
      <c r="Q77" s="17" t="e">
        <v>#N/A</v>
      </c>
      <c r="R77" s="17" t="e">
        <v>#N/A</v>
      </c>
      <c r="S77" s="17" t="e">
        <v>#N/A</v>
      </c>
      <c r="T77" s="17" t="e">
        <v>#N/A</v>
      </c>
      <c r="U77" s="71" t="e">
        <v>#N/A</v>
      </c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</row>
    <row r="78" spans="1:50" x14ac:dyDescent="0.2">
      <c r="A78" s="13" t="e">
        <v>#N/A</v>
      </c>
      <c r="B78" s="109" t="e">
        <v>#N/A</v>
      </c>
      <c r="C78" s="21" t="e">
        <v>#N/A</v>
      </c>
      <c r="D78" s="21" t="e">
        <v>#N/A</v>
      </c>
      <c r="E78" s="110" t="e">
        <v>#N/A</v>
      </c>
      <c r="F78" s="110" t="e">
        <v>#N/A</v>
      </c>
      <c r="G78" s="17" t="e">
        <v>#N/A</v>
      </c>
      <c r="H78" s="17" t="e">
        <v>#N/A</v>
      </c>
      <c r="I78" s="17" t="e">
        <v>#N/A</v>
      </c>
      <c r="J78" s="110" t="e">
        <v>#N/A</v>
      </c>
      <c r="K78" s="17" t="e">
        <v>#N/A</v>
      </c>
      <c r="L78" s="116" t="e">
        <v>#N/A</v>
      </c>
      <c r="M78" s="111" t="e">
        <v>#N/A</v>
      </c>
      <c r="N78" s="17" t="e">
        <v>#N/A</v>
      </c>
      <c r="O78" s="17" t="e">
        <v>#N/A</v>
      </c>
      <c r="P78" s="111" t="e">
        <v>#N/A</v>
      </c>
      <c r="Q78" s="17" t="e">
        <v>#N/A</v>
      </c>
      <c r="R78" s="17" t="e">
        <v>#N/A</v>
      </c>
      <c r="S78" s="17" t="e">
        <v>#N/A</v>
      </c>
      <c r="T78" s="17" t="e">
        <v>#N/A</v>
      </c>
      <c r="U78" s="71" t="e">
        <v>#N/A</v>
      </c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</row>
    <row r="79" spans="1:50" x14ac:dyDescent="0.2">
      <c r="A79" s="13" t="e">
        <v>#N/A</v>
      </c>
      <c r="B79" s="109" t="e">
        <v>#N/A</v>
      </c>
      <c r="C79" s="21" t="e">
        <v>#N/A</v>
      </c>
      <c r="D79" s="21" t="e">
        <v>#N/A</v>
      </c>
      <c r="E79" s="110" t="e">
        <v>#N/A</v>
      </c>
      <c r="F79" s="110" t="e">
        <v>#N/A</v>
      </c>
      <c r="G79" s="17" t="e">
        <v>#N/A</v>
      </c>
      <c r="H79" s="17" t="e">
        <v>#N/A</v>
      </c>
      <c r="I79" s="17" t="e">
        <v>#N/A</v>
      </c>
      <c r="J79" s="110" t="e">
        <v>#N/A</v>
      </c>
      <c r="K79" s="17" t="e">
        <v>#N/A</v>
      </c>
      <c r="L79" s="116" t="e">
        <v>#N/A</v>
      </c>
      <c r="M79" s="111" t="e">
        <v>#N/A</v>
      </c>
      <c r="N79" s="17" t="e">
        <v>#N/A</v>
      </c>
      <c r="O79" s="17" t="e">
        <v>#N/A</v>
      </c>
      <c r="P79" s="111" t="e">
        <v>#N/A</v>
      </c>
      <c r="Q79" s="17" t="e">
        <v>#N/A</v>
      </c>
      <c r="R79" s="17" t="e">
        <v>#N/A</v>
      </c>
      <c r="S79" s="17" t="e">
        <v>#N/A</v>
      </c>
      <c r="T79" s="17" t="e">
        <v>#N/A</v>
      </c>
      <c r="U79" s="71" t="e">
        <v>#N/A</v>
      </c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</row>
    <row r="80" spans="1:50" x14ac:dyDescent="0.2">
      <c r="A80" s="13" t="e">
        <v>#N/A</v>
      </c>
      <c r="B80" s="109" t="e">
        <v>#N/A</v>
      </c>
      <c r="C80" s="21" t="e">
        <v>#N/A</v>
      </c>
      <c r="D80" s="21" t="e">
        <v>#N/A</v>
      </c>
      <c r="E80" s="110" t="e">
        <v>#N/A</v>
      </c>
      <c r="F80" s="110" t="e">
        <v>#N/A</v>
      </c>
      <c r="G80" s="17" t="e">
        <v>#N/A</v>
      </c>
      <c r="H80" s="17" t="e">
        <v>#N/A</v>
      </c>
      <c r="I80" s="17" t="e">
        <v>#N/A</v>
      </c>
      <c r="J80" s="110" t="e">
        <v>#N/A</v>
      </c>
      <c r="K80" s="17" t="e">
        <v>#N/A</v>
      </c>
      <c r="L80" s="116" t="e">
        <v>#N/A</v>
      </c>
      <c r="M80" s="111" t="e">
        <v>#N/A</v>
      </c>
      <c r="N80" s="17" t="e">
        <v>#N/A</v>
      </c>
      <c r="O80" s="17" t="e">
        <v>#N/A</v>
      </c>
      <c r="P80" s="111" t="e">
        <v>#N/A</v>
      </c>
      <c r="Q80" s="17" t="e">
        <v>#N/A</v>
      </c>
      <c r="R80" s="17" t="e">
        <v>#N/A</v>
      </c>
      <c r="S80" s="17" t="e">
        <v>#N/A</v>
      </c>
      <c r="T80" s="17" t="e">
        <v>#N/A</v>
      </c>
      <c r="U80" s="71" t="e">
        <v>#N/A</v>
      </c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</row>
    <row r="81" spans="1:50" x14ac:dyDescent="0.2">
      <c r="A81" s="13" t="e">
        <v>#N/A</v>
      </c>
      <c r="B81" s="109" t="e">
        <v>#N/A</v>
      </c>
      <c r="C81" s="21" t="e">
        <v>#N/A</v>
      </c>
      <c r="D81" s="21" t="e">
        <v>#N/A</v>
      </c>
      <c r="E81" s="110" t="e">
        <v>#N/A</v>
      </c>
      <c r="F81" s="110" t="e">
        <v>#N/A</v>
      </c>
      <c r="G81" s="17" t="e">
        <v>#N/A</v>
      </c>
      <c r="H81" s="17" t="e">
        <v>#N/A</v>
      </c>
      <c r="I81" s="17" t="e">
        <v>#N/A</v>
      </c>
      <c r="J81" s="110" t="e">
        <v>#N/A</v>
      </c>
      <c r="K81" s="17" t="e">
        <v>#N/A</v>
      </c>
      <c r="L81" s="116" t="e">
        <v>#N/A</v>
      </c>
      <c r="M81" s="111" t="e">
        <v>#N/A</v>
      </c>
      <c r="N81" s="17" t="e">
        <v>#N/A</v>
      </c>
      <c r="O81" s="17" t="e">
        <v>#N/A</v>
      </c>
      <c r="P81" s="111" t="e">
        <v>#N/A</v>
      </c>
      <c r="Q81" s="17" t="e">
        <v>#N/A</v>
      </c>
      <c r="R81" s="17" t="e">
        <v>#N/A</v>
      </c>
      <c r="S81" s="17" t="e">
        <v>#N/A</v>
      </c>
      <c r="T81" s="17" t="e">
        <v>#N/A</v>
      </c>
      <c r="U81" s="71" t="e">
        <v>#N/A</v>
      </c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</row>
    <row r="82" spans="1:50" x14ac:dyDescent="0.2">
      <c r="A82" s="13" t="e">
        <v>#N/A</v>
      </c>
      <c r="B82" s="109" t="e">
        <v>#N/A</v>
      </c>
      <c r="C82" s="21" t="e">
        <v>#N/A</v>
      </c>
      <c r="D82" s="21" t="e">
        <v>#N/A</v>
      </c>
      <c r="E82" s="110" t="e">
        <v>#N/A</v>
      </c>
      <c r="F82" s="110" t="e">
        <v>#N/A</v>
      </c>
      <c r="G82" s="17" t="e">
        <v>#N/A</v>
      </c>
      <c r="H82" s="17" t="e">
        <v>#N/A</v>
      </c>
      <c r="I82" s="17" t="e">
        <v>#N/A</v>
      </c>
      <c r="J82" s="110" t="e">
        <v>#N/A</v>
      </c>
      <c r="K82" s="17" t="e">
        <v>#N/A</v>
      </c>
      <c r="L82" s="116" t="e">
        <v>#N/A</v>
      </c>
      <c r="M82" s="111" t="e">
        <v>#N/A</v>
      </c>
      <c r="N82" s="17" t="e">
        <v>#N/A</v>
      </c>
      <c r="O82" s="17" t="e">
        <v>#N/A</v>
      </c>
      <c r="P82" s="111" t="e">
        <v>#N/A</v>
      </c>
      <c r="Q82" s="17" t="e">
        <v>#N/A</v>
      </c>
      <c r="R82" s="17" t="e">
        <v>#N/A</v>
      </c>
      <c r="S82" s="17" t="e">
        <v>#N/A</v>
      </c>
      <c r="T82" s="17" t="e">
        <v>#N/A</v>
      </c>
      <c r="U82" s="71" t="e">
        <v>#N/A</v>
      </c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</row>
    <row r="83" spans="1:50" x14ac:dyDescent="0.2">
      <c r="A83" s="13" t="e">
        <v>#N/A</v>
      </c>
      <c r="B83" s="109" t="e">
        <v>#N/A</v>
      </c>
      <c r="C83" s="21" t="e">
        <v>#N/A</v>
      </c>
      <c r="D83" s="21" t="e">
        <v>#N/A</v>
      </c>
      <c r="E83" s="110" t="e">
        <v>#N/A</v>
      </c>
      <c r="F83" s="110" t="e">
        <v>#N/A</v>
      </c>
      <c r="G83" s="17" t="e">
        <v>#N/A</v>
      </c>
      <c r="H83" s="17" t="e">
        <v>#N/A</v>
      </c>
      <c r="I83" s="17" t="e">
        <v>#N/A</v>
      </c>
      <c r="J83" s="110" t="e">
        <v>#N/A</v>
      </c>
      <c r="K83" s="17" t="e">
        <v>#N/A</v>
      </c>
      <c r="L83" s="116" t="e">
        <v>#N/A</v>
      </c>
      <c r="M83" s="111" t="e">
        <v>#N/A</v>
      </c>
      <c r="N83" s="17" t="e">
        <v>#N/A</v>
      </c>
      <c r="O83" s="17" t="e">
        <v>#N/A</v>
      </c>
      <c r="P83" s="111" t="e">
        <v>#N/A</v>
      </c>
      <c r="Q83" s="17" t="e">
        <v>#N/A</v>
      </c>
      <c r="R83" s="17" t="e">
        <v>#N/A</v>
      </c>
      <c r="S83" s="17" t="e">
        <v>#N/A</v>
      </c>
      <c r="T83" s="17" t="e">
        <v>#N/A</v>
      </c>
      <c r="U83" s="71" t="e">
        <v>#N/A</v>
      </c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</row>
    <row r="84" spans="1:50" x14ac:dyDescent="0.2">
      <c r="A84" s="13" t="e">
        <v>#N/A</v>
      </c>
      <c r="B84" s="109" t="e">
        <v>#N/A</v>
      </c>
      <c r="C84" s="21" t="e">
        <v>#N/A</v>
      </c>
      <c r="D84" s="21" t="e">
        <v>#N/A</v>
      </c>
      <c r="E84" s="110" t="e">
        <v>#N/A</v>
      </c>
      <c r="F84" s="110" t="e">
        <v>#N/A</v>
      </c>
      <c r="G84" s="17" t="e">
        <v>#N/A</v>
      </c>
      <c r="H84" s="17" t="e">
        <v>#N/A</v>
      </c>
      <c r="I84" s="17" t="e">
        <v>#N/A</v>
      </c>
      <c r="J84" s="110" t="e">
        <v>#N/A</v>
      </c>
      <c r="K84" s="17" t="e">
        <v>#N/A</v>
      </c>
      <c r="L84" s="116" t="e">
        <v>#N/A</v>
      </c>
      <c r="M84" s="111" t="e">
        <v>#N/A</v>
      </c>
      <c r="N84" s="17" t="e">
        <v>#N/A</v>
      </c>
      <c r="O84" s="17" t="e">
        <v>#N/A</v>
      </c>
      <c r="P84" s="111" t="e">
        <v>#N/A</v>
      </c>
      <c r="Q84" s="17" t="e">
        <v>#N/A</v>
      </c>
      <c r="R84" s="17" t="e">
        <v>#N/A</v>
      </c>
      <c r="S84" s="17" t="e">
        <v>#N/A</v>
      </c>
      <c r="T84" s="17" t="e">
        <v>#N/A</v>
      </c>
      <c r="U84" s="71" t="e">
        <v>#N/A</v>
      </c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</row>
    <row r="85" spans="1:50" x14ac:dyDescent="0.2">
      <c r="A85" s="13" t="e">
        <v>#N/A</v>
      </c>
      <c r="B85" s="109" t="e">
        <v>#N/A</v>
      </c>
      <c r="C85" s="21" t="e">
        <v>#N/A</v>
      </c>
      <c r="D85" s="21" t="e">
        <v>#N/A</v>
      </c>
      <c r="E85" s="110" t="e">
        <v>#N/A</v>
      </c>
      <c r="F85" s="110" t="e">
        <v>#N/A</v>
      </c>
      <c r="G85" s="17" t="e">
        <v>#N/A</v>
      </c>
      <c r="H85" s="17" t="e">
        <v>#N/A</v>
      </c>
      <c r="I85" s="17" t="e">
        <v>#N/A</v>
      </c>
      <c r="J85" s="110" t="e">
        <v>#N/A</v>
      </c>
      <c r="K85" s="17" t="e">
        <v>#N/A</v>
      </c>
      <c r="L85" s="116" t="e">
        <v>#N/A</v>
      </c>
      <c r="M85" s="111" t="e">
        <v>#N/A</v>
      </c>
      <c r="N85" s="17" t="e">
        <v>#N/A</v>
      </c>
      <c r="O85" s="17" t="e">
        <v>#N/A</v>
      </c>
      <c r="P85" s="111" t="e">
        <v>#N/A</v>
      </c>
      <c r="Q85" s="17" t="e">
        <v>#N/A</v>
      </c>
      <c r="R85" s="17" t="e">
        <v>#N/A</v>
      </c>
      <c r="S85" s="17" t="e">
        <v>#N/A</v>
      </c>
      <c r="T85" s="17" t="e">
        <v>#N/A</v>
      </c>
      <c r="U85" s="71" t="e">
        <v>#N/A</v>
      </c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</row>
    <row r="86" spans="1:50" x14ac:dyDescent="0.2">
      <c r="A86" s="13" t="e">
        <v>#N/A</v>
      </c>
      <c r="B86" s="109" t="e">
        <v>#N/A</v>
      </c>
      <c r="C86" s="21" t="e">
        <v>#N/A</v>
      </c>
      <c r="D86" s="21" t="e">
        <v>#N/A</v>
      </c>
      <c r="E86" s="110" t="e">
        <v>#N/A</v>
      </c>
      <c r="F86" s="110" t="e">
        <v>#N/A</v>
      </c>
      <c r="G86" s="17" t="e">
        <v>#N/A</v>
      </c>
      <c r="H86" s="17" t="e">
        <v>#N/A</v>
      </c>
      <c r="I86" s="17" t="e">
        <v>#N/A</v>
      </c>
      <c r="J86" s="110" t="e">
        <v>#N/A</v>
      </c>
      <c r="K86" s="17" t="e">
        <v>#N/A</v>
      </c>
      <c r="L86" s="116" t="e">
        <v>#N/A</v>
      </c>
      <c r="M86" s="111" t="e">
        <v>#N/A</v>
      </c>
      <c r="N86" s="17" t="e">
        <v>#N/A</v>
      </c>
      <c r="O86" s="17" t="e">
        <v>#N/A</v>
      </c>
      <c r="P86" s="111" t="e">
        <v>#N/A</v>
      </c>
      <c r="Q86" s="17" t="e">
        <v>#N/A</v>
      </c>
      <c r="R86" s="17" t="e">
        <v>#N/A</v>
      </c>
      <c r="S86" s="17" t="e">
        <v>#N/A</v>
      </c>
      <c r="T86" s="17" t="e">
        <v>#N/A</v>
      </c>
      <c r="U86" s="71" t="e">
        <v>#N/A</v>
      </c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</row>
    <row r="87" spans="1:50" x14ac:dyDescent="0.2">
      <c r="A87" s="13" t="e">
        <v>#N/A</v>
      </c>
      <c r="B87" s="109" t="e">
        <v>#N/A</v>
      </c>
      <c r="C87" s="21" t="e">
        <v>#N/A</v>
      </c>
      <c r="D87" s="21" t="e">
        <v>#N/A</v>
      </c>
      <c r="E87" s="110" t="e">
        <v>#N/A</v>
      </c>
      <c r="F87" s="110" t="e">
        <v>#N/A</v>
      </c>
      <c r="G87" s="17" t="e">
        <v>#N/A</v>
      </c>
      <c r="H87" s="17" t="e">
        <v>#N/A</v>
      </c>
      <c r="I87" s="17" t="e">
        <v>#N/A</v>
      </c>
      <c r="J87" s="110" t="e">
        <v>#N/A</v>
      </c>
      <c r="K87" s="17" t="e">
        <v>#N/A</v>
      </c>
      <c r="L87" s="116" t="e">
        <v>#N/A</v>
      </c>
      <c r="M87" s="111" t="e">
        <v>#N/A</v>
      </c>
      <c r="N87" s="17" t="e">
        <v>#N/A</v>
      </c>
      <c r="O87" s="17" t="e">
        <v>#N/A</v>
      </c>
      <c r="P87" s="111" t="e">
        <v>#N/A</v>
      </c>
      <c r="Q87" s="17" t="e">
        <v>#N/A</v>
      </c>
      <c r="R87" s="17" t="e">
        <v>#N/A</v>
      </c>
      <c r="S87" s="17" t="e">
        <v>#N/A</v>
      </c>
      <c r="T87" s="17" t="e">
        <v>#N/A</v>
      </c>
      <c r="U87" s="71" t="e">
        <v>#N/A</v>
      </c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</row>
    <row r="88" spans="1:50" x14ac:dyDescent="0.2">
      <c r="A88" s="13" t="e">
        <v>#N/A</v>
      </c>
      <c r="B88" s="109" t="e">
        <v>#N/A</v>
      </c>
      <c r="C88" s="21" t="e">
        <v>#N/A</v>
      </c>
      <c r="D88" s="21" t="e">
        <v>#N/A</v>
      </c>
      <c r="E88" s="110" t="e">
        <v>#N/A</v>
      </c>
      <c r="F88" s="110" t="e">
        <v>#N/A</v>
      </c>
      <c r="G88" s="17" t="e">
        <v>#N/A</v>
      </c>
      <c r="H88" s="17" t="e">
        <v>#N/A</v>
      </c>
      <c r="I88" s="17" t="e">
        <v>#N/A</v>
      </c>
      <c r="J88" s="110" t="e">
        <v>#N/A</v>
      </c>
      <c r="K88" s="17" t="e">
        <v>#N/A</v>
      </c>
      <c r="L88" s="116" t="e">
        <v>#N/A</v>
      </c>
      <c r="M88" s="111" t="e">
        <v>#N/A</v>
      </c>
      <c r="N88" s="17" t="e">
        <v>#N/A</v>
      </c>
      <c r="O88" s="17" t="e">
        <v>#N/A</v>
      </c>
      <c r="P88" s="111" t="e">
        <v>#N/A</v>
      </c>
      <c r="Q88" s="17" t="e">
        <v>#N/A</v>
      </c>
      <c r="R88" s="17" t="e">
        <v>#N/A</v>
      </c>
      <c r="S88" s="17" t="e">
        <v>#N/A</v>
      </c>
      <c r="T88" s="17" t="e">
        <v>#N/A</v>
      </c>
      <c r="U88" s="71" t="e">
        <v>#N/A</v>
      </c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</row>
    <row r="89" spans="1:50" x14ac:dyDescent="0.2">
      <c r="A89" s="13" t="e">
        <v>#N/A</v>
      </c>
      <c r="B89" s="109" t="e">
        <v>#N/A</v>
      </c>
      <c r="C89" s="21" t="e">
        <v>#N/A</v>
      </c>
      <c r="D89" s="21" t="e">
        <v>#N/A</v>
      </c>
      <c r="E89" s="110" t="e">
        <v>#N/A</v>
      </c>
      <c r="F89" s="110" t="e">
        <v>#N/A</v>
      </c>
      <c r="G89" s="17" t="e">
        <v>#N/A</v>
      </c>
      <c r="H89" s="17" t="e">
        <v>#N/A</v>
      </c>
      <c r="I89" s="17" t="e">
        <v>#N/A</v>
      </c>
      <c r="J89" s="110" t="e">
        <v>#N/A</v>
      </c>
      <c r="K89" s="17" t="e">
        <v>#N/A</v>
      </c>
      <c r="L89" s="116" t="e">
        <v>#N/A</v>
      </c>
      <c r="M89" s="111" t="e">
        <v>#N/A</v>
      </c>
      <c r="N89" s="17" t="e">
        <v>#N/A</v>
      </c>
      <c r="O89" s="17" t="e">
        <v>#N/A</v>
      </c>
      <c r="P89" s="111" t="e">
        <v>#N/A</v>
      </c>
      <c r="Q89" s="17" t="e">
        <v>#N/A</v>
      </c>
      <c r="R89" s="17" t="e">
        <v>#N/A</v>
      </c>
      <c r="S89" s="17" t="e">
        <v>#N/A</v>
      </c>
      <c r="T89" s="17" t="e">
        <v>#N/A</v>
      </c>
      <c r="U89" s="71" t="e">
        <v>#N/A</v>
      </c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</row>
    <row r="90" spans="1:50" x14ac:dyDescent="0.2">
      <c r="A90" s="13" t="e">
        <v>#N/A</v>
      </c>
      <c r="B90" s="109" t="e">
        <v>#N/A</v>
      </c>
      <c r="C90" s="21" t="e">
        <v>#N/A</v>
      </c>
      <c r="D90" s="21" t="e">
        <v>#N/A</v>
      </c>
      <c r="E90" s="110" t="e">
        <v>#N/A</v>
      </c>
      <c r="F90" s="110" t="e">
        <v>#N/A</v>
      </c>
      <c r="G90" s="17" t="e">
        <v>#N/A</v>
      </c>
      <c r="H90" s="17" t="e">
        <v>#N/A</v>
      </c>
      <c r="I90" s="17" t="e">
        <v>#N/A</v>
      </c>
      <c r="J90" s="110" t="e">
        <v>#N/A</v>
      </c>
      <c r="K90" s="17" t="e">
        <v>#N/A</v>
      </c>
      <c r="L90" s="116" t="e">
        <v>#N/A</v>
      </c>
      <c r="M90" s="111" t="e">
        <v>#N/A</v>
      </c>
      <c r="N90" s="17" t="e">
        <v>#N/A</v>
      </c>
      <c r="O90" s="17" t="e">
        <v>#N/A</v>
      </c>
      <c r="P90" s="111" t="e">
        <v>#N/A</v>
      </c>
      <c r="Q90" s="17" t="e">
        <v>#N/A</v>
      </c>
      <c r="R90" s="17" t="e">
        <v>#N/A</v>
      </c>
      <c r="S90" s="17" t="e">
        <v>#N/A</v>
      </c>
      <c r="T90" s="17" t="e">
        <v>#N/A</v>
      </c>
      <c r="U90" s="71" t="e">
        <v>#N/A</v>
      </c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</row>
    <row r="91" spans="1:50" x14ac:dyDescent="0.2">
      <c r="A91" s="13" t="e">
        <v>#N/A</v>
      </c>
      <c r="B91" s="109" t="e">
        <v>#N/A</v>
      </c>
      <c r="C91" s="21" t="e">
        <v>#N/A</v>
      </c>
      <c r="D91" s="21" t="e">
        <v>#N/A</v>
      </c>
      <c r="E91" s="110" t="e">
        <v>#N/A</v>
      </c>
      <c r="F91" s="110" t="e">
        <v>#N/A</v>
      </c>
      <c r="G91" s="17" t="e">
        <v>#N/A</v>
      </c>
      <c r="H91" s="17" t="e">
        <v>#N/A</v>
      </c>
      <c r="I91" s="17" t="e">
        <v>#N/A</v>
      </c>
      <c r="J91" s="110" t="e">
        <v>#N/A</v>
      </c>
      <c r="K91" s="17" t="e">
        <v>#N/A</v>
      </c>
      <c r="L91" s="116" t="e">
        <v>#N/A</v>
      </c>
      <c r="M91" s="111" t="e">
        <v>#N/A</v>
      </c>
      <c r="N91" s="17" t="e">
        <v>#N/A</v>
      </c>
      <c r="O91" s="17" t="e">
        <v>#N/A</v>
      </c>
      <c r="P91" s="111" t="e">
        <v>#N/A</v>
      </c>
      <c r="Q91" s="17" t="e">
        <v>#N/A</v>
      </c>
      <c r="R91" s="17" t="e">
        <v>#N/A</v>
      </c>
      <c r="S91" s="17" t="e">
        <v>#N/A</v>
      </c>
      <c r="T91" s="17" t="e">
        <v>#N/A</v>
      </c>
      <c r="U91" s="71" t="e">
        <v>#N/A</v>
      </c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</row>
    <row r="92" spans="1:50" x14ac:dyDescent="0.2">
      <c r="A92" s="13" t="e">
        <v>#N/A</v>
      </c>
      <c r="B92" s="109" t="e">
        <v>#N/A</v>
      </c>
      <c r="C92" s="21" t="e">
        <v>#N/A</v>
      </c>
      <c r="D92" s="21" t="e">
        <v>#N/A</v>
      </c>
      <c r="E92" s="110" t="e">
        <v>#N/A</v>
      </c>
      <c r="F92" s="110" t="e">
        <v>#N/A</v>
      </c>
      <c r="G92" s="17" t="e">
        <v>#N/A</v>
      </c>
      <c r="H92" s="17" t="e">
        <v>#N/A</v>
      </c>
      <c r="I92" s="17" t="e">
        <v>#N/A</v>
      </c>
      <c r="J92" s="110" t="e">
        <v>#N/A</v>
      </c>
      <c r="K92" s="17" t="e">
        <v>#N/A</v>
      </c>
      <c r="L92" s="116" t="e">
        <v>#N/A</v>
      </c>
      <c r="M92" s="111" t="e">
        <v>#N/A</v>
      </c>
      <c r="N92" s="17" t="e">
        <v>#N/A</v>
      </c>
      <c r="O92" s="17" t="e">
        <v>#N/A</v>
      </c>
      <c r="P92" s="111" t="e">
        <v>#N/A</v>
      </c>
      <c r="Q92" s="17" t="e">
        <v>#N/A</v>
      </c>
      <c r="R92" s="17" t="e">
        <v>#N/A</v>
      </c>
      <c r="S92" s="17" t="e">
        <v>#N/A</v>
      </c>
      <c r="T92" s="17" t="e">
        <v>#N/A</v>
      </c>
      <c r="U92" s="71" t="e">
        <v>#N/A</v>
      </c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</row>
    <row r="93" spans="1:50" x14ac:dyDescent="0.2">
      <c r="A93" s="13" t="e">
        <v>#N/A</v>
      </c>
      <c r="B93" s="109" t="e">
        <v>#N/A</v>
      </c>
      <c r="C93" s="21" t="e">
        <v>#N/A</v>
      </c>
      <c r="D93" s="21" t="e">
        <v>#N/A</v>
      </c>
      <c r="E93" s="110" t="e">
        <v>#N/A</v>
      </c>
      <c r="F93" s="110" t="e">
        <v>#N/A</v>
      </c>
      <c r="G93" s="17" t="e">
        <v>#N/A</v>
      </c>
      <c r="H93" s="17" t="e">
        <v>#N/A</v>
      </c>
      <c r="I93" s="17" t="e">
        <v>#N/A</v>
      </c>
      <c r="J93" s="110" t="e">
        <v>#N/A</v>
      </c>
      <c r="K93" s="17" t="e">
        <v>#N/A</v>
      </c>
      <c r="L93" s="116" t="e">
        <v>#N/A</v>
      </c>
      <c r="M93" s="111" t="e">
        <v>#N/A</v>
      </c>
      <c r="N93" s="17" t="e">
        <v>#N/A</v>
      </c>
      <c r="O93" s="17" t="e">
        <v>#N/A</v>
      </c>
      <c r="P93" s="111" t="e">
        <v>#N/A</v>
      </c>
      <c r="Q93" s="17" t="e">
        <v>#N/A</v>
      </c>
      <c r="R93" s="17" t="e">
        <v>#N/A</v>
      </c>
      <c r="S93" s="17" t="e">
        <v>#N/A</v>
      </c>
      <c r="T93" s="17" t="e">
        <v>#N/A</v>
      </c>
      <c r="U93" s="71" t="e">
        <v>#N/A</v>
      </c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</row>
    <row r="94" spans="1:50" x14ac:dyDescent="0.2">
      <c r="A94" s="13" t="e">
        <v>#N/A</v>
      </c>
      <c r="B94" s="109" t="e">
        <v>#N/A</v>
      </c>
      <c r="C94" s="21" t="e">
        <v>#N/A</v>
      </c>
      <c r="D94" s="21" t="e">
        <v>#N/A</v>
      </c>
      <c r="E94" s="110" t="e">
        <v>#N/A</v>
      </c>
      <c r="F94" s="110" t="e">
        <v>#N/A</v>
      </c>
      <c r="G94" s="17" t="e">
        <v>#N/A</v>
      </c>
      <c r="H94" s="17" t="e">
        <v>#N/A</v>
      </c>
      <c r="I94" s="17" t="e">
        <v>#N/A</v>
      </c>
      <c r="J94" s="110" t="e">
        <v>#N/A</v>
      </c>
      <c r="K94" s="17" t="e">
        <v>#N/A</v>
      </c>
      <c r="L94" s="116" t="e">
        <v>#N/A</v>
      </c>
      <c r="M94" s="111" t="e">
        <v>#N/A</v>
      </c>
      <c r="N94" s="17" t="e">
        <v>#N/A</v>
      </c>
      <c r="O94" s="17" t="e">
        <v>#N/A</v>
      </c>
      <c r="P94" s="111" t="e">
        <v>#N/A</v>
      </c>
      <c r="Q94" s="17" t="e">
        <v>#N/A</v>
      </c>
      <c r="R94" s="17" t="e">
        <v>#N/A</v>
      </c>
      <c r="S94" s="17" t="e">
        <v>#N/A</v>
      </c>
      <c r="T94" s="17" t="e">
        <v>#N/A</v>
      </c>
      <c r="U94" s="71" t="e">
        <v>#N/A</v>
      </c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</row>
    <row r="95" spans="1:50" x14ac:dyDescent="0.2">
      <c r="A95" s="13" t="e">
        <v>#N/A</v>
      </c>
      <c r="B95" s="109" t="e">
        <v>#N/A</v>
      </c>
      <c r="C95" s="21" t="e">
        <v>#N/A</v>
      </c>
      <c r="D95" s="21" t="e">
        <v>#N/A</v>
      </c>
      <c r="E95" s="110" t="e">
        <v>#N/A</v>
      </c>
      <c r="F95" s="110" t="e">
        <v>#N/A</v>
      </c>
      <c r="G95" s="17" t="e">
        <v>#N/A</v>
      </c>
      <c r="H95" s="17" t="e">
        <v>#N/A</v>
      </c>
      <c r="I95" s="17" t="e">
        <v>#N/A</v>
      </c>
      <c r="J95" s="110" t="e">
        <v>#N/A</v>
      </c>
      <c r="K95" s="17" t="e">
        <v>#N/A</v>
      </c>
      <c r="L95" s="116" t="e">
        <v>#N/A</v>
      </c>
      <c r="M95" s="111" t="e">
        <v>#N/A</v>
      </c>
      <c r="N95" s="17" t="e">
        <v>#N/A</v>
      </c>
      <c r="O95" s="17" t="e">
        <v>#N/A</v>
      </c>
      <c r="P95" s="111" t="e">
        <v>#N/A</v>
      </c>
      <c r="Q95" s="17" t="e">
        <v>#N/A</v>
      </c>
      <c r="R95" s="17" t="e">
        <v>#N/A</v>
      </c>
      <c r="S95" s="17" t="e">
        <v>#N/A</v>
      </c>
      <c r="T95" s="17" t="e">
        <v>#N/A</v>
      </c>
      <c r="U95" s="71" t="e">
        <v>#N/A</v>
      </c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</row>
    <row r="96" spans="1:50" x14ac:dyDescent="0.2">
      <c r="A96" s="13" t="e">
        <v>#N/A</v>
      </c>
      <c r="B96" s="109" t="e">
        <v>#N/A</v>
      </c>
      <c r="C96" s="21" t="e">
        <v>#N/A</v>
      </c>
      <c r="D96" s="21" t="e">
        <v>#N/A</v>
      </c>
      <c r="E96" s="110" t="e">
        <v>#N/A</v>
      </c>
      <c r="F96" s="110" t="e">
        <v>#N/A</v>
      </c>
      <c r="G96" s="17" t="e">
        <v>#N/A</v>
      </c>
      <c r="H96" s="17" t="e">
        <v>#N/A</v>
      </c>
      <c r="I96" s="17" t="e">
        <v>#N/A</v>
      </c>
      <c r="J96" s="110" t="e">
        <v>#N/A</v>
      </c>
      <c r="K96" s="17" t="e">
        <v>#N/A</v>
      </c>
      <c r="L96" s="116" t="e">
        <v>#N/A</v>
      </c>
      <c r="M96" s="111" t="e">
        <v>#N/A</v>
      </c>
      <c r="N96" s="17" t="e">
        <v>#N/A</v>
      </c>
      <c r="O96" s="17" t="e">
        <v>#N/A</v>
      </c>
      <c r="P96" s="111" t="e">
        <v>#N/A</v>
      </c>
      <c r="Q96" s="17" t="e">
        <v>#N/A</v>
      </c>
      <c r="R96" s="17" t="e">
        <v>#N/A</v>
      </c>
      <c r="S96" s="17" t="e">
        <v>#N/A</v>
      </c>
      <c r="T96" s="17" t="e">
        <v>#N/A</v>
      </c>
      <c r="U96" s="71" t="e">
        <v>#N/A</v>
      </c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</row>
    <row r="97" spans="1:50" x14ac:dyDescent="0.2">
      <c r="A97" s="13" t="e">
        <v>#N/A</v>
      </c>
      <c r="B97" s="109" t="e">
        <v>#N/A</v>
      </c>
      <c r="C97" s="21" t="e">
        <v>#N/A</v>
      </c>
      <c r="D97" s="21" t="e">
        <v>#N/A</v>
      </c>
      <c r="E97" s="110" t="e">
        <v>#N/A</v>
      </c>
      <c r="F97" s="110" t="e">
        <v>#N/A</v>
      </c>
      <c r="G97" s="17" t="e">
        <v>#N/A</v>
      </c>
      <c r="H97" s="17" t="e">
        <v>#N/A</v>
      </c>
      <c r="I97" s="17" t="e">
        <v>#N/A</v>
      </c>
      <c r="J97" s="110" t="e">
        <v>#N/A</v>
      </c>
      <c r="K97" s="17" t="e">
        <v>#N/A</v>
      </c>
      <c r="L97" s="116" t="e">
        <v>#N/A</v>
      </c>
      <c r="M97" s="111" t="e">
        <v>#N/A</v>
      </c>
      <c r="N97" s="17" t="e">
        <v>#N/A</v>
      </c>
      <c r="O97" s="17" t="e">
        <v>#N/A</v>
      </c>
      <c r="P97" s="111" t="e">
        <v>#N/A</v>
      </c>
      <c r="Q97" s="17" t="e">
        <v>#N/A</v>
      </c>
      <c r="R97" s="17" t="e">
        <v>#N/A</v>
      </c>
      <c r="S97" s="17" t="e">
        <v>#N/A</v>
      </c>
      <c r="T97" s="17" t="e">
        <v>#N/A</v>
      </c>
      <c r="U97" s="71" t="e">
        <v>#N/A</v>
      </c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</row>
    <row r="98" spans="1:50" x14ac:dyDescent="0.2">
      <c r="A98" s="13" t="e">
        <v>#N/A</v>
      </c>
      <c r="B98" s="109" t="e">
        <v>#N/A</v>
      </c>
      <c r="C98" s="21" t="e">
        <v>#N/A</v>
      </c>
      <c r="D98" s="21" t="e">
        <v>#N/A</v>
      </c>
      <c r="E98" s="110" t="e">
        <v>#N/A</v>
      </c>
      <c r="F98" s="110" t="e">
        <v>#N/A</v>
      </c>
      <c r="G98" s="17" t="e">
        <v>#N/A</v>
      </c>
      <c r="H98" s="17" t="e">
        <v>#N/A</v>
      </c>
      <c r="I98" s="17" t="e">
        <v>#N/A</v>
      </c>
      <c r="J98" s="110" t="e">
        <v>#N/A</v>
      </c>
      <c r="K98" s="17" t="e">
        <v>#N/A</v>
      </c>
      <c r="L98" s="116" t="e">
        <v>#N/A</v>
      </c>
      <c r="M98" s="111" t="e">
        <v>#N/A</v>
      </c>
      <c r="N98" s="17" t="e">
        <v>#N/A</v>
      </c>
      <c r="O98" s="17" t="e">
        <v>#N/A</v>
      </c>
      <c r="P98" s="111" t="e">
        <v>#N/A</v>
      </c>
      <c r="Q98" s="17" t="e">
        <v>#N/A</v>
      </c>
      <c r="R98" s="17" t="e">
        <v>#N/A</v>
      </c>
      <c r="S98" s="17" t="e">
        <v>#N/A</v>
      </c>
      <c r="T98" s="17" t="e">
        <v>#N/A</v>
      </c>
      <c r="U98" s="71" t="e">
        <v>#N/A</v>
      </c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</row>
    <row r="99" spans="1:50" x14ac:dyDescent="0.2">
      <c r="A99" s="13" t="e">
        <v>#N/A</v>
      </c>
      <c r="B99" s="109" t="e">
        <v>#N/A</v>
      </c>
      <c r="C99" s="21" t="e">
        <v>#N/A</v>
      </c>
      <c r="D99" s="21" t="e">
        <v>#N/A</v>
      </c>
      <c r="E99" s="110" t="e">
        <v>#N/A</v>
      </c>
      <c r="F99" s="110" t="e">
        <v>#N/A</v>
      </c>
      <c r="G99" s="17" t="e">
        <v>#N/A</v>
      </c>
      <c r="H99" s="17" t="e">
        <v>#N/A</v>
      </c>
      <c r="I99" s="17" t="e">
        <v>#N/A</v>
      </c>
      <c r="J99" s="110" t="e">
        <v>#N/A</v>
      </c>
      <c r="K99" s="17" t="e">
        <v>#N/A</v>
      </c>
      <c r="L99" s="116" t="e">
        <v>#N/A</v>
      </c>
      <c r="M99" s="111" t="e">
        <v>#N/A</v>
      </c>
      <c r="N99" s="17" t="e">
        <v>#N/A</v>
      </c>
      <c r="O99" s="17" t="e">
        <v>#N/A</v>
      </c>
      <c r="P99" s="111" t="e">
        <v>#N/A</v>
      </c>
      <c r="Q99" s="17" t="e">
        <v>#N/A</v>
      </c>
      <c r="R99" s="17" t="e">
        <v>#N/A</v>
      </c>
      <c r="S99" s="17" t="e">
        <v>#N/A</v>
      </c>
      <c r="T99" s="17" t="e">
        <v>#N/A</v>
      </c>
      <c r="U99" s="71" t="e">
        <v>#N/A</v>
      </c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</row>
    <row r="100" spans="1:50" x14ac:dyDescent="0.2">
      <c r="A100" s="13" t="e">
        <v>#N/A</v>
      </c>
      <c r="B100" s="109" t="e">
        <v>#N/A</v>
      </c>
      <c r="C100" s="21" t="e">
        <v>#N/A</v>
      </c>
      <c r="D100" s="21" t="e">
        <v>#N/A</v>
      </c>
      <c r="E100" s="110" t="e">
        <v>#N/A</v>
      </c>
      <c r="F100" s="110" t="e">
        <v>#N/A</v>
      </c>
      <c r="G100" s="17" t="e">
        <v>#N/A</v>
      </c>
      <c r="H100" s="17" t="e">
        <v>#N/A</v>
      </c>
      <c r="I100" s="17" t="e">
        <v>#N/A</v>
      </c>
      <c r="J100" s="110" t="e">
        <v>#N/A</v>
      </c>
      <c r="K100" s="17" t="e">
        <v>#N/A</v>
      </c>
      <c r="L100" s="116" t="e">
        <v>#N/A</v>
      </c>
      <c r="M100" s="111" t="e">
        <v>#N/A</v>
      </c>
      <c r="N100" s="17" t="e">
        <v>#N/A</v>
      </c>
      <c r="O100" s="17" t="e">
        <v>#N/A</v>
      </c>
      <c r="P100" s="111" t="e">
        <v>#N/A</v>
      </c>
      <c r="Q100" s="17" t="e">
        <v>#N/A</v>
      </c>
      <c r="R100" s="17" t="e">
        <v>#N/A</v>
      </c>
      <c r="S100" s="17" t="e">
        <v>#N/A</v>
      </c>
      <c r="T100" s="17" t="e">
        <v>#N/A</v>
      </c>
      <c r="U100" s="71" t="e">
        <v>#N/A</v>
      </c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</row>
    <row r="101" spans="1:50" x14ac:dyDescent="0.2">
      <c r="A101" s="13" t="e">
        <v>#N/A</v>
      </c>
      <c r="B101" s="109" t="e">
        <v>#N/A</v>
      </c>
      <c r="C101" s="21" t="e">
        <v>#N/A</v>
      </c>
      <c r="D101" s="21" t="e">
        <v>#N/A</v>
      </c>
      <c r="E101" s="110" t="e">
        <v>#N/A</v>
      </c>
      <c r="F101" s="110" t="e">
        <v>#N/A</v>
      </c>
      <c r="G101" s="17" t="e">
        <v>#N/A</v>
      </c>
      <c r="H101" s="17" t="e">
        <v>#N/A</v>
      </c>
      <c r="I101" s="17" t="e">
        <v>#N/A</v>
      </c>
      <c r="J101" s="110" t="e">
        <v>#N/A</v>
      </c>
      <c r="K101" s="17" t="e">
        <v>#N/A</v>
      </c>
      <c r="L101" s="116" t="e">
        <v>#N/A</v>
      </c>
      <c r="M101" s="111" t="e">
        <v>#N/A</v>
      </c>
      <c r="N101" s="17" t="e">
        <v>#N/A</v>
      </c>
      <c r="O101" s="17" t="e">
        <v>#N/A</v>
      </c>
      <c r="P101" s="111" t="e">
        <v>#N/A</v>
      </c>
      <c r="Q101" s="17" t="e">
        <v>#N/A</v>
      </c>
      <c r="R101" s="17" t="e">
        <v>#N/A</v>
      </c>
      <c r="S101" s="17" t="e">
        <v>#N/A</v>
      </c>
      <c r="T101" s="17" t="e">
        <v>#N/A</v>
      </c>
      <c r="U101" s="71" t="e">
        <v>#N/A</v>
      </c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</row>
    <row r="102" spans="1:50" x14ac:dyDescent="0.2">
      <c r="A102" s="13" t="e">
        <v>#N/A</v>
      </c>
      <c r="B102" s="109" t="e">
        <v>#N/A</v>
      </c>
      <c r="C102" s="21" t="e">
        <v>#N/A</v>
      </c>
      <c r="D102" s="21" t="e">
        <v>#N/A</v>
      </c>
      <c r="E102" s="110" t="e">
        <v>#N/A</v>
      </c>
      <c r="F102" s="110" t="e">
        <v>#N/A</v>
      </c>
      <c r="G102" s="17" t="e">
        <v>#N/A</v>
      </c>
      <c r="H102" s="17" t="e">
        <v>#N/A</v>
      </c>
      <c r="I102" s="17" t="e">
        <v>#N/A</v>
      </c>
      <c r="J102" s="110" t="e">
        <v>#N/A</v>
      </c>
      <c r="K102" s="17" t="e">
        <v>#N/A</v>
      </c>
      <c r="L102" s="116" t="e">
        <v>#N/A</v>
      </c>
      <c r="M102" s="111" t="e">
        <v>#N/A</v>
      </c>
      <c r="N102" s="17" t="e">
        <v>#N/A</v>
      </c>
      <c r="O102" s="17" t="e">
        <v>#N/A</v>
      </c>
      <c r="P102" s="111" t="e">
        <v>#N/A</v>
      </c>
      <c r="Q102" s="17" t="e">
        <v>#N/A</v>
      </c>
      <c r="R102" s="17" t="e">
        <v>#N/A</v>
      </c>
      <c r="S102" s="17" t="e">
        <v>#N/A</v>
      </c>
      <c r="T102" s="17" t="e">
        <v>#N/A</v>
      </c>
      <c r="U102" s="71" t="e">
        <v>#N/A</v>
      </c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</row>
    <row r="103" spans="1:50" x14ac:dyDescent="0.2">
      <c r="A103" s="13" t="e">
        <v>#N/A</v>
      </c>
      <c r="B103" s="109" t="e">
        <v>#N/A</v>
      </c>
      <c r="C103" s="21" t="e">
        <v>#N/A</v>
      </c>
      <c r="D103" s="21" t="e">
        <v>#N/A</v>
      </c>
      <c r="E103" s="110" t="e">
        <v>#N/A</v>
      </c>
      <c r="F103" s="110" t="e">
        <v>#N/A</v>
      </c>
      <c r="G103" s="17" t="e">
        <v>#N/A</v>
      </c>
      <c r="H103" s="17" t="e">
        <v>#N/A</v>
      </c>
      <c r="I103" s="17" t="e">
        <v>#N/A</v>
      </c>
      <c r="J103" s="110" t="e">
        <v>#N/A</v>
      </c>
      <c r="K103" s="17" t="e">
        <v>#N/A</v>
      </c>
      <c r="L103" s="116" t="e">
        <v>#N/A</v>
      </c>
      <c r="M103" s="111" t="e">
        <v>#N/A</v>
      </c>
      <c r="N103" s="17" t="e">
        <v>#N/A</v>
      </c>
      <c r="O103" s="17" t="e">
        <v>#N/A</v>
      </c>
      <c r="P103" s="111" t="e">
        <v>#N/A</v>
      </c>
      <c r="Q103" s="17" t="e">
        <v>#N/A</v>
      </c>
      <c r="R103" s="17" t="e">
        <v>#N/A</v>
      </c>
      <c r="S103" s="17" t="e">
        <v>#N/A</v>
      </c>
      <c r="T103" s="17" t="e">
        <v>#N/A</v>
      </c>
      <c r="U103" s="71" t="e">
        <v>#N/A</v>
      </c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</row>
    <row r="104" spans="1:50" x14ac:dyDescent="0.2">
      <c r="A104" s="13" t="e">
        <v>#N/A</v>
      </c>
      <c r="B104" s="109" t="e">
        <v>#N/A</v>
      </c>
      <c r="C104" s="21" t="e">
        <v>#N/A</v>
      </c>
      <c r="D104" s="21" t="e">
        <v>#N/A</v>
      </c>
      <c r="E104" s="110" t="e">
        <v>#N/A</v>
      </c>
      <c r="F104" s="110" t="e">
        <v>#N/A</v>
      </c>
      <c r="G104" s="17" t="e">
        <v>#N/A</v>
      </c>
      <c r="H104" s="17" t="e">
        <v>#N/A</v>
      </c>
      <c r="I104" s="17" t="e">
        <v>#N/A</v>
      </c>
      <c r="J104" s="110" t="e">
        <v>#N/A</v>
      </c>
      <c r="K104" s="17" t="e">
        <v>#N/A</v>
      </c>
      <c r="L104" s="116" t="e">
        <v>#N/A</v>
      </c>
      <c r="M104" s="111" t="e">
        <v>#N/A</v>
      </c>
      <c r="N104" s="17" t="e">
        <v>#N/A</v>
      </c>
      <c r="O104" s="17" t="e">
        <v>#N/A</v>
      </c>
      <c r="P104" s="111" t="e">
        <v>#N/A</v>
      </c>
      <c r="Q104" s="17" t="e">
        <v>#N/A</v>
      </c>
      <c r="R104" s="17" t="e">
        <v>#N/A</v>
      </c>
      <c r="S104" s="17" t="e">
        <v>#N/A</v>
      </c>
      <c r="T104" s="17" t="e">
        <v>#N/A</v>
      </c>
      <c r="U104" s="71" t="e">
        <v>#N/A</v>
      </c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</row>
    <row r="105" spans="1:50" x14ac:dyDescent="0.2">
      <c r="A105" s="13" t="e">
        <v>#N/A</v>
      </c>
      <c r="B105" s="109" t="e">
        <v>#N/A</v>
      </c>
      <c r="C105" s="21" t="e">
        <v>#N/A</v>
      </c>
      <c r="D105" s="21" t="e">
        <v>#N/A</v>
      </c>
      <c r="E105" s="110" t="e">
        <v>#N/A</v>
      </c>
      <c r="F105" s="110" t="e">
        <v>#N/A</v>
      </c>
      <c r="G105" s="17" t="e">
        <v>#N/A</v>
      </c>
      <c r="H105" s="17" t="e">
        <v>#N/A</v>
      </c>
      <c r="I105" s="17" t="e">
        <v>#N/A</v>
      </c>
      <c r="J105" s="110" t="e">
        <v>#N/A</v>
      </c>
      <c r="K105" s="17" t="e">
        <v>#N/A</v>
      </c>
      <c r="L105" s="116" t="e">
        <v>#N/A</v>
      </c>
      <c r="M105" s="111" t="e">
        <v>#N/A</v>
      </c>
      <c r="N105" s="17" t="e">
        <v>#N/A</v>
      </c>
      <c r="O105" s="17" t="e">
        <v>#N/A</v>
      </c>
      <c r="P105" s="111" t="e">
        <v>#N/A</v>
      </c>
      <c r="Q105" s="17" t="e">
        <v>#N/A</v>
      </c>
      <c r="R105" s="17" t="e">
        <v>#N/A</v>
      </c>
      <c r="S105" s="17" t="e">
        <v>#N/A</v>
      </c>
      <c r="T105" s="17" t="e">
        <v>#N/A</v>
      </c>
      <c r="U105" s="71" t="e">
        <v>#N/A</v>
      </c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</row>
    <row r="106" spans="1:50" x14ac:dyDescent="0.2">
      <c r="A106" s="13" t="e">
        <v>#N/A</v>
      </c>
      <c r="B106" s="109" t="e">
        <v>#N/A</v>
      </c>
      <c r="C106" s="21" t="e">
        <v>#N/A</v>
      </c>
      <c r="D106" s="21" t="e">
        <v>#N/A</v>
      </c>
      <c r="E106" s="110" t="e">
        <v>#N/A</v>
      </c>
      <c r="F106" s="110" t="e">
        <v>#N/A</v>
      </c>
      <c r="G106" s="17" t="e">
        <v>#N/A</v>
      </c>
      <c r="H106" s="17" t="e">
        <v>#N/A</v>
      </c>
      <c r="I106" s="17" t="e">
        <v>#N/A</v>
      </c>
      <c r="J106" s="110" t="e">
        <v>#N/A</v>
      </c>
      <c r="K106" s="17" t="e">
        <v>#N/A</v>
      </c>
      <c r="L106" s="116" t="e">
        <v>#N/A</v>
      </c>
      <c r="M106" s="111" t="e">
        <v>#N/A</v>
      </c>
      <c r="N106" s="17" t="e">
        <v>#N/A</v>
      </c>
      <c r="O106" s="17" t="e">
        <v>#N/A</v>
      </c>
      <c r="P106" s="111" t="e">
        <v>#N/A</v>
      </c>
      <c r="Q106" s="17" t="e">
        <v>#N/A</v>
      </c>
      <c r="R106" s="17" t="e">
        <v>#N/A</v>
      </c>
      <c r="S106" s="17" t="e">
        <v>#N/A</v>
      </c>
      <c r="T106" s="17" t="e">
        <v>#N/A</v>
      </c>
      <c r="U106" s="71" t="e">
        <v>#N/A</v>
      </c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</row>
    <row r="107" spans="1:50" x14ac:dyDescent="0.2">
      <c r="A107" s="13" t="e">
        <v>#N/A</v>
      </c>
      <c r="B107" s="109" t="e">
        <v>#N/A</v>
      </c>
      <c r="C107" s="21" t="e">
        <v>#N/A</v>
      </c>
      <c r="D107" s="21" t="e">
        <v>#N/A</v>
      </c>
      <c r="E107" s="110" t="e">
        <v>#N/A</v>
      </c>
      <c r="F107" s="110" t="e">
        <v>#N/A</v>
      </c>
      <c r="G107" s="17" t="e">
        <v>#N/A</v>
      </c>
      <c r="H107" s="17" t="e">
        <v>#N/A</v>
      </c>
      <c r="I107" s="17" t="e">
        <v>#N/A</v>
      </c>
      <c r="J107" s="110" t="e">
        <v>#N/A</v>
      </c>
      <c r="K107" s="17" t="e">
        <v>#N/A</v>
      </c>
      <c r="L107" s="116" t="e">
        <v>#N/A</v>
      </c>
      <c r="M107" s="111" t="e">
        <v>#N/A</v>
      </c>
      <c r="N107" s="17" t="e">
        <v>#N/A</v>
      </c>
      <c r="O107" s="17" t="e">
        <v>#N/A</v>
      </c>
      <c r="P107" s="111" t="e">
        <v>#N/A</v>
      </c>
      <c r="Q107" s="17" t="e">
        <v>#N/A</v>
      </c>
      <c r="R107" s="17" t="e">
        <v>#N/A</v>
      </c>
      <c r="S107" s="17" t="e">
        <v>#N/A</v>
      </c>
      <c r="T107" s="17" t="e">
        <v>#N/A</v>
      </c>
      <c r="U107" s="71" t="e">
        <v>#N/A</v>
      </c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</row>
    <row r="108" spans="1:50" x14ac:dyDescent="0.2">
      <c r="A108" s="13" t="e">
        <v>#N/A</v>
      </c>
      <c r="B108" s="109" t="e">
        <v>#N/A</v>
      </c>
      <c r="C108" s="21" t="e">
        <v>#N/A</v>
      </c>
      <c r="D108" s="21" t="e">
        <v>#N/A</v>
      </c>
      <c r="E108" s="110" t="e">
        <v>#N/A</v>
      </c>
      <c r="F108" s="110" t="e">
        <v>#N/A</v>
      </c>
      <c r="G108" s="17" t="e">
        <v>#N/A</v>
      </c>
      <c r="H108" s="17" t="e">
        <v>#N/A</v>
      </c>
      <c r="I108" s="17" t="e">
        <v>#N/A</v>
      </c>
      <c r="J108" s="110" t="e">
        <v>#N/A</v>
      </c>
      <c r="K108" s="17" t="e">
        <v>#N/A</v>
      </c>
      <c r="L108" s="116" t="e">
        <v>#N/A</v>
      </c>
      <c r="M108" s="111" t="e">
        <v>#N/A</v>
      </c>
      <c r="N108" s="17" t="e">
        <v>#N/A</v>
      </c>
      <c r="O108" s="17" t="e">
        <v>#N/A</v>
      </c>
      <c r="P108" s="111" t="e">
        <v>#N/A</v>
      </c>
      <c r="Q108" s="17" t="e">
        <v>#N/A</v>
      </c>
      <c r="R108" s="17" t="e">
        <v>#N/A</v>
      </c>
      <c r="S108" s="17" t="e">
        <v>#N/A</v>
      </c>
      <c r="T108" s="17" t="e">
        <v>#N/A</v>
      </c>
      <c r="U108" s="71" t="e">
        <v>#N/A</v>
      </c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</row>
    <row r="109" spans="1:50" x14ac:dyDescent="0.2">
      <c r="A109" s="13" t="e">
        <v>#N/A</v>
      </c>
      <c r="B109" s="109" t="e">
        <v>#N/A</v>
      </c>
      <c r="C109" s="21" t="e">
        <v>#N/A</v>
      </c>
      <c r="D109" s="21" t="e">
        <v>#N/A</v>
      </c>
      <c r="E109" s="110" t="e">
        <v>#N/A</v>
      </c>
      <c r="F109" s="110" t="e">
        <v>#N/A</v>
      </c>
      <c r="G109" s="17" t="e">
        <v>#N/A</v>
      </c>
      <c r="H109" s="17" t="e">
        <v>#N/A</v>
      </c>
      <c r="I109" s="17" t="e">
        <v>#N/A</v>
      </c>
      <c r="J109" s="110" t="e">
        <v>#N/A</v>
      </c>
      <c r="K109" s="17" t="e">
        <v>#N/A</v>
      </c>
      <c r="L109" s="116" t="e">
        <v>#N/A</v>
      </c>
      <c r="M109" s="111" t="e">
        <v>#N/A</v>
      </c>
      <c r="N109" s="17" t="e">
        <v>#N/A</v>
      </c>
      <c r="O109" s="17" t="e">
        <v>#N/A</v>
      </c>
      <c r="P109" s="111" t="e">
        <v>#N/A</v>
      </c>
      <c r="Q109" s="17" t="e">
        <v>#N/A</v>
      </c>
      <c r="R109" s="17" t="e">
        <v>#N/A</v>
      </c>
      <c r="S109" s="17" t="e">
        <v>#N/A</v>
      </c>
      <c r="T109" s="17" t="e">
        <v>#N/A</v>
      </c>
      <c r="U109" s="71" t="e">
        <v>#N/A</v>
      </c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</row>
    <row r="110" spans="1:50" x14ac:dyDescent="0.2">
      <c r="A110" s="13" t="e">
        <v>#N/A</v>
      </c>
      <c r="B110" s="109" t="e">
        <v>#N/A</v>
      </c>
      <c r="C110" s="21" t="e">
        <v>#N/A</v>
      </c>
      <c r="D110" s="21" t="e">
        <v>#N/A</v>
      </c>
      <c r="E110" s="110" t="e">
        <v>#N/A</v>
      </c>
      <c r="F110" s="110" t="e">
        <v>#N/A</v>
      </c>
      <c r="G110" s="17" t="e">
        <v>#N/A</v>
      </c>
      <c r="H110" s="17" t="e">
        <v>#N/A</v>
      </c>
      <c r="I110" s="17" t="e">
        <v>#N/A</v>
      </c>
      <c r="J110" s="110" t="e">
        <v>#N/A</v>
      </c>
      <c r="K110" s="17" t="e">
        <v>#N/A</v>
      </c>
      <c r="L110" s="116" t="e">
        <v>#N/A</v>
      </c>
      <c r="M110" s="111" t="e">
        <v>#N/A</v>
      </c>
      <c r="N110" s="17" t="e">
        <v>#N/A</v>
      </c>
      <c r="O110" s="17" t="e">
        <v>#N/A</v>
      </c>
      <c r="P110" s="111" t="e">
        <v>#N/A</v>
      </c>
      <c r="Q110" s="17" t="e">
        <v>#N/A</v>
      </c>
      <c r="R110" s="17" t="e">
        <v>#N/A</v>
      </c>
      <c r="S110" s="17" t="e">
        <v>#N/A</v>
      </c>
      <c r="T110" s="17" t="e">
        <v>#N/A</v>
      </c>
      <c r="U110" s="71" t="e">
        <v>#N/A</v>
      </c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</row>
    <row r="111" spans="1:50" x14ac:dyDescent="0.2">
      <c r="A111" s="13" t="e">
        <v>#N/A</v>
      </c>
      <c r="B111" s="109" t="e">
        <v>#N/A</v>
      </c>
      <c r="C111" s="21" t="e">
        <v>#N/A</v>
      </c>
      <c r="D111" s="21" t="e">
        <v>#N/A</v>
      </c>
      <c r="E111" s="110" t="e">
        <v>#N/A</v>
      </c>
      <c r="F111" s="110" t="e">
        <v>#N/A</v>
      </c>
      <c r="G111" s="17" t="e">
        <v>#N/A</v>
      </c>
      <c r="H111" s="17" t="e">
        <v>#N/A</v>
      </c>
      <c r="I111" s="17" t="e">
        <v>#N/A</v>
      </c>
      <c r="J111" s="110" t="e">
        <v>#N/A</v>
      </c>
      <c r="K111" s="17" t="e">
        <v>#N/A</v>
      </c>
      <c r="L111" s="116" t="e">
        <v>#N/A</v>
      </c>
      <c r="M111" s="111" t="e">
        <v>#N/A</v>
      </c>
      <c r="N111" s="17" t="e">
        <v>#N/A</v>
      </c>
      <c r="O111" s="17" t="e">
        <v>#N/A</v>
      </c>
      <c r="P111" s="111" t="e">
        <v>#N/A</v>
      </c>
      <c r="Q111" s="17" t="e">
        <v>#N/A</v>
      </c>
      <c r="R111" s="17" t="e">
        <v>#N/A</v>
      </c>
      <c r="S111" s="17" t="e">
        <v>#N/A</v>
      </c>
      <c r="T111" s="17" t="e">
        <v>#N/A</v>
      </c>
      <c r="U111" s="71" t="e">
        <v>#N/A</v>
      </c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</row>
    <row r="112" spans="1:50" x14ac:dyDescent="0.2">
      <c r="A112" s="13" t="e">
        <v>#N/A</v>
      </c>
      <c r="B112" s="109" t="e">
        <v>#N/A</v>
      </c>
      <c r="C112" s="21" t="e">
        <v>#N/A</v>
      </c>
      <c r="D112" s="21" t="e">
        <v>#N/A</v>
      </c>
      <c r="E112" s="110" t="e">
        <v>#N/A</v>
      </c>
      <c r="F112" s="110" t="e">
        <v>#N/A</v>
      </c>
      <c r="G112" s="17" t="e">
        <v>#N/A</v>
      </c>
      <c r="H112" s="17" t="e">
        <v>#N/A</v>
      </c>
      <c r="I112" s="17" t="e">
        <v>#N/A</v>
      </c>
      <c r="J112" s="110" t="e">
        <v>#N/A</v>
      </c>
      <c r="K112" s="17" t="e">
        <v>#N/A</v>
      </c>
      <c r="L112" s="116" t="e">
        <v>#N/A</v>
      </c>
      <c r="M112" s="111" t="e">
        <v>#N/A</v>
      </c>
      <c r="N112" s="17" t="e">
        <v>#N/A</v>
      </c>
      <c r="O112" s="17" t="e">
        <v>#N/A</v>
      </c>
      <c r="P112" s="111" t="e">
        <v>#N/A</v>
      </c>
      <c r="Q112" s="17" t="e">
        <v>#N/A</v>
      </c>
      <c r="R112" s="17" t="e">
        <v>#N/A</v>
      </c>
      <c r="S112" s="17" t="e">
        <v>#N/A</v>
      </c>
      <c r="T112" s="17" t="e">
        <v>#N/A</v>
      </c>
      <c r="U112" s="71" t="e">
        <v>#N/A</v>
      </c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</row>
    <row r="113" spans="1:50" x14ac:dyDescent="0.2">
      <c r="A113" s="13" t="e">
        <v>#N/A</v>
      </c>
      <c r="B113" s="109" t="e">
        <v>#N/A</v>
      </c>
      <c r="C113" s="21" t="e">
        <v>#N/A</v>
      </c>
      <c r="D113" s="21" t="e">
        <v>#N/A</v>
      </c>
      <c r="E113" s="110" t="e">
        <v>#N/A</v>
      </c>
      <c r="F113" s="110" t="e">
        <v>#N/A</v>
      </c>
      <c r="G113" s="17" t="e">
        <v>#N/A</v>
      </c>
      <c r="H113" s="17" t="e">
        <v>#N/A</v>
      </c>
      <c r="I113" s="17" t="e">
        <v>#N/A</v>
      </c>
      <c r="J113" s="110" t="e">
        <v>#N/A</v>
      </c>
      <c r="K113" s="17" t="e">
        <v>#N/A</v>
      </c>
      <c r="L113" s="116" t="e">
        <v>#N/A</v>
      </c>
      <c r="M113" s="111" t="e">
        <v>#N/A</v>
      </c>
      <c r="N113" s="17" t="e">
        <v>#N/A</v>
      </c>
      <c r="O113" s="17" t="e">
        <v>#N/A</v>
      </c>
      <c r="P113" s="111" t="e">
        <v>#N/A</v>
      </c>
      <c r="Q113" s="17" t="e">
        <v>#N/A</v>
      </c>
      <c r="R113" s="17" t="e">
        <v>#N/A</v>
      </c>
      <c r="S113" s="17" t="e">
        <v>#N/A</v>
      </c>
      <c r="T113" s="17" t="e">
        <v>#N/A</v>
      </c>
      <c r="U113" s="71" t="e">
        <v>#N/A</v>
      </c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</row>
    <row r="114" spans="1:50" x14ac:dyDescent="0.2">
      <c r="A114" s="13" t="e">
        <v>#N/A</v>
      </c>
      <c r="B114" s="109" t="e">
        <v>#N/A</v>
      </c>
      <c r="C114" s="21" t="e">
        <v>#N/A</v>
      </c>
      <c r="D114" s="21" t="e">
        <v>#N/A</v>
      </c>
      <c r="E114" s="110" t="e">
        <v>#N/A</v>
      </c>
      <c r="F114" s="110" t="e">
        <v>#N/A</v>
      </c>
      <c r="G114" s="17" t="e">
        <v>#N/A</v>
      </c>
      <c r="H114" s="17" t="e">
        <v>#N/A</v>
      </c>
      <c r="I114" s="17" t="e">
        <v>#N/A</v>
      </c>
      <c r="J114" s="110" t="e">
        <v>#N/A</v>
      </c>
      <c r="K114" s="17" t="e">
        <v>#N/A</v>
      </c>
      <c r="L114" s="116" t="e">
        <v>#N/A</v>
      </c>
      <c r="M114" s="111" t="e">
        <v>#N/A</v>
      </c>
      <c r="N114" s="17" t="e">
        <v>#N/A</v>
      </c>
      <c r="O114" s="17" t="e">
        <v>#N/A</v>
      </c>
      <c r="P114" s="111" t="e">
        <v>#N/A</v>
      </c>
      <c r="Q114" s="17" t="e">
        <v>#N/A</v>
      </c>
      <c r="R114" s="17" t="e">
        <v>#N/A</v>
      </c>
      <c r="S114" s="17" t="e">
        <v>#N/A</v>
      </c>
      <c r="T114" s="17" t="e">
        <v>#N/A</v>
      </c>
      <c r="U114" s="71" t="e">
        <v>#N/A</v>
      </c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</row>
    <row r="115" spans="1:50" x14ac:dyDescent="0.2">
      <c r="A115" s="13" t="e">
        <v>#N/A</v>
      </c>
      <c r="B115" s="109" t="e">
        <v>#N/A</v>
      </c>
      <c r="C115" s="21" t="e">
        <v>#N/A</v>
      </c>
      <c r="D115" s="21" t="e">
        <v>#N/A</v>
      </c>
      <c r="E115" s="110" t="e">
        <v>#N/A</v>
      </c>
      <c r="F115" s="110" t="e">
        <v>#N/A</v>
      </c>
      <c r="G115" s="17" t="e">
        <v>#N/A</v>
      </c>
      <c r="H115" s="17" t="e">
        <v>#N/A</v>
      </c>
      <c r="I115" s="17" t="e">
        <v>#N/A</v>
      </c>
      <c r="J115" s="110" t="e">
        <v>#N/A</v>
      </c>
      <c r="K115" s="17" t="e">
        <v>#N/A</v>
      </c>
      <c r="L115" s="116" t="e">
        <v>#N/A</v>
      </c>
      <c r="M115" s="111" t="e">
        <v>#N/A</v>
      </c>
      <c r="N115" s="17" t="e">
        <v>#N/A</v>
      </c>
      <c r="O115" s="17" t="e">
        <v>#N/A</v>
      </c>
      <c r="P115" s="111" t="e">
        <v>#N/A</v>
      </c>
      <c r="Q115" s="17" t="e">
        <v>#N/A</v>
      </c>
      <c r="R115" s="17" t="e">
        <v>#N/A</v>
      </c>
      <c r="S115" s="17" t="e">
        <v>#N/A</v>
      </c>
      <c r="T115" s="17" t="e">
        <v>#N/A</v>
      </c>
      <c r="U115" s="71" t="e">
        <v>#N/A</v>
      </c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</row>
    <row r="116" spans="1:50" x14ac:dyDescent="0.2">
      <c r="A116" s="13" t="e">
        <v>#N/A</v>
      </c>
      <c r="B116" s="109" t="e">
        <v>#N/A</v>
      </c>
      <c r="C116" s="21" t="e">
        <v>#N/A</v>
      </c>
      <c r="D116" s="21" t="e">
        <v>#N/A</v>
      </c>
      <c r="E116" s="110" t="e">
        <v>#N/A</v>
      </c>
      <c r="F116" s="110" t="e">
        <v>#N/A</v>
      </c>
      <c r="G116" s="17" t="e">
        <v>#N/A</v>
      </c>
      <c r="H116" s="17" t="e">
        <v>#N/A</v>
      </c>
      <c r="I116" s="17" t="e">
        <v>#N/A</v>
      </c>
      <c r="J116" s="110" t="e">
        <v>#N/A</v>
      </c>
      <c r="K116" s="17" t="e">
        <v>#N/A</v>
      </c>
      <c r="L116" s="116" t="e">
        <v>#N/A</v>
      </c>
      <c r="M116" s="111" t="e">
        <v>#N/A</v>
      </c>
      <c r="N116" s="17" t="e">
        <v>#N/A</v>
      </c>
      <c r="O116" s="17" t="e">
        <v>#N/A</v>
      </c>
      <c r="P116" s="111" t="e">
        <v>#N/A</v>
      </c>
      <c r="Q116" s="17" t="e">
        <v>#N/A</v>
      </c>
      <c r="R116" s="17" t="e">
        <v>#N/A</v>
      </c>
      <c r="S116" s="17" t="e">
        <v>#N/A</v>
      </c>
      <c r="T116" s="17" t="e">
        <v>#N/A</v>
      </c>
      <c r="U116" s="71" t="e">
        <v>#N/A</v>
      </c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</row>
    <row r="117" spans="1:50" x14ac:dyDescent="0.2">
      <c r="A117" s="13" t="e">
        <v>#N/A</v>
      </c>
      <c r="B117" s="109" t="e">
        <v>#N/A</v>
      </c>
      <c r="C117" s="21" t="e">
        <v>#N/A</v>
      </c>
      <c r="D117" s="21" t="e">
        <v>#N/A</v>
      </c>
      <c r="E117" s="110" t="e">
        <v>#N/A</v>
      </c>
      <c r="F117" s="110" t="e">
        <v>#N/A</v>
      </c>
      <c r="G117" s="17" t="e">
        <v>#N/A</v>
      </c>
      <c r="H117" s="17" t="e">
        <v>#N/A</v>
      </c>
      <c r="I117" s="17" t="e">
        <v>#N/A</v>
      </c>
      <c r="J117" s="110" t="e">
        <v>#N/A</v>
      </c>
      <c r="K117" s="17" t="e">
        <v>#N/A</v>
      </c>
      <c r="L117" s="116" t="e">
        <v>#N/A</v>
      </c>
      <c r="M117" s="111" t="e">
        <v>#N/A</v>
      </c>
      <c r="N117" s="17" t="e">
        <v>#N/A</v>
      </c>
      <c r="O117" s="17" t="e">
        <v>#N/A</v>
      </c>
      <c r="P117" s="111" t="e">
        <v>#N/A</v>
      </c>
      <c r="Q117" s="17" t="e">
        <v>#N/A</v>
      </c>
      <c r="R117" s="17" t="e">
        <v>#N/A</v>
      </c>
      <c r="S117" s="17" t="e">
        <v>#N/A</v>
      </c>
      <c r="T117" s="17" t="e">
        <v>#N/A</v>
      </c>
      <c r="U117" s="71" t="e">
        <v>#N/A</v>
      </c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</row>
    <row r="118" spans="1:50" x14ac:dyDescent="0.2">
      <c r="A118" s="13" t="e">
        <v>#N/A</v>
      </c>
      <c r="B118" s="109" t="e">
        <v>#N/A</v>
      </c>
      <c r="C118" s="21" t="e">
        <v>#N/A</v>
      </c>
      <c r="D118" s="21" t="e">
        <v>#N/A</v>
      </c>
      <c r="E118" s="110" t="e">
        <v>#N/A</v>
      </c>
      <c r="F118" s="110" t="e">
        <v>#N/A</v>
      </c>
      <c r="G118" s="17" t="e">
        <v>#N/A</v>
      </c>
      <c r="H118" s="17" t="e">
        <v>#N/A</v>
      </c>
      <c r="I118" s="17" t="e">
        <v>#N/A</v>
      </c>
      <c r="J118" s="110" t="e">
        <v>#N/A</v>
      </c>
      <c r="K118" s="17" t="e">
        <v>#N/A</v>
      </c>
      <c r="L118" s="116" t="e">
        <v>#N/A</v>
      </c>
      <c r="M118" s="111" t="e">
        <v>#N/A</v>
      </c>
      <c r="N118" s="17" t="e">
        <v>#N/A</v>
      </c>
      <c r="O118" s="17" t="e">
        <v>#N/A</v>
      </c>
      <c r="P118" s="111" t="e">
        <v>#N/A</v>
      </c>
      <c r="Q118" s="17" t="e">
        <v>#N/A</v>
      </c>
      <c r="R118" s="17" t="e">
        <v>#N/A</v>
      </c>
      <c r="S118" s="17" t="e">
        <v>#N/A</v>
      </c>
      <c r="T118" s="17" t="e">
        <v>#N/A</v>
      </c>
      <c r="U118" s="71" t="e">
        <v>#N/A</v>
      </c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</row>
    <row r="119" spans="1:50" x14ac:dyDescent="0.2">
      <c r="A119" s="13" t="e">
        <v>#N/A</v>
      </c>
      <c r="B119" s="109" t="e">
        <v>#N/A</v>
      </c>
      <c r="C119" s="21" t="e">
        <v>#N/A</v>
      </c>
      <c r="D119" s="21" t="e">
        <v>#N/A</v>
      </c>
      <c r="E119" s="110" t="e">
        <v>#N/A</v>
      </c>
      <c r="F119" s="110" t="e">
        <v>#N/A</v>
      </c>
      <c r="G119" s="17" t="e">
        <v>#N/A</v>
      </c>
      <c r="H119" s="17" t="e">
        <v>#N/A</v>
      </c>
      <c r="I119" s="17" t="e">
        <v>#N/A</v>
      </c>
      <c r="J119" s="110" t="e">
        <v>#N/A</v>
      </c>
      <c r="K119" s="17" t="e">
        <v>#N/A</v>
      </c>
      <c r="L119" s="116" t="e">
        <v>#N/A</v>
      </c>
      <c r="M119" s="111" t="e">
        <v>#N/A</v>
      </c>
      <c r="N119" s="17" t="e">
        <v>#N/A</v>
      </c>
      <c r="O119" s="17" t="e">
        <v>#N/A</v>
      </c>
      <c r="P119" s="111" t="e">
        <v>#N/A</v>
      </c>
      <c r="Q119" s="17" t="e">
        <v>#N/A</v>
      </c>
      <c r="R119" s="17" t="e">
        <v>#N/A</v>
      </c>
      <c r="S119" s="17" t="e">
        <v>#N/A</v>
      </c>
      <c r="T119" s="17" t="e">
        <v>#N/A</v>
      </c>
      <c r="U119" s="71" t="e">
        <v>#N/A</v>
      </c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</row>
    <row r="120" spans="1:50" x14ac:dyDescent="0.2">
      <c r="A120" s="13" t="e">
        <v>#N/A</v>
      </c>
      <c r="B120" s="109" t="e">
        <v>#N/A</v>
      </c>
      <c r="C120" s="21" t="e">
        <v>#N/A</v>
      </c>
      <c r="D120" s="21" t="e">
        <v>#N/A</v>
      </c>
      <c r="E120" s="110" t="e">
        <v>#N/A</v>
      </c>
      <c r="F120" s="110" t="e">
        <v>#N/A</v>
      </c>
      <c r="G120" s="17" t="e">
        <v>#N/A</v>
      </c>
      <c r="H120" s="17" t="e">
        <v>#N/A</v>
      </c>
      <c r="I120" s="17" t="e">
        <v>#N/A</v>
      </c>
      <c r="J120" s="110" t="e">
        <v>#N/A</v>
      </c>
      <c r="K120" s="17" t="e">
        <v>#N/A</v>
      </c>
      <c r="L120" s="116" t="e">
        <v>#N/A</v>
      </c>
      <c r="M120" s="111" t="e">
        <v>#N/A</v>
      </c>
      <c r="N120" s="17" t="e">
        <v>#N/A</v>
      </c>
      <c r="O120" s="17" t="e">
        <v>#N/A</v>
      </c>
      <c r="P120" s="111" t="e">
        <v>#N/A</v>
      </c>
      <c r="Q120" s="17" t="e">
        <v>#N/A</v>
      </c>
      <c r="R120" s="17" t="e">
        <v>#N/A</v>
      </c>
      <c r="S120" s="17" t="e">
        <v>#N/A</v>
      </c>
      <c r="T120" s="17" t="e">
        <v>#N/A</v>
      </c>
      <c r="U120" s="71" t="e">
        <v>#N/A</v>
      </c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</row>
    <row r="121" spans="1:50" x14ac:dyDescent="0.2">
      <c r="A121" s="132" t="e">
        <v>#N/A</v>
      </c>
      <c r="B121" s="112" t="e">
        <v>#N/A</v>
      </c>
      <c r="C121" s="113" t="e">
        <v>#N/A</v>
      </c>
      <c r="D121" s="113" t="e">
        <v>#N/A</v>
      </c>
      <c r="E121" s="114" t="e">
        <v>#N/A</v>
      </c>
      <c r="F121" s="114" t="e">
        <v>#N/A</v>
      </c>
      <c r="G121" s="72" t="e">
        <v>#N/A</v>
      </c>
      <c r="H121" s="72" t="e">
        <v>#N/A</v>
      </c>
      <c r="I121" s="72" t="e">
        <v>#N/A</v>
      </c>
      <c r="J121" s="114" t="e">
        <v>#N/A</v>
      </c>
      <c r="K121" s="72" t="e">
        <v>#N/A</v>
      </c>
      <c r="L121" s="117" t="e">
        <v>#N/A</v>
      </c>
      <c r="M121" s="115" t="e">
        <v>#N/A</v>
      </c>
      <c r="N121" s="72" t="e">
        <v>#N/A</v>
      </c>
      <c r="O121" s="72" t="e">
        <v>#N/A</v>
      </c>
      <c r="P121" s="115" t="e">
        <v>#N/A</v>
      </c>
      <c r="Q121" s="72" t="e">
        <v>#N/A</v>
      </c>
      <c r="R121" s="72" t="e">
        <v>#N/A</v>
      </c>
      <c r="S121" s="72" t="e">
        <v>#N/A</v>
      </c>
      <c r="T121" s="72" t="e">
        <v>#N/A</v>
      </c>
      <c r="U121" s="73" t="e">
        <v>#N/A</v>
      </c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</row>
    <row r="122" spans="1:50" x14ac:dyDescent="0.2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</row>
    <row r="123" spans="1:50" x14ac:dyDescent="0.2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</row>
    <row r="124" spans="1:50" x14ac:dyDescent="0.2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</row>
    <row r="125" spans="1:50" x14ac:dyDescent="0.2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</row>
    <row r="126" spans="1:50" x14ac:dyDescent="0.2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</row>
    <row r="127" spans="1:50" x14ac:dyDescent="0.2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</row>
    <row r="128" spans="1:50" x14ac:dyDescent="0.2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</row>
    <row r="129" spans="1:50" x14ac:dyDescent="0.2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</row>
    <row r="130" spans="1:50" x14ac:dyDescent="0.2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</row>
    <row r="131" spans="1:50" x14ac:dyDescent="0.2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</row>
    <row r="132" spans="1:50" x14ac:dyDescent="0.2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</row>
    <row r="133" spans="1:50" x14ac:dyDescent="0.2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</row>
    <row r="134" spans="1:50" x14ac:dyDescent="0.2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</row>
    <row r="135" spans="1:50" x14ac:dyDescent="0.2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</row>
    <row r="136" spans="1:50" x14ac:dyDescent="0.2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</row>
    <row r="137" spans="1:50" x14ac:dyDescent="0.2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</row>
    <row r="138" spans="1:50" x14ac:dyDescent="0.2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</row>
    <row r="139" spans="1:50" x14ac:dyDescent="0.2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</row>
    <row r="140" spans="1:50" x14ac:dyDescent="0.2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</row>
    <row r="141" spans="1:50" x14ac:dyDescent="0.2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</row>
    <row r="142" spans="1:50" x14ac:dyDescent="0.2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</row>
    <row r="143" spans="1:50" x14ac:dyDescent="0.2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</row>
    <row r="144" spans="1:50" x14ac:dyDescent="0.2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</row>
    <row r="145" spans="1:50" x14ac:dyDescent="0.2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</row>
    <row r="146" spans="1:50" x14ac:dyDescent="0.2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</row>
    <row r="147" spans="1:50" x14ac:dyDescent="0.2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</row>
    <row r="148" spans="1:50" x14ac:dyDescent="0.2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</row>
    <row r="149" spans="1:50" x14ac:dyDescent="0.2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</row>
    <row r="150" spans="1:50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</row>
    <row r="151" spans="1:50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</row>
    <row r="152" spans="1:50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</row>
    <row r="153" spans="1:50" x14ac:dyDescent="0.2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</row>
    <row r="154" spans="1:50" x14ac:dyDescent="0.2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</row>
    <row r="155" spans="1:50" x14ac:dyDescent="0.2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</row>
    <row r="156" spans="1:50" x14ac:dyDescent="0.2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</row>
    <row r="157" spans="1:50" x14ac:dyDescent="0.2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</row>
    <row r="158" spans="1:50" x14ac:dyDescent="0.2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</row>
    <row r="159" spans="1:50" x14ac:dyDescent="0.2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</row>
    <row r="160" spans="1:50" x14ac:dyDescent="0.2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</row>
    <row r="161" spans="1:50" x14ac:dyDescent="0.2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</row>
    <row r="162" spans="1:50" x14ac:dyDescent="0.2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</row>
    <row r="163" spans="1:50" x14ac:dyDescent="0.2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</row>
    <row r="164" spans="1:50" x14ac:dyDescent="0.2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</row>
    <row r="165" spans="1:50" x14ac:dyDescent="0.2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</row>
    <row r="166" spans="1:50" x14ac:dyDescent="0.2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</row>
    <row r="167" spans="1:50" x14ac:dyDescent="0.2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</row>
    <row r="168" spans="1:50" x14ac:dyDescent="0.2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</row>
    <row r="169" spans="1:50" x14ac:dyDescent="0.2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</row>
    <row r="170" spans="1:50" x14ac:dyDescent="0.2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</row>
    <row r="171" spans="1:50" x14ac:dyDescent="0.2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</row>
    <row r="172" spans="1:50" x14ac:dyDescent="0.2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</row>
    <row r="173" spans="1:50" x14ac:dyDescent="0.2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</row>
    <row r="174" spans="1:50" x14ac:dyDescent="0.2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</row>
    <row r="175" spans="1:50" x14ac:dyDescent="0.2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</row>
    <row r="176" spans="1:50" x14ac:dyDescent="0.2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</row>
    <row r="177" spans="1:50" x14ac:dyDescent="0.2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</row>
    <row r="178" spans="1:50" x14ac:dyDescent="0.2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</row>
    <row r="179" spans="1:50" x14ac:dyDescent="0.2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</row>
    <row r="180" spans="1:50" x14ac:dyDescent="0.2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</row>
    <row r="181" spans="1:50" x14ac:dyDescent="0.2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</row>
    <row r="182" spans="1:50" x14ac:dyDescent="0.2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</row>
    <row r="183" spans="1:50" x14ac:dyDescent="0.2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</row>
    <row r="184" spans="1:50" x14ac:dyDescent="0.2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</row>
    <row r="185" spans="1:50" x14ac:dyDescent="0.2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</row>
    <row r="186" spans="1:50" x14ac:dyDescent="0.2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</row>
    <row r="187" spans="1:50" x14ac:dyDescent="0.2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</row>
    <row r="188" spans="1:50" x14ac:dyDescent="0.2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</row>
    <row r="189" spans="1:50" x14ac:dyDescent="0.2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</row>
    <row r="190" spans="1:50" x14ac:dyDescent="0.2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</row>
    <row r="191" spans="1:50" x14ac:dyDescent="0.2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</row>
    <row r="192" spans="1:50" x14ac:dyDescent="0.2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</row>
    <row r="193" spans="1:50" x14ac:dyDescent="0.2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</row>
    <row r="194" spans="1:50" x14ac:dyDescent="0.2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</row>
    <row r="195" spans="1:50" x14ac:dyDescent="0.2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</row>
    <row r="196" spans="1:50" x14ac:dyDescent="0.2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</row>
    <row r="197" spans="1:50" x14ac:dyDescent="0.2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</row>
    <row r="198" spans="1:50" x14ac:dyDescent="0.2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</row>
    <row r="199" spans="1:50" x14ac:dyDescent="0.2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</row>
    <row r="200" spans="1:50" x14ac:dyDescent="0.2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CCSPricing!$B$4:$B$17</xm:f>
          </x14:formula1>
          <xm:sqref>A1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X200"/>
  <sheetViews>
    <sheetView showGridLines="0" workbookViewId="0"/>
  </sheetViews>
  <sheetFormatPr defaultRowHeight="11.25" x14ac:dyDescent="0.2"/>
  <cols>
    <col min="1" max="1" width="12" style="1" bestFit="1" customWidth="1"/>
    <col min="2" max="2" width="17.42578125" style="1" bestFit="1" customWidth="1"/>
    <col min="3" max="3" width="16.28515625" style="1" bestFit="1" customWidth="1"/>
    <col min="4" max="4" width="15.28515625" style="1" bestFit="1" customWidth="1"/>
    <col min="5" max="5" width="19.42578125" style="1" bestFit="1" customWidth="1"/>
    <col min="6" max="6" width="17.42578125" style="1" bestFit="1" customWidth="1"/>
    <col min="7" max="7" width="13.28515625" style="1" bestFit="1" customWidth="1"/>
    <col min="8" max="8" width="21.42578125" style="1" bestFit="1" customWidth="1"/>
    <col min="9" max="9" width="12.140625" style="1" bestFit="1" customWidth="1"/>
    <col min="10" max="10" width="17.42578125" style="1" bestFit="1" customWidth="1"/>
    <col min="11" max="11" width="12" style="1" bestFit="1" customWidth="1"/>
    <col min="12" max="13" width="15.28515625" style="1" bestFit="1" customWidth="1"/>
    <col min="14" max="14" width="6" style="1" bestFit="1" customWidth="1"/>
    <col min="15" max="15" width="8.140625" style="1" bestFit="1" customWidth="1"/>
    <col min="16" max="16" width="13.28515625" style="1" bestFit="1" customWidth="1"/>
    <col min="17" max="17" width="13.140625" style="1" bestFit="1" customWidth="1"/>
    <col min="18" max="18" width="7.140625" style="1" bestFit="1" customWidth="1"/>
    <col min="19" max="19" width="5" style="1" bestFit="1" customWidth="1"/>
    <col min="20" max="20" width="20.28515625" style="1" bestFit="1" customWidth="1"/>
    <col min="21" max="22" width="19.28515625" style="1" bestFit="1" customWidth="1"/>
    <col min="23" max="16384" width="9.140625" style="1"/>
  </cols>
  <sheetData>
    <row r="1" spans="1:50" x14ac:dyDescent="0.2">
      <c r="A1" s="133" t="str">
        <f>DomesticLegFlowAnalysis!A1</f>
        <v>1Y</v>
      </c>
      <c r="B1" s="103" t="str">
        <f t="array" ref="B1:U43">_xll.qlLegFlowAnalysis(VLOOKUP($A$1,CCSPricing!B4:O17,14,0))</f>
        <v>Payment Date</v>
      </c>
      <c r="C1" s="104" t="str">
        <v>Amount</v>
      </c>
      <c r="D1" s="104" t="str">
        <v>Nominal</v>
      </c>
      <c r="E1" s="105" t="str">
        <v>Accrual Start Date</v>
      </c>
      <c r="F1" s="105" t="str">
        <v>Accrual End Date</v>
      </c>
      <c r="G1" s="106" t="str">
        <v>Accrual Days</v>
      </c>
      <c r="H1" s="106" t="str">
        <v>Index</v>
      </c>
      <c r="I1" s="106" t="str">
        <v>Fixing Days</v>
      </c>
      <c r="J1" s="105" t="str">
        <v>Fixing Dates</v>
      </c>
      <c r="K1" s="106" t="str">
        <v>Day Counter</v>
      </c>
      <c r="L1" s="106" t="str">
        <v>Accrual Period</v>
      </c>
      <c r="M1" s="107" t="str">
        <v>Effective Rate</v>
      </c>
      <c r="N1" s="106" t="str">
        <v>Floor</v>
      </c>
      <c r="O1" s="106" t="str">
        <v>Gearing</v>
      </c>
      <c r="P1" s="107" t="str">
        <v>Index Fixing</v>
      </c>
      <c r="Q1" s="106" t="str">
        <v>Conv. Adj.</v>
      </c>
      <c r="R1" s="106" t="str">
        <v>Spread</v>
      </c>
      <c r="S1" s="106" t="str">
        <v>Cap</v>
      </c>
      <c r="T1" s="106" t="str">
        <v>Call Digital Payoff</v>
      </c>
      <c r="U1" s="108" t="str">
        <v>Put Digital Payoff</v>
      </c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</row>
    <row r="2" spans="1:50" x14ac:dyDescent="0.2">
      <c r="A2" s="131">
        <f t="array" ref="A2:A43">_xll.qlYieldTSDiscount(ForeignDiscountCurve,_xll.ohPack(B2:B43))</f>
        <v>1</v>
      </c>
      <c r="B2" s="109">
        <v>41949</v>
      </c>
      <c r="C2" s="21">
        <v>-1000000</v>
      </c>
      <c r="D2" s="21" t="str">
        <v>#N/A</v>
      </c>
      <c r="E2" s="110" t="str">
        <v>#N/A</v>
      </c>
      <c r="F2" s="110" t="str">
        <v>#N/A</v>
      </c>
      <c r="G2" s="17" t="str">
        <v>#N/A</v>
      </c>
      <c r="H2" s="17" t="str">
        <v>#N/A</v>
      </c>
      <c r="I2" s="17" t="str">
        <v>#N/A</v>
      </c>
      <c r="J2" s="110" t="str">
        <v>#N/A</v>
      </c>
      <c r="K2" s="17" t="str">
        <v>#N/A</v>
      </c>
      <c r="L2" s="116" t="str">
        <v>#N/A</v>
      </c>
      <c r="M2" s="111" t="str">
        <v>#N/A</v>
      </c>
      <c r="N2" s="17" t="str">
        <v>#N/A</v>
      </c>
      <c r="O2" s="17" t="str">
        <v>#N/A</v>
      </c>
      <c r="P2" s="111" t="str">
        <v>#N/A</v>
      </c>
      <c r="Q2" s="17" t="str">
        <v>#N/A</v>
      </c>
      <c r="R2" s="17" t="str">
        <v>#N/A</v>
      </c>
      <c r="S2" s="17" t="str">
        <v>#N/A</v>
      </c>
      <c r="T2" s="17" t="str">
        <v>#N/A</v>
      </c>
      <c r="U2" s="71" t="str">
        <v>#N/A</v>
      </c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</row>
    <row r="3" spans="1:50" x14ac:dyDescent="0.2">
      <c r="A3" s="13">
        <v>0.99213154540393911</v>
      </c>
      <c r="B3" s="109">
        <v>42041</v>
      </c>
      <c r="C3" s="21">
        <v>0</v>
      </c>
      <c r="D3" s="21">
        <v>1000000</v>
      </c>
      <c r="E3" s="110">
        <v>41949</v>
      </c>
      <c r="F3" s="110">
        <v>42041</v>
      </c>
      <c r="G3" s="17">
        <v>92</v>
      </c>
      <c r="H3" s="17" t="str">
        <v>#N/A</v>
      </c>
      <c r="I3" s="17" t="str">
        <v>#N/A</v>
      </c>
      <c r="J3" s="110" t="str">
        <v>#N/A</v>
      </c>
      <c r="K3" s="17" t="str">
        <v>Actual/360</v>
      </c>
      <c r="L3" s="116">
        <v>0.25555555555555554</v>
      </c>
      <c r="M3" s="111">
        <v>0</v>
      </c>
      <c r="N3" s="17" t="str">
        <v>#N/A</v>
      </c>
      <c r="O3" s="17" t="str">
        <v>#N/A</v>
      </c>
      <c r="P3" s="111" t="str">
        <v>#N/A</v>
      </c>
      <c r="Q3" s="17" t="str">
        <v>#N/A</v>
      </c>
      <c r="R3" s="17" t="str">
        <v>#N/A</v>
      </c>
      <c r="S3" s="17" t="str">
        <v>#N/A</v>
      </c>
      <c r="T3" s="17" t="str">
        <v>#N/A</v>
      </c>
      <c r="U3" s="71" t="str">
        <v>#N/A</v>
      </c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</row>
    <row r="4" spans="1:50" x14ac:dyDescent="0.2">
      <c r="A4" s="13">
        <v>0.9857288862245005</v>
      </c>
      <c r="B4" s="109">
        <v>42130</v>
      </c>
      <c r="C4" s="21">
        <v>0</v>
      </c>
      <c r="D4" s="21">
        <v>1000000</v>
      </c>
      <c r="E4" s="110">
        <v>42041</v>
      </c>
      <c r="F4" s="110">
        <v>42130</v>
      </c>
      <c r="G4" s="17">
        <v>89</v>
      </c>
      <c r="H4" s="17" t="str">
        <v>#N/A</v>
      </c>
      <c r="I4" s="17" t="str">
        <v>#N/A</v>
      </c>
      <c r="J4" s="110" t="str">
        <v>#N/A</v>
      </c>
      <c r="K4" s="17" t="str">
        <v>Actual/360</v>
      </c>
      <c r="L4" s="116">
        <v>0.24722222222222223</v>
      </c>
      <c r="M4" s="111">
        <v>0</v>
      </c>
      <c r="N4" s="17" t="str">
        <v>#N/A</v>
      </c>
      <c r="O4" s="17" t="str">
        <v>#N/A</v>
      </c>
      <c r="P4" s="111" t="str">
        <v>#N/A</v>
      </c>
      <c r="Q4" s="17" t="str">
        <v>#N/A</v>
      </c>
      <c r="R4" s="17" t="str">
        <v>#N/A</v>
      </c>
      <c r="S4" s="17" t="str">
        <v>#N/A</v>
      </c>
      <c r="T4" s="17" t="str">
        <v>#N/A</v>
      </c>
      <c r="U4" s="71" t="str">
        <v>#N/A</v>
      </c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</row>
    <row r="5" spans="1:50" x14ac:dyDescent="0.2">
      <c r="A5" s="13">
        <v>0.97976584508920062</v>
      </c>
      <c r="B5" s="109">
        <v>42222</v>
      </c>
      <c r="C5" s="21">
        <v>0</v>
      </c>
      <c r="D5" s="21">
        <v>1000000</v>
      </c>
      <c r="E5" s="110">
        <v>42130</v>
      </c>
      <c r="F5" s="110">
        <v>42222</v>
      </c>
      <c r="G5" s="17">
        <v>92</v>
      </c>
      <c r="H5" s="17" t="str">
        <v>#N/A</v>
      </c>
      <c r="I5" s="17" t="str">
        <v>#N/A</v>
      </c>
      <c r="J5" s="110" t="str">
        <v>#N/A</v>
      </c>
      <c r="K5" s="17" t="str">
        <v>Actual/360</v>
      </c>
      <c r="L5" s="116">
        <v>0.25555555555555554</v>
      </c>
      <c r="M5" s="111">
        <v>0</v>
      </c>
      <c r="N5" s="17" t="str">
        <v>#N/A</v>
      </c>
      <c r="O5" s="17" t="str">
        <v>#N/A</v>
      </c>
      <c r="P5" s="111" t="str">
        <v>#N/A</v>
      </c>
      <c r="Q5" s="17" t="str">
        <v>#N/A</v>
      </c>
      <c r="R5" s="17" t="str">
        <v>#N/A</v>
      </c>
      <c r="S5" s="17" t="str">
        <v>#N/A</v>
      </c>
      <c r="T5" s="17" t="str">
        <v>#N/A</v>
      </c>
      <c r="U5" s="71" t="str">
        <v>#N/A</v>
      </c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</row>
    <row r="6" spans="1:50" x14ac:dyDescent="0.2">
      <c r="A6" s="13">
        <v>0.97431707310981575</v>
      </c>
      <c r="B6" s="109">
        <v>42314</v>
      </c>
      <c r="C6" s="21">
        <v>0</v>
      </c>
      <c r="D6" s="21">
        <v>1000000</v>
      </c>
      <c r="E6" s="110">
        <v>42222</v>
      </c>
      <c r="F6" s="110">
        <v>42314</v>
      </c>
      <c r="G6" s="17">
        <v>92</v>
      </c>
      <c r="H6" s="17" t="str">
        <v>#N/A</v>
      </c>
      <c r="I6" s="17" t="str">
        <v>#N/A</v>
      </c>
      <c r="J6" s="110" t="str">
        <v>#N/A</v>
      </c>
      <c r="K6" s="17" t="str">
        <v>Actual/360</v>
      </c>
      <c r="L6" s="116">
        <v>0.25555555555555554</v>
      </c>
      <c r="M6" s="111">
        <v>0</v>
      </c>
      <c r="N6" s="17" t="str">
        <v>#N/A</v>
      </c>
      <c r="O6" s="17" t="str">
        <v>#N/A</v>
      </c>
      <c r="P6" s="111" t="str">
        <v>#N/A</v>
      </c>
      <c r="Q6" s="17" t="str">
        <v>#N/A</v>
      </c>
      <c r="R6" s="17" t="str">
        <v>#N/A</v>
      </c>
      <c r="S6" s="17" t="str">
        <v>#N/A</v>
      </c>
      <c r="T6" s="17" t="str">
        <v>#N/A</v>
      </c>
      <c r="U6" s="71" t="str">
        <v>#N/A</v>
      </c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</row>
    <row r="7" spans="1:50" x14ac:dyDescent="0.2">
      <c r="A7" s="13">
        <v>0.97431707310981575</v>
      </c>
      <c r="B7" s="109">
        <v>42314</v>
      </c>
      <c r="C7" s="21">
        <v>1000000</v>
      </c>
      <c r="D7" s="21" t="str">
        <v>#N/A</v>
      </c>
      <c r="E7" s="110" t="str">
        <v>#N/A</v>
      </c>
      <c r="F7" s="110" t="str">
        <v>#N/A</v>
      </c>
      <c r="G7" s="17" t="str">
        <v>#N/A</v>
      </c>
      <c r="H7" s="17" t="str">
        <v>#N/A</v>
      </c>
      <c r="I7" s="17" t="str">
        <v>#N/A</v>
      </c>
      <c r="J7" s="110" t="str">
        <v>#N/A</v>
      </c>
      <c r="K7" s="17" t="str">
        <v>#N/A</v>
      </c>
      <c r="L7" s="116" t="str">
        <v>#N/A</v>
      </c>
      <c r="M7" s="111" t="str">
        <v>#N/A</v>
      </c>
      <c r="N7" s="17" t="str">
        <v>#N/A</v>
      </c>
      <c r="O7" s="17" t="str">
        <v>#N/A</v>
      </c>
      <c r="P7" s="111" t="str">
        <v>#N/A</v>
      </c>
      <c r="Q7" s="17" t="str">
        <v>#N/A</v>
      </c>
      <c r="R7" s="17" t="str">
        <v>#N/A</v>
      </c>
      <c r="S7" s="17" t="str">
        <v>#N/A</v>
      </c>
      <c r="T7" s="17" t="str">
        <v>#N/A</v>
      </c>
      <c r="U7" s="71" t="str">
        <v>#N/A</v>
      </c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</row>
    <row r="8" spans="1:50" x14ac:dyDescent="0.2">
      <c r="A8" s="13" t="e">
        <v>#N/A</v>
      </c>
      <c r="B8" s="109" t="e">
        <v>#N/A</v>
      </c>
      <c r="C8" s="21" t="e">
        <v>#N/A</v>
      </c>
      <c r="D8" s="21" t="e">
        <v>#N/A</v>
      </c>
      <c r="E8" s="110" t="e">
        <v>#N/A</v>
      </c>
      <c r="F8" s="110" t="e">
        <v>#N/A</v>
      </c>
      <c r="G8" s="17" t="e">
        <v>#N/A</v>
      </c>
      <c r="H8" s="17" t="e">
        <v>#N/A</v>
      </c>
      <c r="I8" s="17" t="e">
        <v>#N/A</v>
      </c>
      <c r="J8" s="110" t="e">
        <v>#N/A</v>
      </c>
      <c r="K8" s="17" t="e">
        <v>#N/A</v>
      </c>
      <c r="L8" s="116" t="e">
        <v>#N/A</v>
      </c>
      <c r="M8" s="111" t="e">
        <v>#N/A</v>
      </c>
      <c r="N8" s="17" t="e">
        <v>#N/A</v>
      </c>
      <c r="O8" s="17" t="e">
        <v>#N/A</v>
      </c>
      <c r="P8" s="111" t="e">
        <v>#N/A</v>
      </c>
      <c r="Q8" s="17" t="e">
        <v>#N/A</v>
      </c>
      <c r="R8" s="17" t="e">
        <v>#N/A</v>
      </c>
      <c r="S8" s="17" t="e">
        <v>#N/A</v>
      </c>
      <c r="T8" s="17" t="e">
        <v>#N/A</v>
      </c>
      <c r="U8" s="71" t="e">
        <v>#N/A</v>
      </c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</row>
    <row r="9" spans="1:50" x14ac:dyDescent="0.2">
      <c r="A9" s="13" t="e">
        <v>#N/A</v>
      </c>
      <c r="B9" s="109" t="e">
        <v>#N/A</v>
      </c>
      <c r="C9" s="21" t="e">
        <v>#N/A</v>
      </c>
      <c r="D9" s="21" t="e">
        <v>#N/A</v>
      </c>
      <c r="E9" s="110" t="e">
        <v>#N/A</v>
      </c>
      <c r="F9" s="110" t="e">
        <v>#N/A</v>
      </c>
      <c r="G9" s="17" t="e">
        <v>#N/A</v>
      </c>
      <c r="H9" s="17" t="e">
        <v>#N/A</v>
      </c>
      <c r="I9" s="17" t="e">
        <v>#N/A</v>
      </c>
      <c r="J9" s="110" t="e">
        <v>#N/A</v>
      </c>
      <c r="K9" s="17" t="e">
        <v>#N/A</v>
      </c>
      <c r="L9" s="116" t="e">
        <v>#N/A</v>
      </c>
      <c r="M9" s="111" t="e">
        <v>#N/A</v>
      </c>
      <c r="N9" s="17" t="e">
        <v>#N/A</v>
      </c>
      <c r="O9" s="17" t="e">
        <v>#N/A</v>
      </c>
      <c r="P9" s="111" t="e">
        <v>#N/A</v>
      </c>
      <c r="Q9" s="17" t="e">
        <v>#N/A</v>
      </c>
      <c r="R9" s="17" t="e">
        <v>#N/A</v>
      </c>
      <c r="S9" s="17" t="e">
        <v>#N/A</v>
      </c>
      <c r="T9" s="17" t="e">
        <v>#N/A</v>
      </c>
      <c r="U9" s="71" t="e">
        <v>#N/A</v>
      </c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</row>
    <row r="10" spans="1:50" x14ac:dyDescent="0.2">
      <c r="A10" s="13" t="e">
        <v>#N/A</v>
      </c>
      <c r="B10" s="109" t="e">
        <v>#N/A</v>
      </c>
      <c r="C10" s="21" t="e">
        <v>#N/A</v>
      </c>
      <c r="D10" s="21" t="e">
        <v>#N/A</v>
      </c>
      <c r="E10" s="110" t="e">
        <v>#N/A</v>
      </c>
      <c r="F10" s="110" t="e">
        <v>#N/A</v>
      </c>
      <c r="G10" s="17" t="e">
        <v>#N/A</v>
      </c>
      <c r="H10" s="17" t="e">
        <v>#N/A</v>
      </c>
      <c r="I10" s="17" t="e">
        <v>#N/A</v>
      </c>
      <c r="J10" s="110" t="e">
        <v>#N/A</v>
      </c>
      <c r="K10" s="17" t="e">
        <v>#N/A</v>
      </c>
      <c r="L10" s="116" t="e">
        <v>#N/A</v>
      </c>
      <c r="M10" s="111" t="e">
        <v>#N/A</v>
      </c>
      <c r="N10" s="17" t="e">
        <v>#N/A</v>
      </c>
      <c r="O10" s="17" t="e">
        <v>#N/A</v>
      </c>
      <c r="P10" s="111" t="e">
        <v>#N/A</v>
      </c>
      <c r="Q10" s="17" t="e">
        <v>#N/A</v>
      </c>
      <c r="R10" s="17" t="e">
        <v>#N/A</v>
      </c>
      <c r="S10" s="17" t="e">
        <v>#N/A</v>
      </c>
      <c r="T10" s="17" t="e">
        <v>#N/A</v>
      </c>
      <c r="U10" s="71" t="e">
        <v>#N/A</v>
      </c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</row>
    <row r="11" spans="1:50" x14ac:dyDescent="0.2">
      <c r="A11" s="13" t="e">
        <v>#N/A</v>
      </c>
      <c r="B11" s="109" t="e">
        <v>#N/A</v>
      </c>
      <c r="C11" s="21" t="e">
        <v>#N/A</v>
      </c>
      <c r="D11" s="21" t="e">
        <v>#N/A</v>
      </c>
      <c r="E11" s="110" t="e">
        <v>#N/A</v>
      </c>
      <c r="F11" s="110" t="e">
        <v>#N/A</v>
      </c>
      <c r="G11" s="17" t="e">
        <v>#N/A</v>
      </c>
      <c r="H11" s="17" t="e">
        <v>#N/A</v>
      </c>
      <c r="I11" s="17" t="e">
        <v>#N/A</v>
      </c>
      <c r="J11" s="110" t="e">
        <v>#N/A</v>
      </c>
      <c r="K11" s="17" t="e">
        <v>#N/A</v>
      </c>
      <c r="L11" s="116" t="e">
        <v>#N/A</v>
      </c>
      <c r="M11" s="111" t="e">
        <v>#N/A</v>
      </c>
      <c r="N11" s="17" t="e">
        <v>#N/A</v>
      </c>
      <c r="O11" s="17" t="e">
        <v>#N/A</v>
      </c>
      <c r="P11" s="111" t="e">
        <v>#N/A</v>
      </c>
      <c r="Q11" s="17" t="e">
        <v>#N/A</v>
      </c>
      <c r="R11" s="17" t="e">
        <v>#N/A</v>
      </c>
      <c r="S11" s="17" t="e">
        <v>#N/A</v>
      </c>
      <c r="T11" s="17" t="e">
        <v>#N/A</v>
      </c>
      <c r="U11" s="71" t="e">
        <v>#N/A</v>
      </c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</row>
    <row r="12" spans="1:50" x14ac:dyDescent="0.2">
      <c r="A12" s="13" t="e">
        <v>#N/A</v>
      </c>
      <c r="B12" s="109" t="e">
        <v>#N/A</v>
      </c>
      <c r="C12" s="21" t="e">
        <v>#N/A</v>
      </c>
      <c r="D12" s="21" t="e">
        <v>#N/A</v>
      </c>
      <c r="E12" s="110" t="e">
        <v>#N/A</v>
      </c>
      <c r="F12" s="110" t="e">
        <v>#N/A</v>
      </c>
      <c r="G12" s="17" t="e">
        <v>#N/A</v>
      </c>
      <c r="H12" s="17" t="e">
        <v>#N/A</v>
      </c>
      <c r="I12" s="17" t="e">
        <v>#N/A</v>
      </c>
      <c r="J12" s="110" t="e">
        <v>#N/A</v>
      </c>
      <c r="K12" s="17" t="e">
        <v>#N/A</v>
      </c>
      <c r="L12" s="116" t="e">
        <v>#N/A</v>
      </c>
      <c r="M12" s="111" t="e">
        <v>#N/A</v>
      </c>
      <c r="N12" s="17" t="e">
        <v>#N/A</v>
      </c>
      <c r="O12" s="17" t="e">
        <v>#N/A</v>
      </c>
      <c r="P12" s="111" t="e">
        <v>#N/A</v>
      </c>
      <c r="Q12" s="17" t="e">
        <v>#N/A</v>
      </c>
      <c r="R12" s="17" t="e">
        <v>#N/A</v>
      </c>
      <c r="S12" s="17" t="e">
        <v>#N/A</v>
      </c>
      <c r="T12" s="17" t="e">
        <v>#N/A</v>
      </c>
      <c r="U12" s="71" t="e">
        <v>#N/A</v>
      </c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</row>
    <row r="13" spans="1:50" x14ac:dyDescent="0.2">
      <c r="A13" s="13" t="e">
        <v>#N/A</v>
      </c>
      <c r="B13" s="109" t="e">
        <v>#N/A</v>
      </c>
      <c r="C13" s="21" t="e">
        <v>#N/A</v>
      </c>
      <c r="D13" s="21" t="e">
        <v>#N/A</v>
      </c>
      <c r="E13" s="110" t="e">
        <v>#N/A</v>
      </c>
      <c r="F13" s="110" t="e">
        <v>#N/A</v>
      </c>
      <c r="G13" s="17" t="e">
        <v>#N/A</v>
      </c>
      <c r="H13" s="17" t="e">
        <v>#N/A</v>
      </c>
      <c r="I13" s="17" t="e">
        <v>#N/A</v>
      </c>
      <c r="J13" s="110" t="e">
        <v>#N/A</v>
      </c>
      <c r="K13" s="17" t="e">
        <v>#N/A</v>
      </c>
      <c r="L13" s="116" t="e">
        <v>#N/A</v>
      </c>
      <c r="M13" s="111" t="e">
        <v>#N/A</v>
      </c>
      <c r="N13" s="17" t="e">
        <v>#N/A</v>
      </c>
      <c r="O13" s="17" t="e">
        <v>#N/A</v>
      </c>
      <c r="P13" s="111" t="e">
        <v>#N/A</v>
      </c>
      <c r="Q13" s="17" t="e">
        <v>#N/A</v>
      </c>
      <c r="R13" s="17" t="e">
        <v>#N/A</v>
      </c>
      <c r="S13" s="17" t="e">
        <v>#N/A</v>
      </c>
      <c r="T13" s="17" t="e">
        <v>#N/A</v>
      </c>
      <c r="U13" s="71" t="e">
        <v>#N/A</v>
      </c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</row>
    <row r="14" spans="1:50" x14ac:dyDescent="0.2">
      <c r="A14" s="13" t="e">
        <v>#N/A</v>
      </c>
      <c r="B14" s="109" t="e">
        <v>#N/A</v>
      </c>
      <c r="C14" s="21" t="e">
        <v>#N/A</v>
      </c>
      <c r="D14" s="21" t="e">
        <v>#N/A</v>
      </c>
      <c r="E14" s="110" t="e">
        <v>#N/A</v>
      </c>
      <c r="F14" s="110" t="e">
        <v>#N/A</v>
      </c>
      <c r="G14" s="17" t="e">
        <v>#N/A</v>
      </c>
      <c r="H14" s="17" t="e">
        <v>#N/A</v>
      </c>
      <c r="I14" s="17" t="e">
        <v>#N/A</v>
      </c>
      <c r="J14" s="110" t="e">
        <v>#N/A</v>
      </c>
      <c r="K14" s="17" t="e">
        <v>#N/A</v>
      </c>
      <c r="L14" s="116" t="e">
        <v>#N/A</v>
      </c>
      <c r="M14" s="111" t="e">
        <v>#N/A</v>
      </c>
      <c r="N14" s="17" t="e">
        <v>#N/A</v>
      </c>
      <c r="O14" s="17" t="e">
        <v>#N/A</v>
      </c>
      <c r="P14" s="111" t="e">
        <v>#N/A</v>
      </c>
      <c r="Q14" s="17" t="e">
        <v>#N/A</v>
      </c>
      <c r="R14" s="17" t="e">
        <v>#N/A</v>
      </c>
      <c r="S14" s="17" t="e">
        <v>#N/A</v>
      </c>
      <c r="T14" s="17" t="e">
        <v>#N/A</v>
      </c>
      <c r="U14" s="71" t="e">
        <v>#N/A</v>
      </c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</row>
    <row r="15" spans="1:50" x14ac:dyDescent="0.2">
      <c r="A15" s="13" t="e">
        <v>#N/A</v>
      </c>
      <c r="B15" s="109" t="e">
        <v>#N/A</v>
      </c>
      <c r="C15" s="21" t="e">
        <v>#N/A</v>
      </c>
      <c r="D15" s="21" t="e">
        <v>#N/A</v>
      </c>
      <c r="E15" s="110" t="e">
        <v>#N/A</v>
      </c>
      <c r="F15" s="110" t="e">
        <v>#N/A</v>
      </c>
      <c r="G15" s="17" t="e">
        <v>#N/A</v>
      </c>
      <c r="H15" s="17" t="e">
        <v>#N/A</v>
      </c>
      <c r="I15" s="17" t="e">
        <v>#N/A</v>
      </c>
      <c r="J15" s="110" t="e">
        <v>#N/A</v>
      </c>
      <c r="K15" s="17" t="e">
        <v>#N/A</v>
      </c>
      <c r="L15" s="116" t="e">
        <v>#N/A</v>
      </c>
      <c r="M15" s="111" t="e">
        <v>#N/A</v>
      </c>
      <c r="N15" s="17" t="e">
        <v>#N/A</v>
      </c>
      <c r="O15" s="17" t="e">
        <v>#N/A</v>
      </c>
      <c r="P15" s="111" t="e">
        <v>#N/A</v>
      </c>
      <c r="Q15" s="17" t="e">
        <v>#N/A</v>
      </c>
      <c r="R15" s="17" t="e">
        <v>#N/A</v>
      </c>
      <c r="S15" s="17" t="e">
        <v>#N/A</v>
      </c>
      <c r="T15" s="17" t="e">
        <v>#N/A</v>
      </c>
      <c r="U15" s="71" t="e">
        <v>#N/A</v>
      </c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</row>
    <row r="16" spans="1:50" x14ac:dyDescent="0.2">
      <c r="A16" s="13" t="e">
        <v>#N/A</v>
      </c>
      <c r="B16" s="109" t="e">
        <v>#N/A</v>
      </c>
      <c r="C16" s="21" t="e">
        <v>#N/A</v>
      </c>
      <c r="D16" s="21" t="e">
        <v>#N/A</v>
      </c>
      <c r="E16" s="110" t="e">
        <v>#N/A</v>
      </c>
      <c r="F16" s="110" t="e">
        <v>#N/A</v>
      </c>
      <c r="G16" s="17" t="e">
        <v>#N/A</v>
      </c>
      <c r="H16" s="17" t="e">
        <v>#N/A</v>
      </c>
      <c r="I16" s="17" t="e">
        <v>#N/A</v>
      </c>
      <c r="J16" s="110" t="e">
        <v>#N/A</v>
      </c>
      <c r="K16" s="17" t="e">
        <v>#N/A</v>
      </c>
      <c r="L16" s="116" t="e">
        <v>#N/A</v>
      </c>
      <c r="M16" s="111" t="e">
        <v>#N/A</v>
      </c>
      <c r="N16" s="17" t="e">
        <v>#N/A</v>
      </c>
      <c r="O16" s="17" t="e">
        <v>#N/A</v>
      </c>
      <c r="P16" s="111" t="e">
        <v>#N/A</v>
      </c>
      <c r="Q16" s="17" t="e">
        <v>#N/A</v>
      </c>
      <c r="R16" s="17" t="e">
        <v>#N/A</v>
      </c>
      <c r="S16" s="17" t="e">
        <v>#N/A</v>
      </c>
      <c r="T16" s="17" t="e">
        <v>#N/A</v>
      </c>
      <c r="U16" s="71" t="e">
        <v>#N/A</v>
      </c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</row>
    <row r="17" spans="1:50" x14ac:dyDescent="0.2">
      <c r="A17" s="13" t="e">
        <v>#N/A</v>
      </c>
      <c r="B17" s="109" t="e">
        <v>#N/A</v>
      </c>
      <c r="C17" s="21" t="e">
        <v>#N/A</v>
      </c>
      <c r="D17" s="21" t="e">
        <v>#N/A</v>
      </c>
      <c r="E17" s="110" t="e">
        <v>#N/A</v>
      </c>
      <c r="F17" s="110" t="e">
        <v>#N/A</v>
      </c>
      <c r="G17" s="17" t="e">
        <v>#N/A</v>
      </c>
      <c r="H17" s="17" t="e">
        <v>#N/A</v>
      </c>
      <c r="I17" s="17" t="e">
        <v>#N/A</v>
      </c>
      <c r="J17" s="110" t="e">
        <v>#N/A</v>
      </c>
      <c r="K17" s="17" t="e">
        <v>#N/A</v>
      </c>
      <c r="L17" s="116" t="e">
        <v>#N/A</v>
      </c>
      <c r="M17" s="111" t="e">
        <v>#N/A</v>
      </c>
      <c r="N17" s="17" t="e">
        <v>#N/A</v>
      </c>
      <c r="O17" s="17" t="e">
        <v>#N/A</v>
      </c>
      <c r="P17" s="111" t="e">
        <v>#N/A</v>
      </c>
      <c r="Q17" s="17" t="e">
        <v>#N/A</v>
      </c>
      <c r="R17" s="17" t="e">
        <v>#N/A</v>
      </c>
      <c r="S17" s="17" t="e">
        <v>#N/A</v>
      </c>
      <c r="T17" s="17" t="e">
        <v>#N/A</v>
      </c>
      <c r="U17" s="71" t="e">
        <v>#N/A</v>
      </c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</row>
    <row r="18" spans="1:50" x14ac:dyDescent="0.2">
      <c r="A18" s="13" t="e">
        <v>#N/A</v>
      </c>
      <c r="B18" s="109" t="e">
        <v>#N/A</v>
      </c>
      <c r="C18" s="21" t="e">
        <v>#N/A</v>
      </c>
      <c r="D18" s="21" t="e">
        <v>#N/A</v>
      </c>
      <c r="E18" s="110" t="e">
        <v>#N/A</v>
      </c>
      <c r="F18" s="110" t="e">
        <v>#N/A</v>
      </c>
      <c r="G18" s="17" t="e">
        <v>#N/A</v>
      </c>
      <c r="H18" s="17" t="e">
        <v>#N/A</v>
      </c>
      <c r="I18" s="17" t="e">
        <v>#N/A</v>
      </c>
      <c r="J18" s="110" t="e">
        <v>#N/A</v>
      </c>
      <c r="K18" s="17" t="e">
        <v>#N/A</v>
      </c>
      <c r="L18" s="116" t="e">
        <v>#N/A</v>
      </c>
      <c r="M18" s="111" t="e">
        <v>#N/A</v>
      </c>
      <c r="N18" s="17" t="e">
        <v>#N/A</v>
      </c>
      <c r="O18" s="17" t="e">
        <v>#N/A</v>
      </c>
      <c r="P18" s="111" t="e">
        <v>#N/A</v>
      </c>
      <c r="Q18" s="17" t="e">
        <v>#N/A</v>
      </c>
      <c r="R18" s="17" t="e">
        <v>#N/A</v>
      </c>
      <c r="S18" s="17" t="e">
        <v>#N/A</v>
      </c>
      <c r="T18" s="17" t="e">
        <v>#N/A</v>
      </c>
      <c r="U18" s="71" t="e">
        <v>#N/A</v>
      </c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</row>
    <row r="19" spans="1:50" x14ac:dyDescent="0.2">
      <c r="A19" s="13" t="e">
        <v>#N/A</v>
      </c>
      <c r="B19" s="109" t="e">
        <v>#N/A</v>
      </c>
      <c r="C19" s="21" t="e">
        <v>#N/A</v>
      </c>
      <c r="D19" s="21" t="e">
        <v>#N/A</v>
      </c>
      <c r="E19" s="110" t="e">
        <v>#N/A</v>
      </c>
      <c r="F19" s="110" t="e">
        <v>#N/A</v>
      </c>
      <c r="G19" s="17" t="e">
        <v>#N/A</v>
      </c>
      <c r="H19" s="17" t="e">
        <v>#N/A</v>
      </c>
      <c r="I19" s="17" t="e">
        <v>#N/A</v>
      </c>
      <c r="J19" s="110" t="e">
        <v>#N/A</v>
      </c>
      <c r="K19" s="17" t="e">
        <v>#N/A</v>
      </c>
      <c r="L19" s="116" t="e">
        <v>#N/A</v>
      </c>
      <c r="M19" s="111" t="e">
        <v>#N/A</v>
      </c>
      <c r="N19" s="17" t="e">
        <v>#N/A</v>
      </c>
      <c r="O19" s="17" t="e">
        <v>#N/A</v>
      </c>
      <c r="P19" s="111" t="e">
        <v>#N/A</v>
      </c>
      <c r="Q19" s="17" t="e">
        <v>#N/A</v>
      </c>
      <c r="R19" s="17" t="e">
        <v>#N/A</v>
      </c>
      <c r="S19" s="17" t="e">
        <v>#N/A</v>
      </c>
      <c r="T19" s="17" t="e">
        <v>#N/A</v>
      </c>
      <c r="U19" s="71" t="e">
        <v>#N/A</v>
      </c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</row>
    <row r="20" spans="1:50" x14ac:dyDescent="0.2">
      <c r="A20" s="13" t="e">
        <v>#N/A</v>
      </c>
      <c r="B20" s="109" t="e">
        <v>#N/A</v>
      </c>
      <c r="C20" s="21" t="e">
        <v>#N/A</v>
      </c>
      <c r="D20" s="21" t="e">
        <v>#N/A</v>
      </c>
      <c r="E20" s="110" t="e">
        <v>#N/A</v>
      </c>
      <c r="F20" s="110" t="e">
        <v>#N/A</v>
      </c>
      <c r="G20" s="17" t="e">
        <v>#N/A</v>
      </c>
      <c r="H20" s="17" t="e">
        <v>#N/A</v>
      </c>
      <c r="I20" s="17" t="e">
        <v>#N/A</v>
      </c>
      <c r="J20" s="110" t="e">
        <v>#N/A</v>
      </c>
      <c r="K20" s="17" t="e">
        <v>#N/A</v>
      </c>
      <c r="L20" s="116" t="e">
        <v>#N/A</v>
      </c>
      <c r="M20" s="111" t="e">
        <v>#N/A</v>
      </c>
      <c r="N20" s="17" t="e">
        <v>#N/A</v>
      </c>
      <c r="O20" s="17" t="e">
        <v>#N/A</v>
      </c>
      <c r="P20" s="111" t="e">
        <v>#N/A</v>
      </c>
      <c r="Q20" s="17" t="e">
        <v>#N/A</v>
      </c>
      <c r="R20" s="17" t="e">
        <v>#N/A</v>
      </c>
      <c r="S20" s="17" t="e">
        <v>#N/A</v>
      </c>
      <c r="T20" s="17" t="e">
        <v>#N/A</v>
      </c>
      <c r="U20" s="71" t="e">
        <v>#N/A</v>
      </c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</row>
    <row r="21" spans="1:50" x14ac:dyDescent="0.2">
      <c r="A21" s="13" t="e">
        <v>#N/A</v>
      </c>
      <c r="B21" s="109" t="e">
        <v>#N/A</v>
      </c>
      <c r="C21" s="21" t="e">
        <v>#N/A</v>
      </c>
      <c r="D21" s="21" t="e">
        <v>#N/A</v>
      </c>
      <c r="E21" s="110" t="e">
        <v>#N/A</v>
      </c>
      <c r="F21" s="110" t="e">
        <v>#N/A</v>
      </c>
      <c r="G21" s="17" t="e">
        <v>#N/A</v>
      </c>
      <c r="H21" s="17" t="e">
        <v>#N/A</v>
      </c>
      <c r="I21" s="17" t="e">
        <v>#N/A</v>
      </c>
      <c r="J21" s="110" t="e">
        <v>#N/A</v>
      </c>
      <c r="K21" s="17" t="e">
        <v>#N/A</v>
      </c>
      <c r="L21" s="116" t="e">
        <v>#N/A</v>
      </c>
      <c r="M21" s="111" t="e">
        <v>#N/A</v>
      </c>
      <c r="N21" s="17" t="e">
        <v>#N/A</v>
      </c>
      <c r="O21" s="17" t="e">
        <v>#N/A</v>
      </c>
      <c r="P21" s="111" t="e">
        <v>#N/A</v>
      </c>
      <c r="Q21" s="17" t="e">
        <v>#N/A</v>
      </c>
      <c r="R21" s="17" t="e">
        <v>#N/A</v>
      </c>
      <c r="S21" s="17" t="e">
        <v>#N/A</v>
      </c>
      <c r="T21" s="17" t="e">
        <v>#N/A</v>
      </c>
      <c r="U21" s="71" t="e">
        <v>#N/A</v>
      </c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</row>
    <row r="22" spans="1:50" x14ac:dyDescent="0.2">
      <c r="A22" s="13" t="e">
        <v>#N/A</v>
      </c>
      <c r="B22" s="109" t="e">
        <v>#N/A</v>
      </c>
      <c r="C22" s="21" t="e">
        <v>#N/A</v>
      </c>
      <c r="D22" s="21" t="e">
        <v>#N/A</v>
      </c>
      <c r="E22" s="110" t="e">
        <v>#N/A</v>
      </c>
      <c r="F22" s="110" t="e">
        <v>#N/A</v>
      </c>
      <c r="G22" s="17" t="e">
        <v>#N/A</v>
      </c>
      <c r="H22" s="17" t="e">
        <v>#N/A</v>
      </c>
      <c r="I22" s="17" t="e">
        <v>#N/A</v>
      </c>
      <c r="J22" s="110" t="e">
        <v>#N/A</v>
      </c>
      <c r="K22" s="17" t="e">
        <v>#N/A</v>
      </c>
      <c r="L22" s="116" t="e">
        <v>#N/A</v>
      </c>
      <c r="M22" s="111" t="e">
        <v>#N/A</v>
      </c>
      <c r="N22" s="17" t="e">
        <v>#N/A</v>
      </c>
      <c r="O22" s="17" t="e">
        <v>#N/A</v>
      </c>
      <c r="P22" s="111" t="e">
        <v>#N/A</v>
      </c>
      <c r="Q22" s="17" t="e">
        <v>#N/A</v>
      </c>
      <c r="R22" s="17" t="e">
        <v>#N/A</v>
      </c>
      <c r="S22" s="17" t="e">
        <v>#N/A</v>
      </c>
      <c r="T22" s="17" t="e">
        <v>#N/A</v>
      </c>
      <c r="U22" s="71" t="e">
        <v>#N/A</v>
      </c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</row>
    <row r="23" spans="1:50" x14ac:dyDescent="0.2">
      <c r="A23" s="13" t="e">
        <v>#N/A</v>
      </c>
      <c r="B23" s="109" t="e">
        <v>#N/A</v>
      </c>
      <c r="C23" s="21" t="e">
        <v>#N/A</v>
      </c>
      <c r="D23" s="21" t="e">
        <v>#N/A</v>
      </c>
      <c r="E23" s="110" t="e">
        <v>#N/A</v>
      </c>
      <c r="F23" s="110" t="e">
        <v>#N/A</v>
      </c>
      <c r="G23" s="17" t="e">
        <v>#N/A</v>
      </c>
      <c r="H23" s="17" t="e">
        <v>#N/A</v>
      </c>
      <c r="I23" s="17" t="e">
        <v>#N/A</v>
      </c>
      <c r="J23" s="110" t="e">
        <v>#N/A</v>
      </c>
      <c r="K23" s="17" t="e">
        <v>#N/A</v>
      </c>
      <c r="L23" s="116" t="e">
        <v>#N/A</v>
      </c>
      <c r="M23" s="111" t="e">
        <v>#N/A</v>
      </c>
      <c r="N23" s="17" t="e">
        <v>#N/A</v>
      </c>
      <c r="O23" s="17" t="e">
        <v>#N/A</v>
      </c>
      <c r="P23" s="111" t="e">
        <v>#N/A</v>
      </c>
      <c r="Q23" s="17" t="e">
        <v>#N/A</v>
      </c>
      <c r="R23" s="17" t="e">
        <v>#N/A</v>
      </c>
      <c r="S23" s="17" t="e">
        <v>#N/A</v>
      </c>
      <c r="T23" s="17" t="e">
        <v>#N/A</v>
      </c>
      <c r="U23" s="71" t="e">
        <v>#N/A</v>
      </c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</row>
    <row r="24" spans="1:50" x14ac:dyDescent="0.2">
      <c r="A24" s="13" t="e">
        <v>#N/A</v>
      </c>
      <c r="B24" s="109" t="e">
        <v>#N/A</v>
      </c>
      <c r="C24" s="21" t="e">
        <v>#N/A</v>
      </c>
      <c r="D24" s="21" t="e">
        <v>#N/A</v>
      </c>
      <c r="E24" s="110" t="e">
        <v>#N/A</v>
      </c>
      <c r="F24" s="110" t="e">
        <v>#N/A</v>
      </c>
      <c r="G24" s="17" t="e">
        <v>#N/A</v>
      </c>
      <c r="H24" s="17" t="e">
        <v>#N/A</v>
      </c>
      <c r="I24" s="17" t="e">
        <v>#N/A</v>
      </c>
      <c r="J24" s="110" t="e">
        <v>#N/A</v>
      </c>
      <c r="K24" s="17" t="e">
        <v>#N/A</v>
      </c>
      <c r="L24" s="116" t="e">
        <v>#N/A</v>
      </c>
      <c r="M24" s="111" t="e">
        <v>#N/A</v>
      </c>
      <c r="N24" s="17" t="e">
        <v>#N/A</v>
      </c>
      <c r="O24" s="17" t="e">
        <v>#N/A</v>
      </c>
      <c r="P24" s="111" t="e">
        <v>#N/A</v>
      </c>
      <c r="Q24" s="17" t="e">
        <v>#N/A</v>
      </c>
      <c r="R24" s="17" t="e">
        <v>#N/A</v>
      </c>
      <c r="S24" s="17" t="e">
        <v>#N/A</v>
      </c>
      <c r="T24" s="17" t="e">
        <v>#N/A</v>
      </c>
      <c r="U24" s="71" t="e">
        <v>#N/A</v>
      </c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</row>
    <row r="25" spans="1:50" x14ac:dyDescent="0.2">
      <c r="A25" s="13" t="e">
        <v>#N/A</v>
      </c>
      <c r="B25" s="109" t="e">
        <v>#N/A</v>
      </c>
      <c r="C25" s="21" t="e">
        <v>#N/A</v>
      </c>
      <c r="D25" s="21" t="e">
        <v>#N/A</v>
      </c>
      <c r="E25" s="110" t="e">
        <v>#N/A</v>
      </c>
      <c r="F25" s="110" t="e">
        <v>#N/A</v>
      </c>
      <c r="G25" s="17" t="e">
        <v>#N/A</v>
      </c>
      <c r="H25" s="17" t="e">
        <v>#N/A</v>
      </c>
      <c r="I25" s="17" t="e">
        <v>#N/A</v>
      </c>
      <c r="J25" s="110" t="e">
        <v>#N/A</v>
      </c>
      <c r="K25" s="17" t="e">
        <v>#N/A</v>
      </c>
      <c r="L25" s="116" t="e">
        <v>#N/A</v>
      </c>
      <c r="M25" s="111" t="e">
        <v>#N/A</v>
      </c>
      <c r="N25" s="17" t="e">
        <v>#N/A</v>
      </c>
      <c r="O25" s="17" t="e">
        <v>#N/A</v>
      </c>
      <c r="P25" s="111" t="e">
        <v>#N/A</v>
      </c>
      <c r="Q25" s="17" t="e">
        <v>#N/A</v>
      </c>
      <c r="R25" s="17" t="e">
        <v>#N/A</v>
      </c>
      <c r="S25" s="17" t="e">
        <v>#N/A</v>
      </c>
      <c r="T25" s="17" t="e">
        <v>#N/A</v>
      </c>
      <c r="U25" s="71" t="e">
        <v>#N/A</v>
      </c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</row>
    <row r="26" spans="1:50" x14ac:dyDescent="0.2">
      <c r="A26" s="13" t="e">
        <v>#N/A</v>
      </c>
      <c r="B26" s="109" t="e">
        <v>#N/A</v>
      </c>
      <c r="C26" s="21" t="e">
        <v>#N/A</v>
      </c>
      <c r="D26" s="21" t="e">
        <v>#N/A</v>
      </c>
      <c r="E26" s="110" t="e">
        <v>#N/A</v>
      </c>
      <c r="F26" s="110" t="e">
        <v>#N/A</v>
      </c>
      <c r="G26" s="17" t="e">
        <v>#N/A</v>
      </c>
      <c r="H26" s="17" t="e">
        <v>#N/A</v>
      </c>
      <c r="I26" s="17" t="e">
        <v>#N/A</v>
      </c>
      <c r="J26" s="110" t="e">
        <v>#N/A</v>
      </c>
      <c r="K26" s="17" t="e">
        <v>#N/A</v>
      </c>
      <c r="L26" s="116" t="e">
        <v>#N/A</v>
      </c>
      <c r="M26" s="111" t="e">
        <v>#N/A</v>
      </c>
      <c r="N26" s="17" t="e">
        <v>#N/A</v>
      </c>
      <c r="O26" s="17" t="e">
        <v>#N/A</v>
      </c>
      <c r="P26" s="111" t="e">
        <v>#N/A</v>
      </c>
      <c r="Q26" s="17" t="e">
        <v>#N/A</v>
      </c>
      <c r="R26" s="17" t="e">
        <v>#N/A</v>
      </c>
      <c r="S26" s="17" t="e">
        <v>#N/A</v>
      </c>
      <c r="T26" s="17" t="e">
        <v>#N/A</v>
      </c>
      <c r="U26" s="71" t="e">
        <v>#N/A</v>
      </c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</row>
    <row r="27" spans="1:50" x14ac:dyDescent="0.2">
      <c r="A27" s="13" t="e">
        <v>#N/A</v>
      </c>
      <c r="B27" s="109" t="e">
        <v>#N/A</v>
      </c>
      <c r="C27" s="21" t="e">
        <v>#N/A</v>
      </c>
      <c r="D27" s="21" t="e">
        <v>#N/A</v>
      </c>
      <c r="E27" s="110" t="e">
        <v>#N/A</v>
      </c>
      <c r="F27" s="110" t="e">
        <v>#N/A</v>
      </c>
      <c r="G27" s="17" t="e">
        <v>#N/A</v>
      </c>
      <c r="H27" s="17" t="e">
        <v>#N/A</v>
      </c>
      <c r="I27" s="17" t="e">
        <v>#N/A</v>
      </c>
      <c r="J27" s="110" t="e">
        <v>#N/A</v>
      </c>
      <c r="K27" s="17" t="e">
        <v>#N/A</v>
      </c>
      <c r="L27" s="116" t="e">
        <v>#N/A</v>
      </c>
      <c r="M27" s="111" t="e">
        <v>#N/A</v>
      </c>
      <c r="N27" s="17" t="e">
        <v>#N/A</v>
      </c>
      <c r="O27" s="17" t="e">
        <v>#N/A</v>
      </c>
      <c r="P27" s="111" t="e">
        <v>#N/A</v>
      </c>
      <c r="Q27" s="17" t="e">
        <v>#N/A</v>
      </c>
      <c r="R27" s="17" t="e">
        <v>#N/A</v>
      </c>
      <c r="S27" s="17" t="e">
        <v>#N/A</v>
      </c>
      <c r="T27" s="17" t="e">
        <v>#N/A</v>
      </c>
      <c r="U27" s="71" t="e">
        <v>#N/A</v>
      </c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</row>
    <row r="28" spans="1:50" x14ac:dyDescent="0.2">
      <c r="A28" s="13" t="e">
        <v>#N/A</v>
      </c>
      <c r="B28" s="109" t="e">
        <v>#N/A</v>
      </c>
      <c r="C28" s="21" t="e">
        <v>#N/A</v>
      </c>
      <c r="D28" s="21" t="e">
        <v>#N/A</v>
      </c>
      <c r="E28" s="110" t="e">
        <v>#N/A</v>
      </c>
      <c r="F28" s="110" t="e">
        <v>#N/A</v>
      </c>
      <c r="G28" s="17" t="e">
        <v>#N/A</v>
      </c>
      <c r="H28" s="17" t="e">
        <v>#N/A</v>
      </c>
      <c r="I28" s="17" t="e">
        <v>#N/A</v>
      </c>
      <c r="J28" s="110" t="e">
        <v>#N/A</v>
      </c>
      <c r="K28" s="17" t="e">
        <v>#N/A</v>
      </c>
      <c r="L28" s="116" t="e">
        <v>#N/A</v>
      </c>
      <c r="M28" s="111" t="e">
        <v>#N/A</v>
      </c>
      <c r="N28" s="17" t="e">
        <v>#N/A</v>
      </c>
      <c r="O28" s="17" t="e">
        <v>#N/A</v>
      </c>
      <c r="P28" s="111" t="e">
        <v>#N/A</v>
      </c>
      <c r="Q28" s="17" t="e">
        <v>#N/A</v>
      </c>
      <c r="R28" s="17" t="e">
        <v>#N/A</v>
      </c>
      <c r="S28" s="17" t="e">
        <v>#N/A</v>
      </c>
      <c r="T28" s="17" t="e">
        <v>#N/A</v>
      </c>
      <c r="U28" s="71" t="e">
        <v>#N/A</v>
      </c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</row>
    <row r="29" spans="1:50" x14ac:dyDescent="0.2">
      <c r="A29" s="13" t="e">
        <v>#N/A</v>
      </c>
      <c r="B29" s="109" t="e">
        <v>#N/A</v>
      </c>
      <c r="C29" s="21" t="e">
        <v>#N/A</v>
      </c>
      <c r="D29" s="21" t="e">
        <v>#N/A</v>
      </c>
      <c r="E29" s="110" t="e">
        <v>#N/A</v>
      </c>
      <c r="F29" s="110" t="e">
        <v>#N/A</v>
      </c>
      <c r="G29" s="17" t="e">
        <v>#N/A</v>
      </c>
      <c r="H29" s="17" t="e">
        <v>#N/A</v>
      </c>
      <c r="I29" s="17" t="e">
        <v>#N/A</v>
      </c>
      <c r="J29" s="110" t="e">
        <v>#N/A</v>
      </c>
      <c r="K29" s="17" t="e">
        <v>#N/A</v>
      </c>
      <c r="L29" s="116" t="e">
        <v>#N/A</v>
      </c>
      <c r="M29" s="111" t="e">
        <v>#N/A</v>
      </c>
      <c r="N29" s="17" t="e">
        <v>#N/A</v>
      </c>
      <c r="O29" s="17" t="e">
        <v>#N/A</v>
      </c>
      <c r="P29" s="111" t="e">
        <v>#N/A</v>
      </c>
      <c r="Q29" s="17" t="e">
        <v>#N/A</v>
      </c>
      <c r="R29" s="17" t="e">
        <v>#N/A</v>
      </c>
      <c r="S29" s="17" t="e">
        <v>#N/A</v>
      </c>
      <c r="T29" s="17" t="e">
        <v>#N/A</v>
      </c>
      <c r="U29" s="71" t="e">
        <v>#N/A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</row>
    <row r="30" spans="1:50" x14ac:dyDescent="0.2">
      <c r="A30" s="13" t="e">
        <v>#N/A</v>
      </c>
      <c r="B30" s="109" t="e">
        <v>#N/A</v>
      </c>
      <c r="C30" s="21" t="e">
        <v>#N/A</v>
      </c>
      <c r="D30" s="21" t="e">
        <v>#N/A</v>
      </c>
      <c r="E30" s="110" t="e">
        <v>#N/A</v>
      </c>
      <c r="F30" s="110" t="e">
        <v>#N/A</v>
      </c>
      <c r="G30" s="17" t="e">
        <v>#N/A</v>
      </c>
      <c r="H30" s="17" t="e">
        <v>#N/A</v>
      </c>
      <c r="I30" s="17" t="e">
        <v>#N/A</v>
      </c>
      <c r="J30" s="110" t="e">
        <v>#N/A</v>
      </c>
      <c r="K30" s="17" t="e">
        <v>#N/A</v>
      </c>
      <c r="L30" s="116" t="e">
        <v>#N/A</v>
      </c>
      <c r="M30" s="111" t="e">
        <v>#N/A</v>
      </c>
      <c r="N30" s="17" t="e">
        <v>#N/A</v>
      </c>
      <c r="O30" s="17" t="e">
        <v>#N/A</v>
      </c>
      <c r="P30" s="111" t="e">
        <v>#N/A</v>
      </c>
      <c r="Q30" s="17" t="e">
        <v>#N/A</v>
      </c>
      <c r="R30" s="17" t="e">
        <v>#N/A</v>
      </c>
      <c r="S30" s="17" t="e">
        <v>#N/A</v>
      </c>
      <c r="T30" s="17" t="e">
        <v>#N/A</v>
      </c>
      <c r="U30" s="71" t="e">
        <v>#N/A</v>
      </c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</row>
    <row r="31" spans="1:50" x14ac:dyDescent="0.2">
      <c r="A31" s="13" t="e">
        <v>#N/A</v>
      </c>
      <c r="B31" s="109" t="e">
        <v>#N/A</v>
      </c>
      <c r="C31" s="21" t="e">
        <v>#N/A</v>
      </c>
      <c r="D31" s="21" t="e">
        <v>#N/A</v>
      </c>
      <c r="E31" s="110" t="e">
        <v>#N/A</v>
      </c>
      <c r="F31" s="110" t="e">
        <v>#N/A</v>
      </c>
      <c r="G31" s="17" t="e">
        <v>#N/A</v>
      </c>
      <c r="H31" s="17" t="e">
        <v>#N/A</v>
      </c>
      <c r="I31" s="17" t="e">
        <v>#N/A</v>
      </c>
      <c r="J31" s="110" t="e">
        <v>#N/A</v>
      </c>
      <c r="K31" s="17" t="e">
        <v>#N/A</v>
      </c>
      <c r="L31" s="116" t="e">
        <v>#N/A</v>
      </c>
      <c r="M31" s="111" t="e">
        <v>#N/A</v>
      </c>
      <c r="N31" s="17" t="e">
        <v>#N/A</v>
      </c>
      <c r="O31" s="17" t="e">
        <v>#N/A</v>
      </c>
      <c r="P31" s="111" t="e">
        <v>#N/A</v>
      </c>
      <c r="Q31" s="17" t="e">
        <v>#N/A</v>
      </c>
      <c r="R31" s="17" t="e">
        <v>#N/A</v>
      </c>
      <c r="S31" s="17" t="e">
        <v>#N/A</v>
      </c>
      <c r="T31" s="17" t="e">
        <v>#N/A</v>
      </c>
      <c r="U31" s="71" t="e">
        <v>#N/A</v>
      </c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</row>
    <row r="32" spans="1:50" x14ac:dyDescent="0.2">
      <c r="A32" s="13" t="e">
        <v>#N/A</v>
      </c>
      <c r="B32" s="109" t="e">
        <v>#N/A</v>
      </c>
      <c r="C32" s="21" t="e">
        <v>#N/A</v>
      </c>
      <c r="D32" s="21" t="e">
        <v>#N/A</v>
      </c>
      <c r="E32" s="110" t="e">
        <v>#N/A</v>
      </c>
      <c r="F32" s="110" t="e">
        <v>#N/A</v>
      </c>
      <c r="G32" s="17" t="e">
        <v>#N/A</v>
      </c>
      <c r="H32" s="17" t="e">
        <v>#N/A</v>
      </c>
      <c r="I32" s="17" t="e">
        <v>#N/A</v>
      </c>
      <c r="J32" s="110" t="e">
        <v>#N/A</v>
      </c>
      <c r="K32" s="17" t="e">
        <v>#N/A</v>
      </c>
      <c r="L32" s="116" t="e">
        <v>#N/A</v>
      </c>
      <c r="M32" s="111" t="e">
        <v>#N/A</v>
      </c>
      <c r="N32" s="17" t="e">
        <v>#N/A</v>
      </c>
      <c r="O32" s="17" t="e">
        <v>#N/A</v>
      </c>
      <c r="P32" s="111" t="e">
        <v>#N/A</v>
      </c>
      <c r="Q32" s="17" t="e">
        <v>#N/A</v>
      </c>
      <c r="R32" s="17" t="e">
        <v>#N/A</v>
      </c>
      <c r="S32" s="17" t="e">
        <v>#N/A</v>
      </c>
      <c r="T32" s="17" t="e">
        <v>#N/A</v>
      </c>
      <c r="U32" s="71" t="e">
        <v>#N/A</v>
      </c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</row>
    <row r="33" spans="1:50" x14ac:dyDescent="0.2">
      <c r="A33" s="13" t="e">
        <v>#N/A</v>
      </c>
      <c r="B33" s="109" t="e">
        <v>#N/A</v>
      </c>
      <c r="C33" s="21" t="e">
        <v>#N/A</v>
      </c>
      <c r="D33" s="21" t="e">
        <v>#N/A</v>
      </c>
      <c r="E33" s="110" t="e">
        <v>#N/A</v>
      </c>
      <c r="F33" s="110" t="e">
        <v>#N/A</v>
      </c>
      <c r="G33" s="17" t="e">
        <v>#N/A</v>
      </c>
      <c r="H33" s="17" t="e">
        <v>#N/A</v>
      </c>
      <c r="I33" s="17" t="e">
        <v>#N/A</v>
      </c>
      <c r="J33" s="110" t="e">
        <v>#N/A</v>
      </c>
      <c r="K33" s="17" t="e">
        <v>#N/A</v>
      </c>
      <c r="L33" s="116" t="e">
        <v>#N/A</v>
      </c>
      <c r="M33" s="111" t="e">
        <v>#N/A</v>
      </c>
      <c r="N33" s="17" t="e">
        <v>#N/A</v>
      </c>
      <c r="O33" s="17" t="e">
        <v>#N/A</v>
      </c>
      <c r="P33" s="111" t="e">
        <v>#N/A</v>
      </c>
      <c r="Q33" s="17" t="e">
        <v>#N/A</v>
      </c>
      <c r="R33" s="17" t="e">
        <v>#N/A</v>
      </c>
      <c r="S33" s="17" t="e">
        <v>#N/A</v>
      </c>
      <c r="T33" s="17" t="e">
        <v>#N/A</v>
      </c>
      <c r="U33" s="71" t="e">
        <v>#N/A</v>
      </c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</row>
    <row r="34" spans="1:50" x14ac:dyDescent="0.2">
      <c r="A34" s="13" t="e">
        <v>#N/A</v>
      </c>
      <c r="B34" s="109" t="e">
        <v>#N/A</v>
      </c>
      <c r="C34" s="21" t="e">
        <v>#N/A</v>
      </c>
      <c r="D34" s="21" t="e">
        <v>#N/A</v>
      </c>
      <c r="E34" s="110" t="e">
        <v>#N/A</v>
      </c>
      <c r="F34" s="110" t="e">
        <v>#N/A</v>
      </c>
      <c r="G34" s="17" t="e">
        <v>#N/A</v>
      </c>
      <c r="H34" s="17" t="e">
        <v>#N/A</v>
      </c>
      <c r="I34" s="17" t="e">
        <v>#N/A</v>
      </c>
      <c r="J34" s="110" t="e">
        <v>#N/A</v>
      </c>
      <c r="K34" s="17" t="e">
        <v>#N/A</v>
      </c>
      <c r="L34" s="116" t="e">
        <v>#N/A</v>
      </c>
      <c r="M34" s="111" t="e">
        <v>#N/A</v>
      </c>
      <c r="N34" s="17" t="e">
        <v>#N/A</v>
      </c>
      <c r="O34" s="17" t="e">
        <v>#N/A</v>
      </c>
      <c r="P34" s="111" t="e">
        <v>#N/A</v>
      </c>
      <c r="Q34" s="17" t="e">
        <v>#N/A</v>
      </c>
      <c r="R34" s="17" t="e">
        <v>#N/A</v>
      </c>
      <c r="S34" s="17" t="e">
        <v>#N/A</v>
      </c>
      <c r="T34" s="17" t="e">
        <v>#N/A</v>
      </c>
      <c r="U34" s="71" t="e">
        <v>#N/A</v>
      </c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</row>
    <row r="35" spans="1:50" x14ac:dyDescent="0.2">
      <c r="A35" s="13" t="e">
        <v>#N/A</v>
      </c>
      <c r="B35" s="109" t="e">
        <v>#N/A</v>
      </c>
      <c r="C35" s="21" t="e">
        <v>#N/A</v>
      </c>
      <c r="D35" s="21" t="e">
        <v>#N/A</v>
      </c>
      <c r="E35" s="110" t="e">
        <v>#N/A</v>
      </c>
      <c r="F35" s="110" t="e">
        <v>#N/A</v>
      </c>
      <c r="G35" s="17" t="e">
        <v>#N/A</v>
      </c>
      <c r="H35" s="17" t="e">
        <v>#N/A</v>
      </c>
      <c r="I35" s="17" t="e">
        <v>#N/A</v>
      </c>
      <c r="J35" s="110" t="e">
        <v>#N/A</v>
      </c>
      <c r="K35" s="17" t="e">
        <v>#N/A</v>
      </c>
      <c r="L35" s="116" t="e">
        <v>#N/A</v>
      </c>
      <c r="M35" s="111" t="e">
        <v>#N/A</v>
      </c>
      <c r="N35" s="17" t="e">
        <v>#N/A</v>
      </c>
      <c r="O35" s="17" t="e">
        <v>#N/A</v>
      </c>
      <c r="P35" s="111" t="e">
        <v>#N/A</v>
      </c>
      <c r="Q35" s="17" t="e">
        <v>#N/A</v>
      </c>
      <c r="R35" s="17" t="e">
        <v>#N/A</v>
      </c>
      <c r="S35" s="17" t="e">
        <v>#N/A</v>
      </c>
      <c r="T35" s="17" t="e">
        <v>#N/A</v>
      </c>
      <c r="U35" s="71" t="e">
        <v>#N/A</v>
      </c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</row>
    <row r="36" spans="1:50" x14ac:dyDescent="0.2">
      <c r="A36" s="13" t="e">
        <v>#N/A</v>
      </c>
      <c r="B36" s="109" t="e">
        <v>#N/A</v>
      </c>
      <c r="C36" s="21" t="e">
        <v>#N/A</v>
      </c>
      <c r="D36" s="21" t="e">
        <v>#N/A</v>
      </c>
      <c r="E36" s="110" t="e">
        <v>#N/A</v>
      </c>
      <c r="F36" s="110" t="e">
        <v>#N/A</v>
      </c>
      <c r="G36" s="17" t="e">
        <v>#N/A</v>
      </c>
      <c r="H36" s="17" t="e">
        <v>#N/A</v>
      </c>
      <c r="I36" s="17" t="e">
        <v>#N/A</v>
      </c>
      <c r="J36" s="110" t="e">
        <v>#N/A</v>
      </c>
      <c r="K36" s="17" t="e">
        <v>#N/A</v>
      </c>
      <c r="L36" s="116" t="e">
        <v>#N/A</v>
      </c>
      <c r="M36" s="111" t="e">
        <v>#N/A</v>
      </c>
      <c r="N36" s="17" t="e">
        <v>#N/A</v>
      </c>
      <c r="O36" s="17" t="e">
        <v>#N/A</v>
      </c>
      <c r="P36" s="111" t="e">
        <v>#N/A</v>
      </c>
      <c r="Q36" s="17" t="e">
        <v>#N/A</v>
      </c>
      <c r="R36" s="17" t="e">
        <v>#N/A</v>
      </c>
      <c r="S36" s="17" t="e">
        <v>#N/A</v>
      </c>
      <c r="T36" s="17" t="e">
        <v>#N/A</v>
      </c>
      <c r="U36" s="71" t="e">
        <v>#N/A</v>
      </c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</row>
    <row r="37" spans="1:50" x14ac:dyDescent="0.2">
      <c r="A37" s="13" t="e">
        <v>#N/A</v>
      </c>
      <c r="B37" s="109" t="e">
        <v>#N/A</v>
      </c>
      <c r="C37" s="21" t="e">
        <v>#N/A</v>
      </c>
      <c r="D37" s="21" t="e">
        <v>#N/A</v>
      </c>
      <c r="E37" s="110" t="e">
        <v>#N/A</v>
      </c>
      <c r="F37" s="110" t="e">
        <v>#N/A</v>
      </c>
      <c r="G37" s="17" t="e">
        <v>#N/A</v>
      </c>
      <c r="H37" s="17" t="e">
        <v>#N/A</v>
      </c>
      <c r="I37" s="17" t="e">
        <v>#N/A</v>
      </c>
      <c r="J37" s="110" t="e">
        <v>#N/A</v>
      </c>
      <c r="K37" s="17" t="e">
        <v>#N/A</v>
      </c>
      <c r="L37" s="116" t="e">
        <v>#N/A</v>
      </c>
      <c r="M37" s="111" t="e">
        <v>#N/A</v>
      </c>
      <c r="N37" s="17" t="e">
        <v>#N/A</v>
      </c>
      <c r="O37" s="17" t="e">
        <v>#N/A</v>
      </c>
      <c r="P37" s="111" t="e">
        <v>#N/A</v>
      </c>
      <c r="Q37" s="17" t="e">
        <v>#N/A</v>
      </c>
      <c r="R37" s="17" t="e">
        <v>#N/A</v>
      </c>
      <c r="S37" s="17" t="e">
        <v>#N/A</v>
      </c>
      <c r="T37" s="17" t="e">
        <v>#N/A</v>
      </c>
      <c r="U37" s="71" t="e">
        <v>#N/A</v>
      </c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</row>
    <row r="38" spans="1:50" x14ac:dyDescent="0.2">
      <c r="A38" s="13" t="e">
        <v>#N/A</v>
      </c>
      <c r="B38" s="109" t="e">
        <v>#N/A</v>
      </c>
      <c r="C38" s="21" t="e">
        <v>#N/A</v>
      </c>
      <c r="D38" s="21" t="e">
        <v>#N/A</v>
      </c>
      <c r="E38" s="110" t="e">
        <v>#N/A</v>
      </c>
      <c r="F38" s="110" t="e">
        <v>#N/A</v>
      </c>
      <c r="G38" s="17" t="e">
        <v>#N/A</v>
      </c>
      <c r="H38" s="17" t="e">
        <v>#N/A</v>
      </c>
      <c r="I38" s="17" t="e">
        <v>#N/A</v>
      </c>
      <c r="J38" s="110" t="e">
        <v>#N/A</v>
      </c>
      <c r="K38" s="17" t="e">
        <v>#N/A</v>
      </c>
      <c r="L38" s="116" t="e">
        <v>#N/A</v>
      </c>
      <c r="M38" s="111" t="e">
        <v>#N/A</v>
      </c>
      <c r="N38" s="17" t="e">
        <v>#N/A</v>
      </c>
      <c r="O38" s="17" t="e">
        <v>#N/A</v>
      </c>
      <c r="P38" s="111" t="e">
        <v>#N/A</v>
      </c>
      <c r="Q38" s="17" t="e">
        <v>#N/A</v>
      </c>
      <c r="R38" s="17" t="e">
        <v>#N/A</v>
      </c>
      <c r="S38" s="17" t="e">
        <v>#N/A</v>
      </c>
      <c r="T38" s="17" t="e">
        <v>#N/A</v>
      </c>
      <c r="U38" s="71" t="e">
        <v>#N/A</v>
      </c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</row>
    <row r="39" spans="1:50" x14ac:dyDescent="0.2">
      <c r="A39" s="13" t="e">
        <v>#N/A</v>
      </c>
      <c r="B39" s="109" t="e">
        <v>#N/A</v>
      </c>
      <c r="C39" s="21" t="e">
        <v>#N/A</v>
      </c>
      <c r="D39" s="21" t="e">
        <v>#N/A</v>
      </c>
      <c r="E39" s="110" t="e">
        <v>#N/A</v>
      </c>
      <c r="F39" s="110" t="e">
        <v>#N/A</v>
      </c>
      <c r="G39" s="17" t="e">
        <v>#N/A</v>
      </c>
      <c r="H39" s="17" t="e">
        <v>#N/A</v>
      </c>
      <c r="I39" s="17" t="e">
        <v>#N/A</v>
      </c>
      <c r="J39" s="110" t="e">
        <v>#N/A</v>
      </c>
      <c r="K39" s="17" t="e">
        <v>#N/A</v>
      </c>
      <c r="L39" s="116" t="e">
        <v>#N/A</v>
      </c>
      <c r="M39" s="111" t="e">
        <v>#N/A</v>
      </c>
      <c r="N39" s="17" t="e">
        <v>#N/A</v>
      </c>
      <c r="O39" s="17" t="e">
        <v>#N/A</v>
      </c>
      <c r="P39" s="111" t="e">
        <v>#N/A</v>
      </c>
      <c r="Q39" s="17" t="e">
        <v>#N/A</v>
      </c>
      <c r="R39" s="17" t="e">
        <v>#N/A</v>
      </c>
      <c r="S39" s="17" t="e">
        <v>#N/A</v>
      </c>
      <c r="T39" s="17" t="e">
        <v>#N/A</v>
      </c>
      <c r="U39" s="71" t="e">
        <v>#N/A</v>
      </c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</row>
    <row r="40" spans="1:50" x14ac:dyDescent="0.2">
      <c r="A40" s="13" t="e">
        <v>#N/A</v>
      </c>
      <c r="B40" s="109" t="e">
        <v>#N/A</v>
      </c>
      <c r="C40" s="21" t="e">
        <v>#N/A</v>
      </c>
      <c r="D40" s="21" t="e">
        <v>#N/A</v>
      </c>
      <c r="E40" s="110" t="e">
        <v>#N/A</v>
      </c>
      <c r="F40" s="110" t="e">
        <v>#N/A</v>
      </c>
      <c r="G40" s="17" t="e">
        <v>#N/A</v>
      </c>
      <c r="H40" s="17" t="e">
        <v>#N/A</v>
      </c>
      <c r="I40" s="17" t="e">
        <v>#N/A</v>
      </c>
      <c r="J40" s="110" t="e">
        <v>#N/A</v>
      </c>
      <c r="K40" s="17" t="e">
        <v>#N/A</v>
      </c>
      <c r="L40" s="116" t="e">
        <v>#N/A</v>
      </c>
      <c r="M40" s="111" t="e">
        <v>#N/A</v>
      </c>
      <c r="N40" s="17" t="e">
        <v>#N/A</v>
      </c>
      <c r="O40" s="17" t="e">
        <v>#N/A</v>
      </c>
      <c r="P40" s="111" t="e">
        <v>#N/A</v>
      </c>
      <c r="Q40" s="17" t="e">
        <v>#N/A</v>
      </c>
      <c r="R40" s="17" t="e">
        <v>#N/A</v>
      </c>
      <c r="S40" s="17" t="e">
        <v>#N/A</v>
      </c>
      <c r="T40" s="17" t="e">
        <v>#N/A</v>
      </c>
      <c r="U40" s="71" t="e">
        <v>#N/A</v>
      </c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</row>
    <row r="41" spans="1:50" x14ac:dyDescent="0.2">
      <c r="A41" s="13" t="e">
        <v>#N/A</v>
      </c>
      <c r="B41" s="109" t="e">
        <v>#N/A</v>
      </c>
      <c r="C41" s="21" t="e">
        <v>#N/A</v>
      </c>
      <c r="D41" s="21" t="e">
        <v>#N/A</v>
      </c>
      <c r="E41" s="110" t="e">
        <v>#N/A</v>
      </c>
      <c r="F41" s="110" t="e">
        <v>#N/A</v>
      </c>
      <c r="G41" s="17" t="e">
        <v>#N/A</v>
      </c>
      <c r="H41" s="17" t="e">
        <v>#N/A</v>
      </c>
      <c r="I41" s="17" t="e">
        <v>#N/A</v>
      </c>
      <c r="J41" s="110" t="e">
        <v>#N/A</v>
      </c>
      <c r="K41" s="17" t="e">
        <v>#N/A</v>
      </c>
      <c r="L41" s="116" t="e">
        <v>#N/A</v>
      </c>
      <c r="M41" s="111" t="e">
        <v>#N/A</v>
      </c>
      <c r="N41" s="17" t="e">
        <v>#N/A</v>
      </c>
      <c r="O41" s="17" t="e">
        <v>#N/A</v>
      </c>
      <c r="P41" s="111" t="e">
        <v>#N/A</v>
      </c>
      <c r="Q41" s="17" t="e">
        <v>#N/A</v>
      </c>
      <c r="R41" s="17" t="e">
        <v>#N/A</v>
      </c>
      <c r="S41" s="17" t="e">
        <v>#N/A</v>
      </c>
      <c r="T41" s="17" t="e">
        <v>#N/A</v>
      </c>
      <c r="U41" s="71" t="e">
        <v>#N/A</v>
      </c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</row>
    <row r="42" spans="1:50" x14ac:dyDescent="0.2">
      <c r="A42" s="13" t="e">
        <v>#N/A</v>
      </c>
      <c r="B42" s="109" t="e">
        <v>#N/A</v>
      </c>
      <c r="C42" s="21" t="e">
        <v>#N/A</v>
      </c>
      <c r="D42" s="21" t="e">
        <v>#N/A</v>
      </c>
      <c r="E42" s="110" t="e">
        <v>#N/A</v>
      </c>
      <c r="F42" s="110" t="e">
        <v>#N/A</v>
      </c>
      <c r="G42" s="17" t="e">
        <v>#N/A</v>
      </c>
      <c r="H42" s="17" t="e">
        <v>#N/A</v>
      </c>
      <c r="I42" s="17" t="e">
        <v>#N/A</v>
      </c>
      <c r="J42" s="110" t="e">
        <v>#N/A</v>
      </c>
      <c r="K42" s="17" t="e">
        <v>#N/A</v>
      </c>
      <c r="L42" s="116" t="e">
        <v>#N/A</v>
      </c>
      <c r="M42" s="111" t="e">
        <v>#N/A</v>
      </c>
      <c r="N42" s="17" t="e">
        <v>#N/A</v>
      </c>
      <c r="O42" s="17" t="e">
        <v>#N/A</v>
      </c>
      <c r="P42" s="111" t="e">
        <v>#N/A</v>
      </c>
      <c r="Q42" s="17" t="e">
        <v>#N/A</v>
      </c>
      <c r="R42" s="17" t="e">
        <v>#N/A</v>
      </c>
      <c r="S42" s="17" t="e">
        <v>#N/A</v>
      </c>
      <c r="T42" s="17" t="e">
        <v>#N/A</v>
      </c>
      <c r="U42" s="71" t="e">
        <v>#N/A</v>
      </c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</row>
    <row r="43" spans="1:50" x14ac:dyDescent="0.2">
      <c r="A43" s="132" t="e">
        <v>#N/A</v>
      </c>
      <c r="B43" s="112" t="e">
        <v>#N/A</v>
      </c>
      <c r="C43" s="113" t="e">
        <v>#N/A</v>
      </c>
      <c r="D43" s="113" t="e">
        <v>#N/A</v>
      </c>
      <c r="E43" s="114" t="e">
        <v>#N/A</v>
      </c>
      <c r="F43" s="114" t="e">
        <v>#N/A</v>
      </c>
      <c r="G43" s="72" t="e">
        <v>#N/A</v>
      </c>
      <c r="H43" s="72" t="e">
        <v>#N/A</v>
      </c>
      <c r="I43" s="72" t="e">
        <v>#N/A</v>
      </c>
      <c r="J43" s="114" t="e">
        <v>#N/A</v>
      </c>
      <c r="K43" s="72" t="e">
        <v>#N/A</v>
      </c>
      <c r="L43" s="117" t="e">
        <v>#N/A</v>
      </c>
      <c r="M43" s="115" t="e">
        <v>#N/A</v>
      </c>
      <c r="N43" s="72" t="e">
        <v>#N/A</v>
      </c>
      <c r="O43" s="72" t="e">
        <v>#N/A</v>
      </c>
      <c r="P43" s="115" t="e">
        <v>#N/A</v>
      </c>
      <c r="Q43" s="72" t="e">
        <v>#N/A</v>
      </c>
      <c r="R43" s="72" t="e">
        <v>#N/A</v>
      </c>
      <c r="S43" s="72" t="e">
        <v>#N/A</v>
      </c>
      <c r="T43" s="72" t="e">
        <v>#N/A</v>
      </c>
      <c r="U43" s="73" t="e">
        <v>#N/A</v>
      </c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</row>
    <row r="44" spans="1:50" x14ac:dyDescent="0.2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</row>
    <row r="45" spans="1:50" x14ac:dyDescent="0.2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</row>
    <row r="46" spans="1:50" x14ac:dyDescent="0.2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</row>
    <row r="47" spans="1:50" x14ac:dyDescent="0.2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</row>
    <row r="48" spans="1:50" x14ac:dyDescent="0.2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</row>
    <row r="49" spans="1:50" x14ac:dyDescent="0.2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</row>
    <row r="50" spans="1:50" x14ac:dyDescent="0.2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</row>
    <row r="51" spans="1:50" x14ac:dyDescent="0.2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</row>
    <row r="52" spans="1:50" x14ac:dyDescent="0.2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</row>
    <row r="53" spans="1:50" x14ac:dyDescent="0.2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</row>
    <row r="54" spans="1:50" x14ac:dyDescent="0.2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</row>
    <row r="55" spans="1:50" x14ac:dyDescent="0.2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</row>
    <row r="56" spans="1:50" x14ac:dyDescent="0.2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</row>
    <row r="57" spans="1:50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</row>
    <row r="58" spans="1:50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</row>
    <row r="59" spans="1:50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</row>
    <row r="60" spans="1:50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</row>
    <row r="61" spans="1:50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</row>
    <row r="62" spans="1:50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</row>
    <row r="63" spans="1:50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</row>
    <row r="64" spans="1:50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</row>
    <row r="65" spans="1:50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</row>
    <row r="66" spans="1:50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</row>
    <row r="67" spans="1:50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</row>
    <row r="68" spans="1:50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</row>
    <row r="69" spans="1:50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</row>
    <row r="70" spans="1:50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</row>
    <row r="71" spans="1:50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</row>
    <row r="72" spans="1:50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</row>
    <row r="73" spans="1:50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</row>
    <row r="74" spans="1:50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</row>
    <row r="75" spans="1:50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</row>
    <row r="76" spans="1:50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</row>
    <row r="77" spans="1:50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</row>
    <row r="78" spans="1:50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</row>
    <row r="79" spans="1:50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</row>
    <row r="80" spans="1:50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</row>
    <row r="81" spans="1:50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</row>
    <row r="82" spans="1:50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</row>
    <row r="83" spans="1:50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</row>
    <row r="84" spans="1:50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</row>
    <row r="85" spans="1:50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</row>
    <row r="86" spans="1:50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</row>
    <row r="87" spans="1:50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</row>
    <row r="88" spans="1:50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</row>
    <row r="89" spans="1:50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</row>
    <row r="90" spans="1:50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</row>
    <row r="91" spans="1:50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</row>
    <row r="92" spans="1:50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</row>
    <row r="93" spans="1:50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</row>
    <row r="94" spans="1:50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</row>
    <row r="95" spans="1:50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</row>
    <row r="96" spans="1:50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</row>
    <row r="97" spans="1:50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</row>
    <row r="98" spans="1:50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</row>
    <row r="99" spans="1:50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</row>
    <row r="100" spans="1:50" x14ac:dyDescent="0.2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</row>
    <row r="101" spans="1:50" x14ac:dyDescent="0.2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</row>
    <row r="102" spans="1:50" x14ac:dyDescent="0.2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</row>
    <row r="103" spans="1:50" x14ac:dyDescent="0.2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</row>
    <row r="104" spans="1:50" x14ac:dyDescent="0.2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</row>
    <row r="105" spans="1:50" x14ac:dyDescent="0.2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</row>
    <row r="106" spans="1:50" x14ac:dyDescent="0.2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</row>
    <row r="107" spans="1:50" x14ac:dyDescent="0.2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</row>
    <row r="108" spans="1:50" x14ac:dyDescent="0.2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</row>
    <row r="109" spans="1:50" x14ac:dyDescent="0.2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</row>
    <row r="110" spans="1:50" x14ac:dyDescent="0.2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</row>
    <row r="111" spans="1:50" x14ac:dyDescent="0.2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</row>
    <row r="112" spans="1:50" x14ac:dyDescent="0.2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</row>
    <row r="113" spans="1:50" x14ac:dyDescent="0.2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</row>
    <row r="114" spans="1:50" x14ac:dyDescent="0.2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</row>
    <row r="115" spans="1:50" x14ac:dyDescent="0.2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</row>
    <row r="116" spans="1:50" x14ac:dyDescent="0.2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</row>
    <row r="117" spans="1:50" x14ac:dyDescent="0.2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</row>
    <row r="118" spans="1:50" x14ac:dyDescent="0.2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</row>
    <row r="119" spans="1:50" x14ac:dyDescent="0.2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</row>
    <row r="120" spans="1:50" x14ac:dyDescent="0.2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</row>
    <row r="121" spans="1:50" x14ac:dyDescent="0.2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</row>
    <row r="122" spans="1:50" x14ac:dyDescent="0.2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</row>
    <row r="123" spans="1:50" x14ac:dyDescent="0.2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</row>
    <row r="124" spans="1:50" x14ac:dyDescent="0.2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</row>
    <row r="125" spans="1:50" x14ac:dyDescent="0.2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</row>
    <row r="126" spans="1:50" x14ac:dyDescent="0.2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</row>
    <row r="127" spans="1:50" x14ac:dyDescent="0.2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</row>
    <row r="128" spans="1:50" x14ac:dyDescent="0.2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</row>
    <row r="129" spans="1:50" x14ac:dyDescent="0.2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</row>
    <row r="130" spans="1:50" x14ac:dyDescent="0.2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</row>
    <row r="131" spans="1:50" x14ac:dyDescent="0.2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</row>
    <row r="132" spans="1:50" x14ac:dyDescent="0.2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</row>
    <row r="133" spans="1:50" x14ac:dyDescent="0.2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</row>
    <row r="134" spans="1:50" x14ac:dyDescent="0.2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</row>
    <row r="135" spans="1:50" x14ac:dyDescent="0.2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</row>
    <row r="136" spans="1:50" x14ac:dyDescent="0.2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</row>
    <row r="137" spans="1:50" x14ac:dyDescent="0.2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</row>
    <row r="138" spans="1:50" x14ac:dyDescent="0.2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</row>
    <row r="139" spans="1:50" x14ac:dyDescent="0.2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</row>
    <row r="140" spans="1:50" x14ac:dyDescent="0.2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</row>
    <row r="141" spans="1:50" x14ac:dyDescent="0.2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</row>
    <row r="142" spans="1:50" x14ac:dyDescent="0.2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</row>
    <row r="143" spans="1:50" x14ac:dyDescent="0.2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</row>
    <row r="144" spans="1:50" x14ac:dyDescent="0.2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</row>
    <row r="145" spans="1:50" x14ac:dyDescent="0.2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</row>
    <row r="146" spans="1:50" x14ac:dyDescent="0.2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</row>
    <row r="147" spans="1:50" x14ac:dyDescent="0.2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</row>
    <row r="148" spans="1:50" x14ac:dyDescent="0.2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</row>
    <row r="149" spans="1:50" x14ac:dyDescent="0.2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</row>
    <row r="150" spans="1:50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</row>
    <row r="151" spans="1:50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</row>
    <row r="152" spans="1:50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</row>
    <row r="153" spans="1:50" x14ac:dyDescent="0.2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</row>
    <row r="154" spans="1:50" x14ac:dyDescent="0.2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</row>
    <row r="155" spans="1:50" x14ac:dyDescent="0.2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</row>
    <row r="156" spans="1:50" x14ac:dyDescent="0.2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</row>
    <row r="157" spans="1:50" x14ac:dyDescent="0.2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</row>
    <row r="158" spans="1:50" x14ac:dyDescent="0.2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</row>
    <row r="159" spans="1:50" x14ac:dyDescent="0.2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</row>
    <row r="160" spans="1:50" x14ac:dyDescent="0.2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</row>
    <row r="161" spans="1:50" x14ac:dyDescent="0.2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</row>
    <row r="162" spans="1:50" x14ac:dyDescent="0.2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</row>
    <row r="163" spans="1:50" x14ac:dyDescent="0.2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</row>
    <row r="164" spans="1:50" x14ac:dyDescent="0.2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</row>
    <row r="165" spans="1:50" x14ac:dyDescent="0.2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</row>
    <row r="166" spans="1:50" x14ac:dyDescent="0.2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</row>
    <row r="167" spans="1:50" x14ac:dyDescent="0.2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</row>
    <row r="168" spans="1:50" x14ac:dyDescent="0.2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</row>
    <row r="169" spans="1:50" x14ac:dyDescent="0.2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</row>
    <row r="170" spans="1:50" x14ac:dyDescent="0.2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</row>
    <row r="171" spans="1:50" x14ac:dyDescent="0.2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</row>
    <row r="172" spans="1:50" x14ac:dyDescent="0.2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</row>
    <row r="173" spans="1:50" x14ac:dyDescent="0.2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</row>
    <row r="174" spans="1:50" x14ac:dyDescent="0.2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</row>
    <row r="175" spans="1:50" x14ac:dyDescent="0.2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</row>
    <row r="176" spans="1:50" x14ac:dyDescent="0.2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</row>
    <row r="177" spans="1:50" x14ac:dyDescent="0.2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</row>
    <row r="178" spans="1:50" x14ac:dyDescent="0.2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</row>
    <row r="179" spans="1:50" x14ac:dyDescent="0.2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</row>
    <row r="180" spans="1:50" x14ac:dyDescent="0.2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</row>
    <row r="181" spans="1:50" x14ac:dyDescent="0.2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</row>
    <row r="182" spans="1:50" x14ac:dyDescent="0.2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</row>
    <row r="183" spans="1:50" x14ac:dyDescent="0.2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</row>
    <row r="184" spans="1:50" x14ac:dyDescent="0.2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</row>
    <row r="185" spans="1:50" x14ac:dyDescent="0.2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</row>
    <row r="186" spans="1:50" x14ac:dyDescent="0.2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</row>
    <row r="187" spans="1:50" x14ac:dyDescent="0.2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</row>
    <row r="188" spans="1:50" x14ac:dyDescent="0.2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</row>
    <row r="189" spans="1:50" x14ac:dyDescent="0.2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</row>
    <row r="190" spans="1:50" x14ac:dyDescent="0.2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</row>
    <row r="191" spans="1:50" x14ac:dyDescent="0.2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</row>
    <row r="192" spans="1:50" x14ac:dyDescent="0.2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</row>
    <row r="193" spans="1:50" x14ac:dyDescent="0.2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</row>
    <row r="194" spans="1:50" x14ac:dyDescent="0.2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</row>
    <row r="195" spans="1:50" x14ac:dyDescent="0.2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</row>
    <row r="196" spans="1:50" x14ac:dyDescent="0.2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</row>
    <row r="197" spans="1:50" x14ac:dyDescent="0.2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</row>
    <row r="198" spans="1:50" x14ac:dyDescent="0.2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</row>
    <row r="199" spans="1:50" x14ac:dyDescent="0.2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</row>
    <row r="200" spans="1:50" x14ac:dyDescent="0.2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65</vt:i4>
      </vt:variant>
    </vt:vector>
  </HeadingPairs>
  <TitlesOfParts>
    <vt:vector size="71" baseType="lpstr">
      <vt:lpstr>GeneralSettings</vt:lpstr>
      <vt:lpstr>FxPoints</vt:lpstr>
      <vt:lpstr>DomesticLegRenotioning</vt:lpstr>
      <vt:lpstr>CCSPricing</vt:lpstr>
      <vt:lpstr>DomesticLegFlowAnalysis</vt:lpstr>
      <vt:lpstr>ForeignLegFlowAnalysis</vt:lpstr>
      <vt:lpstr>BaseYieldCurve</vt:lpstr>
      <vt:lpstr>CCSQuoteMid</vt:lpstr>
      <vt:lpstr>Contributor</vt:lpstr>
      <vt:lpstr>Dates</vt:lpstr>
      <vt:lpstr>DayCounter</vt:lpstr>
      <vt:lpstr>DiscountCurve</vt:lpstr>
      <vt:lpstr>DomesticArrearFlag</vt:lpstr>
      <vt:lpstr>DomesticBDC</vt:lpstr>
      <vt:lpstr>DomesticCalendar</vt:lpstr>
      <vt:lpstr>DomesticCurrency</vt:lpstr>
      <vt:lpstr>DomesticDateGeneration</vt:lpstr>
      <vt:lpstr>DomesticDayCounter</vt:lpstr>
      <vt:lpstr>DomesticDiscount</vt:lpstr>
      <vt:lpstr>DomesticDiscountCurve</vt:lpstr>
      <vt:lpstr>DomesticEOM</vt:lpstr>
      <vt:lpstr>DomesticFinalNotionals</vt:lpstr>
      <vt:lpstr>DomesticFixingCalendar</vt:lpstr>
      <vt:lpstr>DomesticFixingDays</vt:lpstr>
      <vt:lpstr>DomesticGearing</vt:lpstr>
      <vt:lpstr>DomesticIndex</vt:lpstr>
      <vt:lpstr>DomesticInitialNotionals</vt:lpstr>
      <vt:lpstr>DomesticPayFlag</vt:lpstr>
      <vt:lpstr>DomesticPaymentBDC</vt:lpstr>
      <vt:lpstr>DomesticPaymentCalendar</vt:lpstr>
      <vt:lpstr>DomesticRenotioningFlag</vt:lpstr>
      <vt:lpstr>DomesticTDC</vt:lpstr>
      <vt:lpstr>DomesticTenor</vt:lpstr>
      <vt:lpstr>DomesticUnitFx</vt:lpstr>
      <vt:lpstr>EffectiveDate</vt:lpstr>
      <vt:lpstr>EvaluationDate</vt:lpstr>
      <vt:lpstr>Fields</vt:lpstr>
      <vt:lpstr>ForeignArrearFlag</vt:lpstr>
      <vt:lpstr>ForeignBDC</vt:lpstr>
      <vt:lpstr>ForeignCalendar</vt:lpstr>
      <vt:lpstr>ForeignCurrency</vt:lpstr>
      <vt:lpstr>ForeignDateGeneration</vt:lpstr>
      <vt:lpstr>ForeignDayCounter</vt:lpstr>
      <vt:lpstr>ForeignDiscountCurve</vt:lpstr>
      <vt:lpstr>ForeignDiscountMid</vt:lpstr>
      <vt:lpstr>ForeignEOM</vt:lpstr>
      <vt:lpstr>ForeignFixingCalendar</vt:lpstr>
      <vt:lpstr>ForeignFixingDays</vt:lpstr>
      <vt:lpstr>ForeignGearing</vt:lpstr>
      <vt:lpstr>ForeignIndex</vt:lpstr>
      <vt:lpstr>ForeignNotional</vt:lpstr>
      <vt:lpstr>ForeignPayFlag</vt:lpstr>
      <vt:lpstr>ForeignPaymentBDC</vt:lpstr>
      <vt:lpstr>ForeignPaymentCalendar</vt:lpstr>
      <vt:lpstr>ForeignTDC</vt:lpstr>
      <vt:lpstr>ForeignTenor</vt:lpstr>
      <vt:lpstr>FxPointsContributor</vt:lpstr>
      <vt:lpstr>IncludeFlag</vt:lpstr>
      <vt:lpstr>Instruments</vt:lpstr>
      <vt:lpstr>Interpolation</vt:lpstr>
      <vt:lpstr>InterpolatorID</vt:lpstr>
      <vt:lpstr>JoinedCalendar</vt:lpstr>
      <vt:lpstr>JoinedCalendarRule</vt:lpstr>
      <vt:lpstr>NPVDate</vt:lpstr>
      <vt:lpstr>PaymentDates</vt:lpstr>
      <vt:lpstr>ScheduleDates</vt:lpstr>
      <vt:lpstr>SettlementDate</vt:lpstr>
      <vt:lpstr>SettlementDays</vt:lpstr>
      <vt:lpstr>SpotExchangeValue</vt:lpstr>
      <vt:lpstr>TraitsID</vt:lpstr>
      <vt:lpstr>Trigger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ZANZI MADDALENA</dc:creator>
  <cp:lastModifiedBy>ZANZI MADDALENA</cp:lastModifiedBy>
  <dcterms:created xsi:type="dcterms:W3CDTF">2014-10-23T10:30:19Z</dcterms:created>
  <dcterms:modified xsi:type="dcterms:W3CDTF">2014-11-04T13:54:33Z</dcterms:modified>
</cp:coreProperties>
</file>